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B0BF7A1-096A-4D9A-B0B1-6BB9B8B19AE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5" i="1"/>
  <c r="F25" i="1"/>
  <c r="G25" i="1"/>
  <c r="H25" i="1"/>
  <c r="E26" i="1"/>
  <c r="F26" i="1"/>
  <c r="G26" i="1"/>
  <c r="H26" i="1"/>
  <c r="E27" i="1"/>
  <c r="F27" i="1"/>
  <c r="G27" i="1"/>
  <c r="I27" i="1"/>
  <c r="E28" i="1"/>
  <c r="F28" i="1"/>
  <c r="G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24" i="1"/>
  <c r="F24" i="1"/>
  <c r="G24" i="1"/>
  <c r="H24" i="1"/>
  <c r="Q21" i="1"/>
  <c r="Q22" i="1"/>
  <c r="Q23" i="1"/>
  <c r="Q25" i="1"/>
  <c r="Q26" i="1"/>
  <c r="Q27" i="1"/>
  <c r="I28" i="1"/>
  <c r="Q28" i="1"/>
  <c r="Q29" i="1"/>
  <c r="Q30" i="1"/>
  <c r="Q31" i="1"/>
  <c r="Q32" i="1"/>
  <c r="Q33" i="1"/>
  <c r="Q34" i="1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C17" i="1"/>
  <c r="Q24" i="1"/>
  <c r="C11" i="1"/>
  <c r="C12" i="1"/>
  <c r="C16" i="1" l="1"/>
  <c r="D18" i="1" s="1"/>
  <c r="O29" i="1"/>
  <c r="O22" i="1"/>
  <c r="O28" i="1"/>
  <c r="O27" i="1"/>
  <c r="O21" i="1"/>
  <c r="O31" i="1"/>
  <c r="O33" i="1"/>
  <c r="O32" i="1"/>
  <c r="O24" i="1"/>
  <c r="O26" i="1"/>
  <c r="O25" i="1"/>
  <c r="O30" i="1"/>
  <c r="O34" i="1"/>
  <c r="O23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<sst xmlns="http://schemas.openxmlformats.org/spreadsheetml/2006/main" count="192" uniqueCount="93">
  <si>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</si>
  <si>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</si>
  <si>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</si>
  <si>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</si>
  <si>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</si>
  <si>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</si>
  <si>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</si>
  <si>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</si>
  <si>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</si>
  <si>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</si>
  <si>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</si>
  <si>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</si>
  <si>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</si>
  <si>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</si>
  <si>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</si>
  <si>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</si>
  <si>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</si>
  <si>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</si>
  <si>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</si>
  <si>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</si>
  <si>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</si>
  <si>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</si>
  <si>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</si>
  <si>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</si>
  <si>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</si>
  <si>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</si>
  <si>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</si>
  <si>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</si>
  <si>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</si>
  <si>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</si>
  <si>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</si>
  <si>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</si>
  <si>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</si>
  <si>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</si>
  <si>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</si>
  <si>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</si>
  <si>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</si>
  <si>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</si>
  <si>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</si>
  <si>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</si>
  <si>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</si>
  <si>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</si>
  <si>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</si>
  <si>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</si>
  <si>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</si>
  <si>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</si>
  <si>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</si>
  <si>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</si>
  <si>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MP Lac</t>
  </si>
  <si>
    <t>EA</t>
  </si>
  <si>
    <t>GCVS 4</t>
  </si>
  <si>
    <t>2432764.3 </t>
  </si>
  <si>
    <t> 31.07.1948 19:12 </t>
  </si>
  <si>
    <t> 0.0 </t>
  </si>
  <si>
    <t>P </t>
  </si>
  <si>
    <t> Miller &amp; Wachmann </t>
  </si>
  <si>
    <t> RIA 8.231 </t>
  </si>
  <si>
    <t>2434208.4 </t>
  </si>
  <si>
    <t> 14.07.1952 21:36 </t>
  </si>
  <si>
    <t> -0.1 </t>
  </si>
  <si>
    <t>2434239.6 </t>
  </si>
  <si>
    <t> 15.08.1952 02:24 </t>
  </si>
  <si>
    <t> -0.3 </t>
  </si>
  <si>
    <t>2434365.7 </t>
  </si>
  <si>
    <t> 19.12.1952 04:48 </t>
  </si>
  <si>
    <t> 0.3 </t>
  </si>
  <si>
    <t>2434742.3 </t>
  </si>
  <si>
    <t> 30.12.1953 19:12 </t>
  </si>
  <si>
    <t> 0.1 </t>
  </si>
  <si>
    <t>2437898.4 </t>
  </si>
  <si>
    <t> 21.08.1962 21:36 </t>
  </si>
  <si>
    <t> 0.9 </t>
  </si>
  <si>
    <t> K.Häussler </t>
  </si>
  <si>
    <t> VSS 10.238 </t>
  </si>
  <si>
    <t>2437944.5 </t>
  </si>
  <si>
    <t> 07.10.1962 00:00 </t>
  </si>
  <si>
    <t>2437961.3 </t>
  </si>
  <si>
    <t> 23.10.1962 19:12 </t>
  </si>
  <si>
    <t> 1.0 </t>
  </si>
  <si>
    <t>2440504.3 </t>
  </si>
  <si>
    <t> 09.10.1969 19:12 </t>
  </si>
  <si>
    <t>2441931.5 </t>
  </si>
  <si>
    <t> 06.09.1973 00:00 </t>
  </si>
  <si>
    <t>2441948.4 </t>
  </si>
  <si>
    <t> 22.09.1973 21:36 </t>
  </si>
  <si>
    <t>2444129.4 </t>
  </si>
  <si>
    <t> 12.09.1979 21:36 </t>
  </si>
  <si>
    <t>2444254.7 </t>
  </si>
  <si>
    <t> 16.01.1980 04:48 </t>
  </si>
  <si>
    <t> -0.4 </t>
  </si>
  <si>
    <t>I</t>
  </si>
  <si>
    <t>II</t>
  </si>
  <si>
    <t>MP Lac / GSC 34239.86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</si>
</sst>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MP Lac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-366</c:v>
                </c:pt>
                <c:pt idx="1">
                  <c:v>-320</c:v>
                </c:pt>
                <c:pt idx="2">
                  <c:v>-319</c:v>
                </c:pt>
                <c:pt idx="3">
                  <c:v>-319</c:v>
                </c:pt>
                <c:pt idx="4">
                  <c:v>-315</c:v>
                </c:pt>
                <c:pt idx="5">
                  <c:v>-303</c:v>
                </c:pt>
                <c:pt idx="6">
                  <c:v>-202.5</c:v>
                </c:pt>
                <c:pt idx="7">
                  <c:v>-201</c:v>
                </c:pt>
                <c:pt idx="8">
                  <c:v>-200.5</c:v>
                </c:pt>
                <c:pt idx="9">
                  <c:v>-119.5</c:v>
                </c:pt>
                <c:pt idx="10">
                  <c:v>-74</c:v>
                </c:pt>
                <c:pt idx="11">
                  <c:v>-73.5</c:v>
                </c:pt>
                <c:pt idx="12">
                  <c:v>-4</c:v>
                </c:pt>
                <c:pt idx="13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-0.14584379859661567</c:v>
                </c:pt>
                <c:pt idx="1">
                  <c:v>-0.25877686912281206</c:v>
                </c:pt>
                <c:pt idx="2">
                  <c:v>-0.45471019674732815</c:v>
                </c:pt>
                <c:pt idx="3">
                  <c:v>-0.19471019674529089</c:v>
                </c:pt>
                <c:pt idx="4">
                  <c:v>6.155649277206976E-2</c:v>
                </c:pt>
                <c:pt idx="5">
                  <c:v>-8.9643438666826114E-2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0F-40C1-AC0D-F50DD072C1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-366</c:v>
                </c:pt>
                <c:pt idx="1">
                  <c:v>-320</c:v>
                </c:pt>
                <c:pt idx="2">
                  <c:v>-319</c:v>
                </c:pt>
                <c:pt idx="3">
                  <c:v>-319</c:v>
                </c:pt>
                <c:pt idx="4">
                  <c:v>-315</c:v>
                </c:pt>
                <c:pt idx="5">
                  <c:v>-303</c:v>
                </c:pt>
                <c:pt idx="6">
                  <c:v>-202.5</c:v>
                </c:pt>
                <c:pt idx="7">
                  <c:v>-201</c:v>
                </c:pt>
                <c:pt idx="8">
                  <c:v>-200.5</c:v>
                </c:pt>
                <c:pt idx="9">
                  <c:v>-119.5</c:v>
                </c:pt>
                <c:pt idx="10">
                  <c:v>-74</c:v>
                </c:pt>
                <c:pt idx="11">
                  <c:v>-73.5</c:v>
                </c:pt>
                <c:pt idx="12">
                  <c:v>-4</c:v>
                </c:pt>
                <c:pt idx="13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">
                  <c:v>0.71905713550950168</c:v>
                </c:pt>
                <c:pt idx="7">
                  <c:v>-0.27484285592072411</c:v>
                </c:pt>
                <c:pt idx="8">
                  <c:v>0.8271904802750214</c:v>
                </c:pt>
                <c:pt idx="9">
                  <c:v>0.75659094304137398</c:v>
                </c:pt>
                <c:pt idx="10">
                  <c:v>-0.55837546367547475</c:v>
                </c:pt>
                <c:pt idx="11">
                  <c:v>0.64365787251881557</c:v>
                </c:pt>
                <c:pt idx="12">
                  <c:v>-0.37370839708455605</c:v>
                </c:pt>
                <c:pt idx="13">
                  <c:v>-0.65744170756806852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0F-40C1-AC0D-F50DD072C1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-366</c:v>
                </c:pt>
                <c:pt idx="1">
                  <c:v>-320</c:v>
                </c:pt>
                <c:pt idx="2">
                  <c:v>-319</c:v>
                </c:pt>
                <c:pt idx="3">
                  <c:v>-319</c:v>
                </c:pt>
                <c:pt idx="4">
                  <c:v>-315</c:v>
                </c:pt>
                <c:pt idx="5">
                  <c:v>-303</c:v>
                </c:pt>
                <c:pt idx="6">
                  <c:v>-202.5</c:v>
                </c:pt>
                <c:pt idx="7">
                  <c:v>-201</c:v>
                </c:pt>
                <c:pt idx="8">
                  <c:v>-200.5</c:v>
                </c:pt>
                <c:pt idx="9">
                  <c:v>-119.5</c:v>
                </c:pt>
                <c:pt idx="10">
                  <c:v>-74</c:v>
                </c:pt>
                <c:pt idx="11">
                  <c:v>-73.5</c:v>
                </c:pt>
                <c:pt idx="12">
                  <c:v>-4</c:v>
                </c:pt>
                <c:pt idx="13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0F-40C1-AC0D-F50DD072C1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-366</c:v>
                </c:pt>
                <c:pt idx="1">
                  <c:v>-320</c:v>
                </c:pt>
                <c:pt idx="2">
                  <c:v>-319</c:v>
                </c:pt>
                <c:pt idx="3">
                  <c:v>-319</c:v>
                </c:pt>
                <c:pt idx="4">
                  <c:v>-315</c:v>
                </c:pt>
                <c:pt idx="5">
                  <c:v>-303</c:v>
                </c:pt>
                <c:pt idx="6">
                  <c:v>-202.5</c:v>
                </c:pt>
                <c:pt idx="7">
                  <c:v>-201</c:v>
                </c:pt>
                <c:pt idx="8">
                  <c:v>-200.5</c:v>
                </c:pt>
                <c:pt idx="9">
                  <c:v>-119.5</c:v>
                </c:pt>
                <c:pt idx="10">
                  <c:v>-74</c:v>
                </c:pt>
                <c:pt idx="11">
                  <c:v>-73.5</c:v>
                </c:pt>
                <c:pt idx="12">
                  <c:v>-4</c:v>
                </c:pt>
                <c:pt idx="13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0F-40C1-AC0D-F50DD072C1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-366</c:v>
                </c:pt>
                <c:pt idx="1">
                  <c:v>-320</c:v>
                </c:pt>
                <c:pt idx="2">
                  <c:v>-319</c:v>
                </c:pt>
                <c:pt idx="3">
                  <c:v>-319</c:v>
                </c:pt>
                <c:pt idx="4">
                  <c:v>-315</c:v>
                </c:pt>
                <c:pt idx="5">
                  <c:v>-303</c:v>
                </c:pt>
                <c:pt idx="6">
                  <c:v>-202.5</c:v>
                </c:pt>
                <c:pt idx="7">
                  <c:v>-201</c:v>
                </c:pt>
                <c:pt idx="8">
                  <c:v>-200.5</c:v>
                </c:pt>
                <c:pt idx="9">
                  <c:v>-119.5</c:v>
                </c:pt>
                <c:pt idx="10">
                  <c:v>-74</c:v>
                </c:pt>
                <c:pt idx="11">
                  <c:v>-73.5</c:v>
                </c:pt>
                <c:pt idx="12">
                  <c:v>-4</c:v>
                </c:pt>
                <c:pt idx="13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0F-40C1-AC0D-F50DD072C1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-366</c:v>
                </c:pt>
                <c:pt idx="1">
                  <c:v>-320</c:v>
                </c:pt>
                <c:pt idx="2">
                  <c:v>-319</c:v>
                </c:pt>
                <c:pt idx="3">
                  <c:v>-319</c:v>
                </c:pt>
                <c:pt idx="4">
                  <c:v>-315</c:v>
                </c:pt>
                <c:pt idx="5">
                  <c:v>-303</c:v>
                </c:pt>
                <c:pt idx="6">
                  <c:v>-202.5</c:v>
                </c:pt>
                <c:pt idx="7">
                  <c:v>-201</c:v>
                </c:pt>
                <c:pt idx="8">
                  <c:v>-200.5</c:v>
                </c:pt>
                <c:pt idx="9">
                  <c:v>-119.5</c:v>
                </c:pt>
                <c:pt idx="10">
                  <c:v>-74</c:v>
                </c:pt>
                <c:pt idx="11">
                  <c:v>-73.5</c:v>
                </c:pt>
                <c:pt idx="12">
                  <c:v>-4</c:v>
                </c:pt>
                <c:pt idx="13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0F-40C1-AC0D-F50DD072C1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-366</c:v>
                </c:pt>
                <c:pt idx="1">
                  <c:v>-320</c:v>
                </c:pt>
                <c:pt idx="2">
                  <c:v>-319</c:v>
                </c:pt>
                <c:pt idx="3">
                  <c:v>-319</c:v>
                </c:pt>
                <c:pt idx="4">
                  <c:v>-315</c:v>
                </c:pt>
                <c:pt idx="5">
                  <c:v>-303</c:v>
                </c:pt>
                <c:pt idx="6">
                  <c:v>-202.5</c:v>
                </c:pt>
                <c:pt idx="7">
                  <c:v>-201</c:v>
                </c:pt>
                <c:pt idx="8">
                  <c:v>-200.5</c:v>
                </c:pt>
                <c:pt idx="9">
                  <c:v>-119.5</c:v>
                </c:pt>
                <c:pt idx="10">
                  <c:v>-74</c:v>
                </c:pt>
                <c:pt idx="11">
                  <c:v>-73.5</c:v>
                </c:pt>
                <c:pt idx="12">
                  <c:v>-4</c:v>
                </c:pt>
                <c:pt idx="13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0F-40C1-AC0D-F50DD072C1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-366</c:v>
                </c:pt>
                <c:pt idx="1">
                  <c:v>-320</c:v>
                </c:pt>
                <c:pt idx="2">
                  <c:v>-319</c:v>
                </c:pt>
                <c:pt idx="3">
                  <c:v>-319</c:v>
                </c:pt>
                <c:pt idx="4">
                  <c:v>-315</c:v>
                </c:pt>
                <c:pt idx="5">
                  <c:v>-303</c:v>
                </c:pt>
                <c:pt idx="6">
                  <c:v>-202.5</c:v>
                </c:pt>
                <c:pt idx="7">
                  <c:v>-201</c:v>
                </c:pt>
                <c:pt idx="8">
                  <c:v>-200.5</c:v>
                </c:pt>
                <c:pt idx="9">
                  <c:v>-119.5</c:v>
                </c:pt>
                <c:pt idx="10">
                  <c:v>-74</c:v>
                </c:pt>
                <c:pt idx="11">
                  <c:v>-73.5</c:v>
                </c:pt>
                <c:pt idx="12">
                  <c:v>-4</c:v>
                </c:pt>
                <c:pt idx="13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-1.914918526389092E-12</c:v>
                </c:pt>
                <c:pt idx="1">
                  <c:v>-1.5979846487922479E-12</c:v>
                </c:pt>
                <c:pt idx="2">
                  <c:v>-1.5910947818879687E-12</c:v>
                </c:pt>
                <c:pt idx="3">
                  <c:v>-1.5910947818879687E-12</c:v>
                </c:pt>
                <c:pt idx="4">
                  <c:v>-1.5635353142708517E-12</c:v>
                </c:pt>
                <c:pt idx="5">
                  <c:v>-1.4808569114195014E-12</c:v>
                </c:pt>
                <c:pt idx="6">
                  <c:v>-7.8842528753944023E-13</c:v>
                </c:pt>
                <c:pt idx="7">
                  <c:v>-7.7809048718302135E-13</c:v>
                </c:pt>
                <c:pt idx="8">
                  <c:v>-7.7464555373088172E-13</c:v>
                </c:pt>
                <c:pt idx="9">
                  <c:v>-2.1656633448426535E-13</c:v>
                </c:pt>
                <c:pt idx="10">
                  <c:v>9.6922609660438953E-14</c:v>
                </c:pt>
                <c:pt idx="11">
                  <c:v>1.0036754311257858E-13</c:v>
                </c:pt>
                <c:pt idx="12">
                  <c:v>5.7921329295998395E-13</c:v>
                </c:pt>
                <c:pt idx="13">
                  <c:v>6.0677276057710086E-13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0F-40C1-AC0D-F50DD072C1C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-366</c:v>
                </c:pt>
                <c:pt idx="1">
                  <c:v>-320</c:v>
                </c:pt>
                <c:pt idx="2">
                  <c:v>-319</c:v>
                </c:pt>
                <c:pt idx="3">
                  <c:v>-319</c:v>
                </c:pt>
                <c:pt idx="4">
                  <c:v>-315</c:v>
                </c:pt>
                <c:pt idx="5">
                  <c:v>-303</c:v>
                </c:pt>
                <c:pt idx="6">
                  <c:v>-202.5</c:v>
                </c:pt>
                <c:pt idx="7">
                  <c:v>-201</c:v>
                </c:pt>
                <c:pt idx="8">
                  <c:v>-200.5</c:v>
                </c:pt>
                <c:pt idx="9">
                  <c:v>-119.5</c:v>
                </c:pt>
                <c:pt idx="10">
                  <c:v>-74</c:v>
                </c:pt>
                <c:pt idx="11">
                  <c:v>-73.5</c:v>
                </c:pt>
                <c:pt idx="12">
                  <c:v>-4</c:v>
                </c:pt>
                <c:pt idx="13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0F-40C1-AC0D-F50DD072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778992"/>
        <c:axId val="1"/>
      </c:scatterChart>
      <c:valAx>
        <c:axId val="552778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778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D32F1B-5D3D-C5EF-3B7A-D098C3C8D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92</v>
      </c>
      <c r="F1" s="50" t="s">
        <v>48</v>
      </c>
      <c r="G1" s="32">
        <v>22.2349</v>
      </c>
      <c r="H1" s="33">
        <v>49.583199999999998</v>
      </c>
      <c r="I1" s="34">
        <v>34239.86</v>
      </c>
      <c r="J1" s="34">
        <v>31.395700000000001</v>
      </c>
      <c r="K1" s="31" t="s">
        <v>49</v>
      </c>
      <c r="L1" s="33"/>
      <c r="M1" s="34">
        <v>44255.357441707565</v>
      </c>
      <c r="N1" s="34">
        <v>31.395933327620128</v>
      </c>
      <c r="O1" s="37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34239.86</v>
      </c>
      <c r="D4" s="28">
        <v>31.395700000000001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44255.357441707565</v>
      </c>
      <c r="D7" s="29" t="s">
        <v>50</v>
      </c>
    </row>
    <row r="8" spans="1:15" x14ac:dyDescent="0.2">
      <c r="A8" t="s">
        <v>3</v>
      </c>
      <c r="C8" s="54">
        <v>31.395933327620128</v>
      </c>
      <c r="D8" s="29" t="s">
        <v>50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6.0677276057710086E-13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6.8898669042792153E-15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44255.357441707565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31.395933327620135</v>
      </c>
      <c r="E16" s="14" t="s">
        <v>30</v>
      </c>
      <c r="F16" s="36">
        <f ca="1">NOW()+15018.5+$C$5/24</f>
        <v>60357.661561342589</v>
      </c>
    </row>
    <row r="17" spans="1:21" ht="13.5" thickBot="1" x14ac:dyDescent="0.25">
      <c r="A17" s="14" t="s">
        <v>27</v>
      </c>
      <c r="B17" s="10"/>
      <c r="C17" s="10">
        <f>COUNT(C21:C2191)</f>
        <v>14</v>
      </c>
      <c r="E17" s="14" t="s">
        <v>35</v>
      </c>
      <c r="F17" s="15">
        <f ca="1">ROUND(2*(F16-$C$7)/$C$8,0)/2+F15</f>
        <v>514</v>
      </c>
    </row>
    <row r="18" spans="1:21" ht="14.25" thickTop="1" thickBot="1" x14ac:dyDescent="0.25">
      <c r="A18" s="16" t="s">
        <v>5</v>
      </c>
      <c r="B18" s="10"/>
      <c r="C18" s="19">
        <f ca="1">+C15</f>
        <v>44255.357441707565</v>
      </c>
      <c r="D18" s="20">
        <f ca="1">+C16</f>
        <v>31.395933327620135</v>
      </c>
      <c r="E18" s="14" t="s">
        <v>36</v>
      </c>
      <c r="F18" s="23">
        <f ca="1">ROUND(2*(F16-$C$15)/$C$16,0)/2+F15</f>
        <v>514</v>
      </c>
    </row>
    <row r="19" spans="1:21" ht="13.5" thickTop="1" x14ac:dyDescent="0.2">
      <c r="E19" s="14" t="s">
        <v>31</v>
      </c>
      <c r="F19" s="18">
        <f ca="1">+$C$15+$C$16*F18-15018.5-$C$5/24</f>
        <v>45374.76300543765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51" t="s">
        <v>56</v>
      </c>
      <c r="B21" s="53" t="s">
        <v>90</v>
      </c>
      <c r="C21" s="52">
        <v>32764.3</v>
      </c>
      <c r="D21" s="8" t="s">
        <v>13</v>
      </c>
      <c r="E21">
        <f t="shared" ref="E21:E34" si="0">+(C21-C$7)/C$8</f>
        <v>-366.00464530858432</v>
      </c>
      <c r="F21">
        <f t="shared" ref="F21:F34" si="1">ROUND(2*E21,0)/2</f>
        <v>-366</v>
      </c>
      <c r="G21">
        <f t="shared" ref="G21:G34" si="2">+C21-(C$7+F21*C$8)</f>
        <v>-0.14584379859661567</v>
      </c>
      <c r="H21">
        <f t="shared" ref="H21:H26" si="3">+G21</f>
        <v>-0.14584379859661567</v>
      </c>
      <c r="O21">
        <f t="shared" ref="O21:O34" ca="1" si="4">+C$11+C$12*$F21</f>
        <v>-1.914918526389092E-12</v>
      </c>
      <c r="Q21" s="2">
        <f t="shared" ref="Q21:Q34" si="5">+C21-15018.5</f>
        <v>17745.8</v>
      </c>
    </row>
    <row r="22" spans="1:21" x14ac:dyDescent="0.2">
      <c r="A22" s="51" t="s">
        <v>56</v>
      </c>
      <c r="B22" s="53" t="s">
        <v>90</v>
      </c>
      <c r="C22" s="52">
        <v>34208.400000000001</v>
      </c>
      <c r="D22" s="8" t="s">
        <v>13</v>
      </c>
      <c r="E22">
        <f t="shared" si="0"/>
        <v>-320.00824236904896</v>
      </c>
      <c r="F22">
        <f t="shared" si="1"/>
        <v>-320</v>
      </c>
      <c r="G22">
        <f t="shared" si="2"/>
        <v>-0.25877686912281206</v>
      </c>
      <c r="H22">
        <f t="shared" si="3"/>
        <v>-0.25877686912281206</v>
      </c>
      <c r="O22">
        <f t="shared" ca="1" si="4"/>
        <v>-1.5979846487922479E-12</v>
      </c>
      <c r="Q22" s="2">
        <f t="shared" si="5"/>
        <v>19189.900000000001</v>
      </c>
    </row>
    <row r="23" spans="1:21" x14ac:dyDescent="0.2">
      <c r="A23" s="51" t="s">
        <v>56</v>
      </c>
      <c r="B23" s="53" t="s">
        <v>90</v>
      </c>
      <c r="C23" s="52">
        <v>34239.599999999999</v>
      </c>
      <c r="D23" s="8" t="s">
        <v>13</v>
      </c>
      <c r="E23">
        <f t="shared" si="0"/>
        <v>-319.0144830921891</v>
      </c>
      <c r="F23">
        <f t="shared" si="1"/>
        <v>-319</v>
      </c>
      <c r="G23">
        <f t="shared" si="2"/>
        <v>-0.45471019674732815</v>
      </c>
      <c r="H23">
        <f t="shared" si="3"/>
        <v>-0.45471019674732815</v>
      </c>
      <c r="O23">
        <f t="shared" ca="1" si="4"/>
        <v>-1.5910947818879687E-12</v>
      </c>
      <c r="Q23" s="2">
        <f t="shared" si="5"/>
        <v>19221.099999999999</v>
      </c>
    </row>
    <row r="24" spans="1:21" x14ac:dyDescent="0.2">
      <c r="A24" t="s">
        <v>50</v>
      </c>
      <c r="C24" s="8">
        <v>34239.86</v>
      </c>
      <c r="D24" s="8" t="s">
        <v>13</v>
      </c>
      <c r="E24">
        <f t="shared" si="0"/>
        <v>-319.00620176488184</v>
      </c>
      <c r="F24">
        <f t="shared" si="1"/>
        <v>-319</v>
      </c>
      <c r="G24">
        <f t="shared" si="2"/>
        <v>-0.19471019674529089</v>
      </c>
      <c r="H24">
        <f t="shared" si="3"/>
        <v>-0.19471019674529089</v>
      </c>
      <c r="O24">
        <f t="shared" ca="1" si="4"/>
        <v>-1.5910947818879687E-12</v>
      </c>
      <c r="Q24" s="2">
        <f t="shared" si="5"/>
        <v>19221.36</v>
      </c>
    </row>
    <row r="25" spans="1:21" x14ac:dyDescent="0.2">
      <c r="A25" s="51" t="s">
        <v>56</v>
      </c>
      <c r="B25" s="53" t="s">
        <v>90</v>
      </c>
      <c r="C25" s="52">
        <v>34365.699999999997</v>
      </c>
      <c r="D25" s="8" t="s">
        <v>13</v>
      </c>
      <c r="E25">
        <f t="shared" si="0"/>
        <v>-314.99803934821335</v>
      </c>
      <c r="F25">
        <f t="shared" si="1"/>
        <v>-315</v>
      </c>
      <c r="G25">
        <f t="shared" si="2"/>
        <v>6.155649277206976E-2</v>
      </c>
      <c r="H25">
        <f t="shared" si="3"/>
        <v>6.155649277206976E-2</v>
      </c>
      <c r="O25">
        <f t="shared" ca="1" si="4"/>
        <v>-1.5635353142708517E-12</v>
      </c>
      <c r="Q25" s="2">
        <f t="shared" si="5"/>
        <v>19347.199999999997</v>
      </c>
    </row>
    <row r="26" spans="1:21" x14ac:dyDescent="0.2">
      <c r="A26" s="51" t="s">
        <v>56</v>
      </c>
      <c r="B26" s="53" t="s">
        <v>90</v>
      </c>
      <c r="C26" s="52">
        <v>34742.300000000003</v>
      </c>
      <c r="D26" s="8" t="s">
        <v>13</v>
      </c>
      <c r="E26">
        <f t="shared" si="0"/>
        <v>-303.00285525637122</v>
      </c>
      <c r="F26">
        <f t="shared" si="1"/>
        <v>-303</v>
      </c>
      <c r="G26">
        <f t="shared" si="2"/>
        <v>-8.9643438666826114E-2</v>
      </c>
      <c r="H26">
        <f t="shared" si="3"/>
        <v>-8.9643438666826114E-2</v>
      </c>
      <c r="O26">
        <f t="shared" ca="1" si="4"/>
        <v>-1.4808569114195014E-12</v>
      </c>
      <c r="Q26" s="2">
        <f t="shared" si="5"/>
        <v>19723.800000000003</v>
      </c>
    </row>
    <row r="27" spans="1:21" x14ac:dyDescent="0.2">
      <c r="A27" s="51" t="s">
        <v>73</v>
      </c>
      <c r="B27" s="53" t="s">
        <v>91</v>
      </c>
      <c r="C27" s="52">
        <v>37898.400000000001</v>
      </c>
      <c r="D27" s="8" t="s">
        <v>13</v>
      </c>
      <c r="E27">
        <f t="shared" si="0"/>
        <v>-202.4770971250318</v>
      </c>
      <c r="F27">
        <f t="shared" si="1"/>
        <v>-202.5</v>
      </c>
      <c r="G27">
        <f t="shared" si="2"/>
        <v>0.71905713550950168</v>
      </c>
      <c r="I27">
        <f t="shared" ref="I27:I34" si="6">+G27</f>
        <v>0.71905713550950168</v>
      </c>
      <c r="O27">
        <f t="shared" ca="1" si="4"/>
        <v>-7.8842528753944023E-13</v>
      </c>
      <c r="Q27" s="2">
        <f t="shared" si="5"/>
        <v>22879.9</v>
      </c>
    </row>
    <row r="28" spans="1:21" x14ac:dyDescent="0.2">
      <c r="A28" s="51" t="s">
        <v>73</v>
      </c>
      <c r="B28" s="53" t="s">
        <v>90</v>
      </c>
      <c r="C28" s="52">
        <v>37944.5</v>
      </c>
      <c r="D28" s="8" t="s">
        <v>13</v>
      </c>
      <c r="E28">
        <f t="shared" si="0"/>
        <v>-201.00875409095349</v>
      </c>
      <c r="F28">
        <f t="shared" si="1"/>
        <v>-201</v>
      </c>
      <c r="G28">
        <f t="shared" si="2"/>
        <v>-0.27484285592072411</v>
      </c>
      <c r="I28">
        <f t="shared" si="6"/>
        <v>-0.27484285592072411</v>
      </c>
      <c r="O28">
        <f t="shared" ca="1" si="4"/>
        <v>-7.7809048718302135E-13</v>
      </c>
      <c r="Q28" s="2">
        <f t="shared" si="5"/>
        <v>22926</v>
      </c>
    </row>
    <row r="29" spans="1:21" x14ac:dyDescent="0.2">
      <c r="A29" s="51" t="s">
        <v>73</v>
      </c>
      <c r="B29" s="53" t="s">
        <v>91</v>
      </c>
      <c r="C29" s="52">
        <v>37961.300000000003</v>
      </c>
      <c r="D29" s="8" t="s">
        <v>13</v>
      </c>
      <c r="E29">
        <f t="shared" si="0"/>
        <v>-200.47365294187495</v>
      </c>
      <c r="F29">
        <f t="shared" si="1"/>
        <v>-200.5</v>
      </c>
      <c r="G29">
        <f t="shared" si="2"/>
        <v>0.8271904802750214</v>
      </c>
      <c r="I29">
        <f t="shared" si="6"/>
        <v>0.8271904802750214</v>
      </c>
      <c r="O29">
        <f t="shared" ca="1" si="4"/>
        <v>-7.7464555373088172E-13</v>
      </c>
      <c r="Q29" s="2">
        <f t="shared" si="5"/>
        <v>22942.800000000003</v>
      </c>
    </row>
    <row r="30" spans="1:21" x14ac:dyDescent="0.2">
      <c r="A30" s="51" t="s">
        <v>73</v>
      </c>
      <c r="B30" s="53" t="s">
        <v>91</v>
      </c>
      <c r="C30" s="52">
        <v>40504.300000000003</v>
      </c>
      <c r="D30" s="8" t="s">
        <v>13</v>
      </c>
      <c r="E30">
        <f t="shared" si="0"/>
        <v>-119.47590162601162</v>
      </c>
      <c r="F30">
        <f t="shared" si="1"/>
        <v>-119.5</v>
      </c>
      <c r="G30">
        <f t="shared" si="2"/>
        <v>0.75659094304137398</v>
      </c>
      <c r="I30">
        <f t="shared" si="6"/>
        <v>0.75659094304137398</v>
      </c>
      <c r="O30">
        <f t="shared" ca="1" si="4"/>
        <v>-2.1656633448426535E-13</v>
      </c>
      <c r="Q30" s="2">
        <f t="shared" si="5"/>
        <v>25485.800000000003</v>
      </c>
    </row>
    <row r="31" spans="1:21" x14ac:dyDescent="0.2">
      <c r="A31" s="51" t="s">
        <v>73</v>
      </c>
      <c r="B31" s="53" t="s">
        <v>90</v>
      </c>
      <c r="C31" s="52">
        <v>41931.5</v>
      </c>
      <c r="D31" s="8" t="s">
        <v>13</v>
      </c>
      <c r="E31">
        <f t="shared" si="0"/>
        <v>-74.01778496144226</v>
      </c>
      <c r="F31">
        <f t="shared" si="1"/>
        <v>-74</v>
      </c>
      <c r="G31">
        <f t="shared" si="2"/>
        <v>-0.55837546367547475</v>
      </c>
      <c r="I31">
        <f t="shared" si="6"/>
        <v>-0.55837546367547475</v>
      </c>
      <c r="O31">
        <f t="shared" ca="1" si="4"/>
        <v>9.6922609660438953E-14</v>
      </c>
      <c r="Q31" s="2">
        <f t="shared" si="5"/>
        <v>26913</v>
      </c>
    </row>
    <row r="32" spans="1:21" x14ac:dyDescent="0.2">
      <c r="A32" s="51" t="s">
        <v>73</v>
      </c>
      <c r="B32" s="53" t="s">
        <v>91</v>
      </c>
      <c r="C32" s="52">
        <v>41948.4</v>
      </c>
      <c r="D32" s="8" t="s">
        <v>13</v>
      </c>
      <c r="E32">
        <f t="shared" si="0"/>
        <v>-73.47949868647639</v>
      </c>
      <c r="F32">
        <f t="shared" si="1"/>
        <v>-73.5</v>
      </c>
      <c r="G32">
        <f t="shared" si="2"/>
        <v>0.64365787251881557</v>
      </c>
      <c r="I32">
        <f t="shared" si="6"/>
        <v>0.64365787251881557</v>
      </c>
      <c r="O32">
        <f t="shared" ca="1" si="4"/>
        <v>1.0036754311257858E-13</v>
      </c>
      <c r="Q32" s="2">
        <f t="shared" si="5"/>
        <v>26929.9</v>
      </c>
    </row>
    <row r="33" spans="1:17" x14ac:dyDescent="0.2">
      <c r="A33" s="51" t="s">
        <v>73</v>
      </c>
      <c r="B33" s="53" t="s">
        <v>90</v>
      </c>
      <c r="C33" s="52">
        <v>44129.4</v>
      </c>
      <c r="D33" s="8" t="s">
        <v>13</v>
      </c>
      <c r="E33">
        <f t="shared" si="0"/>
        <v>-4.0119030828987787</v>
      </c>
      <c r="F33">
        <f t="shared" si="1"/>
        <v>-4</v>
      </c>
      <c r="G33">
        <f t="shared" si="2"/>
        <v>-0.37370839708455605</v>
      </c>
      <c r="I33">
        <f t="shared" si="6"/>
        <v>-0.37370839708455605</v>
      </c>
      <c r="O33">
        <f t="shared" ca="1" si="4"/>
        <v>5.7921329295998395E-13</v>
      </c>
      <c r="Q33" s="2">
        <f t="shared" si="5"/>
        <v>29110.9</v>
      </c>
    </row>
    <row r="34" spans="1:17" x14ac:dyDescent="0.2">
      <c r="A34" s="51" t="s">
        <v>73</v>
      </c>
      <c r="B34" s="53" t="s">
        <v>90</v>
      </c>
      <c r="C34" s="52">
        <v>44254.7</v>
      </c>
      <c r="D34" s="8" t="s">
        <v>13</v>
      </c>
      <c r="E34">
        <f t="shared" si="0"/>
        <v>-2.0940346022129352E-2</v>
      </c>
      <c r="F34">
        <f t="shared" si="1"/>
        <v>0</v>
      </c>
      <c r="G34">
        <f t="shared" si="2"/>
        <v>-0.65744170756806852</v>
      </c>
      <c r="I34">
        <f t="shared" si="6"/>
        <v>-0.65744170756806852</v>
      </c>
      <c r="O34">
        <f t="shared" ca="1" si="4"/>
        <v>6.0677276057710086E-13</v>
      </c>
      <c r="Q34" s="2">
        <f t="shared" si="5"/>
        <v>29236.199999999997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4"/>
  <sheetViews>
    <sheetView workbookViewId="0">
      <selection activeCell="A11" sqref="A11:C23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3" si="0">P11</f>
        <v> RIA 8.231 </v>
      </c>
      <c r="B11" s="3" t="str">
        <f t="shared" ref="B11:B23" si="1">IF(H11=INT(H11),"I","II")</f>
        <v>I</v>
      </c>
      <c r="C11" s="8">
        <f t="shared" ref="C11:C23" si="2">1*G11</f>
        <v>32764.3</v>
      </c>
      <c r="D11" s="10" t="str">
        <f t="shared" ref="D11:D23" si="3">VLOOKUP(F11,I$1:J$5,2,FALSE)</f>
        <v>vis</v>
      </c>
      <c r="E11" s="46">
        <f>VLOOKUP(C11,Active!C$21:E$973,3,FALSE)</f>
        <v>-366.00464530858432</v>
      </c>
      <c r="F11" s="3" t="s">
        <v>47</v>
      </c>
      <c r="G11" s="10" t="str">
        <f t="shared" ref="G11:G23" si="4">MID(I11,3,LEN(I11)-3)</f>
        <v>32764.3</v>
      </c>
      <c r="H11" s="8">
        <f t="shared" ref="H11:H23" si="5">1*K11</f>
        <v>-47</v>
      </c>
      <c r="I11" s="47" t="s">
        <v>51</v>
      </c>
      <c r="J11" s="48" t="s">
        <v>52</v>
      </c>
      <c r="K11" s="47">
        <v>-47</v>
      </c>
      <c r="L11" s="47" t="s">
        <v>53</v>
      </c>
      <c r="M11" s="48" t="s">
        <v>54</v>
      </c>
      <c r="N11" s="48"/>
      <c r="O11" s="49" t="s">
        <v>55</v>
      </c>
      <c r="P11" s="49" t="s">
        <v>56</v>
      </c>
    </row>
    <row r="12" spans="1:16" ht="12.75" customHeight="1" thickBot="1" x14ac:dyDescent="0.25">
      <c r="A12" s="8" t="str">
        <f t="shared" si="0"/>
        <v> RIA 8.231 </v>
      </c>
      <c r="B12" s="3" t="str">
        <f t="shared" si="1"/>
        <v>I</v>
      </c>
      <c r="C12" s="8">
        <f t="shared" si="2"/>
        <v>34208.400000000001</v>
      </c>
      <c r="D12" s="10" t="str">
        <f t="shared" si="3"/>
        <v>vis</v>
      </c>
      <c r="E12" s="46">
        <f>VLOOKUP(C12,Active!C$21:E$973,3,FALSE)</f>
        <v>-320.00824236904896</v>
      </c>
      <c r="F12" s="3" t="s">
        <v>47</v>
      </c>
      <c r="G12" s="10" t="str">
        <f t="shared" si="4"/>
        <v>34208.4</v>
      </c>
      <c r="H12" s="8">
        <f t="shared" si="5"/>
        <v>-1</v>
      </c>
      <c r="I12" s="47" t="s">
        <v>57</v>
      </c>
      <c r="J12" s="48" t="s">
        <v>58</v>
      </c>
      <c r="K12" s="47">
        <v>-1</v>
      </c>
      <c r="L12" s="47" t="s">
        <v>59</v>
      </c>
      <c r="M12" s="48" t="s">
        <v>54</v>
      </c>
      <c r="N12" s="48"/>
      <c r="O12" s="49" t="s">
        <v>55</v>
      </c>
      <c r="P12" s="49" t="s">
        <v>56</v>
      </c>
    </row>
    <row r="13" spans="1:16" ht="12.75" customHeight="1" thickBot="1" x14ac:dyDescent="0.25">
      <c r="A13" s="8" t="str">
        <f t="shared" si="0"/>
        <v> RIA 8.231 </v>
      </c>
      <c r="B13" s="3" t="str">
        <f t="shared" si="1"/>
        <v>I</v>
      </c>
      <c r="C13" s="8">
        <f t="shared" si="2"/>
        <v>34239.599999999999</v>
      </c>
      <c r="D13" s="10" t="str">
        <f t="shared" si="3"/>
        <v>vis</v>
      </c>
      <c r="E13" s="46">
        <f>VLOOKUP(C13,Active!C$21:E$973,3,FALSE)</f>
        <v>-319.0144830921891</v>
      </c>
      <c r="F13" s="3" t="s">
        <v>47</v>
      </c>
      <c r="G13" s="10" t="str">
        <f t="shared" si="4"/>
        <v>34239.6</v>
      </c>
      <c r="H13" s="8">
        <f t="shared" si="5"/>
        <v>0</v>
      </c>
      <c r="I13" s="47" t="s">
        <v>60</v>
      </c>
      <c r="J13" s="48" t="s">
        <v>61</v>
      </c>
      <c r="K13" s="47">
        <v>0</v>
      </c>
      <c r="L13" s="47" t="s">
        <v>62</v>
      </c>
      <c r="M13" s="48" t="s">
        <v>54</v>
      </c>
      <c r="N13" s="48"/>
      <c r="O13" s="49" t="s">
        <v>55</v>
      </c>
      <c r="P13" s="49" t="s">
        <v>56</v>
      </c>
    </row>
    <row r="14" spans="1:16" ht="12.75" customHeight="1" thickBot="1" x14ac:dyDescent="0.25">
      <c r="A14" s="8" t="str">
        <f t="shared" si="0"/>
        <v> RIA 8.231 </v>
      </c>
      <c r="B14" s="3" t="str">
        <f t="shared" si="1"/>
        <v>I</v>
      </c>
      <c r="C14" s="8">
        <f t="shared" si="2"/>
        <v>34365.699999999997</v>
      </c>
      <c r="D14" s="10" t="str">
        <f t="shared" si="3"/>
        <v>vis</v>
      </c>
      <c r="E14" s="46">
        <f>VLOOKUP(C14,Active!C$21:E$973,3,FALSE)</f>
        <v>-314.99803934821335</v>
      </c>
      <c r="F14" s="3" t="s">
        <v>47</v>
      </c>
      <c r="G14" s="10" t="str">
        <f t="shared" si="4"/>
        <v>34365.7</v>
      </c>
      <c r="H14" s="8">
        <f t="shared" si="5"/>
        <v>4</v>
      </c>
      <c r="I14" s="47" t="s">
        <v>63</v>
      </c>
      <c r="J14" s="48" t="s">
        <v>64</v>
      </c>
      <c r="K14" s="47">
        <v>4</v>
      </c>
      <c r="L14" s="47" t="s">
        <v>65</v>
      </c>
      <c r="M14" s="48" t="s">
        <v>54</v>
      </c>
      <c r="N14" s="48"/>
      <c r="O14" s="49" t="s">
        <v>55</v>
      </c>
      <c r="P14" s="49" t="s">
        <v>56</v>
      </c>
    </row>
    <row r="15" spans="1:16" ht="12.75" customHeight="1" thickBot="1" x14ac:dyDescent="0.25">
      <c r="A15" s="8" t="str">
        <f t="shared" si="0"/>
        <v> RIA 8.231 </v>
      </c>
      <c r="B15" s="3" t="str">
        <f t="shared" si="1"/>
        <v>I</v>
      </c>
      <c r="C15" s="8">
        <f t="shared" si="2"/>
        <v>34742.300000000003</v>
      </c>
      <c r="D15" s="10" t="str">
        <f t="shared" si="3"/>
        <v>vis</v>
      </c>
      <c r="E15" s="46">
        <f>VLOOKUP(C15,Active!C$21:E$973,3,FALSE)</f>
        <v>-303.00285525637122</v>
      </c>
      <c r="F15" s="3" t="s">
        <v>47</v>
      </c>
      <c r="G15" s="10" t="str">
        <f t="shared" si="4"/>
        <v>34742.3</v>
      </c>
      <c r="H15" s="8">
        <f t="shared" si="5"/>
        <v>16</v>
      </c>
      <c r="I15" s="47" t="s">
        <v>66</v>
      </c>
      <c r="J15" s="48" t="s">
        <v>67</v>
      </c>
      <c r="K15" s="47">
        <v>16</v>
      </c>
      <c r="L15" s="47" t="s">
        <v>68</v>
      </c>
      <c r="M15" s="48" t="s">
        <v>54</v>
      </c>
      <c r="N15" s="48"/>
      <c r="O15" s="49" t="s">
        <v>55</v>
      </c>
      <c r="P15" s="49" t="s">
        <v>56</v>
      </c>
    </row>
    <row r="16" spans="1:16" ht="12.75" customHeight="1" thickBot="1" x14ac:dyDescent="0.25">
      <c r="A16" s="8" t="str">
        <f t="shared" si="0"/>
        <v> VSS 10.238 </v>
      </c>
      <c r="B16" s="3" t="str">
        <f t="shared" si="1"/>
        <v>II</v>
      </c>
      <c r="C16" s="8">
        <f t="shared" si="2"/>
        <v>37898.400000000001</v>
      </c>
      <c r="D16" s="10" t="str">
        <f t="shared" si="3"/>
        <v>vis</v>
      </c>
      <c r="E16" s="46">
        <f>VLOOKUP(C16,Active!C$21:E$973,3,FALSE)</f>
        <v>-202.4770971250318</v>
      </c>
      <c r="F16" s="3" t="s">
        <v>47</v>
      </c>
      <c r="G16" s="10" t="str">
        <f t="shared" si="4"/>
        <v>37898.4</v>
      </c>
      <c r="H16" s="8">
        <f t="shared" si="5"/>
        <v>116.5</v>
      </c>
      <c r="I16" s="47" t="s">
        <v>69</v>
      </c>
      <c r="J16" s="48" t="s">
        <v>70</v>
      </c>
      <c r="K16" s="47">
        <v>116.5</v>
      </c>
      <c r="L16" s="47" t="s">
        <v>71</v>
      </c>
      <c r="M16" s="48" t="s">
        <v>54</v>
      </c>
      <c r="N16" s="48"/>
      <c r="O16" s="49" t="s">
        <v>72</v>
      </c>
      <c r="P16" s="49" t="s">
        <v>73</v>
      </c>
    </row>
    <row r="17" spans="1:16" ht="12.75" customHeight="1" thickBot="1" x14ac:dyDescent="0.25">
      <c r="A17" s="8" t="str">
        <f t="shared" si="0"/>
        <v> VSS 10.238 </v>
      </c>
      <c r="B17" s="3" t="str">
        <f t="shared" si="1"/>
        <v>I</v>
      </c>
      <c r="C17" s="8">
        <f t="shared" si="2"/>
        <v>37944.5</v>
      </c>
      <c r="D17" s="10" t="str">
        <f t="shared" si="3"/>
        <v>vis</v>
      </c>
      <c r="E17" s="46">
        <f>VLOOKUP(C17,Active!C$21:E$973,3,FALSE)</f>
        <v>-201.00875409095349</v>
      </c>
      <c r="F17" s="3" t="s">
        <v>47</v>
      </c>
      <c r="G17" s="10" t="str">
        <f t="shared" si="4"/>
        <v>37944.5</v>
      </c>
      <c r="H17" s="8">
        <f t="shared" si="5"/>
        <v>118</v>
      </c>
      <c r="I17" s="47" t="s">
        <v>74</v>
      </c>
      <c r="J17" s="48" t="s">
        <v>75</v>
      </c>
      <c r="K17" s="47">
        <v>118</v>
      </c>
      <c r="L17" s="47" t="s">
        <v>59</v>
      </c>
      <c r="M17" s="48" t="s">
        <v>54</v>
      </c>
      <c r="N17" s="48"/>
      <c r="O17" s="49" t="s">
        <v>72</v>
      </c>
      <c r="P17" s="49" t="s">
        <v>73</v>
      </c>
    </row>
    <row r="18" spans="1:16" ht="12.75" customHeight="1" thickBot="1" x14ac:dyDescent="0.25">
      <c r="A18" s="8" t="str">
        <f t="shared" si="0"/>
        <v> VSS 10.238 </v>
      </c>
      <c r="B18" s="3" t="str">
        <f t="shared" si="1"/>
        <v>II</v>
      </c>
      <c r="C18" s="8">
        <f t="shared" si="2"/>
        <v>37961.300000000003</v>
      </c>
      <c r="D18" s="10" t="str">
        <f t="shared" si="3"/>
        <v>vis</v>
      </c>
      <c r="E18" s="46">
        <f>VLOOKUP(C18,Active!C$21:E$973,3,FALSE)</f>
        <v>-200.47365294187495</v>
      </c>
      <c r="F18" s="3" t="s">
        <v>47</v>
      </c>
      <c r="G18" s="10" t="str">
        <f t="shared" si="4"/>
        <v>37961.3</v>
      </c>
      <c r="H18" s="8">
        <f t="shared" si="5"/>
        <v>118.5</v>
      </c>
      <c r="I18" s="47" t="s">
        <v>76</v>
      </c>
      <c r="J18" s="48" t="s">
        <v>77</v>
      </c>
      <c r="K18" s="47">
        <v>118.5</v>
      </c>
      <c r="L18" s="47" t="s">
        <v>78</v>
      </c>
      <c r="M18" s="48" t="s">
        <v>54</v>
      </c>
      <c r="N18" s="48"/>
      <c r="O18" s="49" t="s">
        <v>72</v>
      </c>
      <c r="P18" s="49" t="s">
        <v>73</v>
      </c>
    </row>
    <row r="19" spans="1:16" ht="12.75" customHeight="1" thickBot="1" x14ac:dyDescent="0.25">
      <c r="A19" s="8" t="str">
        <f t="shared" si="0"/>
        <v> VSS 10.238 </v>
      </c>
      <c r="B19" s="3" t="str">
        <f t="shared" si="1"/>
        <v>II</v>
      </c>
      <c r="C19" s="8">
        <f t="shared" si="2"/>
        <v>40504.300000000003</v>
      </c>
      <c r="D19" s="10" t="str">
        <f t="shared" si="3"/>
        <v>vis</v>
      </c>
      <c r="E19" s="46">
        <f>VLOOKUP(C19,Active!C$21:E$973,3,FALSE)</f>
        <v>-119.47590162601162</v>
      </c>
      <c r="F19" s="3" t="s">
        <v>47</v>
      </c>
      <c r="G19" s="10" t="str">
        <f t="shared" si="4"/>
        <v>40504.3</v>
      </c>
      <c r="H19" s="8">
        <f t="shared" si="5"/>
        <v>199.5</v>
      </c>
      <c r="I19" s="47" t="s">
        <v>79</v>
      </c>
      <c r="J19" s="48" t="s">
        <v>80</v>
      </c>
      <c r="K19" s="47">
        <v>199.5</v>
      </c>
      <c r="L19" s="47" t="s">
        <v>78</v>
      </c>
      <c r="M19" s="48" t="s">
        <v>54</v>
      </c>
      <c r="N19" s="48"/>
      <c r="O19" s="49" t="s">
        <v>72</v>
      </c>
      <c r="P19" s="49" t="s">
        <v>73</v>
      </c>
    </row>
    <row r="20" spans="1:16" ht="12.75" customHeight="1" thickBot="1" x14ac:dyDescent="0.25">
      <c r="A20" s="8" t="str">
        <f t="shared" si="0"/>
        <v> VSS 10.238 </v>
      </c>
      <c r="B20" s="3" t="str">
        <f t="shared" si="1"/>
        <v>I</v>
      </c>
      <c r="C20" s="8">
        <f t="shared" si="2"/>
        <v>41931.5</v>
      </c>
      <c r="D20" s="10" t="str">
        <f t="shared" si="3"/>
        <v>vis</v>
      </c>
      <c r="E20" s="46">
        <f>VLOOKUP(C20,Active!C$21:E$973,3,FALSE)</f>
        <v>-74.01778496144226</v>
      </c>
      <c r="F20" s="3" t="s">
        <v>47</v>
      </c>
      <c r="G20" s="10" t="str">
        <f t="shared" si="4"/>
        <v>41931.5</v>
      </c>
      <c r="H20" s="8">
        <f t="shared" si="5"/>
        <v>245</v>
      </c>
      <c r="I20" s="47" t="s">
        <v>81</v>
      </c>
      <c r="J20" s="48" t="s">
        <v>82</v>
      </c>
      <c r="K20" s="47">
        <v>245</v>
      </c>
      <c r="L20" s="47" t="s">
        <v>62</v>
      </c>
      <c r="M20" s="48" t="s">
        <v>54</v>
      </c>
      <c r="N20" s="48"/>
      <c r="O20" s="49" t="s">
        <v>72</v>
      </c>
      <c r="P20" s="49" t="s">
        <v>73</v>
      </c>
    </row>
    <row r="21" spans="1:16" ht="12.75" customHeight="1" thickBot="1" x14ac:dyDescent="0.25">
      <c r="A21" s="8" t="str">
        <f t="shared" si="0"/>
        <v> VSS 10.238 </v>
      </c>
      <c r="B21" s="3" t="str">
        <f t="shared" si="1"/>
        <v>II</v>
      </c>
      <c r="C21" s="8">
        <f t="shared" si="2"/>
        <v>41948.4</v>
      </c>
      <c r="D21" s="10" t="str">
        <f t="shared" si="3"/>
        <v>vis</v>
      </c>
      <c r="E21" s="46">
        <f>VLOOKUP(C21,Active!C$21:E$973,3,FALSE)</f>
        <v>-73.47949868647639</v>
      </c>
      <c r="F21" s="3" t="s">
        <v>47</v>
      </c>
      <c r="G21" s="10" t="str">
        <f t="shared" si="4"/>
        <v>41948.4</v>
      </c>
      <c r="H21" s="8">
        <f t="shared" si="5"/>
        <v>245.5</v>
      </c>
      <c r="I21" s="47" t="s">
        <v>83</v>
      </c>
      <c r="J21" s="48" t="s">
        <v>84</v>
      </c>
      <c r="K21" s="47">
        <v>245.5</v>
      </c>
      <c r="L21" s="47" t="s">
        <v>71</v>
      </c>
      <c r="M21" s="48" t="s">
        <v>54</v>
      </c>
      <c r="N21" s="48"/>
      <c r="O21" s="49" t="s">
        <v>72</v>
      </c>
      <c r="P21" s="49" t="s">
        <v>73</v>
      </c>
    </row>
    <row r="22" spans="1:16" ht="12.75" customHeight="1" thickBot="1" x14ac:dyDescent="0.25">
      <c r="A22" s="8" t="str">
        <f t="shared" si="0"/>
        <v> VSS 10.238 </v>
      </c>
      <c r="B22" s="3" t="str">
        <f t="shared" si="1"/>
        <v>I</v>
      </c>
      <c r="C22" s="8">
        <f t="shared" si="2"/>
        <v>44129.4</v>
      </c>
      <c r="D22" s="10" t="str">
        <f t="shared" si="3"/>
        <v>vis</v>
      </c>
      <c r="E22" s="46">
        <f>VLOOKUP(C22,Active!C$21:E$973,3,FALSE)</f>
        <v>-4.0119030828987787</v>
      </c>
      <c r="F22" s="3" t="s">
        <v>47</v>
      </c>
      <c r="G22" s="10" t="str">
        <f t="shared" si="4"/>
        <v>44129.4</v>
      </c>
      <c r="H22" s="8">
        <f t="shared" si="5"/>
        <v>315</v>
      </c>
      <c r="I22" s="47" t="s">
        <v>85</v>
      </c>
      <c r="J22" s="48" t="s">
        <v>86</v>
      </c>
      <c r="K22" s="47">
        <v>315</v>
      </c>
      <c r="L22" s="47" t="s">
        <v>59</v>
      </c>
      <c r="M22" s="48" t="s">
        <v>54</v>
      </c>
      <c r="N22" s="48"/>
      <c r="O22" s="49" t="s">
        <v>72</v>
      </c>
      <c r="P22" s="49" t="s">
        <v>73</v>
      </c>
    </row>
    <row r="23" spans="1:16" ht="12.75" customHeight="1" thickBot="1" x14ac:dyDescent="0.25">
      <c r="A23" s="8" t="str">
        <f t="shared" si="0"/>
        <v> VSS 10.238 </v>
      </c>
      <c r="B23" s="3" t="str">
        <f t="shared" si="1"/>
        <v>I</v>
      </c>
      <c r="C23" s="8">
        <f t="shared" si="2"/>
        <v>44254.7</v>
      </c>
      <c r="D23" s="10" t="str">
        <f t="shared" si="3"/>
        <v>vis</v>
      </c>
      <c r="E23" s="46">
        <f>VLOOKUP(C23,Active!C$21:E$973,3,FALSE)</f>
        <v>-2.0940346022129352E-2</v>
      </c>
      <c r="F23" s="3" t="s">
        <v>47</v>
      </c>
      <c r="G23" s="10" t="str">
        <f t="shared" si="4"/>
        <v>44254.7</v>
      </c>
      <c r="H23" s="8">
        <f t="shared" si="5"/>
        <v>319</v>
      </c>
      <c r="I23" s="47" t="s">
        <v>87</v>
      </c>
      <c r="J23" s="48" t="s">
        <v>88</v>
      </c>
      <c r="K23" s="47">
        <v>319</v>
      </c>
      <c r="L23" s="47" t="s">
        <v>89</v>
      </c>
      <c r="M23" s="48" t="s">
        <v>54</v>
      </c>
      <c r="N23" s="48"/>
      <c r="O23" s="49" t="s">
        <v>72</v>
      </c>
      <c r="P23" s="49" t="s">
        <v>73</v>
      </c>
    </row>
    <row r="24" spans="1:16" x14ac:dyDescent="0.2">
      <c r="B24" s="3"/>
      <c r="E24" s="46"/>
      <c r="F24" s="3"/>
    </row>
    <row r="25" spans="1:16" x14ac:dyDescent="0.2">
      <c r="B25" s="3"/>
      <c r="E25" s="46"/>
      <c r="F25" s="3"/>
    </row>
    <row r="26" spans="1:16" x14ac:dyDescent="0.2">
      <c r="B26" s="3"/>
      <c r="E26" s="46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2024-02-17T02:52:38Z</dcterms:modified>
</cp:coreProperties>
</file>