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6F4234F-DF9E-40E3-96F9-D00F440203F3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1" i="2" l="1"/>
  <c r="F21" i="2" s="1"/>
  <c r="G21" i="2" s="1"/>
  <c r="H21" i="2" s="1"/>
  <c r="Q21" i="2"/>
  <c r="C21" i="2"/>
  <c r="A21" i="2"/>
  <c r="E21" i="1"/>
  <c r="F21" i="1" s="1"/>
  <c r="G21" i="1" s="1"/>
  <c r="H21" i="1" s="1"/>
  <c r="Q21" i="1"/>
  <c r="C21" i="1"/>
  <c r="C17" i="1" s="1"/>
  <c r="A21" i="1"/>
  <c r="G22" i="2"/>
  <c r="E23" i="2"/>
  <c r="F23" i="2" s="1"/>
  <c r="G23" i="2" s="1"/>
  <c r="I23" i="2" s="1"/>
  <c r="E24" i="2"/>
  <c r="F24" i="2"/>
  <c r="G24" i="2" s="1"/>
  <c r="I24" i="2" s="1"/>
  <c r="E25" i="2"/>
  <c r="F25" i="2" s="1"/>
  <c r="G25" i="2" s="1"/>
  <c r="I25" i="2" s="1"/>
  <c r="E26" i="2"/>
  <c r="F26" i="2"/>
  <c r="G26" i="2" s="1"/>
  <c r="I26" i="2" s="1"/>
  <c r="E27" i="2"/>
  <c r="F27" i="2" s="1"/>
  <c r="G27" i="2" s="1"/>
  <c r="I27" i="2" s="1"/>
  <c r="F11" i="2"/>
  <c r="F11" i="1"/>
  <c r="I22" i="2"/>
  <c r="G11" i="2"/>
  <c r="E14" i="2"/>
  <c r="E15" i="2" s="1"/>
  <c r="C17" i="2"/>
  <c r="Q23" i="2"/>
  <c r="Q24" i="2"/>
  <c r="Q25" i="2"/>
  <c r="Q26" i="2"/>
  <c r="Q27" i="2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G11" i="1"/>
  <c r="Q23" i="1"/>
  <c r="Q24" i="1"/>
  <c r="Q25" i="1"/>
  <c r="Q26" i="1"/>
  <c r="Q27" i="1"/>
  <c r="H20" i="1"/>
  <c r="E14" i="1"/>
  <c r="C11" i="2"/>
  <c r="C12" i="1"/>
  <c r="C12" i="2"/>
  <c r="O21" i="2" l="1"/>
  <c r="S21" i="2" s="1"/>
  <c r="C16" i="2"/>
  <c r="D18" i="2" s="1"/>
  <c r="C16" i="1"/>
  <c r="D18" i="1" s="1"/>
  <c r="O23" i="2"/>
  <c r="S23" i="2" s="1"/>
  <c r="O25" i="2"/>
  <c r="S25" i="2" s="1"/>
  <c r="O27" i="2"/>
  <c r="S27" i="2" s="1"/>
  <c r="O26" i="2"/>
  <c r="S26" i="2" s="1"/>
  <c r="C15" i="2"/>
  <c r="O24" i="2"/>
  <c r="S24" i="2" s="1"/>
  <c r="O22" i="2"/>
  <c r="S22" i="2" s="1"/>
  <c r="E15" i="1"/>
  <c r="C11" i="1"/>
  <c r="O21" i="1" l="1"/>
  <c r="S21" i="1" s="1"/>
  <c r="O25" i="1"/>
  <c r="S25" i="1" s="1"/>
  <c r="O27" i="1"/>
  <c r="S27" i="1" s="1"/>
  <c r="O23" i="1"/>
  <c r="S23" i="1" s="1"/>
  <c r="O22" i="1"/>
  <c r="S22" i="1" s="1"/>
  <c r="C15" i="1"/>
  <c r="O26" i="1"/>
  <c r="S26" i="1" s="1"/>
  <c r="O24" i="1"/>
  <c r="S24" i="1" s="1"/>
  <c r="S19" i="2"/>
  <c r="C18" i="2"/>
  <c r="E16" i="2"/>
  <c r="E17" i="2" s="1"/>
  <c r="S19" i="1" l="1"/>
  <c r="C18" i="1"/>
  <c r="E16" i="1"/>
  <c r="E17" i="1" s="1"/>
</calcChain>
</file>

<file path=xl/sharedStrings.xml><?xml version="1.0" encoding="utf-8"?>
<sst xmlns="http://schemas.openxmlformats.org/spreadsheetml/2006/main" count="126" uniqueCount="53">
  <si>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</si>
  <si>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</si>
  <si>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</si>
  <si>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</si>
  <si>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</si>
  <si>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</si>
  <si>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</si>
  <si>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</si>
  <si>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</si>
  <si>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</si>
  <si>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</si>
  <si>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</si>
  <si>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</si>
  <si>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</si>
  <si>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</si>
  <si>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</si>
  <si>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</si>
  <si>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</si>
  <si>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</si>
  <si>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</si>
  <si>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</si>
  <si>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</si>
  <si>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</si>
  <si>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</si>
  <si>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</si>
  <si>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</si>
  <si>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</si>
  <si>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</si>
  <si>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</si>
  <si>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</si>
  <si>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</si>
  <si>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</si>
  <si>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</si>
  <si>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</si>
  <si>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</si>
  <si>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</si>
  <si>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</si>
  <si>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</si>
  <si>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</si>
  <si>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</si>
  <si>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</si>
  <si>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G4936-0907</t>
  </si>
  <si>
    <t>EB/EW</t>
  </si>
  <si>
    <t>ToMcat</t>
  </si>
  <si>
    <t>Leo</t>
  </si>
  <si>
    <t>IBVS 5992</t>
  </si>
  <si>
    <t>II</t>
  </si>
  <si>
    <t>IBVS 6029</t>
  </si>
  <si>
    <t>IBVS 6063</t>
  </si>
  <si>
    <t>VSX</t>
  </si>
  <si>
    <t>V0346 Leo / GSC 4936-0907</t>
  </si>
  <si>
    <t>Active1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</si>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</sst>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 applyAlignment="1"/>
    <xf numFmtId="0" fontId="4" fillId="0" borderId="0" xfId="0" applyFont="1" applyAlignment="1"/>
    <xf numFmtId="22" fontId="8" fillId="0" borderId="0" xfId="0" applyNumberFormat="1" applyFont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Alignment="1"/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40-40A8-9C07-B12AF16573C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2">
                  <c:v>-2.3771799998939969E-2</c:v>
                </c:pt>
                <c:pt idx="3">
                  <c:v>1.8329000005905982E-2</c:v>
                </c:pt>
                <c:pt idx="4">
                  <c:v>2.2668000005069189E-2</c:v>
                </c:pt>
                <c:pt idx="5">
                  <c:v>2.3018000007141382E-2</c:v>
                </c:pt>
                <c:pt idx="6">
                  <c:v>2.535800000623567E-2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40-40A8-9C07-B12AF16573C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40-40A8-9C07-B12AF16573C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40-40A8-9C07-B12AF16573C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40-40A8-9C07-B12AF16573C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40-40A8-9C07-B12AF16573C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40-40A8-9C07-B12AF16573C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-6.113784895961932E-3</c:v>
                </c:pt>
                <c:pt idx="1">
                  <c:v>-6.1087360979043097E-3</c:v>
                </c:pt>
                <c:pt idx="2">
                  <c:v>6.7858941412624486E-3</c:v>
                </c:pt>
                <c:pt idx="3">
                  <c:v>9.6940018224527576E-3</c:v>
                </c:pt>
                <c:pt idx="4">
                  <c:v>2.0447941685187765E-2</c:v>
                </c:pt>
                <c:pt idx="5">
                  <c:v>2.0447941685187765E-2</c:v>
                </c:pt>
                <c:pt idx="6">
                  <c:v>2.0447941685187765E-2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40-40A8-9C07-B12AF16573C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1277.5</c:v>
                </c:pt>
                <c:pt idx="3">
                  <c:v>1565.5</c:v>
                </c:pt>
                <c:pt idx="4">
                  <c:v>2630.5</c:v>
                </c:pt>
                <c:pt idx="5">
                  <c:v>2630.5</c:v>
                </c:pt>
                <c:pt idx="6">
                  <c:v>2630.5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40-40A8-9C07-B12AF1657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66968"/>
        <c:axId val="1"/>
      </c:scatterChart>
      <c:valAx>
        <c:axId val="75006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6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5864661654135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Leo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8-453E-B51D-BF9642C0952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">
                  <c:v>-5.7171799999196082E-2</c:v>
                </c:pt>
                <c:pt idx="2">
                  <c:v>-5.4419799998868257E-2</c:v>
                </c:pt>
                <c:pt idx="3">
                  <c:v>-5.416779999359278E-2</c:v>
                </c:pt>
                <c:pt idx="4">
                  <c:v>-5.7755800000450108E-2</c:v>
                </c:pt>
                <c:pt idx="5">
                  <c:v>-5.7405799998377915E-2</c:v>
                </c:pt>
                <c:pt idx="6">
                  <c:v>-5.5065799999283627E-2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8-453E-B51D-BF9642C0952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28-453E-B51D-BF9642C0952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28-453E-B51D-BF9642C0952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28-453E-B51D-BF9642C0952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28-453E-B51D-BF9642C0952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1.2E-4</c:v>
                  </c:pt>
                  <c:pt idx="5">
                    <c:v>1.1E-4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28-453E-B51D-BF9642C0952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-3.209521914984912E-2</c:v>
                </c:pt>
                <c:pt idx="1">
                  <c:v>-3.2102541888037572E-2</c:v>
                </c:pt>
                <c:pt idx="2">
                  <c:v>-4.5342052532756125E-2</c:v>
                </c:pt>
                <c:pt idx="3">
                  <c:v>-4.8329729713643937E-2</c:v>
                </c:pt>
                <c:pt idx="4">
                  <c:v>-5.9372418901827331E-2</c:v>
                </c:pt>
                <c:pt idx="5">
                  <c:v>-5.9372418901827331E-2</c:v>
                </c:pt>
                <c:pt idx="6">
                  <c:v>-5.9372418901827331E-2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28-453E-B51D-BF9642C09522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904.5</c:v>
                </c:pt>
                <c:pt idx="3">
                  <c:v>1108.5</c:v>
                </c:pt>
                <c:pt idx="4">
                  <c:v>1862.5</c:v>
                </c:pt>
                <c:pt idx="5">
                  <c:v>1862.5</c:v>
                </c:pt>
                <c:pt idx="6">
                  <c:v>1862.5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28-453E-B51D-BF9642C0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302280"/>
        <c:axId val="1"/>
      </c:scatterChart>
      <c:valAx>
        <c:axId val="848302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302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774436090225562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19050</xdr:rowOff>
    </xdr:from>
    <xdr:to>
      <xdr:col>16</xdr:col>
      <xdr:colOff>238125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E4955C-10D8-B384-18AD-972282BC7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704A718-0140-CD58-6D96-F73E4FF28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50</v>
      </c>
    </row>
    <row r="2" spans="1:7" ht="12.95" customHeight="1" x14ac:dyDescent="0.2">
      <c r="A2" t="s">
        <v>24</v>
      </c>
      <c r="B2" t="s">
        <v>42</v>
      </c>
      <c r="C2" s="3"/>
      <c r="D2" s="3" t="s">
        <v>44</v>
      </c>
      <c r="E2" t="s">
        <v>41</v>
      </c>
      <c r="F2" t="s">
        <v>41</v>
      </c>
      <c r="G2" s="36" t="s">
        <v>51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49">
        <v>55602.739403299995</v>
      </c>
      <c r="D7" s="30" t="s">
        <v>49</v>
      </c>
    </row>
    <row r="8" spans="1:7" ht="12.95" customHeight="1" x14ac:dyDescent="0.2">
      <c r="A8" t="s">
        <v>3</v>
      </c>
      <c r="C8" s="49">
        <v>0.27719339999999998</v>
      </c>
      <c r="D8" s="30" t="s">
        <v>49</v>
      </c>
    </row>
    <row r="9" spans="1:7" ht="12.95" customHeight="1" x14ac:dyDescent="0.2">
      <c r="A9" s="38" t="s">
        <v>30</v>
      </c>
      <c r="C9" s="39">
        <v>-9.5</v>
      </c>
      <c r="D9" t="s">
        <v>31</v>
      </c>
    </row>
    <row r="10" spans="1:7" ht="12.95" customHeight="1" thickBot="1" x14ac:dyDescent="0.25">
      <c r="C10" s="4" t="s">
        <v>20</v>
      </c>
      <c r="D10" s="4" t="s">
        <v>21</v>
      </c>
    </row>
    <row r="11" spans="1:7" ht="12.95" customHeight="1" x14ac:dyDescent="0.2">
      <c r="A11" t="s">
        <v>15</v>
      </c>
      <c r="C11" s="24">
        <f ca="1">INTERCEPT(INDIRECT($G$11):G991,INDIRECT($F$11):F991)</f>
        <v>-6.113784895961932E-3</v>
      </c>
      <c r="D11" s="3"/>
      <c r="F11" s="40" t="str">
        <f>"F"&amp;E19</f>
        <v>F21</v>
      </c>
      <c r="G11" s="24" t="str">
        <f>"G"&amp;E19</f>
        <v>G21</v>
      </c>
    </row>
    <row r="12" spans="1:7" ht="12.95" customHeight="1" x14ac:dyDescent="0.2">
      <c r="A12" t="s">
        <v>16</v>
      </c>
      <c r="C12" s="24">
        <f ca="1">SLOPE(INDIRECT($G$11):G991,INDIRECT($F$11):F991)</f>
        <v>1.0097596115244134E-5</v>
      </c>
      <c r="D12" s="3"/>
    </row>
    <row r="13" spans="1:7" ht="12.95" customHeight="1" x14ac:dyDescent="0.2">
      <c r="A13" t="s">
        <v>19</v>
      </c>
      <c r="C13" s="3" t="s">
        <v>13</v>
      </c>
      <c r="D13" s="41" t="s">
        <v>37</v>
      </c>
      <c r="E13" s="39">
        <v>1</v>
      </c>
    </row>
    <row r="14" spans="1:7" ht="12.95" customHeight="1" x14ac:dyDescent="0.2">
      <c r="D14" s="41" t="s">
        <v>32</v>
      </c>
      <c r="E14" s="42">
        <f ca="1">NOW()+15018.5+$C$9/24</f>
        <v>60357.828413194446</v>
      </c>
    </row>
    <row r="15" spans="1:7" ht="12.95" customHeight="1" x14ac:dyDescent="0.2">
      <c r="A15" s="43" t="s">
        <v>17</v>
      </c>
      <c r="C15" s="13">
        <f ca="1">(C7+C11)+(C8+C12)*INT(MAX(F21:F3532))</f>
        <v>56331.778488192882</v>
      </c>
      <c r="D15" s="41" t="s">
        <v>38</v>
      </c>
      <c r="E15" s="42">
        <f ca="1">ROUND(2*(E14-$C$7)/$C$8,0)/2+E13</f>
        <v>17155.5</v>
      </c>
    </row>
    <row r="16" spans="1:7" ht="12.95" customHeight="1" x14ac:dyDescent="0.2">
      <c r="A16" s="5" t="s">
        <v>4</v>
      </c>
      <c r="C16" s="17">
        <f ca="1">+C8+C12</f>
        <v>0.27720349759611523</v>
      </c>
      <c r="D16" s="41" t="s">
        <v>39</v>
      </c>
      <c r="E16" s="24">
        <f ca="1">ROUND(2*(E14-$C$15)/$C$16,0)/2+E13</f>
        <v>14525</v>
      </c>
    </row>
    <row r="17" spans="1:19" ht="12.95" customHeight="1" thickBot="1" x14ac:dyDescent="0.25">
      <c r="A17" s="41" t="s">
        <v>29</v>
      </c>
      <c r="C17">
        <f>COUNT(C21:C2190)</f>
        <v>7</v>
      </c>
      <c r="D17" s="41" t="s">
        <v>33</v>
      </c>
      <c r="E17" s="44">
        <f ca="1">+$C$15+$C$16*E16-15018.5-$C$9/24</f>
        <v>45340.055124109793</v>
      </c>
    </row>
    <row r="18" spans="1:19" ht="12.95" customHeight="1" thickTop="1" thickBot="1" x14ac:dyDescent="0.25">
      <c r="A18" s="5" t="s">
        <v>5</v>
      </c>
      <c r="C18" s="45">
        <f ca="1">+C15</f>
        <v>56331.778488192882</v>
      </c>
      <c r="D18" s="46">
        <f ca="1">+C16</f>
        <v>0.27720349759611523</v>
      </c>
      <c r="E18" s="21" t="s">
        <v>34</v>
      </c>
    </row>
    <row r="19" spans="1:19" ht="12.95" customHeight="1" thickTop="1" x14ac:dyDescent="0.2">
      <c r="A19" s="47" t="s">
        <v>35</v>
      </c>
      <c r="E19" s="26">
        <v>21</v>
      </c>
      <c r="S19">
        <f ca="1">SQRT(SUM(S21:S26)/(COUNT(S21:S26)-1))</f>
        <v>1.4795707120541761E-2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$D$7</f>
        <v>VSX</v>
      </c>
      <c r="B21" s="3"/>
      <c r="C21" s="8">
        <f>$C$7</f>
        <v>55602.739403299995</v>
      </c>
      <c r="D21" s="35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-6.113784895961932E-3</v>
      </c>
      <c r="Q21" s="2">
        <f>+C21-15018.5</f>
        <v>40584.239403299995</v>
      </c>
      <c r="S21">
        <f ca="1">+(O21-H21)^2</f>
        <v>3.7378365754092249E-5</v>
      </c>
    </row>
    <row r="22" spans="1:19" ht="12.95" customHeight="1" x14ac:dyDescent="0.2">
      <c r="A22" t="s">
        <v>45</v>
      </c>
      <c r="B22" s="3" t="s">
        <v>46</v>
      </c>
      <c r="C22" s="8">
        <v>55602.877999999997</v>
      </c>
      <c r="D22" s="8">
        <v>3.0000000000000001E-3</v>
      </c>
      <c r="E22">
        <v>0.50000000000859013</v>
      </c>
      <c r="F22">
        <v>0.5</v>
      </c>
      <c r="G22">
        <v>0</v>
      </c>
      <c r="H22">
        <v>0</v>
      </c>
      <c r="O22">
        <f ca="1">+C$11+C$12*$F22</f>
        <v>-6.1087360979043097E-3</v>
      </c>
      <c r="Q22" s="2">
        <v>40584.377999999997</v>
      </c>
      <c r="S22">
        <f ca="1">+(O22-H22)^2</f>
        <v>3.7316656713839172E-5</v>
      </c>
    </row>
    <row r="23" spans="1:19" ht="12.95" customHeight="1" x14ac:dyDescent="0.2">
      <c r="A23" s="31" t="s">
        <v>47</v>
      </c>
      <c r="B23" s="32" t="s">
        <v>46</v>
      </c>
      <c r="C23" s="31">
        <v>55956.830199999997</v>
      </c>
      <c r="D23" s="31">
        <v>2.9999999999999997E-4</v>
      </c>
      <c r="E23">
        <f>+(C23-C$7)/C$8</f>
        <v>1277.4142411038724</v>
      </c>
      <c r="F23">
        <f>ROUND(2*E23,0)/2</f>
        <v>1277.5</v>
      </c>
      <c r="G23">
        <f>+C23-(C$7+F23*C$8)</f>
        <v>-2.3771799998939969E-2</v>
      </c>
      <c r="I23">
        <f>+G23</f>
        <v>-2.3771799998939969E-2</v>
      </c>
      <c r="O23">
        <f ca="1">+C$11+C$12*$F23</f>
        <v>6.7858941412624486E-3</v>
      </c>
      <c r="Q23" s="2">
        <f>+C23-15018.5</f>
        <v>40938.330199999997</v>
      </c>
      <c r="S23">
        <f ca="1">+(O23-I23)^2</f>
        <v>9.3377267116616109E-4</v>
      </c>
    </row>
    <row r="24" spans="1:19" ht="12.95" customHeight="1" x14ac:dyDescent="0.2">
      <c r="A24" s="31" t="s">
        <v>47</v>
      </c>
      <c r="B24" s="32" t="s">
        <v>46</v>
      </c>
      <c r="C24" s="31">
        <v>56036.703999999998</v>
      </c>
      <c r="D24" s="31">
        <v>5.9999999999999995E-4</v>
      </c>
      <c r="E24">
        <f>+(C24-C$7)/C$8</f>
        <v>1565.5661235080033</v>
      </c>
      <c r="F24">
        <f>ROUND(2*E24,0)/2</f>
        <v>1565.5</v>
      </c>
      <c r="G24">
        <f>+C24-(C$7+F24*C$8)</f>
        <v>1.8329000005905982E-2</v>
      </c>
      <c r="I24">
        <f>+G24</f>
        <v>1.8329000005905982E-2</v>
      </c>
      <c r="O24">
        <f ca="1">+C$11+C$12*$F24</f>
        <v>9.6940018224527576E-3</v>
      </c>
      <c r="Q24" s="2">
        <f>+C24-15018.5</f>
        <v>41018.203999999998</v>
      </c>
      <c r="S24">
        <f ca="1">+(O24-I24)^2</f>
        <v>7.4563193628240487E-5</v>
      </c>
    </row>
    <row r="25" spans="1:19" ht="12.95" customHeight="1" x14ac:dyDescent="0.2">
      <c r="A25" s="48" t="s">
        <v>48</v>
      </c>
      <c r="B25" s="32" t="s">
        <v>46</v>
      </c>
      <c r="C25" s="35">
        <v>56331.919309999997</v>
      </c>
      <c r="D25" s="35">
        <v>1.2E-4</v>
      </c>
      <c r="E25">
        <f>+(C25-C$7)/C$8</f>
        <v>2630.5817768388533</v>
      </c>
      <c r="F25">
        <f>ROUND(2*E25,0)/2</f>
        <v>2630.5</v>
      </c>
      <c r="G25">
        <f>+C25-(C$7+F25*C$8)</f>
        <v>2.2668000005069189E-2</v>
      </c>
      <c r="I25">
        <f>+G25</f>
        <v>2.2668000005069189E-2</v>
      </c>
      <c r="O25">
        <f ca="1">+C$11+C$12*$F25</f>
        <v>2.0447941685187765E-2</v>
      </c>
      <c r="Q25" s="2">
        <f>+C25-15018.5</f>
        <v>41313.419309999997</v>
      </c>
      <c r="S25">
        <f ca="1">+(O25-I25)^2</f>
        <v>4.9286589436747309E-6</v>
      </c>
    </row>
    <row r="26" spans="1:19" ht="12.95" customHeight="1" x14ac:dyDescent="0.2">
      <c r="A26" s="48" t="s">
        <v>48</v>
      </c>
      <c r="B26" s="32" t="s">
        <v>46</v>
      </c>
      <c r="C26" s="35">
        <v>56331.91966</v>
      </c>
      <c r="D26" s="35">
        <v>1.1E-4</v>
      </c>
      <c r="E26">
        <f>+(C26-C$7)/C$8</f>
        <v>2630.5830394951863</v>
      </c>
      <c r="F26">
        <f>ROUND(2*E26,0)/2</f>
        <v>2630.5</v>
      </c>
      <c r="G26">
        <f>+C26-(C$7+F26*C$8)</f>
        <v>2.3018000007141382E-2</v>
      </c>
      <c r="I26">
        <f>+G26</f>
        <v>2.3018000007141382E-2</v>
      </c>
      <c r="O26">
        <f ca="1">+C$11+C$12*$F26</f>
        <v>2.0447941685187765E-2</v>
      </c>
      <c r="Q26" s="2">
        <f>+C26-15018.5</f>
        <v>41313.41966</v>
      </c>
      <c r="S26">
        <f ca="1">+(O26-I26)^2</f>
        <v>6.6051997782430397E-6</v>
      </c>
    </row>
    <row r="27" spans="1:19" ht="12.95" customHeight="1" x14ac:dyDescent="0.2">
      <c r="A27" s="48" t="s">
        <v>48</v>
      </c>
      <c r="B27" s="34" t="s">
        <v>46</v>
      </c>
      <c r="C27" s="35">
        <v>56331.921999999999</v>
      </c>
      <c r="D27" s="35">
        <v>5.9999999999999995E-4</v>
      </c>
      <c r="E27">
        <f>+(C27-C$7)/C$8</f>
        <v>2630.5914812546189</v>
      </c>
      <c r="F27">
        <f>ROUND(2*E27,0)/2</f>
        <v>2630.5</v>
      </c>
      <c r="G27">
        <f>+C27-(C$7+F27*C$8)</f>
        <v>2.535800000623567E-2</v>
      </c>
      <c r="I27">
        <f>+G27</f>
        <v>2.535800000623567E-2</v>
      </c>
      <c r="O27">
        <f ca="1">+C$11+C$12*$F27</f>
        <v>2.0447941685187765E-2</v>
      </c>
      <c r="Q27" s="2">
        <f>+C27-15018.5</f>
        <v>41313.421999999999</v>
      </c>
      <c r="S27">
        <f ca="1">+(O27-I27)^2</f>
        <v>2.4108672716091776E-5</v>
      </c>
    </row>
    <row r="28" spans="1:19" ht="12.95" customHeight="1" x14ac:dyDescent="0.2">
      <c r="B28" s="3"/>
      <c r="C28" s="8"/>
      <c r="D28" s="8"/>
      <c r="Q28" s="2"/>
    </row>
    <row r="29" spans="1:19" ht="12.95" customHeight="1" x14ac:dyDescent="0.2">
      <c r="B29" s="3"/>
      <c r="C29" s="8"/>
      <c r="D29" s="8"/>
      <c r="Q29" s="2"/>
    </row>
    <row r="30" spans="1:19" ht="12.95" customHeight="1" x14ac:dyDescent="0.2">
      <c r="B30" s="3"/>
      <c r="C30" s="8"/>
      <c r="D30" s="8"/>
      <c r="Q30" s="2"/>
    </row>
    <row r="31" spans="1:19" ht="12.95" customHeight="1" x14ac:dyDescent="0.2">
      <c r="B31" s="3"/>
      <c r="C31" s="8"/>
      <c r="D31" s="8"/>
      <c r="Q31" s="2"/>
    </row>
    <row r="32" spans="1:19" ht="12.95" customHeight="1" x14ac:dyDescent="0.2">
      <c r="B32" s="3"/>
      <c r="C32" s="8"/>
      <c r="D32" s="8"/>
      <c r="Q32" s="2"/>
    </row>
    <row r="33" spans="2:4" ht="12.95" customHeight="1" x14ac:dyDescent="0.2">
      <c r="B33" s="3"/>
      <c r="C33" s="8"/>
      <c r="D33" s="8"/>
    </row>
    <row r="34" spans="2:4" ht="12.95" customHeight="1" x14ac:dyDescent="0.2">
      <c r="B34" s="3"/>
      <c r="C34" s="8"/>
      <c r="D34" s="8"/>
    </row>
    <row r="35" spans="2:4" ht="12.95" customHeight="1" x14ac:dyDescent="0.2">
      <c r="B35" s="3"/>
      <c r="C35" s="8"/>
      <c r="D35" s="8"/>
    </row>
    <row r="36" spans="2:4" ht="12.95" customHeight="1" x14ac:dyDescent="0.2">
      <c r="B36" s="3"/>
      <c r="C36" s="8"/>
      <c r="D36" s="8"/>
    </row>
    <row r="37" spans="2:4" ht="12.95" customHeight="1" x14ac:dyDescent="0.2">
      <c r="B37" s="3"/>
      <c r="C37" s="8"/>
      <c r="D37" s="8"/>
    </row>
    <row r="38" spans="2:4" ht="12.95" customHeight="1" x14ac:dyDescent="0.2">
      <c r="B38" s="3"/>
      <c r="C38" s="8"/>
      <c r="D38" s="8"/>
    </row>
    <row r="39" spans="2:4" ht="12.95" customHeight="1" x14ac:dyDescent="0.2">
      <c r="B39" s="3"/>
      <c r="C39" s="8"/>
      <c r="D39" s="8"/>
    </row>
    <row r="40" spans="2:4" ht="12.95" customHeight="1" x14ac:dyDescent="0.2">
      <c r="B40" s="3"/>
      <c r="C40" s="8"/>
      <c r="D40" s="8"/>
    </row>
    <row r="41" spans="2:4" ht="12.95" customHeight="1" x14ac:dyDescent="0.2">
      <c r="B41" s="3"/>
      <c r="C41" s="8"/>
      <c r="D41" s="8"/>
    </row>
    <row r="42" spans="2:4" ht="12.95" customHeight="1" x14ac:dyDescent="0.2">
      <c r="B42" s="3"/>
      <c r="C42" s="8"/>
      <c r="D42" s="8"/>
    </row>
    <row r="43" spans="2:4" ht="12.95" customHeight="1" x14ac:dyDescent="0.2">
      <c r="B43" s="3"/>
      <c r="C43" s="8"/>
      <c r="D43" s="8"/>
    </row>
    <row r="44" spans="2:4" ht="12.95" customHeight="1" x14ac:dyDescent="0.2">
      <c r="C44" s="8"/>
      <c r="D44" s="8"/>
    </row>
    <row r="45" spans="2:4" ht="12.95" customHeight="1" x14ac:dyDescent="0.2">
      <c r="C45" s="8"/>
      <c r="D45" s="8"/>
    </row>
    <row r="46" spans="2:4" ht="12.95" customHeight="1" x14ac:dyDescent="0.2">
      <c r="C46" s="8"/>
      <c r="D46" s="8"/>
    </row>
    <row r="47" spans="2:4" ht="12.95" customHeight="1" x14ac:dyDescent="0.2">
      <c r="C47" s="8"/>
      <c r="D47" s="8"/>
    </row>
    <row r="48" spans="2:4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T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39"/>
  <sheetViews>
    <sheetView workbookViewId="0">
      <selection activeCell="E30" sqref="E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t="s">
        <v>42</v>
      </c>
      <c r="C2" s="3"/>
      <c r="D2" s="3" t="s">
        <v>44</v>
      </c>
      <c r="E2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55602.739403299995</v>
      </c>
      <c r="D7" s="30" t="s">
        <v>43</v>
      </c>
    </row>
    <row r="8" spans="1:7" x14ac:dyDescent="0.2">
      <c r="A8" t="s">
        <v>3</v>
      </c>
      <c r="C8" s="8">
        <v>0.39153700000000002</v>
      </c>
      <c r="D8" s="30" t="s">
        <v>43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-3.209521914984912E-2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-1.4645476376901054E-5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60357.828413194446</v>
      </c>
    </row>
    <row r="15" spans="1:7" x14ac:dyDescent="0.2">
      <c r="A15" s="12" t="s">
        <v>17</v>
      </c>
      <c r="B15" s="10"/>
      <c r="C15" s="13">
        <f ca="1">(C7+C11)+(C8+C12)*INT(MAX(F21:F3532))</f>
        <v>56331.721932203836</v>
      </c>
      <c r="D15" s="14" t="s">
        <v>38</v>
      </c>
      <c r="E15" s="15">
        <f ca="1">ROUND(2*(E14-$C$7)/$C$8,0)/2+E13</f>
        <v>12145.5</v>
      </c>
    </row>
    <row r="16" spans="1:7" x14ac:dyDescent="0.2">
      <c r="A16" s="16" t="s">
        <v>4</v>
      </c>
      <c r="B16" s="10"/>
      <c r="C16" s="17">
        <f ca="1">+C8+C12</f>
        <v>0.39152235452362311</v>
      </c>
      <c r="D16" s="14" t="s">
        <v>39</v>
      </c>
      <c r="E16" s="24">
        <f ca="1">ROUND(2*(E14-$C$15)/$C$16,0)/2+E13</f>
        <v>10284</v>
      </c>
    </row>
    <row r="17" spans="1:19" ht="13.5" thickBot="1" x14ac:dyDescent="0.25">
      <c r="A17" s="14" t="s">
        <v>29</v>
      </c>
      <c r="B17" s="10"/>
      <c r="C17" s="10">
        <f>COUNT(C21:C2190)</f>
        <v>7</v>
      </c>
      <c r="D17" s="14" t="s">
        <v>33</v>
      </c>
      <c r="E17" s="18">
        <f ca="1">+$C$15+$C$16*E16-15018.5-$C$9/24</f>
        <v>45340.033659458109</v>
      </c>
    </row>
    <row r="18" spans="1:19" ht="14.25" thickTop="1" thickBot="1" x14ac:dyDescent="0.25">
      <c r="A18" s="16" t="s">
        <v>5</v>
      </c>
      <c r="B18" s="10"/>
      <c r="C18" s="19">
        <f ca="1">+C15</f>
        <v>56331.721932203836</v>
      </c>
      <c r="D18" s="20">
        <f ca="1">+C16</f>
        <v>0.39152235452362311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SQRT(SUM(S21:S26)/(COUNT(S21:S26)-1))</f>
        <v>1.8876124627457566E-2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$D$7</f>
        <v>ToMcat</v>
      </c>
      <c r="B21" s="3"/>
      <c r="C21" s="8">
        <f>$C$7</f>
        <v>55602.739403299995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-3.209521914984912E-2</v>
      </c>
      <c r="Q21" s="2">
        <f>+C21-15018.5</f>
        <v>40584.239403299995</v>
      </c>
      <c r="S21">
        <f ca="1">+(O21-H21)^2</f>
        <v>1.0301030922768416E-3</v>
      </c>
    </row>
    <row r="22" spans="1:19" x14ac:dyDescent="0.2">
      <c r="A22" t="s">
        <v>45</v>
      </c>
      <c r="B22" s="3" t="s">
        <v>46</v>
      </c>
      <c r="C22" s="8">
        <v>55602.877999999997</v>
      </c>
      <c r="D22" s="8">
        <v>3.0000000000000001E-3</v>
      </c>
      <c r="E22">
        <v>0.50000000000859013</v>
      </c>
      <c r="F22">
        <v>0.5</v>
      </c>
      <c r="G22">
        <f>+C22-(C$7+F22*C$8)</f>
        <v>-5.7171799999196082E-2</v>
      </c>
      <c r="I22">
        <f>+G22</f>
        <v>-5.7171799999196082E-2</v>
      </c>
      <c r="O22">
        <f ca="1">+C$11+C$12*$F22</f>
        <v>-3.2102541888037572E-2</v>
      </c>
      <c r="Q22" s="2">
        <v>40584.377999999997</v>
      </c>
      <c r="S22">
        <f ca="1">+(O22-I22)^2</f>
        <v>6.284677022438867E-4</v>
      </c>
    </row>
    <row r="23" spans="1:19" x14ac:dyDescent="0.2">
      <c r="A23" s="31" t="s">
        <v>47</v>
      </c>
      <c r="B23" s="32" t="s">
        <v>46</v>
      </c>
      <c r="C23" s="31">
        <v>55956.830199999997</v>
      </c>
      <c r="D23" s="31">
        <v>2.9999999999999997E-4</v>
      </c>
      <c r="E23">
        <f>+(C23-C$7)/C$8</f>
        <v>904.36100981516961</v>
      </c>
      <c r="F23">
        <f>ROUND(2*E23,0)/2</f>
        <v>904.5</v>
      </c>
      <c r="G23">
        <f>+C23-(C$7+F23*C$8)</f>
        <v>-5.4419799998868257E-2</v>
      </c>
      <c r="I23">
        <f>+G23</f>
        <v>-5.4419799998868257E-2</v>
      </c>
      <c r="O23">
        <f ca="1">+C$11+C$12*$F23</f>
        <v>-4.5342052532756125E-2</v>
      </c>
      <c r="Q23" s="2">
        <f>+C23-15018.5</f>
        <v>40938.330199999997</v>
      </c>
      <c r="S23">
        <f ca="1">+(O23-I23)^2</f>
        <v>8.2405499058505236E-5</v>
      </c>
    </row>
    <row r="24" spans="1:19" x14ac:dyDescent="0.2">
      <c r="A24" s="31" t="s">
        <v>47</v>
      </c>
      <c r="B24" s="32" t="s">
        <v>46</v>
      </c>
      <c r="C24" s="31">
        <v>56036.703999999998</v>
      </c>
      <c r="D24" s="31">
        <v>5.9999999999999995E-4</v>
      </c>
      <c r="E24">
        <f>+(C24-C$7)/C$8</f>
        <v>1108.3616534325065</v>
      </c>
      <c r="F24">
        <f>ROUND(2*E24,0)/2</f>
        <v>1108.5</v>
      </c>
      <c r="G24">
        <f>+C24-(C$7+F24*C$8)</f>
        <v>-5.416779999359278E-2</v>
      </c>
      <c r="I24">
        <f>+G24</f>
        <v>-5.416779999359278E-2</v>
      </c>
      <c r="O24">
        <f ca="1">+C$11+C$12*$F24</f>
        <v>-4.8329729713643937E-2</v>
      </c>
      <c r="Q24" s="2">
        <f>+C24-15018.5</f>
        <v>41018.203999999998</v>
      </c>
      <c r="S24">
        <f ca="1">+(O24-I24)^2</f>
        <v>3.4083064593621961E-5</v>
      </c>
    </row>
    <row r="25" spans="1:19" x14ac:dyDescent="0.2">
      <c r="A25" s="33" t="s">
        <v>48</v>
      </c>
      <c r="B25" s="32" t="s">
        <v>46</v>
      </c>
      <c r="C25" s="35">
        <v>56331.919309999997</v>
      </c>
      <c r="D25" s="35">
        <v>1.2E-4</v>
      </c>
      <c r="E25">
        <f>+(C25-C$7)/C$8</f>
        <v>1862.3524895476107</v>
      </c>
      <c r="F25">
        <f>ROUND(2*E25,0)/2</f>
        <v>1862.5</v>
      </c>
      <c r="G25">
        <f>+C25-(C$7+F25*C$8)</f>
        <v>-5.7755800000450108E-2</v>
      </c>
      <c r="I25">
        <f>+G25</f>
        <v>-5.7755800000450108E-2</v>
      </c>
      <c r="O25">
        <f ca="1">+C$11+C$12*$F25</f>
        <v>-5.9372418901827331E-2</v>
      </c>
      <c r="Q25" s="2">
        <f>+C25-15018.5</f>
        <v>41313.419309999997</v>
      </c>
      <c r="S25">
        <f ca="1">+(O25-I25)^2</f>
        <v>2.6134566722900999E-6</v>
      </c>
    </row>
    <row r="26" spans="1:19" x14ac:dyDescent="0.2">
      <c r="A26" s="33" t="s">
        <v>48</v>
      </c>
      <c r="B26" s="32" t="s">
        <v>46</v>
      </c>
      <c r="C26" s="35">
        <v>56331.91966</v>
      </c>
      <c r="D26" s="35">
        <v>1.1E-4</v>
      </c>
      <c r="E26">
        <f>+(C26-C$7)/C$8</f>
        <v>1862.3533834605796</v>
      </c>
      <c r="F26">
        <f>ROUND(2*E26,0)/2</f>
        <v>1862.5</v>
      </c>
      <c r="G26">
        <f>+C26-(C$7+F26*C$8)</f>
        <v>-5.7405799998377915E-2</v>
      </c>
      <c r="I26">
        <f>+G26</f>
        <v>-5.7405799998377915E-2</v>
      </c>
      <c r="O26">
        <f ca="1">+C$11+C$12*$F26</f>
        <v>-5.9372418901827331E-2</v>
      </c>
      <c r="Q26" s="2">
        <f>+C26-15018.5</f>
        <v>41313.41966</v>
      </c>
      <c r="S26">
        <f ca="1">+(O26-I26)^2</f>
        <v>3.8675899114045823E-6</v>
      </c>
    </row>
    <row r="27" spans="1:19" x14ac:dyDescent="0.2">
      <c r="A27" s="33" t="s">
        <v>48</v>
      </c>
      <c r="B27" s="34" t="s">
        <v>46</v>
      </c>
      <c r="C27" s="35">
        <v>56331.921999999999</v>
      </c>
      <c r="D27" s="35">
        <v>5.9999999999999995E-4</v>
      </c>
      <c r="E27">
        <f>+(C27-C$7)/C$8</f>
        <v>1862.3593599072476</v>
      </c>
      <c r="F27">
        <f>ROUND(2*E27,0)/2</f>
        <v>1862.5</v>
      </c>
      <c r="G27">
        <f>+C27-(C$7+F27*C$8)</f>
        <v>-5.5065799999283627E-2</v>
      </c>
      <c r="I27">
        <f>+G27</f>
        <v>-5.5065799999283627E-2</v>
      </c>
      <c r="O27">
        <f ca="1">+C$11+C$12*$F27</f>
        <v>-5.9372418901827331E-2</v>
      </c>
      <c r="Q27" s="2">
        <f>+C27-15018.5</f>
        <v>41313.421999999999</v>
      </c>
      <c r="S27">
        <f ca="1">+(O27-I27)^2</f>
        <v>1.8546966371746742E-5</v>
      </c>
    </row>
    <row r="28" spans="1:19" x14ac:dyDescent="0.2">
      <c r="B28" s="3"/>
      <c r="C28" s="8"/>
      <c r="D28" s="8"/>
      <c r="Q28" s="2"/>
    </row>
    <row r="29" spans="1:19" x14ac:dyDescent="0.2">
      <c r="B29" s="3"/>
      <c r="C29" s="8"/>
      <c r="D29" s="8"/>
      <c r="Q29" s="2"/>
    </row>
    <row r="30" spans="1:19" x14ac:dyDescent="0.2">
      <c r="B30" s="3"/>
      <c r="C30" s="8"/>
      <c r="D30" s="8"/>
      <c r="Q30" s="2"/>
    </row>
    <row r="31" spans="1:19" x14ac:dyDescent="0.2">
      <c r="B31" s="3"/>
      <c r="C31" s="8"/>
      <c r="D31" s="8"/>
      <c r="Q31" s="2"/>
    </row>
    <row r="32" spans="1:19" x14ac:dyDescent="0.2">
      <c r="B32" s="3"/>
      <c r="C32" s="8"/>
      <c r="D32" s="8"/>
      <c r="Q32" s="2"/>
    </row>
    <row r="33" spans="2:4" x14ac:dyDescent="0.2">
      <c r="B33" s="3"/>
      <c r="C33" s="8"/>
      <c r="D33" s="8"/>
    </row>
    <row r="34" spans="2:4" x14ac:dyDescent="0.2">
      <c r="B34" s="3"/>
      <c r="C34" s="8"/>
      <c r="D34" s="8"/>
    </row>
    <row r="35" spans="2:4" x14ac:dyDescent="0.2">
      <c r="C35" s="8"/>
      <c r="D35" s="8"/>
    </row>
    <row r="36" spans="2:4" x14ac:dyDescent="0.2">
      <c r="C36" s="8"/>
      <c r="D36" s="8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S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2024-02-17T06:52:54Z</dcterms:modified>
</cp:coreProperties>
</file>