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5808340-3F82-4912-99F9-76AEDB31538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C24" i="1"/>
  <c r="C17" i="1" s="1"/>
  <c r="A24" i="1"/>
  <c r="E27" i="1"/>
  <c r="F27" i="1"/>
  <c r="G27" i="1"/>
  <c r="J27" i="1" s="1"/>
  <c r="E28" i="1"/>
  <c r="F28" i="1" s="1"/>
  <c r="G28" i="1" s="1"/>
  <c r="J28" i="1" s="1"/>
  <c r="D9" i="1"/>
  <c r="C9" i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5" i="1"/>
  <c r="F25" i="1" s="1"/>
  <c r="G25" i="1" s="1"/>
  <c r="K25" i="1" s="1"/>
  <c r="E26" i="1"/>
  <c r="F26" i="1" s="1"/>
  <c r="G26" i="1" s="1"/>
  <c r="K26" i="1" s="1"/>
  <c r="Q27" i="1"/>
  <c r="Q28" i="1"/>
  <c r="Q22" i="1"/>
  <c r="Q21" i="1"/>
  <c r="G12" i="2"/>
  <c r="C12" i="2"/>
  <c r="G11" i="2"/>
  <c r="C11" i="2"/>
  <c r="G14" i="2"/>
  <c r="C14" i="2"/>
  <c r="E14" i="2"/>
  <c r="G13" i="2"/>
  <c r="C13" i="2"/>
  <c r="H12" i="2"/>
  <c r="D12" i="2"/>
  <c r="B12" i="2"/>
  <c r="A12" i="2"/>
  <c r="H11" i="2"/>
  <c r="D11" i="2"/>
  <c r="B11" i="2"/>
  <c r="A11" i="2"/>
  <c r="H14" i="2"/>
  <c r="D14" i="2"/>
  <c r="B14" i="2"/>
  <c r="A14" i="2"/>
  <c r="H13" i="2"/>
  <c r="D13" i="2"/>
  <c r="B13" i="2"/>
  <c r="A13" i="2"/>
  <c r="Q25" i="1"/>
  <c r="Q26" i="1"/>
  <c r="F16" i="1"/>
  <c r="F17" i="1" s="1"/>
  <c r="Q23" i="1"/>
  <c r="C12" i="1"/>
  <c r="C11" i="1"/>
  <c r="O24" i="1" l="1"/>
  <c r="E11" i="2"/>
  <c r="E13" i="2"/>
  <c r="E12" i="2"/>
  <c r="O28" i="1"/>
  <c r="C15" i="1"/>
  <c r="O25" i="1"/>
  <c r="O21" i="1"/>
  <c r="O26" i="1"/>
  <c r="O22" i="1"/>
  <c r="O23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<sst xmlns="http://schemas.openxmlformats.org/spreadsheetml/2006/main" count="101" uniqueCount="82">
  <si>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</si>
  <si>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</si>
  <si>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</si>
  <si>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</si>
  <si>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</si>
  <si>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</si>
  <si>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</si>
  <si>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</si>
  <si>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</si>
  <si>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</si>
  <si>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</si>
  <si>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</si>
  <si>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</si>
  <si>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</si>
  <si>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</si>
  <si>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</si>
  <si>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</si>
  <si>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</si>
  <si>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</si>
  <si>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</si>
  <si>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</si>
  <si>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</si>
  <si>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</si>
  <si>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</si>
  <si>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</si>
  <si>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</si>
  <si>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</si>
  <si>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</si>
  <si>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</si>
  <si>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</si>
  <si>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</si>
  <si>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</si>
  <si>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</si>
  <si>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</si>
  <si>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</si>
  <si>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</si>
  <si>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</si>
  <si>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</si>
  <si>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</si>
  <si>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RV Lib</t>
  </si>
  <si>
    <t>RV Lib / GSC 6157-0160</t>
  </si>
  <si>
    <t>EA/D/RS</t>
  </si>
  <si>
    <t>Kreiner</t>
  </si>
  <si>
    <t>IBVS 5690</t>
  </si>
  <si>
    <t>I</t>
  </si>
  <si>
    <t>G6157-0160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</si>
  <si>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</si>
  <si>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</si>
  <si>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</si>
  <si>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</si>
  <si>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</si>
  <si>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</si>
  <si>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</si>
  <si>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</si>
  <si>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</si>
  <si>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</si>
  <si>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</si>
  <si>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</si>
  <si>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2425026.45 </t>
  </si>
  <si>
    <t> 25.05.1927 22:48 </t>
  </si>
  <si>
    <t> -1.12 </t>
  </si>
  <si>
    <t> W.Zessewitsch </t>
  </si>
  <si>
    <t> IODE 4.2.193 </t>
  </si>
  <si>
    <t>2428227.835 </t>
  </si>
  <si>
    <t> 29.02.1936 08:02 </t>
  </si>
  <si>
    <t> -0.304 </t>
  </si>
  <si>
    <t> S.Gaposchkin </t>
  </si>
  <si>
    <t> HA 113.75 </t>
  </si>
  <si>
    <t>2430887.236 </t>
  </si>
  <si>
    <t> 11.06.1943 17:39 </t>
  </si>
  <si>
    <t> 0.000 </t>
  </si>
  <si>
    <t>V </t>
  </si>
  <si>
    <t>2453479.7613 </t>
  </si>
  <si>
    <t> 19.04.2005 06:16 </t>
  </si>
  <si>
    <t> 0.9258 </t>
  </si>
  <si>
    <t>E </t>
  </si>
  <si>
    <t>?</t>
  </si>
  <si>
    <t> T. Krajci </t>
  </si>
  <si>
    <t>IBVS 5690 </t>
  </si>
  <si>
    <t>II</t>
  </si>
  <si>
    <t>VSX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</si>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</sst>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25" borderId="0" xfId="0" applyFont="1" applyFill="1" applyAlignment="1">
      <alignment vertical="center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Lib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2-496F-884D-976D6B9F30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-0.81904600000052596</c:v>
                </c:pt>
                <c:pt idx="1">
                  <c:v>0</c:v>
                </c:pt>
                <c:pt idx="2">
                  <c:v>0.30432800000198768</c:v>
                </c:pt>
                <c:pt idx="3">
                  <c:v>5.6654100000014296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2-496F-884D-976D6B9F30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6.761294000010821</c:v>
                </c:pt>
                <c:pt idx="7">
                  <c:v>6.6770479999977397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2-496F-884D-976D6B9F30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6.5476860000053421</c:v>
                </c:pt>
                <c:pt idx="5">
                  <c:v>6.5911619999969844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2-496F-884D-976D6B9F30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82-496F-884D-976D6B9F30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82-496F-884D-976D6B9F30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5">
                    <c:v>1.8E-3</c:v>
                  </c:pt>
                  <c:pt idx="6">
                    <c:v>0.02</c:v>
                  </c:pt>
                  <c:pt idx="7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82-496F-884D-976D6B9F30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5.4433867391456969</c:v>
                </c:pt>
                <c:pt idx="1">
                  <c:v>5.5695302238485533</c:v>
                </c:pt>
                <c:pt idx="2">
                  <c:v>5.6743328510053654</c:v>
                </c:pt>
                <c:pt idx="3">
                  <c:v>5.6741215553860975</c:v>
                </c:pt>
                <c:pt idx="4">
                  <c:v>6.5260654922737338</c:v>
                </c:pt>
                <c:pt idx="5">
                  <c:v>6.5645212949804677</c:v>
                </c:pt>
                <c:pt idx="6">
                  <c:v>6.738628885257107</c:v>
                </c:pt>
                <c:pt idx="7">
                  <c:v>6.7392627721149108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82-496F-884D-976D6B9F30B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-298.5</c:v>
                </c:pt>
                <c:pt idx="1">
                  <c:v>0</c:v>
                </c:pt>
                <c:pt idx="2">
                  <c:v>248</c:v>
                </c:pt>
                <c:pt idx="3">
                  <c:v>247.5</c:v>
                </c:pt>
                <c:pt idx="4">
                  <c:v>2263.5</c:v>
                </c:pt>
                <c:pt idx="5">
                  <c:v>2354.5</c:v>
                </c:pt>
                <c:pt idx="6">
                  <c:v>2766.5</c:v>
                </c:pt>
                <c:pt idx="7">
                  <c:v>2768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82-496F-884D-976D6B9F3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682704"/>
        <c:axId val="1"/>
      </c:scatterChart>
      <c:valAx>
        <c:axId val="53868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682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150375939849624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1FC0B8E-53C6-3908-7923-0964457AC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5" t="s">
        <v>39</v>
      </c>
      <c r="F1" t="s">
        <v>45</v>
      </c>
    </row>
    <row r="2" spans="1:6" s="21" customFormat="1" ht="12.95" customHeight="1" x14ac:dyDescent="0.2">
      <c r="A2" s="21" t="s">
        <v>24</v>
      </c>
      <c r="B2" s="21" t="s">
        <v>41</v>
      </c>
      <c r="C2" s="22"/>
      <c r="D2" s="22"/>
      <c r="E2" s="21">
        <v>0</v>
      </c>
    </row>
    <row r="3" spans="1:6" s="21" customFormat="1" ht="12.95" customHeight="1" thickBot="1" x14ac:dyDescent="0.25"/>
    <row r="4" spans="1:6" s="21" customFormat="1" ht="12.95" customHeight="1" thickTop="1" thickBot="1" x14ac:dyDescent="0.25">
      <c r="A4" s="23" t="s">
        <v>1</v>
      </c>
      <c r="C4" s="24">
        <v>30887.236000000001</v>
      </c>
      <c r="D4" s="25">
        <v>10.722163999999999</v>
      </c>
    </row>
    <row r="5" spans="1:6" s="21" customFormat="1" ht="12.95" customHeight="1" thickTop="1" x14ac:dyDescent="0.2">
      <c r="A5" s="26" t="s">
        <v>29</v>
      </c>
      <c r="C5" s="27">
        <v>-9.5</v>
      </c>
      <c r="D5" s="21" t="s">
        <v>30</v>
      </c>
    </row>
    <row r="6" spans="1:6" s="21" customFormat="1" ht="12.95" customHeight="1" x14ac:dyDescent="0.2">
      <c r="A6" s="23" t="s">
        <v>2</v>
      </c>
    </row>
    <row r="7" spans="1:6" s="21" customFormat="1" ht="12.95" customHeight="1" x14ac:dyDescent="0.2">
      <c r="A7" s="21" t="s">
        <v>3</v>
      </c>
      <c r="C7" s="21">
        <v>30887.236000000001</v>
      </c>
      <c r="D7" s="53" t="s">
        <v>80</v>
      </c>
    </row>
    <row r="8" spans="1:6" s="21" customFormat="1" ht="12.95" customHeight="1" x14ac:dyDescent="0.2">
      <c r="A8" s="21" t="s">
        <v>4</v>
      </c>
      <c r="C8" s="21">
        <v>10.722163999999999</v>
      </c>
      <c r="D8" s="28" t="s">
        <v>80</v>
      </c>
    </row>
    <row r="9" spans="1:6" s="21" customFormat="1" ht="12.95" customHeight="1" x14ac:dyDescent="0.2">
      <c r="A9" s="5" t="s">
        <v>34</v>
      </c>
      <c r="B9" s="29">
        <v>24</v>
      </c>
      <c r="C9" s="30" t="str">
        <f>"F"&amp;B9</f>
        <v>F24</v>
      </c>
      <c r="D9" s="31" t="str">
        <f>"G"&amp;B9</f>
        <v>G24</v>
      </c>
    </row>
    <row r="10" spans="1:6" s="21" customFormat="1" ht="12.95" customHeight="1" thickBot="1" x14ac:dyDescent="0.25">
      <c r="C10" s="32" t="s">
        <v>20</v>
      </c>
      <c r="D10" s="32" t="s">
        <v>21</v>
      </c>
    </row>
    <row r="11" spans="1:6" s="21" customFormat="1" ht="12.95" customHeight="1" x14ac:dyDescent="0.2">
      <c r="A11" s="21" t="s">
        <v>16</v>
      </c>
      <c r="C11" s="31">
        <f ca="1">INTERCEPT(INDIRECT($D$9):G992,INDIRECT($C$9):F992)</f>
        <v>5.5695302238485533</v>
      </c>
      <c r="D11" s="22"/>
    </row>
    <row r="12" spans="1:6" s="21" customFormat="1" ht="12.95" customHeight="1" x14ac:dyDescent="0.2">
      <c r="A12" s="21" t="s">
        <v>17</v>
      </c>
      <c r="C12" s="31">
        <f ca="1">SLOPE(INDIRECT($D$9):G992,INDIRECT($C$9):F992)</f>
        <v>4.2259123853553366E-4</v>
      </c>
      <c r="D12" s="22"/>
    </row>
    <row r="13" spans="1:6" s="21" customFormat="1" ht="12.95" customHeight="1" x14ac:dyDescent="0.2">
      <c r="A13" s="21" t="s">
        <v>19</v>
      </c>
      <c r="C13" s="22" t="s">
        <v>14</v>
      </c>
    </row>
    <row r="14" spans="1:6" s="21" customFormat="1" ht="12.95" customHeight="1" x14ac:dyDescent="0.2"/>
    <row r="15" spans="1:6" s="21" customFormat="1" ht="12.95" customHeight="1" x14ac:dyDescent="0.2">
      <c r="A15" s="33" t="s">
        <v>18</v>
      </c>
      <c r="C15" s="34">
        <f ca="1">(C22+C11)+(C8+C12)*INT(MAX(F21:F3533))</f>
        <v>57913.524214772115</v>
      </c>
      <c r="E15" s="28" t="s">
        <v>36</v>
      </c>
      <c r="F15" s="27">
        <v>1</v>
      </c>
    </row>
    <row r="16" spans="1:6" s="21" customFormat="1" ht="12.95" customHeight="1" x14ac:dyDescent="0.2">
      <c r="A16" s="23" t="s">
        <v>5</v>
      </c>
      <c r="C16" s="35">
        <f ca="1">+C8+C12</f>
        <v>10.722586591238535</v>
      </c>
      <c r="E16" s="28" t="s">
        <v>31</v>
      </c>
      <c r="F16" s="36">
        <f ca="1">NOW()+15018.5+$C$5/24</f>
        <v>60358.739454282404</v>
      </c>
    </row>
    <row r="17" spans="1:21" s="21" customFormat="1" ht="12.95" customHeight="1" thickBot="1" x14ac:dyDescent="0.25">
      <c r="A17" s="28" t="s">
        <v>28</v>
      </c>
      <c r="C17" s="21">
        <f>COUNT(C21:C2191)</f>
        <v>8</v>
      </c>
      <c r="E17" s="28" t="s">
        <v>37</v>
      </c>
      <c r="F17" s="36">
        <f ca="1">ROUND(2*(F16-$C$22)/$C$8,0)/2+F15</f>
        <v>2997.5</v>
      </c>
    </row>
    <row r="18" spans="1:21" s="21" customFormat="1" ht="12.95" customHeight="1" thickTop="1" thickBot="1" x14ac:dyDescent="0.25">
      <c r="A18" s="23" t="s">
        <v>6</v>
      </c>
      <c r="C18" s="37">
        <f ca="1">+C15</f>
        <v>57913.524214772115</v>
      </c>
      <c r="D18" s="38">
        <f ca="1">+C16</f>
        <v>10.722586591238535</v>
      </c>
      <c r="E18" s="28" t="s">
        <v>32</v>
      </c>
      <c r="F18" s="31">
        <f ca="1">ROUND(2*(F16-$C$15)/$C$16,0)/2+F15</f>
        <v>229</v>
      </c>
    </row>
    <row r="19" spans="1:21" s="21" customFormat="1" ht="12.95" customHeight="1" thickTop="1" x14ac:dyDescent="0.2">
      <c r="E19" s="28" t="s">
        <v>33</v>
      </c>
      <c r="F19" s="39">
        <f ca="1">+$C$15+$C$16*F18-15018.5-$C$5/24</f>
        <v>45350.892377499076</v>
      </c>
    </row>
    <row r="20" spans="1:21" s="21" customFormat="1" ht="12.95" customHeight="1" thickBot="1" x14ac:dyDescent="0.25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40" t="s">
        <v>53</v>
      </c>
      <c r="I20" s="40" t="s">
        <v>56</v>
      </c>
      <c r="J20" s="40" t="s">
        <v>81</v>
      </c>
      <c r="K20" s="40" t="s">
        <v>48</v>
      </c>
      <c r="L20" s="40" t="s">
        <v>25</v>
      </c>
      <c r="M20" s="40" t="s">
        <v>26</v>
      </c>
      <c r="N20" s="40" t="s">
        <v>27</v>
      </c>
      <c r="O20" s="40" t="s">
        <v>23</v>
      </c>
      <c r="P20" s="41" t="s">
        <v>22</v>
      </c>
      <c r="Q20" s="32" t="s">
        <v>15</v>
      </c>
      <c r="U20" s="42" t="s">
        <v>35</v>
      </c>
    </row>
    <row r="21" spans="1:21" s="21" customFormat="1" ht="12.95" customHeight="1" x14ac:dyDescent="0.2">
      <c r="A21" s="43" t="s">
        <v>62</v>
      </c>
      <c r="B21" s="44" t="s">
        <v>79</v>
      </c>
      <c r="C21" s="45">
        <v>25026.45</v>
      </c>
      <c r="D21" s="46"/>
      <c r="E21" s="21">
        <f>+(C21-C$22)/C$8</f>
        <v>-298.57638812463591</v>
      </c>
      <c r="F21" s="21">
        <f>ROUND(2*E21,0)/2</f>
        <v>-298.5</v>
      </c>
      <c r="G21" s="21">
        <f>+C21-(C$22+F21*C$8)</f>
        <v>-0.81904600000052596</v>
      </c>
      <c r="I21" s="21">
        <f>+G21</f>
        <v>-0.81904600000052596</v>
      </c>
      <c r="O21" s="21">
        <f ca="1">+C$11+C$12*$F21</f>
        <v>5.4433867391456969</v>
      </c>
      <c r="Q21" s="47">
        <f>+C21-15018.5</f>
        <v>10007.950000000001</v>
      </c>
    </row>
    <row r="22" spans="1:21" s="21" customFormat="1" ht="12.95" customHeight="1" x14ac:dyDescent="0.2">
      <c r="A22" s="43" t="s">
        <v>67</v>
      </c>
      <c r="B22" s="44" t="s">
        <v>44</v>
      </c>
      <c r="C22" s="45">
        <v>28227.834999999999</v>
      </c>
      <c r="D22" s="46"/>
      <c r="E22" s="21">
        <f>+(C22-C$22)/C$8</f>
        <v>0</v>
      </c>
      <c r="F22" s="21">
        <f>ROUND(2*E22,0)/2</f>
        <v>0</v>
      </c>
      <c r="G22" s="21">
        <f>+C22-(C$22+F22*C$8)</f>
        <v>0</v>
      </c>
      <c r="I22" s="21">
        <f>+G22</f>
        <v>0</v>
      </c>
      <c r="O22" s="21">
        <f ca="1">+C$11+C$12*$F22</f>
        <v>5.5695302238485533</v>
      </c>
      <c r="Q22" s="47">
        <f>+C22-15018.5</f>
        <v>13209.334999999999</v>
      </c>
    </row>
    <row r="23" spans="1:21" s="21" customFormat="1" ht="12.95" customHeight="1" x14ac:dyDescent="0.2">
      <c r="A23" s="28" t="s">
        <v>38</v>
      </c>
      <c r="C23" s="46">
        <v>30887.236000000001</v>
      </c>
      <c r="D23" s="46" t="s">
        <v>14</v>
      </c>
      <c r="E23" s="21">
        <f>+(C23-C$22)/C$8</f>
        <v>248.02838307640152</v>
      </c>
      <c r="F23" s="21">
        <f>ROUND(2*E23,0)/2</f>
        <v>248</v>
      </c>
      <c r="G23" s="21">
        <f>+C23-(C$22+F23*C$8)</f>
        <v>0.30432800000198768</v>
      </c>
      <c r="I23" s="21">
        <f>+G23</f>
        <v>0.30432800000198768</v>
      </c>
      <c r="O23" s="21">
        <f ca="1">+C$11+C$12*$F23</f>
        <v>5.6743328510053654</v>
      </c>
      <c r="Q23" s="47">
        <f>+C23-15018.5</f>
        <v>15868.736000000001</v>
      </c>
    </row>
    <row r="24" spans="1:21" s="21" customFormat="1" ht="12.95" customHeight="1" x14ac:dyDescent="0.2">
      <c r="A24" s="21" t="str">
        <f>$D$7</f>
        <v>VSX</v>
      </c>
      <c r="C24" s="46">
        <f>$C$7</f>
        <v>30887.236000000001</v>
      </c>
      <c r="D24" s="46"/>
      <c r="E24" s="21">
        <f>+(C24-C$22)/C$8</f>
        <v>248.02838307640152</v>
      </c>
      <c r="F24" s="52">
        <f>ROUND(2*E24,0)/2-0.5</f>
        <v>247.5</v>
      </c>
      <c r="G24" s="21">
        <f>+C24-(C$22+F24*C$8)</f>
        <v>5.6654100000014296</v>
      </c>
      <c r="I24" s="21">
        <f>+G24</f>
        <v>5.6654100000014296</v>
      </c>
      <c r="O24" s="21">
        <f ca="1">+C$11+C$12*$F24</f>
        <v>5.6741215553860975</v>
      </c>
      <c r="Q24" s="47">
        <f>+C24-15018.5</f>
        <v>15868.736000000001</v>
      </c>
    </row>
    <row r="25" spans="1:21" s="21" customFormat="1" ht="12.95" customHeight="1" x14ac:dyDescent="0.2">
      <c r="A25" s="28" t="s">
        <v>42</v>
      </c>
      <c r="C25" s="46">
        <v>52504.000899999999</v>
      </c>
      <c r="E25" s="21">
        <f>+(C25-C$22)/C$8</f>
        <v>2264.1106683315047</v>
      </c>
      <c r="F25" s="48">
        <f>ROUND(2*E25,0)/2-0.5</f>
        <v>2263.5</v>
      </c>
      <c r="G25" s="21">
        <f>+C25-(C$22+F25*C$8)</f>
        <v>6.5476860000053421</v>
      </c>
      <c r="K25" s="21">
        <f>+G25</f>
        <v>6.5476860000053421</v>
      </c>
      <c r="O25" s="21">
        <f ca="1">+C$11+C$12*$F25</f>
        <v>6.5260654922737338</v>
      </c>
      <c r="Q25" s="47">
        <f>+C25-15018.5</f>
        <v>37485.500899999999</v>
      </c>
    </row>
    <row r="26" spans="1:21" s="21" customFormat="1" ht="12.95" customHeight="1" x14ac:dyDescent="0.2">
      <c r="A26" s="6" t="s">
        <v>43</v>
      </c>
      <c r="B26" s="7" t="s">
        <v>44</v>
      </c>
      <c r="C26" s="6">
        <v>53479.761299999998</v>
      </c>
      <c r="D26" s="6">
        <v>1.8E-3</v>
      </c>
      <c r="E26" s="21">
        <f>+(C26-C$22)/C$8</f>
        <v>2355.114723109999</v>
      </c>
      <c r="F26" s="48">
        <f>ROUND(2*E26,0)/2-0.5</f>
        <v>2354.5</v>
      </c>
      <c r="G26" s="21">
        <f>+C26-(C$22+F26*C$8)</f>
        <v>6.5911619999969844</v>
      </c>
      <c r="K26" s="21">
        <f>+G26</f>
        <v>6.5911619999969844</v>
      </c>
      <c r="O26" s="21">
        <f ca="1">+C$11+C$12*$F26</f>
        <v>6.5645212949804677</v>
      </c>
      <c r="Q26" s="47">
        <f>+C26-15018.5</f>
        <v>38461.261299999998</v>
      </c>
    </row>
    <row r="27" spans="1:21" s="21" customFormat="1" ht="12.95" customHeight="1" x14ac:dyDescent="0.2">
      <c r="A27" s="49" t="s">
        <v>0</v>
      </c>
      <c r="B27" s="50" t="s">
        <v>44</v>
      </c>
      <c r="C27" s="51">
        <v>57897.463000000003</v>
      </c>
      <c r="D27" s="51">
        <v>0.02</v>
      </c>
      <c r="E27" s="21">
        <f>+(C27-C$22)/C$8</f>
        <v>2767.1305904293208</v>
      </c>
      <c r="F27" s="52">
        <f>ROUND(2*E27,0)/2-0.5</f>
        <v>2766.5</v>
      </c>
      <c r="G27" s="21">
        <f>+C27-(C$22+F27*C$8)</f>
        <v>6.761294000010821</v>
      </c>
      <c r="J27" s="21">
        <f>+G27</f>
        <v>6.761294000010821</v>
      </c>
      <c r="O27" s="21">
        <f ca="1">+C$11+C$12*$F27</f>
        <v>6.738628885257107</v>
      </c>
      <c r="Q27" s="47">
        <f>+C27-15018.5</f>
        <v>42878.963000000003</v>
      </c>
    </row>
    <row r="28" spans="1:21" s="21" customFormat="1" ht="12.95" customHeight="1" x14ac:dyDescent="0.2">
      <c r="A28" s="49" t="s">
        <v>0</v>
      </c>
      <c r="B28" s="50" t="s">
        <v>79</v>
      </c>
      <c r="C28" s="51">
        <v>57913.462</v>
      </c>
      <c r="D28" s="51">
        <v>0.02</v>
      </c>
      <c r="E28" s="21">
        <f>+(C28-C$22)/C$8</f>
        <v>2768.6227332467588</v>
      </c>
      <c r="F28" s="52">
        <f>ROUND(2*E28,0)/2-0.5</f>
        <v>2768</v>
      </c>
      <c r="G28" s="21">
        <f>+C28-(C$22+F28*C$8)</f>
        <v>6.6770479999977397</v>
      </c>
      <c r="J28" s="21">
        <f>+G28</f>
        <v>6.6770479999977397</v>
      </c>
      <c r="O28" s="21">
        <f ca="1">+C$11+C$12*$F28</f>
        <v>6.7392627721149108</v>
      </c>
      <c r="Q28" s="47">
        <f>+C28-15018.5</f>
        <v>42894.962</v>
      </c>
    </row>
    <row r="29" spans="1:21" s="21" customFormat="1" ht="12.95" customHeight="1" x14ac:dyDescent="0.2">
      <c r="C29" s="46"/>
      <c r="D29" s="46"/>
      <c r="Q29" s="47"/>
    </row>
    <row r="30" spans="1:21" s="21" customFormat="1" ht="12.95" customHeight="1" x14ac:dyDescent="0.2">
      <c r="C30" s="46"/>
      <c r="D30" s="46"/>
      <c r="Q30" s="47"/>
    </row>
    <row r="31" spans="1:21" s="21" customFormat="1" ht="12.95" customHeight="1" x14ac:dyDescent="0.2">
      <c r="C31" s="46"/>
      <c r="D31" s="46"/>
      <c r="Q31" s="47"/>
    </row>
    <row r="32" spans="1:21" s="21" customFormat="1" ht="12.95" customHeight="1" x14ac:dyDescent="0.2">
      <c r="C32" s="46"/>
      <c r="D32" s="46"/>
      <c r="Q32" s="47"/>
    </row>
    <row r="33" spans="3:17" s="21" customFormat="1" ht="12.95" customHeight="1" x14ac:dyDescent="0.2">
      <c r="C33" s="46"/>
      <c r="D33" s="46"/>
      <c r="Q33" s="47"/>
    </row>
    <row r="34" spans="3:17" s="21" customFormat="1" ht="12.95" customHeight="1" x14ac:dyDescent="0.2">
      <c r="C34" s="46"/>
      <c r="D34" s="46"/>
    </row>
    <row r="35" spans="3:17" s="21" customFormat="1" ht="12.95" customHeight="1" x14ac:dyDescent="0.2">
      <c r="C35" s="46"/>
      <c r="D35" s="46"/>
    </row>
    <row r="36" spans="3:17" s="21" customFormat="1" ht="12.95" customHeight="1" x14ac:dyDescent="0.2">
      <c r="C36" s="46"/>
      <c r="D36" s="46"/>
    </row>
    <row r="37" spans="3:17" s="21" customFormat="1" ht="12.95" customHeight="1" x14ac:dyDescent="0.2">
      <c r="C37" s="46"/>
      <c r="D37" s="46"/>
    </row>
    <row r="38" spans="3:17" s="21" customFormat="1" ht="12.95" customHeight="1" x14ac:dyDescent="0.2">
      <c r="C38" s="46"/>
      <c r="D38" s="46"/>
    </row>
    <row r="39" spans="3:17" s="21" customFormat="1" ht="12.95" customHeight="1" x14ac:dyDescent="0.2">
      <c r="C39" s="46"/>
      <c r="D39" s="46"/>
    </row>
    <row r="40" spans="3:17" s="21" customFormat="1" ht="12.95" customHeight="1" x14ac:dyDescent="0.2">
      <c r="C40" s="46"/>
      <c r="D40" s="46"/>
    </row>
    <row r="41" spans="3:17" s="21" customFormat="1" ht="12.95" customHeight="1" x14ac:dyDescent="0.2">
      <c r="C41" s="46"/>
      <c r="D41" s="46"/>
    </row>
    <row r="42" spans="3:17" s="21" customFormat="1" ht="12.95" customHeight="1" x14ac:dyDescent="0.2">
      <c r="C42" s="46"/>
      <c r="D42" s="46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U33">
    <sortCondition ref="C21:C33"/>
  </sortState>
  <phoneticPr fontId="7" type="noConversion"/>
  <hyperlinks>
    <hyperlink ref="H63881" r:id="rId1" display="http://vsolj.cetus-net.org/bulletin.html"/>
    <hyperlink ref="H63874" r:id="rId2" display="https://www.aavso.org/ejaavso"/>
    <hyperlink ref="I63881" r:id="rId3" display="http://vsolj.cetus-net.org/bulletin.html"/>
    <hyperlink ref="AQ57532" r:id="rId4" display="http://cdsbib.u-strasbg.fr/cgi-bin/cdsbib?1990RMxAA..21..381G"/>
    <hyperlink ref="H63878" r:id="rId5" display="https://www.aavso.org/ejaavso"/>
    <hyperlink ref="AP4896" r:id="rId6" display="http://cdsbib.u-strasbg.fr/cgi-bin/cdsbib?1990RMxAA..21..381G"/>
    <hyperlink ref="AP4899" r:id="rId7" display="http://cdsbib.u-strasbg.fr/cgi-bin/cdsbib?1990RMxAA..21..381G"/>
    <hyperlink ref="AP4897" r:id="rId8" display="http://cdsbib.u-strasbg.fr/cgi-bin/cdsbib?1990RMxAA..21..381G"/>
    <hyperlink ref="AP4881" r:id="rId9" display="http://cdsbib.u-strasbg.fr/cgi-bin/cdsbib?1990RMxAA..21..381G"/>
    <hyperlink ref="AQ5110" r:id="rId10" display="http://cdsbib.u-strasbg.fr/cgi-bin/cdsbib?1990RMxAA..21..381G"/>
    <hyperlink ref="AQ5114" r:id="rId11" display="http://cdsbib.u-strasbg.fr/cgi-bin/cdsbib?1990RMxAA..21..381G"/>
    <hyperlink ref="AQ64794" r:id="rId12" display="http://cdsbib.u-strasbg.fr/cgi-bin/cdsbib?1990RMxAA..21..381G"/>
    <hyperlink ref="I2002" r:id="rId13" display="http://vsolj.cetus-net.org/bulletin.html"/>
    <hyperlink ref="H2002" r:id="rId14" display="http://vsolj.cetus-net.org/bulletin.html"/>
    <hyperlink ref="AQ65455" r:id="rId15" display="http://cdsbib.u-strasbg.fr/cgi-bin/cdsbib?1990RMxAA..21..381G"/>
    <hyperlink ref="AQ65454" r:id="rId16" display="http://cdsbib.u-strasbg.fr/cgi-bin/cdsbib?1990RMxAA..21..381G"/>
    <hyperlink ref="AP3172" r:id="rId17" display="http://cdsbib.u-strasbg.fr/cgi-bin/cdsbib?1990RMxAA..21..381G"/>
    <hyperlink ref="AP3190" r:id="rId18" display="http://cdsbib.u-strasbg.fr/cgi-bin/cdsbib?1990RMxAA..21..381G"/>
    <hyperlink ref="AP3191" r:id="rId19" display="http://cdsbib.u-strasbg.fr/cgi-bin/cdsbib?1990RMxAA..21..381G"/>
    <hyperlink ref="AP318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8"/>
  <sheetViews>
    <sheetView workbookViewId="0">
      <selection activeCell="A13" sqref="A13:C14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46</v>
      </c>
      <c r="I1" s="9" t="s">
        <v>47</v>
      </c>
      <c r="J1" s="10" t="s">
        <v>48</v>
      </c>
    </row>
    <row r="2" spans="1:16" x14ac:dyDescent="0.2">
      <c r="I2" s="11" t="s">
        <v>49</v>
      </c>
      <c r="J2" s="12" t="s">
        <v>50</v>
      </c>
    </row>
    <row r="3" spans="1:16" x14ac:dyDescent="0.2">
      <c r="A3" s="13" t="s">
        <v>51</v>
      </c>
      <c r="I3" s="11" t="s">
        <v>52</v>
      </c>
      <c r="J3" s="12" t="s">
        <v>53</v>
      </c>
    </row>
    <row r="4" spans="1:16" x14ac:dyDescent="0.2">
      <c r="I4" s="11" t="s">
        <v>54</v>
      </c>
      <c r="J4" s="12" t="s">
        <v>53</v>
      </c>
    </row>
    <row r="5" spans="1:16" ht="13.5" thickBot="1" x14ac:dyDescent="0.25">
      <c r="I5" s="14" t="s">
        <v>55</v>
      </c>
      <c r="J5" s="15" t="s">
        <v>56</v>
      </c>
    </row>
    <row r="10" spans="1:16" ht="13.5" thickBot="1" x14ac:dyDescent="0.25"/>
    <row r="11" spans="1:16" ht="12.75" customHeight="1" thickBot="1" x14ac:dyDescent="0.25">
      <c r="A11" s="3" t="str">
        <f>P11</f>
        <v> IODE 4.2.193 </v>
      </c>
      <c r="B11" s="2" t="str">
        <f>IF(H11=INT(H11),"I","II")</f>
        <v>I</v>
      </c>
      <c r="C11" s="3">
        <f>1*G11</f>
        <v>30887.236000000001</v>
      </c>
      <c r="D11" s="4" t="str">
        <f>VLOOKUP(F11,I$1:J$5,2,FALSE)</f>
        <v>vis</v>
      </c>
      <c r="E11" s="16">
        <f>VLOOKUP(C11,Active!C$21:E$973,3,FALSE)</f>
        <v>248.02838307640152</v>
      </c>
      <c r="F11" s="2" t="s">
        <v>55</v>
      </c>
      <c r="G11" s="4" t="str">
        <f>MID(I11,3,LEN(I11)-3)</f>
        <v>30887.236</v>
      </c>
      <c r="H11" s="3">
        <f>1*K11</f>
        <v>0</v>
      </c>
      <c r="I11" s="17" t="s">
        <v>68</v>
      </c>
      <c r="J11" s="18" t="s">
        <v>69</v>
      </c>
      <c r="K11" s="17">
        <v>0</v>
      </c>
      <c r="L11" s="17" t="s">
        <v>70</v>
      </c>
      <c r="M11" s="18" t="s">
        <v>71</v>
      </c>
      <c r="N11" s="18"/>
      <c r="O11" s="19" t="s">
        <v>61</v>
      </c>
      <c r="P11" s="19" t="s">
        <v>62</v>
      </c>
    </row>
    <row r="12" spans="1:16" ht="12.75" customHeight="1" thickBot="1" x14ac:dyDescent="0.25">
      <c r="A12" s="3" t="str">
        <f>P12</f>
        <v>IBVS 5690 </v>
      </c>
      <c r="B12" s="2" t="str">
        <f>IF(H12=INT(H12),"I","II")</f>
        <v>I</v>
      </c>
      <c r="C12" s="3">
        <f>1*G12</f>
        <v>53479.761299999998</v>
      </c>
      <c r="D12" s="4" t="str">
        <f>VLOOKUP(F12,I$1:J$5,2,FALSE)</f>
        <v>vis</v>
      </c>
      <c r="E12" s="16">
        <f>VLOOKUP(C12,Active!C$21:E$973,3,FALSE)</f>
        <v>2355.114723109999</v>
      </c>
      <c r="F12" s="2" t="s">
        <v>55</v>
      </c>
      <c r="G12" s="4" t="str">
        <f>MID(I12,3,LEN(I12)-3)</f>
        <v>53479.7613</v>
      </c>
      <c r="H12" s="3">
        <f>1*K12</f>
        <v>2107</v>
      </c>
      <c r="I12" s="17" t="s">
        <v>72</v>
      </c>
      <c r="J12" s="18" t="s">
        <v>73</v>
      </c>
      <c r="K12" s="17">
        <v>2107</v>
      </c>
      <c r="L12" s="17" t="s">
        <v>74</v>
      </c>
      <c r="M12" s="18" t="s">
        <v>75</v>
      </c>
      <c r="N12" s="18" t="s">
        <v>76</v>
      </c>
      <c r="O12" s="19" t="s">
        <v>77</v>
      </c>
      <c r="P12" s="20" t="s">
        <v>78</v>
      </c>
    </row>
    <row r="13" spans="1:16" ht="12.75" customHeight="1" thickBot="1" x14ac:dyDescent="0.25">
      <c r="A13" s="3" t="str">
        <f>P13</f>
        <v> IODE 4.2.193 </v>
      </c>
      <c r="B13" s="2" t="str">
        <f>IF(H13=INT(H13),"I","II")</f>
        <v>II</v>
      </c>
      <c r="C13" s="3">
        <f>1*G13</f>
        <v>25026.45</v>
      </c>
      <c r="D13" s="4" t="str">
        <f>VLOOKUP(F13,I$1:J$5,2,FALSE)</f>
        <v>vis</v>
      </c>
      <c r="E13" s="16">
        <f>VLOOKUP(C13,Active!C$21:E$973,3,FALSE)</f>
        <v>-298.57638812463591</v>
      </c>
      <c r="F13" s="2" t="s">
        <v>55</v>
      </c>
      <c r="G13" s="4" t="str">
        <f>MID(I13,3,LEN(I13)-3)</f>
        <v>25026.45</v>
      </c>
      <c r="H13" s="3">
        <f>1*K13</f>
        <v>-546.5</v>
      </c>
      <c r="I13" s="17" t="s">
        <v>58</v>
      </c>
      <c r="J13" s="18" t="s">
        <v>59</v>
      </c>
      <c r="K13" s="17">
        <v>-546.5</v>
      </c>
      <c r="L13" s="17" t="s">
        <v>60</v>
      </c>
      <c r="M13" s="18" t="s">
        <v>57</v>
      </c>
      <c r="N13" s="18"/>
      <c r="O13" s="19" t="s">
        <v>61</v>
      </c>
      <c r="P13" s="19" t="s">
        <v>62</v>
      </c>
    </row>
    <row r="14" spans="1:16" ht="12.75" customHeight="1" thickBot="1" x14ac:dyDescent="0.25">
      <c r="A14" s="3" t="str">
        <f>P14</f>
        <v> HA 113.75 </v>
      </c>
      <c r="B14" s="2" t="str">
        <f>IF(H14=INT(H14),"I","II")</f>
        <v>I</v>
      </c>
      <c r="C14" s="3">
        <f>1*G14</f>
        <v>28227.834999999999</v>
      </c>
      <c r="D14" s="4" t="str">
        <f>VLOOKUP(F14,I$1:J$5,2,FALSE)</f>
        <v>vis</v>
      </c>
      <c r="E14" s="16">
        <f>VLOOKUP(C14,Active!C$21:E$973,3,FALSE)</f>
        <v>0</v>
      </c>
      <c r="F14" s="2" t="s">
        <v>55</v>
      </c>
      <c r="G14" s="4" t="str">
        <f>MID(I14,3,LEN(I14)-3)</f>
        <v>28227.835</v>
      </c>
      <c r="H14" s="3">
        <f>1*K14</f>
        <v>-248</v>
      </c>
      <c r="I14" s="17" t="s">
        <v>63</v>
      </c>
      <c r="J14" s="18" t="s">
        <v>64</v>
      </c>
      <c r="K14" s="17">
        <v>-248</v>
      </c>
      <c r="L14" s="17" t="s">
        <v>65</v>
      </c>
      <c r="M14" s="18" t="s">
        <v>57</v>
      </c>
      <c r="N14" s="18"/>
      <c r="O14" s="19" t="s">
        <v>66</v>
      </c>
      <c r="P14" s="19" t="s">
        <v>67</v>
      </c>
    </row>
    <row r="15" spans="1:16" x14ac:dyDescent="0.2">
      <c r="B15" s="2"/>
      <c r="F15" s="2"/>
    </row>
    <row r="16" spans="1:16" x14ac:dyDescent="0.2">
      <c r="B16" s="2"/>
      <c r="F16" s="2"/>
    </row>
    <row r="17" spans="2:6" x14ac:dyDescent="0.2">
      <c r="B17" s="2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</sheetData>
  <phoneticPr fontId="7" type="noConversion"/>
  <hyperlinks>
    <hyperlink ref="P12" r:id="rId1" display="http://www.konkoly.hu/cgi-bin/IBVS?569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2024-02-18T04:44:48Z</dcterms:modified>
</cp:coreProperties>
</file>