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056F84-2F37-47BD-88B8-1F2A40D48F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G15" i="2"/>
  <c r="C15" i="2"/>
  <c r="G14" i="2"/>
  <c r="C14" i="2"/>
  <c r="G13" i="2"/>
  <c r="C1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F11" i="1"/>
  <c r="Q42" i="1"/>
  <c r="Q43" i="1"/>
  <c r="G11" i="1"/>
  <c r="E14" i="1"/>
  <c r="C17" i="1"/>
  <c r="Q41" i="1"/>
  <c r="Q40" i="1"/>
  <c r="Q39" i="1"/>
  <c r="C7" i="1"/>
  <c r="E21" i="1"/>
  <c r="F21" i="1"/>
  <c r="C8" i="1"/>
  <c r="Q27" i="1"/>
  <c r="E20" i="2"/>
  <c r="E16" i="2"/>
  <c r="E23" i="2"/>
  <c r="E28" i="2"/>
  <c r="E14" i="2"/>
  <c r="E25" i="2"/>
  <c r="E15" i="2"/>
  <c r="E31" i="2"/>
  <c r="E32" i="1"/>
  <c r="E23" i="1"/>
  <c r="G27" i="1"/>
  <c r="H27" i="1"/>
  <c r="E37" i="1"/>
  <c r="F37" i="1"/>
  <c r="G31" i="1"/>
  <c r="K31" i="1"/>
  <c r="E29" i="1"/>
  <c r="F29" i="1"/>
  <c r="E39" i="1"/>
  <c r="F39" i="1"/>
  <c r="G39" i="1"/>
  <c r="I39" i="1"/>
  <c r="E41" i="1"/>
  <c r="F41" i="1"/>
  <c r="G41" i="1"/>
  <c r="I41" i="1"/>
  <c r="E43" i="1"/>
  <c r="F43" i="1"/>
  <c r="G43" i="1"/>
  <c r="I43" i="1"/>
  <c r="E34" i="1"/>
  <c r="F34" i="1"/>
  <c r="G34" i="1"/>
  <c r="K34" i="1"/>
  <c r="G28" i="1"/>
  <c r="K28" i="1"/>
  <c r="E25" i="1"/>
  <c r="F25" i="1"/>
  <c r="G25" i="1"/>
  <c r="K25" i="1"/>
  <c r="E27" i="1"/>
  <c r="F27" i="1"/>
  <c r="E31" i="1"/>
  <c r="F31" i="1"/>
  <c r="E22" i="1"/>
  <c r="F22" i="1"/>
  <c r="G22" i="1"/>
  <c r="K22" i="1"/>
  <c r="E36" i="1"/>
  <c r="F36" i="1"/>
  <c r="G36" i="1"/>
  <c r="K36" i="1"/>
  <c r="E28" i="1"/>
  <c r="F28" i="1"/>
  <c r="E33" i="1"/>
  <c r="F33" i="1"/>
  <c r="G33" i="1"/>
  <c r="K33" i="1"/>
  <c r="G26" i="1"/>
  <c r="K26" i="1"/>
  <c r="E24" i="1"/>
  <c r="F24" i="1"/>
  <c r="G24" i="1"/>
  <c r="K24" i="1"/>
  <c r="G21" i="1"/>
  <c r="E40" i="1"/>
  <c r="F40" i="1"/>
  <c r="G40" i="1"/>
  <c r="I40" i="1"/>
  <c r="E42" i="1"/>
  <c r="F42" i="1"/>
  <c r="G42" i="1"/>
  <c r="I42" i="1"/>
  <c r="E38" i="1"/>
  <c r="F38" i="1"/>
  <c r="G38" i="1"/>
  <c r="K38" i="1"/>
  <c r="E30" i="1"/>
  <c r="F30" i="1"/>
  <c r="G30" i="1"/>
  <c r="K30" i="1"/>
  <c r="G37" i="1"/>
  <c r="K37" i="1"/>
  <c r="E35" i="1"/>
  <c r="F35" i="1"/>
  <c r="G35" i="1"/>
  <c r="K35" i="1"/>
  <c r="G29" i="1"/>
  <c r="K29" i="1"/>
  <c r="E26" i="1"/>
  <c r="F26" i="1"/>
  <c r="F23" i="1"/>
  <c r="G23" i="1"/>
  <c r="E18" i="2"/>
  <c r="E27" i="2"/>
  <c r="F32" i="1"/>
  <c r="G32" i="1"/>
  <c r="K32" i="1"/>
  <c r="E26" i="2"/>
  <c r="E29" i="2"/>
  <c r="E22" i="2"/>
  <c r="E12" i="2"/>
  <c r="E24" i="2"/>
  <c r="E13" i="2"/>
  <c r="E11" i="2"/>
  <c r="E30" i="2"/>
  <c r="E32" i="2"/>
  <c r="K21" i="1"/>
  <c r="E19" i="2"/>
  <c r="E17" i="2"/>
  <c r="E21" i="2"/>
  <c r="K23" i="1"/>
  <c r="C11" i="1"/>
  <c r="E15" i="1" l="1"/>
  <c r="C12" i="1"/>
  <c r="C16" i="1" l="1"/>
  <c r="D18" i="1" s="1"/>
  <c r="O35" i="1"/>
  <c r="O40" i="1"/>
  <c r="O39" i="1"/>
  <c r="O32" i="1"/>
  <c r="O37" i="1"/>
  <c r="O28" i="1"/>
  <c r="O30" i="1"/>
  <c r="O34" i="1"/>
  <c r="O22" i="1"/>
  <c r="O33" i="1"/>
  <c r="O41" i="1"/>
  <c r="O21" i="1"/>
  <c r="O42" i="1"/>
  <c r="O36" i="1"/>
  <c r="O24" i="1"/>
  <c r="O27" i="1"/>
  <c r="O29" i="1"/>
  <c r="O31" i="1"/>
  <c r="O26" i="1"/>
  <c r="O38" i="1"/>
  <c r="C15" i="1"/>
  <c r="O25" i="1"/>
  <c r="O23" i="1"/>
  <c r="O43" i="1"/>
  <c r="C18" i="1" l="1"/>
  <c r="E16" i="1"/>
  <c r="E17" i="1" s="1"/>
</calcChain>
</file>

<file path=xl/sharedStrings.xml><?xml version="1.0" encoding="utf-8"?>
<sst xmlns="http://schemas.openxmlformats.org/spreadsheetml/2006/main" count="260" uniqueCount="141">
  <si>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</si>
  <si>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</si>
  <si>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</si>
  <si>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</si>
  <si>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</si>
  <si>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</si>
  <si>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</si>
  <si>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</si>
  <si>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</si>
  <si>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</si>
  <si>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</si>
  <si>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</si>
  <si>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</si>
  <si>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</si>
  <si>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</si>
  <si>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</si>
  <si>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</si>
  <si>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</si>
  <si>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</si>
  <si>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</si>
  <si>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</si>
  <si>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</si>
  <si>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</si>
  <si>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</si>
  <si>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</si>
  <si>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</si>
  <si>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</si>
  <si>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</si>
  <si>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</si>
  <si>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</si>
  <si>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5484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</si>
  <si>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</si>
  <si>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</si>
  <si>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</si>
  <si>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</si>
  <si>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</si>
  <si>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</si>
  <si>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</si>
  <si>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</si>
  <si>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</si>
  <si>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5802</t>
  </si>
  <si>
    <t>Add cycle</t>
  </si>
  <si>
    <t>Old Cycle</t>
  </si>
  <si>
    <t>IBVS 5918</t>
  </si>
  <si>
    <t>I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</si>
  <si>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</si>
  <si>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</si>
  <si>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</si>
  <si>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</si>
  <si>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</si>
  <si>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</si>
  <si>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</si>
  <si>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</si>
  <si>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</si>
  <si>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</si>
  <si>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</si>
  <si>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</si>
  <si>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</si>
  <si>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2429250.430 </t>
  </si>
  <si>
    <t> 17.12.1938 22:19 </t>
  </si>
  <si>
    <t> 0.005 </t>
  </si>
  <si>
    <t> A.A.Wachmann </t>
  </si>
  <si>
    <t> AHSB 7.3.168 </t>
  </si>
  <si>
    <t>2429634.450 </t>
  </si>
  <si>
    <t> 05.01.1940 22:48 </t>
  </si>
  <si>
    <t> 0.008 </t>
  </si>
  <si>
    <t>2430072.350 </t>
  </si>
  <si>
    <t> 18.03.1941 20:24 </t>
  </si>
  <si>
    <t> -0.007 </t>
  </si>
  <si>
    <t>2430382.270 </t>
  </si>
  <si>
    <t> 22.01.1942 18:28 </t>
  </si>
  <si>
    <t> 0.004 </t>
  </si>
  <si>
    <t>2432888.490 </t>
  </si>
  <si>
    <t> 02.12.1948 23:45 </t>
  </si>
  <si>
    <t>2432915.430 </t>
  </si>
  <si>
    <t> 29.12.1948 22:19 </t>
  </si>
  <si>
    <t> -0.005 </t>
  </si>
  <si>
    <t>2432979.410 </t>
  </si>
  <si>
    <t> 03.03.1949 21:50 </t>
  </si>
  <si>
    <t> -0.028 </t>
  </si>
  <si>
    <t>2433006.385 </t>
  </si>
  <si>
    <t> 30.03.1949 21:14 </t>
  </si>
  <si>
    <t> -0.002 </t>
  </si>
  <si>
    <t>2434771.520 </t>
  </si>
  <si>
    <t> 29.01.1954 00:28 </t>
  </si>
  <si>
    <t> -0.000 </t>
  </si>
  <si>
    <t>2434778.245 </t>
  </si>
  <si>
    <t> 04.02.1954 17:52 </t>
  </si>
  <si>
    <t> -0.012 </t>
  </si>
  <si>
    <t>2434825.430 </t>
  </si>
  <si>
    <t> 23.03.1954 22:19 </t>
  </si>
  <si>
    <t> 0.013 </t>
  </si>
  <si>
    <t>2435044.390 </t>
  </si>
  <si>
    <t> 28.10.1954 21:21 </t>
  </si>
  <si>
    <t> 0.015 </t>
  </si>
  <si>
    <t>2435428.405 </t>
  </si>
  <si>
    <t> 16.11.1955 21:43 </t>
  </si>
  <si>
    <t>2436216.630 </t>
  </si>
  <si>
    <t> 13.01.1958 03:07 </t>
  </si>
  <si>
    <t> -0.009 </t>
  </si>
  <si>
    <t>2436597.305 </t>
  </si>
  <si>
    <t> 28.01.1959 19:19 </t>
  </si>
  <si>
    <t> 0.017 </t>
  </si>
  <si>
    <t>2436964.450 </t>
  </si>
  <si>
    <t> 30.01.1960 22:48 </t>
  </si>
  <si>
    <t> -0.013 </t>
  </si>
  <si>
    <t>2437695.450 </t>
  </si>
  <si>
    <t> 30.01.1962 22:48 </t>
  </si>
  <si>
    <t> 0.006 </t>
  </si>
  <si>
    <t>2452308.3600 </t>
  </si>
  <si>
    <t> 02.02.2002 20:38 </t>
  </si>
  <si>
    <t> 0.0347 </t>
  </si>
  <si>
    <t>E </t>
  </si>
  <si>
    <t>o</t>
  </si>
  <si>
    <t> W.Moschner </t>
  </si>
  <si>
    <t>BAVM 158 </t>
  </si>
  <si>
    <t>2453780.4310 </t>
  </si>
  <si>
    <t> 13.02.2006 22:20 </t>
  </si>
  <si>
    <t> 0.0381 </t>
  </si>
  <si>
    <t>C </t>
  </si>
  <si>
    <t>-I</t>
  </si>
  <si>
    <t> F.Agerer </t>
  </si>
  <si>
    <t>BAVM 178 </t>
  </si>
  <si>
    <t>2454154.3438 </t>
  </si>
  <si>
    <t> 22.02.2007 20:15 </t>
  </si>
  <si>
    <t>6305</t>
  </si>
  <si>
    <t> 0.0390 </t>
  </si>
  <si>
    <t>BAVM 186 </t>
  </si>
  <si>
    <t>2454841.5381 </t>
  </si>
  <si>
    <t> 10.01.2009 00:54 </t>
  </si>
  <si>
    <t>6509</t>
  </si>
  <si>
    <t> 0.0439 </t>
  </si>
  <si>
    <t>BAVM 209 </t>
  </si>
  <si>
    <t>2455895.9028 </t>
  </si>
  <si>
    <t> 30.11.2011 09:40 </t>
  </si>
  <si>
    <t>6822</t>
  </si>
  <si>
    <t> 0.0444 </t>
  </si>
  <si>
    <t> R.Diethelm </t>
  </si>
  <si>
    <t>IBVS 6011 </t>
  </si>
  <si>
    <t>V0395 Mon / GSC 00150-01888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</si>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</sst>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V0395 Mon - O-C Diagr.</a:t>
            </a:r>
          </a:p>
        </c:rich>
      </c:tx>
      <c:layout>
        <c:manualLayout>
          <c:xMode val="edge"/>
          <c:yMode val="edge"/>
          <c:x val="0.371041199035640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723926380368099"/>
          <c:w val="0.820514029084813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8-479B-BA1A-E5DB436704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8">
                  <c:v>3.469510000286391E-2</c:v>
                </c:pt>
                <c:pt idx="19">
                  <c:v>3.811419999692589E-2</c:v>
                </c:pt>
                <c:pt idx="20">
                  <c:v>3.9011500004562549E-2</c:v>
                </c:pt>
                <c:pt idx="21">
                  <c:v>4.3868699998711236E-2</c:v>
                </c:pt>
                <c:pt idx="22">
                  <c:v>4.4374600001901854E-2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8-479B-BA1A-E5DB436704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8-479B-BA1A-E5DB436704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5.3616000041074585E-3</c:v>
                </c:pt>
                <c:pt idx="1">
                  <c:v>7.7318000039667822E-3</c:v>
                </c:pt>
                <c:pt idx="2">
                  <c:v>-7.1091999998316169E-3</c:v>
                </c:pt>
                <c:pt idx="3">
                  <c:v>3.9264000042749103E-3</c:v>
                </c:pt>
                <c:pt idx="4">
                  <c:v>3.6056000026292168E-3</c:v>
                </c:pt>
                <c:pt idx="5">
                  <c:v>-4.9999999973806553E-3</c:v>
                </c:pt>
                <c:pt idx="7">
                  <c:v>-2.793829999427544E-2</c:v>
                </c:pt>
                <c:pt idx="8">
                  <c:v>-1.5438999980688095E-3</c:v>
                </c:pt>
                <c:pt idx="9">
                  <c:v>-2.1070000366307795E-4</c:v>
                </c:pt>
                <c:pt idx="10">
                  <c:v>-1.2362099994788878E-2</c:v>
                </c:pt>
                <c:pt idx="11">
                  <c:v>1.2578100002428982E-2</c:v>
                </c:pt>
                <c:pt idx="12">
                  <c:v>1.5157599998929072E-2</c:v>
                </c:pt>
                <c:pt idx="13">
                  <c:v>1.2527799997769762E-2</c:v>
                </c:pt>
                <c:pt idx="14">
                  <c:v>-9.1860000029555522E-3</c:v>
                </c:pt>
                <c:pt idx="15">
                  <c:v>1.6759900005126838E-2</c:v>
                </c:pt>
                <c:pt idx="16">
                  <c:v>-1.2991399999009445E-2</c:v>
                </c:pt>
                <c:pt idx="17">
                  <c:v>6.0816999975941144E-3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F8-479B-BA1A-E5DB436704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F8-479B-BA1A-E5DB436704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F8-479B-BA1A-E5DB436704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8">
                    <c:v>3.2000000000000002E-3</c:v>
                  </c:pt>
                  <c:pt idx="19">
                    <c:v>1.6999999999999999E-3</c:v>
                  </c:pt>
                  <c:pt idx="20">
                    <c:v>1.6999999999999999E-3</c:v>
                  </c:pt>
                  <c:pt idx="21">
                    <c:v>1.4E-3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F8-479B-BA1A-E5DB436704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-1088</c:v>
                </c:pt>
                <c:pt idx="1">
                  <c:v>-974</c:v>
                </c:pt>
                <c:pt idx="2">
                  <c:v>-844</c:v>
                </c:pt>
                <c:pt idx="3">
                  <c:v>-752</c:v>
                </c:pt>
                <c:pt idx="4">
                  <c:v>-8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27</c:v>
                </c:pt>
                <c:pt idx="9">
                  <c:v>551</c:v>
                </c:pt>
                <c:pt idx="10">
                  <c:v>553</c:v>
                </c:pt>
                <c:pt idx="11">
                  <c:v>567</c:v>
                </c:pt>
                <c:pt idx="12">
                  <c:v>632</c:v>
                </c:pt>
                <c:pt idx="13">
                  <c:v>746</c:v>
                </c:pt>
                <c:pt idx="14">
                  <c:v>980</c:v>
                </c:pt>
                <c:pt idx="15">
                  <c:v>1093</c:v>
                </c:pt>
                <c:pt idx="16">
                  <c:v>1202</c:v>
                </c:pt>
                <c:pt idx="17">
                  <c:v>1419</c:v>
                </c:pt>
                <c:pt idx="18">
                  <c:v>5757</c:v>
                </c:pt>
                <c:pt idx="19">
                  <c:v>6194</c:v>
                </c:pt>
                <c:pt idx="20">
                  <c:v>6305</c:v>
                </c:pt>
                <c:pt idx="21">
                  <c:v>6509</c:v>
                </c:pt>
                <c:pt idx="22">
                  <c:v>6822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-7.2422914875477145E-3</c:v>
                </c:pt>
                <c:pt idx="1">
                  <c:v>-6.5402311871562121E-3</c:v>
                </c:pt>
                <c:pt idx="2">
                  <c:v>-5.7396361077623938E-3</c:v>
                </c:pt>
                <c:pt idx="3">
                  <c:v>-5.1730611284990765E-3</c:v>
                </c:pt>
                <c:pt idx="4">
                  <c:v>-5.9119390489137977E-4</c:v>
                </c:pt>
                <c:pt idx="5">
                  <c:v>-5.4192651539022169E-4</c:v>
                </c:pt>
                <c:pt idx="6">
                  <c:v>-5.4192651539022169E-4</c:v>
                </c:pt>
                <c:pt idx="7">
                  <c:v>-4.2491646532497138E-4</c:v>
                </c:pt>
                <c:pt idx="8">
                  <c:v>-3.756490758238133E-4</c:v>
                </c:pt>
                <c:pt idx="9">
                  <c:v>2.8513649365020377E-3</c:v>
                </c:pt>
                <c:pt idx="10">
                  <c:v>2.8636817838773275E-3</c:v>
                </c:pt>
                <c:pt idx="11">
                  <c:v>2.9498997155043539E-3</c:v>
                </c:pt>
                <c:pt idx="12">
                  <c:v>3.350197255201263E-3</c:v>
                </c:pt>
                <c:pt idx="13">
                  <c:v>4.0522575555927646E-3</c:v>
                </c:pt>
                <c:pt idx="14">
                  <c:v>5.4933286985016372E-3</c:v>
                </c:pt>
                <c:pt idx="15">
                  <c:v>6.1892305752054948E-3</c:v>
                </c:pt>
                <c:pt idx="16">
                  <c:v>6.8604987571587728E-3</c:v>
                </c:pt>
                <c:pt idx="17">
                  <c:v>8.1968766973776839E-3</c:v>
                </c:pt>
                <c:pt idx="18">
                  <c:v>3.4912118654380625E-2</c:v>
                </c:pt>
                <c:pt idx="19">
                  <c:v>3.7603349805881384E-2</c:v>
                </c:pt>
                <c:pt idx="20">
                  <c:v>3.8286934835209951E-2</c:v>
                </c:pt>
                <c:pt idx="21">
                  <c:v>3.9543253267489482E-2</c:v>
                </c:pt>
                <c:pt idx="22">
                  <c:v>4.1470839881722288E-2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F8-479B-BA1A-E5DB4367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1080"/>
        <c:axId val="1"/>
      </c:scatterChart>
      <c:valAx>
        <c:axId val="80007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876695842884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66999996041216"/>
          <c:y val="0.92024539877300615"/>
          <c:w val="0.675717390529803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16</xdr:col>
      <xdr:colOff>200025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585A84-5E7A-C1D1-7C5B-0F1B7FE65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58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style="23" customWidth="1"/>
    <col min="2" max="2" width="5.140625" style="23" customWidth="1"/>
    <col min="3" max="3" width="11.85546875" style="23" customWidth="1"/>
    <col min="4" max="4" width="9.42578125" style="23" customWidth="1"/>
    <col min="5" max="5" width="15.42578125" style="23" bestFit="1" customWidth="1"/>
    <col min="6" max="6" width="9.140625" style="23" customWidth="1"/>
    <col min="7" max="7" width="8.140625" style="23" customWidth="1"/>
    <col min="8" max="14" width="8.5703125" style="23" customWidth="1"/>
    <col min="15" max="15" width="8" style="23" customWidth="1"/>
    <col min="16" max="16" width="7.7109375" style="23" customWidth="1"/>
    <col min="17" max="17" width="9.85546875" style="23" customWidth="1"/>
    <col min="18" max="16384" width="10.28515625" style="23"/>
  </cols>
  <sheetData>
    <row r="1" spans="1:7" customFormat="1" ht="20.25" x14ac:dyDescent="0.3">
      <c r="A1" s="22" t="s">
        <v>139</v>
      </c>
    </row>
    <row r="2" spans="1:7" ht="12.95" customHeight="1" x14ac:dyDescent="0.2">
      <c r="A2" s="23" t="s">
        <v>25</v>
      </c>
      <c r="B2" s="23" t="s">
        <v>29</v>
      </c>
    </row>
    <row r="3" spans="1:7" ht="12.95" customHeight="1" thickBot="1" x14ac:dyDescent="0.25"/>
    <row r="4" spans="1:7" ht="12.95" customHeight="1" thickTop="1" thickBot="1" x14ac:dyDescent="0.25">
      <c r="A4" s="24" t="s">
        <v>0</v>
      </c>
      <c r="C4" s="25">
        <v>32915.434999999998</v>
      </c>
      <c r="D4" s="26">
        <v>3.3685757000000001</v>
      </c>
    </row>
    <row r="5" spans="1:7" ht="12.95" customHeight="1" thickTop="1" x14ac:dyDescent="0.2"/>
    <row r="6" spans="1:7" ht="12.95" customHeight="1" x14ac:dyDescent="0.2">
      <c r="A6" s="24" t="s">
        <v>1</v>
      </c>
    </row>
    <row r="7" spans="1:7" ht="12.95" customHeight="1" x14ac:dyDescent="0.2">
      <c r="A7" s="23" t="s">
        <v>2</v>
      </c>
      <c r="C7" s="23">
        <f>+C4</f>
        <v>32915.434999999998</v>
      </c>
    </row>
    <row r="8" spans="1:7" ht="12.95" customHeight="1" x14ac:dyDescent="0.2">
      <c r="A8" s="23" t="s">
        <v>3</v>
      </c>
      <c r="C8" s="23">
        <f>+D4</f>
        <v>3.3685757000000001</v>
      </c>
    </row>
    <row r="9" spans="1:7" ht="12.95" customHeight="1" x14ac:dyDescent="0.2">
      <c r="A9" s="27" t="s">
        <v>33</v>
      </c>
      <c r="C9" s="28">
        <v>-9.5</v>
      </c>
      <c r="D9" s="23" t="s">
        <v>34</v>
      </c>
    </row>
    <row r="10" spans="1:7" ht="12.95" customHeight="1" thickBot="1" x14ac:dyDescent="0.25">
      <c r="C10" s="29" t="s">
        <v>21</v>
      </c>
      <c r="D10" s="29" t="s">
        <v>22</v>
      </c>
    </row>
    <row r="11" spans="1:7" ht="12.95" customHeight="1" x14ac:dyDescent="0.2">
      <c r="A11" s="23" t="s">
        <v>16</v>
      </c>
      <c r="C11" s="30">
        <f ca="1">INTERCEPT(INDIRECT($G$11):G992,INDIRECT($F$11):F992)</f>
        <v>-5.4192651539022169E-4</v>
      </c>
      <c r="D11" s="31"/>
      <c r="F11" s="32" t="str">
        <f>"F"&amp;E19</f>
        <v>F21</v>
      </c>
      <c r="G11" s="30" t="str">
        <f>"G"&amp;E19</f>
        <v>G21</v>
      </c>
    </row>
    <row r="12" spans="1:7" ht="12.95" customHeight="1" x14ac:dyDescent="0.2">
      <c r="A12" s="23" t="s">
        <v>17</v>
      </c>
      <c r="C12" s="30">
        <f ca="1">SLOPE(INDIRECT($G$11):G992,INDIRECT($F$11):F992)</f>
        <v>6.1584236876447541E-6</v>
      </c>
      <c r="D12" s="31"/>
    </row>
    <row r="13" spans="1:7" ht="12.95" customHeight="1" x14ac:dyDescent="0.2">
      <c r="A13" s="23" t="s">
        <v>20</v>
      </c>
      <c r="C13" s="31" t="s">
        <v>14</v>
      </c>
      <c r="D13" s="33" t="s">
        <v>41</v>
      </c>
      <c r="E13" s="28">
        <v>1</v>
      </c>
    </row>
    <row r="14" spans="1:7" ht="12.95" customHeight="1" x14ac:dyDescent="0.2">
      <c r="D14" s="33" t="s">
        <v>35</v>
      </c>
      <c r="E14" s="34">
        <f ca="1">NOW()+15018.5+$C$9/24</f>
        <v>60360.788721874997</v>
      </c>
    </row>
    <row r="15" spans="1:7" ht="12.95" customHeight="1" x14ac:dyDescent="0.2">
      <c r="A15" s="35" t="s">
        <v>18</v>
      </c>
      <c r="C15" s="36">
        <f ca="1">(C7+C11)+(C8+C12)*INT(MAX(F21:F3533))</f>
        <v>55895.899896239876</v>
      </c>
      <c r="D15" s="33" t="s">
        <v>42</v>
      </c>
      <c r="E15" s="34">
        <f ca="1">ROUND(2*(E14-$C$7)/$C$8,0)/2+E13</f>
        <v>8148.5</v>
      </c>
    </row>
    <row r="16" spans="1:7" ht="12.95" customHeight="1" x14ac:dyDescent="0.2">
      <c r="A16" s="24" t="s">
        <v>4</v>
      </c>
      <c r="C16" s="37">
        <f ca="1">+C8+C12</f>
        <v>3.3685818584236875</v>
      </c>
      <c r="D16" s="33" t="s">
        <v>36</v>
      </c>
      <c r="E16" s="30">
        <f ca="1">ROUND(2*(E14-$C$15)/$C$16,0)/2+E13</f>
        <v>1326.5</v>
      </c>
    </row>
    <row r="17" spans="1:17" ht="12.95" customHeight="1" thickBot="1" x14ac:dyDescent="0.25">
      <c r="A17" s="33" t="s">
        <v>31</v>
      </c>
      <c r="C17" s="23">
        <f>COUNT(C21:C2191)</f>
        <v>23</v>
      </c>
      <c r="D17" s="33" t="s">
        <v>37</v>
      </c>
      <c r="E17" s="38">
        <f ca="1">+$C$15+$C$16*E16-15018.5-$C$9/24</f>
        <v>45346.219564772233</v>
      </c>
    </row>
    <row r="18" spans="1:17" ht="12.95" customHeight="1" x14ac:dyDescent="0.2">
      <c r="A18" s="24" t="s">
        <v>5</v>
      </c>
      <c r="C18" s="25">
        <f ca="1">+C15</f>
        <v>55895.899896239876</v>
      </c>
      <c r="D18" s="26">
        <f ca="1">+C16</f>
        <v>3.3685818584236875</v>
      </c>
      <c r="E18" s="39" t="s">
        <v>38</v>
      </c>
    </row>
    <row r="19" spans="1:17" ht="12.95" customHeight="1" thickTop="1" x14ac:dyDescent="0.2">
      <c r="A19" s="40" t="s">
        <v>39</v>
      </c>
      <c r="E19" s="41">
        <v>21</v>
      </c>
    </row>
    <row r="20" spans="1:17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42" t="s">
        <v>12</v>
      </c>
      <c r="I20" s="42" t="s">
        <v>48</v>
      </c>
      <c r="J20" s="42" t="s">
        <v>19</v>
      </c>
      <c r="K20" s="42" t="s">
        <v>140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29" t="s">
        <v>15</v>
      </c>
    </row>
    <row r="21" spans="1:17" ht="12.95" customHeight="1" x14ac:dyDescent="0.2">
      <c r="A21" s="44" t="s">
        <v>62</v>
      </c>
      <c r="B21" s="45" t="s">
        <v>44</v>
      </c>
      <c r="C21" s="44">
        <v>29250.43</v>
      </c>
      <c r="D21" s="46"/>
      <c r="E21" s="23">
        <f t="shared" ref="E21:E43" si="0">+(C21-C$7)/C$8</f>
        <v>-1087.9984083480733</v>
      </c>
      <c r="F21" s="23">
        <f t="shared" ref="F21:F43" si="1">ROUND(2*E21,0)/2</f>
        <v>-1088</v>
      </c>
      <c r="G21" s="23">
        <f t="shared" ref="G21:G43" si="2">+C21-(C$7+F21*C$8)</f>
        <v>5.3616000041074585E-3</v>
      </c>
      <c r="K21" s="23">
        <f t="shared" ref="K21:K26" si="3">+G21</f>
        <v>5.3616000041074585E-3</v>
      </c>
      <c r="O21" s="23">
        <f t="shared" ref="O21:O43" ca="1" si="4">+C$11+C$12*$F21</f>
        <v>-7.2422914875477145E-3</v>
      </c>
      <c r="Q21" s="47">
        <f t="shared" ref="Q21:Q43" si="5">+C21-15018.5</f>
        <v>14231.93</v>
      </c>
    </row>
    <row r="22" spans="1:17" ht="12.95" customHeight="1" x14ac:dyDescent="0.2">
      <c r="A22" s="44" t="s">
        <v>62</v>
      </c>
      <c r="B22" s="45" t="s">
        <v>44</v>
      </c>
      <c r="C22" s="44">
        <v>29634.45</v>
      </c>
      <c r="D22" s="46"/>
      <c r="E22" s="23">
        <f t="shared" si="0"/>
        <v>-973.9977047272522</v>
      </c>
      <c r="F22" s="23">
        <f t="shared" si="1"/>
        <v>-974</v>
      </c>
      <c r="G22" s="23">
        <f t="shared" si="2"/>
        <v>7.7318000039667822E-3</v>
      </c>
      <c r="K22" s="23">
        <f t="shared" si="3"/>
        <v>7.7318000039667822E-3</v>
      </c>
      <c r="O22" s="23">
        <f t="shared" ca="1" si="4"/>
        <v>-6.5402311871562121E-3</v>
      </c>
      <c r="Q22" s="47">
        <f t="shared" si="5"/>
        <v>14615.95</v>
      </c>
    </row>
    <row r="23" spans="1:17" ht="12.95" customHeight="1" x14ac:dyDescent="0.2">
      <c r="A23" s="44" t="s">
        <v>62</v>
      </c>
      <c r="B23" s="45" t="s">
        <v>44</v>
      </c>
      <c r="C23" s="44">
        <v>30072.35</v>
      </c>
      <c r="D23" s="31"/>
      <c r="E23" s="23">
        <f t="shared" si="0"/>
        <v>-844.00211044685716</v>
      </c>
      <c r="F23" s="23">
        <f t="shared" si="1"/>
        <v>-844</v>
      </c>
      <c r="G23" s="23">
        <f t="shared" si="2"/>
        <v>-7.1091999998316169E-3</v>
      </c>
      <c r="K23" s="23">
        <f t="shared" si="3"/>
        <v>-7.1091999998316169E-3</v>
      </c>
      <c r="O23" s="23">
        <f t="shared" ca="1" si="4"/>
        <v>-5.7396361077623938E-3</v>
      </c>
      <c r="Q23" s="47">
        <f t="shared" si="5"/>
        <v>15053.849999999999</v>
      </c>
    </row>
    <row r="24" spans="1:17" ht="12.95" customHeight="1" x14ac:dyDescent="0.2">
      <c r="A24" s="44" t="s">
        <v>62</v>
      </c>
      <c r="B24" s="45" t="s">
        <v>44</v>
      </c>
      <c r="C24" s="44">
        <v>30382.27</v>
      </c>
      <c r="D24" s="31"/>
      <c r="E24" s="23">
        <f t="shared" si="0"/>
        <v>-751.99883440351277</v>
      </c>
      <c r="F24" s="23">
        <f t="shared" si="1"/>
        <v>-752</v>
      </c>
      <c r="G24" s="23">
        <f t="shared" si="2"/>
        <v>3.9264000042749103E-3</v>
      </c>
      <c r="K24" s="23">
        <f t="shared" si="3"/>
        <v>3.9264000042749103E-3</v>
      </c>
      <c r="O24" s="23">
        <f t="shared" ca="1" si="4"/>
        <v>-5.1730611284990765E-3</v>
      </c>
      <c r="Q24" s="47">
        <f t="shared" si="5"/>
        <v>15363.77</v>
      </c>
    </row>
    <row r="25" spans="1:17" ht="12.95" customHeight="1" x14ac:dyDescent="0.2">
      <c r="A25" s="44" t="s">
        <v>62</v>
      </c>
      <c r="B25" s="45" t="s">
        <v>44</v>
      </c>
      <c r="C25" s="44">
        <v>32888.49</v>
      </c>
      <c r="D25" s="31"/>
      <c r="E25" s="23">
        <f t="shared" si="0"/>
        <v>-7.9989296366412983</v>
      </c>
      <c r="F25" s="23">
        <f t="shared" si="1"/>
        <v>-8</v>
      </c>
      <c r="G25" s="23">
        <f t="shared" si="2"/>
        <v>3.6056000026292168E-3</v>
      </c>
      <c r="K25" s="23">
        <f t="shared" si="3"/>
        <v>3.6056000026292168E-3</v>
      </c>
      <c r="O25" s="23">
        <f t="shared" ca="1" si="4"/>
        <v>-5.9119390489137977E-4</v>
      </c>
      <c r="Q25" s="47">
        <f t="shared" si="5"/>
        <v>17869.989999999998</v>
      </c>
    </row>
    <row r="26" spans="1:17" ht="12.95" customHeight="1" x14ac:dyDescent="0.2">
      <c r="A26" s="44" t="s">
        <v>62</v>
      </c>
      <c r="B26" s="45" t="s">
        <v>44</v>
      </c>
      <c r="C26" s="44">
        <v>32915.43</v>
      </c>
      <c r="D26" s="31"/>
      <c r="E26" s="23">
        <f t="shared" si="0"/>
        <v>-1.4843068533032092E-3</v>
      </c>
      <c r="F26" s="23">
        <f t="shared" si="1"/>
        <v>0</v>
      </c>
      <c r="G26" s="23">
        <f t="shared" si="2"/>
        <v>-4.9999999973806553E-3</v>
      </c>
      <c r="K26" s="23">
        <f t="shared" si="3"/>
        <v>-4.9999999973806553E-3</v>
      </c>
      <c r="O26" s="23">
        <f t="shared" ca="1" si="4"/>
        <v>-5.4192651539022169E-4</v>
      </c>
      <c r="Q26" s="47">
        <f t="shared" si="5"/>
        <v>17896.93</v>
      </c>
    </row>
    <row r="27" spans="1:17" ht="12.95" customHeight="1" x14ac:dyDescent="0.2">
      <c r="A27" s="23" t="s">
        <v>12</v>
      </c>
      <c r="C27" s="46">
        <v>32915.434999999998</v>
      </c>
      <c r="D27" s="46" t="s">
        <v>14</v>
      </c>
      <c r="E27" s="23">
        <f t="shared" si="0"/>
        <v>0</v>
      </c>
      <c r="F27" s="23">
        <f t="shared" si="1"/>
        <v>0</v>
      </c>
      <c r="G27" s="23">
        <f t="shared" si="2"/>
        <v>0</v>
      </c>
      <c r="H27" s="23">
        <f>+G27</f>
        <v>0</v>
      </c>
      <c r="O27" s="23">
        <f t="shared" ca="1" si="4"/>
        <v>-5.4192651539022169E-4</v>
      </c>
      <c r="Q27" s="47">
        <f t="shared" si="5"/>
        <v>17896.934999999998</v>
      </c>
    </row>
    <row r="28" spans="1:17" ht="12.95" customHeight="1" x14ac:dyDescent="0.2">
      <c r="A28" s="44" t="s">
        <v>62</v>
      </c>
      <c r="B28" s="45" t="s">
        <v>44</v>
      </c>
      <c r="C28" s="44">
        <v>32979.410000000003</v>
      </c>
      <c r="D28" s="31"/>
      <c r="E28" s="23">
        <f t="shared" si="0"/>
        <v>18.991706197965456</v>
      </c>
      <c r="F28" s="23">
        <f t="shared" si="1"/>
        <v>19</v>
      </c>
      <c r="G28" s="23">
        <f t="shared" si="2"/>
        <v>-2.793829999427544E-2</v>
      </c>
      <c r="K28" s="23">
        <f t="shared" ref="K28:K38" si="6">+G28</f>
        <v>-2.793829999427544E-2</v>
      </c>
      <c r="O28" s="23">
        <f t="shared" ca="1" si="4"/>
        <v>-4.2491646532497138E-4</v>
      </c>
      <c r="Q28" s="47">
        <f t="shared" si="5"/>
        <v>17960.910000000003</v>
      </c>
    </row>
    <row r="29" spans="1:17" ht="12.95" customHeight="1" x14ac:dyDescent="0.2">
      <c r="A29" s="44" t="s">
        <v>62</v>
      </c>
      <c r="B29" s="45" t="s">
        <v>44</v>
      </c>
      <c r="C29" s="44">
        <v>33006.385000000002</v>
      </c>
      <c r="D29" s="31"/>
      <c r="E29" s="23">
        <f t="shared" si="0"/>
        <v>26.999541675730892</v>
      </c>
      <c r="F29" s="23">
        <f t="shared" si="1"/>
        <v>27</v>
      </c>
      <c r="G29" s="23">
        <f t="shared" si="2"/>
        <v>-1.5438999980688095E-3</v>
      </c>
      <c r="K29" s="23">
        <f t="shared" si="6"/>
        <v>-1.5438999980688095E-3</v>
      </c>
      <c r="O29" s="23">
        <f t="shared" ca="1" si="4"/>
        <v>-3.756490758238133E-4</v>
      </c>
      <c r="Q29" s="47">
        <f t="shared" si="5"/>
        <v>17987.885000000002</v>
      </c>
    </row>
    <row r="30" spans="1:17" ht="12.95" customHeight="1" x14ac:dyDescent="0.2">
      <c r="A30" s="44" t="s">
        <v>62</v>
      </c>
      <c r="B30" s="45" t="s">
        <v>44</v>
      </c>
      <c r="C30" s="44">
        <v>34771.519999999997</v>
      </c>
      <c r="D30" s="31"/>
      <c r="E30" s="23">
        <f t="shared" si="0"/>
        <v>550.99993745130894</v>
      </c>
      <c r="F30" s="23">
        <f t="shared" si="1"/>
        <v>551</v>
      </c>
      <c r="G30" s="23">
        <f t="shared" si="2"/>
        <v>-2.1070000366307795E-4</v>
      </c>
      <c r="K30" s="23">
        <f t="shared" si="6"/>
        <v>-2.1070000366307795E-4</v>
      </c>
      <c r="O30" s="23">
        <f t="shared" ca="1" si="4"/>
        <v>2.8513649365020377E-3</v>
      </c>
      <c r="Q30" s="47">
        <f t="shared" si="5"/>
        <v>19753.019999999997</v>
      </c>
    </row>
    <row r="31" spans="1:17" ht="12.95" customHeight="1" x14ac:dyDescent="0.2">
      <c r="A31" s="44" t="s">
        <v>62</v>
      </c>
      <c r="B31" s="45" t="s">
        <v>44</v>
      </c>
      <c r="C31" s="44">
        <v>34778.245000000003</v>
      </c>
      <c r="D31" s="31"/>
      <c r="E31" s="23">
        <f t="shared" si="0"/>
        <v>552.9963301700493</v>
      </c>
      <c r="F31" s="23">
        <f t="shared" si="1"/>
        <v>553</v>
      </c>
      <c r="G31" s="23">
        <f t="shared" si="2"/>
        <v>-1.2362099994788878E-2</v>
      </c>
      <c r="K31" s="23">
        <f t="shared" si="6"/>
        <v>-1.2362099994788878E-2</v>
      </c>
      <c r="O31" s="23">
        <f t="shared" ca="1" si="4"/>
        <v>2.8636817838773275E-3</v>
      </c>
      <c r="Q31" s="47">
        <f t="shared" si="5"/>
        <v>19759.745000000003</v>
      </c>
    </row>
    <row r="32" spans="1:17" ht="12.95" customHeight="1" x14ac:dyDescent="0.2">
      <c r="A32" s="44" t="s">
        <v>62</v>
      </c>
      <c r="B32" s="45" t="s">
        <v>44</v>
      </c>
      <c r="C32" s="44">
        <v>34825.43</v>
      </c>
      <c r="D32" s="31"/>
      <c r="E32" s="23">
        <f t="shared" si="0"/>
        <v>567.00373395200904</v>
      </c>
      <c r="F32" s="23">
        <f t="shared" si="1"/>
        <v>567</v>
      </c>
      <c r="G32" s="23">
        <f t="shared" si="2"/>
        <v>1.2578100002428982E-2</v>
      </c>
      <c r="K32" s="23">
        <f t="shared" si="6"/>
        <v>1.2578100002428982E-2</v>
      </c>
      <c r="O32" s="23">
        <f t="shared" ca="1" si="4"/>
        <v>2.9498997155043539E-3</v>
      </c>
      <c r="Q32" s="47">
        <f t="shared" si="5"/>
        <v>19806.93</v>
      </c>
    </row>
    <row r="33" spans="1:17" ht="12.95" customHeight="1" x14ac:dyDescent="0.2">
      <c r="A33" s="44" t="s">
        <v>62</v>
      </c>
      <c r="B33" s="45" t="s">
        <v>44</v>
      </c>
      <c r="C33" s="44">
        <v>35044.39</v>
      </c>
      <c r="D33" s="31"/>
      <c r="E33" s="23">
        <f t="shared" si="0"/>
        <v>632.00449970591478</v>
      </c>
      <c r="F33" s="23">
        <f t="shared" si="1"/>
        <v>632</v>
      </c>
      <c r="G33" s="23">
        <f t="shared" si="2"/>
        <v>1.5157599998929072E-2</v>
      </c>
      <c r="K33" s="23">
        <f t="shared" si="6"/>
        <v>1.5157599998929072E-2</v>
      </c>
      <c r="O33" s="23">
        <f t="shared" ca="1" si="4"/>
        <v>3.350197255201263E-3</v>
      </c>
      <c r="Q33" s="47">
        <f t="shared" si="5"/>
        <v>20025.89</v>
      </c>
    </row>
    <row r="34" spans="1:17" ht="12.95" customHeight="1" x14ac:dyDescent="0.2">
      <c r="A34" s="44" t="s">
        <v>62</v>
      </c>
      <c r="B34" s="45" t="s">
        <v>44</v>
      </c>
      <c r="C34" s="44">
        <v>35428.404999999999</v>
      </c>
      <c r="D34" s="31"/>
      <c r="E34" s="23">
        <f t="shared" si="0"/>
        <v>746.0037190198816</v>
      </c>
      <c r="F34" s="23">
        <f t="shared" si="1"/>
        <v>746</v>
      </c>
      <c r="G34" s="23">
        <f t="shared" si="2"/>
        <v>1.2527799997769762E-2</v>
      </c>
      <c r="K34" s="23">
        <f t="shared" si="6"/>
        <v>1.2527799997769762E-2</v>
      </c>
      <c r="O34" s="23">
        <f t="shared" ca="1" si="4"/>
        <v>4.0522575555927646E-3</v>
      </c>
      <c r="Q34" s="47">
        <f t="shared" si="5"/>
        <v>20409.904999999999</v>
      </c>
    </row>
    <row r="35" spans="1:17" ht="12.95" customHeight="1" x14ac:dyDescent="0.2">
      <c r="A35" s="44" t="s">
        <v>62</v>
      </c>
      <c r="B35" s="45" t="s">
        <v>44</v>
      </c>
      <c r="C35" s="44">
        <v>36216.629999999997</v>
      </c>
      <c r="D35" s="31"/>
      <c r="E35" s="23">
        <f t="shared" si="0"/>
        <v>979.99727303144755</v>
      </c>
      <c r="F35" s="23">
        <f t="shared" si="1"/>
        <v>980</v>
      </c>
      <c r="G35" s="23">
        <f t="shared" si="2"/>
        <v>-9.1860000029555522E-3</v>
      </c>
      <c r="K35" s="23">
        <f t="shared" si="6"/>
        <v>-9.1860000029555522E-3</v>
      </c>
      <c r="O35" s="23">
        <f t="shared" ca="1" si="4"/>
        <v>5.4933286985016372E-3</v>
      </c>
      <c r="Q35" s="47">
        <f t="shared" si="5"/>
        <v>21198.129999999997</v>
      </c>
    </row>
    <row r="36" spans="1:17" ht="12.95" customHeight="1" x14ac:dyDescent="0.2">
      <c r="A36" s="44" t="s">
        <v>62</v>
      </c>
      <c r="B36" s="45" t="s">
        <v>44</v>
      </c>
      <c r="C36" s="44">
        <v>36597.305</v>
      </c>
      <c r="D36" s="31"/>
      <c r="E36" s="23">
        <f t="shared" si="0"/>
        <v>1093.0049753668895</v>
      </c>
      <c r="F36" s="23">
        <f t="shared" si="1"/>
        <v>1093</v>
      </c>
      <c r="G36" s="23">
        <f t="shared" si="2"/>
        <v>1.6759900005126838E-2</v>
      </c>
      <c r="K36" s="23">
        <f t="shared" si="6"/>
        <v>1.6759900005126838E-2</v>
      </c>
      <c r="O36" s="23">
        <f t="shared" ca="1" si="4"/>
        <v>6.1892305752054948E-3</v>
      </c>
      <c r="Q36" s="47">
        <f t="shared" si="5"/>
        <v>21578.805</v>
      </c>
    </row>
    <row r="37" spans="1:17" ht="12.95" customHeight="1" x14ac:dyDescent="0.2">
      <c r="A37" s="44" t="s">
        <v>62</v>
      </c>
      <c r="B37" s="45" t="s">
        <v>44</v>
      </c>
      <c r="C37" s="44">
        <v>36964.449999999997</v>
      </c>
      <c r="D37" s="31"/>
      <c r="E37" s="23">
        <f t="shared" si="0"/>
        <v>1201.9961433551871</v>
      </c>
      <c r="F37" s="23">
        <f t="shared" si="1"/>
        <v>1202</v>
      </c>
      <c r="G37" s="23">
        <f t="shared" si="2"/>
        <v>-1.2991399999009445E-2</v>
      </c>
      <c r="K37" s="23">
        <f t="shared" si="6"/>
        <v>-1.2991399999009445E-2</v>
      </c>
      <c r="O37" s="23">
        <f t="shared" ca="1" si="4"/>
        <v>6.8604987571587728E-3</v>
      </c>
      <c r="Q37" s="47">
        <f t="shared" si="5"/>
        <v>21945.949999999997</v>
      </c>
    </row>
    <row r="38" spans="1:17" ht="12.95" customHeight="1" x14ac:dyDescent="0.2">
      <c r="A38" s="44" t="s">
        <v>62</v>
      </c>
      <c r="B38" s="45" t="s">
        <v>44</v>
      </c>
      <c r="C38" s="44">
        <v>37695.449999999997</v>
      </c>
      <c r="D38" s="31"/>
      <c r="E38" s="23">
        <f t="shared" si="0"/>
        <v>1419.0018054217987</v>
      </c>
      <c r="F38" s="23">
        <f t="shared" si="1"/>
        <v>1419</v>
      </c>
      <c r="G38" s="23">
        <f t="shared" si="2"/>
        <v>6.0816999975941144E-3</v>
      </c>
      <c r="K38" s="23">
        <f t="shared" si="6"/>
        <v>6.0816999975941144E-3</v>
      </c>
      <c r="O38" s="23">
        <f t="shared" ca="1" si="4"/>
        <v>8.1968766973776839E-3</v>
      </c>
      <c r="Q38" s="47">
        <f t="shared" si="5"/>
        <v>22676.949999999997</v>
      </c>
    </row>
    <row r="39" spans="1:17" ht="12.95" customHeight="1" x14ac:dyDescent="0.2">
      <c r="A39" s="3" t="s">
        <v>30</v>
      </c>
      <c r="B39" s="2"/>
      <c r="C39" s="6">
        <v>52308.36</v>
      </c>
      <c r="D39" s="6">
        <v>3.2000000000000002E-3</v>
      </c>
      <c r="E39" s="23">
        <f t="shared" si="0"/>
        <v>5757.0102996349469</v>
      </c>
      <c r="F39" s="23">
        <f t="shared" si="1"/>
        <v>5757</v>
      </c>
      <c r="G39" s="23">
        <f t="shared" si="2"/>
        <v>3.469510000286391E-2</v>
      </c>
      <c r="I39" s="23">
        <f>+G39</f>
        <v>3.469510000286391E-2</v>
      </c>
      <c r="O39" s="23">
        <f t="shared" ca="1" si="4"/>
        <v>3.4912118654380625E-2</v>
      </c>
      <c r="Q39" s="47">
        <f t="shared" si="5"/>
        <v>37289.86</v>
      </c>
    </row>
    <row r="40" spans="1:17" ht="12.95" customHeight="1" x14ac:dyDescent="0.2">
      <c r="A40" s="23" t="s">
        <v>32</v>
      </c>
      <c r="B40" s="48"/>
      <c r="C40" s="46">
        <v>53780.430999999997</v>
      </c>
      <c r="D40" s="46">
        <v>1.6999999999999999E-3</v>
      </c>
      <c r="E40" s="23">
        <f t="shared" si="0"/>
        <v>6194.0113146336589</v>
      </c>
      <c r="F40" s="23">
        <f t="shared" si="1"/>
        <v>6194</v>
      </c>
      <c r="G40" s="23">
        <f t="shared" si="2"/>
        <v>3.811419999692589E-2</v>
      </c>
      <c r="I40" s="23">
        <f>+G40</f>
        <v>3.811419999692589E-2</v>
      </c>
      <c r="O40" s="23">
        <f t="shared" ca="1" si="4"/>
        <v>3.7603349805881384E-2</v>
      </c>
      <c r="Q40" s="47">
        <f t="shared" si="5"/>
        <v>38761.930999999997</v>
      </c>
    </row>
    <row r="41" spans="1:17" ht="12.95" customHeight="1" x14ac:dyDescent="0.2">
      <c r="A41" s="49" t="s">
        <v>40</v>
      </c>
      <c r="B41" s="50"/>
      <c r="C41" s="49">
        <v>54154.343800000002</v>
      </c>
      <c r="D41" s="49">
        <v>1.6999999999999999E-3</v>
      </c>
      <c r="E41" s="23">
        <f t="shared" si="0"/>
        <v>6305.0115810073685</v>
      </c>
      <c r="F41" s="23">
        <f t="shared" si="1"/>
        <v>6305</v>
      </c>
      <c r="G41" s="23">
        <f t="shared" si="2"/>
        <v>3.9011500004562549E-2</v>
      </c>
      <c r="I41" s="23">
        <f>+G41</f>
        <v>3.9011500004562549E-2</v>
      </c>
      <c r="O41" s="23">
        <f t="shared" ca="1" si="4"/>
        <v>3.8286934835209951E-2</v>
      </c>
      <c r="Q41" s="47">
        <f t="shared" si="5"/>
        <v>39135.843800000002</v>
      </c>
    </row>
    <row r="42" spans="1:17" ht="12.95" customHeight="1" x14ac:dyDescent="0.2">
      <c r="A42" s="7" t="s">
        <v>43</v>
      </c>
      <c r="B42" s="8" t="s">
        <v>44</v>
      </c>
      <c r="C42" s="7">
        <v>54841.538099999998</v>
      </c>
      <c r="D42" s="51">
        <v>1.4E-3</v>
      </c>
      <c r="E42" s="23">
        <f t="shared" si="0"/>
        <v>6509.0130229224178</v>
      </c>
      <c r="F42" s="23">
        <f t="shared" si="1"/>
        <v>6509</v>
      </c>
      <c r="G42" s="23">
        <f t="shared" si="2"/>
        <v>4.3868699998711236E-2</v>
      </c>
      <c r="I42" s="23">
        <f>+G42</f>
        <v>4.3868699998711236E-2</v>
      </c>
      <c r="O42" s="23">
        <f t="shared" ca="1" si="4"/>
        <v>3.9543253267489482E-2</v>
      </c>
      <c r="Q42" s="47">
        <f t="shared" si="5"/>
        <v>39823.038099999998</v>
      </c>
    </row>
    <row r="43" spans="1:17" ht="12.95" customHeight="1" x14ac:dyDescent="0.2">
      <c r="A43" s="7" t="s">
        <v>45</v>
      </c>
      <c r="B43" s="8" t="s">
        <v>44</v>
      </c>
      <c r="C43" s="7">
        <v>55895.902800000003</v>
      </c>
      <c r="D43" s="7">
        <v>4.0000000000000002E-4</v>
      </c>
      <c r="E43" s="23">
        <f t="shared" si="0"/>
        <v>6822.0131731045867</v>
      </c>
      <c r="F43" s="23">
        <f t="shared" si="1"/>
        <v>6822</v>
      </c>
      <c r="G43" s="23">
        <f t="shared" si="2"/>
        <v>4.4374600001901854E-2</v>
      </c>
      <c r="I43" s="23">
        <f>+G43</f>
        <v>4.4374600001901854E-2</v>
      </c>
      <c r="O43" s="23">
        <f t="shared" ca="1" si="4"/>
        <v>4.1470839881722288E-2</v>
      </c>
      <c r="Q43" s="47">
        <f t="shared" si="5"/>
        <v>40877.402800000003</v>
      </c>
    </row>
    <row r="44" spans="1:17" ht="12.95" customHeight="1" x14ac:dyDescent="0.2">
      <c r="B44" s="31"/>
      <c r="D44" s="31"/>
    </row>
    <row r="45" spans="1:17" ht="12.95" customHeight="1" x14ac:dyDescent="0.2">
      <c r="D45" s="31"/>
    </row>
    <row r="46" spans="1:17" ht="12.95" customHeight="1" x14ac:dyDescent="0.2">
      <c r="D46" s="31"/>
    </row>
    <row r="47" spans="1:17" ht="12.95" customHeight="1" x14ac:dyDescent="0.2">
      <c r="D47" s="31"/>
    </row>
    <row r="48" spans="1:17" ht="12.95" customHeight="1" x14ac:dyDescent="0.2">
      <c r="D48" s="31"/>
    </row>
    <row r="49" spans="4:4" ht="12.95" customHeight="1" x14ac:dyDescent="0.2">
      <c r="D49" s="31"/>
    </row>
    <row r="50" spans="4:4" ht="12.95" customHeight="1" x14ac:dyDescent="0.2">
      <c r="D50" s="31"/>
    </row>
    <row r="51" spans="4:4" ht="12.95" customHeight="1" x14ac:dyDescent="0.2">
      <c r="D51" s="31"/>
    </row>
    <row r="52" spans="4:4" ht="12.95" customHeight="1" x14ac:dyDescent="0.2">
      <c r="D52" s="3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7" workbookViewId="0">
      <selection activeCell="A16" sqref="A16:C32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46</v>
      </c>
      <c r="I1" s="10" t="s">
        <v>47</v>
      </c>
      <c r="J1" s="11" t="s">
        <v>48</v>
      </c>
    </row>
    <row r="2" spans="1:16" x14ac:dyDescent="0.2">
      <c r="I2" s="12" t="s">
        <v>49</v>
      </c>
      <c r="J2" s="13" t="s">
        <v>50</v>
      </c>
    </row>
    <row r="3" spans="1:16" x14ac:dyDescent="0.2">
      <c r="A3" s="14" t="s">
        <v>51</v>
      </c>
      <c r="I3" s="12" t="s">
        <v>52</v>
      </c>
      <c r="J3" s="13" t="s">
        <v>53</v>
      </c>
    </row>
    <row r="4" spans="1:16" x14ac:dyDescent="0.2">
      <c r="I4" s="12" t="s">
        <v>54</v>
      </c>
      <c r="J4" s="13" t="s">
        <v>53</v>
      </c>
    </row>
    <row r="5" spans="1:16" ht="13.5" thickBot="1" x14ac:dyDescent="0.25">
      <c r="I5" s="15" t="s">
        <v>55</v>
      </c>
      <c r="J5" s="16" t="s">
        <v>56</v>
      </c>
    </row>
    <row r="10" spans="1:16" ht="13.5" thickBot="1" x14ac:dyDescent="0.25"/>
    <row r="11" spans="1:16" ht="12.75" customHeight="1" thickBot="1" x14ac:dyDescent="0.25">
      <c r="A11" s="5" t="str">
        <f t="shared" ref="A11:A32" si="0">P11</f>
        <v>BAVM 158 </v>
      </c>
      <c r="B11" s="1" t="str">
        <f t="shared" ref="B11:B32" si="1">IF(H11=INT(H11),"I","II")</f>
        <v>I</v>
      </c>
      <c r="C11" s="5">
        <f t="shared" ref="C11:C32" si="2">1*G11</f>
        <v>52308.36</v>
      </c>
      <c r="D11" s="4" t="str">
        <f t="shared" ref="D11:D32" si="3">VLOOKUP(F11,I$1:J$5,2,FALSE)</f>
        <v>vis</v>
      </c>
      <c r="E11" s="17">
        <f>VLOOKUP(C11,Active!C$21:E$973,3,FALSE)</f>
        <v>5757.0102996349469</v>
      </c>
      <c r="F11" s="1" t="s">
        <v>55</v>
      </c>
      <c r="G11" s="4" t="str">
        <f t="shared" ref="G11:G32" si="4">MID(I11,3,LEN(I11)-3)</f>
        <v>52308.3600</v>
      </c>
      <c r="H11" s="5">
        <f t="shared" ref="H11:H32" si="5">1*K11</f>
        <v>5757</v>
      </c>
      <c r="I11" s="18" t="s">
        <v>109</v>
      </c>
      <c r="J11" s="19" t="s">
        <v>110</v>
      </c>
      <c r="K11" s="18">
        <v>5757</v>
      </c>
      <c r="L11" s="18" t="s">
        <v>111</v>
      </c>
      <c r="M11" s="19" t="s">
        <v>112</v>
      </c>
      <c r="N11" s="19" t="s">
        <v>113</v>
      </c>
      <c r="O11" s="20" t="s">
        <v>114</v>
      </c>
      <c r="P11" s="21" t="s">
        <v>115</v>
      </c>
    </row>
    <row r="12" spans="1:16" ht="12.75" customHeight="1" thickBot="1" x14ac:dyDescent="0.25">
      <c r="A12" s="5" t="str">
        <f t="shared" si="0"/>
        <v>BAVM 178 </v>
      </c>
      <c r="B12" s="1" t="str">
        <f t="shared" si="1"/>
        <v>I</v>
      </c>
      <c r="C12" s="5">
        <f t="shared" si="2"/>
        <v>53780.430999999997</v>
      </c>
      <c r="D12" s="4" t="str">
        <f t="shared" si="3"/>
        <v>vis</v>
      </c>
      <c r="E12" s="17">
        <f>VLOOKUP(C12,Active!C$21:E$973,3,FALSE)</f>
        <v>6194.0113146336589</v>
      </c>
      <c r="F12" s="1" t="s">
        <v>55</v>
      </c>
      <c r="G12" s="4" t="str">
        <f t="shared" si="4"/>
        <v>53780.4310</v>
      </c>
      <c r="H12" s="5">
        <f t="shared" si="5"/>
        <v>6194</v>
      </c>
      <c r="I12" s="18" t="s">
        <v>116</v>
      </c>
      <c r="J12" s="19" t="s">
        <v>117</v>
      </c>
      <c r="K12" s="18">
        <v>6194</v>
      </c>
      <c r="L12" s="18" t="s">
        <v>118</v>
      </c>
      <c r="M12" s="19" t="s">
        <v>119</v>
      </c>
      <c r="N12" s="19" t="s">
        <v>120</v>
      </c>
      <c r="O12" s="20" t="s">
        <v>121</v>
      </c>
      <c r="P12" s="21" t="s">
        <v>122</v>
      </c>
    </row>
    <row r="13" spans="1:16" ht="12.75" customHeight="1" thickBot="1" x14ac:dyDescent="0.25">
      <c r="A13" s="5" t="str">
        <f t="shared" si="0"/>
        <v>BAVM 186 </v>
      </c>
      <c r="B13" s="1" t="str">
        <f t="shared" si="1"/>
        <v>I</v>
      </c>
      <c r="C13" s="5">
        <f t="shared" si="2"/>
        <v>54154.343800000002</v>
      </c>
      <c r="D13" s="4" t="str">
        <f t="shared" si="3"/>
        <v>vis</v>
      </c>
      <c r="E13" s="17">
        <f>VLOOKUP(C13,Active!C$21:E$973,3,FALSE)</f>
        <v>6305.0115810073685</v>
      </c>
      <c r="F13" s="1" t="s">
        <v>55</v>
      </c>
      <c r="G13" s="4" t="str">
        <f t="shared" si="4"/>
        <v>54154.3438</v>
      </c>
      <c r="H13" s="5">
        <f t="shared" si="5"/>
        <v>6305</v>
      </c>
      <c r="I13" s="18" t="s">
        <v>123</v>
      </c>
      <c r="J13" s="19" t="s">
        <v>124</v>
      </c>
      <c r="K13" s="18" t="s">
        <v>125</v>
      </c>
      <c r="L13" s="18" t="s">
        <v>126</v>
      </c>
      <c r="M13" s="19" t="s">
        <v>119</v>
      </c>
      <c r="N13" s="19" t="s">
        <v>120</v>
      </c>
      <c r="O13" s="20" t="s">
        <v>121</v>
      </c>
      <c r="P13" s="21" t="s">
        <v>127</v>
      </c>
    </row>
    <row r="14" spans="1:16" ht="12.75" customHeight="1" thickBot="1" x14ac:dyDescent="0.25">
      <c r="A14" s="5" t="str">
        <f t="shared" si="0"/>
        <v>BAVM 209 </v>
      </c>
      <c r="B14" s="1" t="str">
        <f t="shared" si="1"/>
        <v>I</v>
      </c>
      <c r="C14" s="5">
        <f t="shared" si="2"/>
        <v>54841.538099999998</v>
      </c>
      <c r="D14" s="4" t="str">
        <f t="shared" si="3"/>
        <v>vis</v>
      </c>
      <c r="E14" s="17">
        <f>VLOOKUP(C14,Active!C$21:E$973,3,FALSE)</f>
        <v>6509.0130229224178</v>
      </c>
      <c r="F14" s="1" t="s">
        <v>55</v>
      </c>
      <c r="G14" s="4" t="str">
        <f t="shared" si="4"/>
        <v>54841.5381</v>
      </c>
      <c r="H14" s="5">
        <f t="shared" si="5"/>
        <v>6509</v>
      </c>
      <c r="I14" s="18" t="s">
        <v>128</v>
      </c>
      <c r="J14" s="19" t="s">
        <v>129</v>
      </c>
      <c r="K14" s="18" t="s">
        <v>130</v>
      </c>
      <c r="L14" s="18" t="s">
        <v>131</v>
      </c>
      <c r="M14" s="19" t="s">
        <v>119</v>
      </c>
      <c r="N14" s="19" t="s">
        <v>120</v>
      </c>
      <c r="O14" s="20" t="s">
        <v>121</v>
      </c>
      <c r="P14" s="21" t="s">
        <v>132</v>
      </c>
    </row>
    <row r="15" spans="1:16" ht="12.75" customHeight="1" thickBot="1" x14ac:dyDescent="0.25">
      <c r="A15" s="5" t="str">
        <f t="shared" si="0"/>
        <v>IBVS 6011 </v>
      </c>
      <c r="B15" s="1" t="str">
        <f t="shared" si="1"/>
        <v>I</v>
      </c>
      <c r="C15" s="5">
        <f t="shared" si="2"/>
        <v>55895.902800000003</v>
      </c>
      <c r="D15" s="4" t="str">
        <f t="shared" si="3"/>
        <v>vis</v>
      </c>
      <c r="E15" s="17">
        <f>VLOOKUP(C15,Active!C$21:E$973,3,FALSE)</f>
        <v>6822.0131731045867</v>
      </c>
      <c r="F15" s="1" t="s">
        <v>55</v>
      </c>
      <c r="G15" s="4" t="str">
        <f t="shared" si="4"/>
        <v>55895.9028</v>
      </c>
      <c r="H15" s="5">
        <f t="shared" si="5"/>
        <v>6822</v>
      </c>
      <c r="I15" s="18" t="s">
        <v>133</v>
      </c>
      <c r="J15" s="19" t="s">
        <v>134</v>
      </c>
      <c r="K15" s="18" t="s">
        <v>135</v>
      </c>
      <c r="L15" s="18" t="s">
        <v>136</v>
      </c>
      <c r="M15" s="19" t="s">
        <v>119</v>
      </c>
      <c r="N15" s="19" t="s">
        <v>55</v>
      </c>
      <c r="O15" s="20" t="s">
        <v>137</v>
      </c>
      <c r="P15" s="21" t="s">
        <v>138</v>
      </c>
    </row>
    <row r="16" spans="1:16" ht="12.75" customHeight="1" thickBot="1" x14ac:dyDescent="0.25">
      <c r="A16" s="5" t="str">
        <f t="shared" si="0"/>
        <v> AHSB 7.3.168 </v>
      </c>
      <c r="B16" s="1" t="str">
        <f t="shared" si="1"/>
        <v>I</v>
      </c>
      <c r="C16" s="5">
        <f t="shared" si="2"/>
        <v>29250.43</v>
      </c>
      <c r="D16" s="4" t="str">
        <f t="shared" si="3"/>
        <v>vis</v>
      </c>
      <c r="E16" s="17">
        <f>VLOOKUP(C16,Active!C$21:E$973,3,FALSE)</f>
        <v>-1087.9984083480733</v>
      </c>
      <c r="F16" s="1" t="s">
        <v>55</v>
      </c>
      <c r="G16" s="4" t="str">
        <f t="shared" si="4"/>
        <v>29250.430</v>
      </c>
      <c r="H16" s="5">
        <f t="shared" si="5"/>
        <v>-1088</v>
      </c>
      <c r="I16" s="18" t="s">
        <v>58</v>
      </c>
      <c r="J16" s="19" t="s">
        <v>59</v>
      </c>
      <c r="K16" s="18">
        <v>-1088</v>
      </c>
      <c r="L16" s="18" t="s">
        <v>60</v>
      </c>
      <c r="M16" s="19" t="s">
        <v>57</v>
      </c>
      <c r="N16" s="19"/>
      <c r="O16" s="20" t="s">
        <v>61</v>
      </c>
      <c r="P16" s="20" t="s">
        <v>62</v>
      </c>
    </row>
    <row r="17" spans="1:16" ht="12.75" customHeight="1" thickBot="1" x14ac:dyDescent="0.25">
      <c r="A17" s="5" t="str">
        <f t="shared" si="0"/>
        <v> AHSB 7.3.168 </v>
      </c>
      <c r="B17" s="1" t="str">
        <f t="shared" si="1"/>
        <v>I</v>
      </c>
      <c r="C17" s="5">
        <f t="shared" si="2"/>
        <v>29634.45</v>
      </c>
      <c r="D17" s="4" t="str">
        <f t="shared" si="3"/>
        <v>vis</v>
      </c>
      <c r="E17" s="17">
        <f>VLOOKUP(C17,Active!C$21:E$973,3,FALSE)</f>
        <v>-973.9977047272522</v>
      </c>
      <c r="F17" s="1" t="s">
        <v>55</v>
      </c>
      <c r="G17" s="4" t="str">
        <f t="shared" si="4"/>
        <v>29634.450</v>
      </c>
      <c r="H17" s="5">
        <f t="shared" si="5"/>
        <v>-974</v>
      </c>
      <c r="I17" s="18" t="s">
        <v>63</v>
      </c>
      <c r="J17" s="19" t="s">
        <v>64</v>
      </c>
      <c r="K17" s="18">
        <v>-974</v>
      </c>
      <c r="L17" s="18" t="s">
        <v>65</v>
      </c>
      <c r="M17" s="19" t="s">
        <v>57</v>
      </c>
      <c r="N17" s="19"/>
      <c r="O17" s="20" t="s">
        <v>61</v>
      </c>
      <c r="P17" s="20" t="s">
        <v>62</v>
      </c>
    </row>
    <row r="18" spans="1:16" ht="12.75" customHeight="1" thickBot="1" x14ac:dyDescent="0.25">
      <c r="A18" s="5" t="str">
        <f t="shared" si="0"/>
        <v> AHSB 7.3.168 </v>
      </c>
      <c r="B18" s="1" t="str">
        <f t="shared" si="1"/>
        <v>I</v>
      </c>
      <c r="C18" s="5">
        <f t="shared" si="2"/>
        <v>30072.35</v>
      </c>
      <c r="D18" s="4" t="str">
        <f t="shared" si="3"/>
        <v>vis</v>
      </c>
      <c r="E18" s="17">
        <f>VLOOKUP(C18,Active!C$21:E$973,3,FALSE)</f>
        <v>-844.00211044685716</v>
      </c>
      <c r="F18" s="1" t="s">
        <v>55</v>
      </c>
      <c r="G18" s="4" t="str">
        <f t="shared" si="4"/>
        <v>30072.350</v>
      </c>
      <c r="H18" s="5">
        <f t="shared" si="5"/>
        <v>-844</v>
      </c>
      <c r="I18" s="18" t="s">
        <v>66</v>
      </c>
      <c r="J18" s="19" t="s">
        <v>67</v>
      </c>
      <c r="K18" s="18">
        <v>-844</v>
      </c>
      <c r="L18" s="18" t="s">
        <v>68</v>
      </c>
      <c r="M18" s="19" t="s">
        <v>57</v>
      </c>
      <c r="N18" s="19"/>
      <c r="O18" s="20" t="s">
        <v>61</v>
      </c>
      <c r="P18" s="20" t="s">
        <v>62</v>
      </c>
    </row>
    <row r="19" spans="1:16" ht="12.75" customHeight="1" thickBot="1" x14ac:dyDescent="0.25">
      <c r="A19" s="5" t="str">
        <f t="shared" si="0"/>
        <v> AHSB 7.3.168 </v>
      </c>
      <c r="B19" s="1" t="str">
        <f t="shared" si="1"/>
        <v>I</v>
      </c>
      <c r="C19" s="5">
        <f t="shared" si="2"/>
        <v>30382.27</v>
      </c>
      <c r="D19" s="4" t="str">
        <f t="shared" si="3"/>
        <v>vis</v>
      </c>
      <c r="E19" s="17">
        <f>VLOOKUP(C19,Active!C$21:E$973,3,FALSE)</f>
        <v>-751.99883440351277</v>
      </c>
      <c r="F19" s="1" t="s">
        <v>55</v>
      </c>
      <c r="G19" s="4" t="str">
        <f t="shared" si="4"/>
        <v>30382.270</v>
      </c>
      <c r="H19" s="5">
        <f t="shared" si="5"/>
        <v>-752</v>
      </c>
      <c r="I19" s="18" t="s">
        <v>69</v>
      </c>
      <c r="J19" s="19" t="s">
        <v>70</v>
      </c>
      <c r="K19" s="18">
        <v>-752</v>
      </c>
      <c r="L19" s="18" t="s">
        <v>71</v>
      </c>
      <c r="M19" s="19" t="s">
        <v>57</v>
      </c>
      <c r="N19" s="19"/>
      <c r="O19" s="20" t="s">
        <v>61</v>
      </c>
      <c r="P19" s="20" t="s">
        <v>62</v>
      </c>
    </row>
    <row r="20" spans="1:16" ht="12.75" customHeight="1" thickBot="1" x14ac:dyDescent="0.25">
      <c r="A20" s="5" t="str">
        <f t="shared" si="0"/>
        <v> AHSB 7.3.168 </v>
      </c>
      <c r="B20" s="1" t="str">
        <f t="shared" si="1"/>
        <v>I</v>
      </c>
      <c r="C20" s="5">
        <f t="shared" si="2"/>
        <v>32888.49</v>
      </c>
      <c r="D20" s="4" t="str">
        <f t="shared" si="3"/>
        <v>vis</v>
      </c>
      <c r="E20" s="17">
        <f>VLOOKUP(C20,Active!C$21:E$973,3,FALSE)</f>
        <v>-7.9989296366412983</v>
      </c>
      <c r="F20" s="1" t="s">
        <v>55</v>
      </c>
      <c r="G20" s="4" t="str">
        <f t="shared" si="4"/>
        <v>32888.490</v>
      </c>
      <c r="H20" s="5">
        <f t="shared" si="5"/>
        <v>-8</v>
      </c>
      <c r="I20" s="18" t="s">
        <v>72</v>
      </c>
      <c r="J20" s="19" t="s">
        <v>73</v>
      </c>
      <c r="K20" s="18">
        <v>-8</v>
      </c>
      <c r="L20" s="18" t="s">
        <v>71</v>
      </c>
      <c r="M20" s="19" t="s">
        <v>57</v>
      </c>
      <c r="N20" s="19"/>
      <c r="O20" s="20" t="s">
        <v>61</v>
      </c>
      <c r="P20" s="20" t="s">
        <v>62</v>
      </c>
    </row>
    <row r="21" spans="1:16" ht="12.75" customHeight="1" thickBot="1" x14ac:dyDescent="0.25">
      <c r="A21" s="5" t="str">
        <f t="shared" si="0"/>
        <v> AHSB 7.3.168 </v>
      </c>
      <c r="B21" s="1" t="str">
        <f t="shared" si="1"/>
        <v>I</v>
      </c>
      <c r="C21" s="5">
        <f t="shared" si="2"/>
        <v>32915.43</v>
      </c>
      <c r="D21" s="4" t="str">
        <f t="shared" si="3"/>
        <v>vis</v>
      </c>
      <c r="E21" s="17">
        <f>VLOOKUP(C21,Active!C$21:E$973,3,FALSE)</f>
        <v>-1.4843068533032092E-3</v>
      </c>
      <c r="F21" s="1" t="s">
        <v>55</v>
      </c>
      <c r="G21" s="4" t="str">
        <f t="shared" si="4"/>
        <v>32915.430</v>
      </c>
      <c r="H21" s="5">
        <f t="shared" si="5"/>
        <v>0</v>
      </c>
      <c r="I21" s="18" t="s">
        <v>74</v>
      </c>
      <c r="J21" s="19" t="s">
        <v>75</v>
      </c>
      <c r="K21" s="18">
        <v>0</v>
      </c>
      <c r="L21" s="18" t="s">
        <v>76</v>
      </c>
      <c r="M21" s="19" t="s">
        <v>57</v>
      </c>
      <c r="N21" s="19"/>
      <c r="O21" s="20" t="s">
        <v>61</v>
      </c>
      <c r="P21" s="20" t="s">
        <v>62</v>
      </c>
    </row>
    <row r="22" spans="1:16" ht="12.75" customHeight="1" thickBot="1" x14ac:dyDescent="0.25">
      <c r="A22" s="5" t="str">
        <f t="shared" si="0"/>
        <v> AHSB 7.3.168 </v>
      </c>
      <c r="B22" s="1" t="str">
        <f t="shared" si="1"/>
        <v>I</v>
      </c>
      <c r="C22" s="5">
        <f t="shared" si="2"/>
        <v>32979.410000000003</v>
      </c>
      <c r="D22" s="4" t="str">
        <f t="shared" si="3"/>
        <v>vis</v>
      </c>
      <c r="E22" s="17">
        <f>VLOOKUP(C22,Active!C$21:E$973,3,FALSE)</f>
        <v>18.991706197965456</v>
      </c>
      <c r="F22" s="1" t="s">
        <v>55</v>
      </c>
      <c r="G22" s="4" t="str">
        <f t="shared" si="4"/>
        <v>32979.410</v>
      </c>
      <c r="H22" s="5">
        <f t="shared" si="5"/>
        <v>19</v>
      </c>
      <c r="I22" s="18" t="s">
        <v>77</v>
      </c>
      <c r="J22" s="19" t="s">
        <v>78</v>
      </c>
      <c r="K22" s="18">
        <v>19</v>
      </c>
      <c r="L22" s="18" t="s">
        <v>79</v>
      </c>
      <c r="M22" s="19" t="s">
        <v>57</v>
      </c>
      <c r="N22" s="19"/>
      <c r="O22" s="20" t="s">
        <v>61</v>
      </c>
      <c r="P22" s="20" t="s">
        <v>62</v>
      </c>
    </row>
    <row r="23" spans="1:16" ht="12.75" customHeight="1" thickBot="1" x14ac:dyDescent="0.25">
      <c r="A23" s="5" t="str">
        <f t="shared" si="0"/>
        <v> AHSB 7.3.168 </v>
      </c>
      <c r="B23" s="1" t="str">
        <f t="shared" si="1"/>
        <v>I</v>
      </c>
      <c r="C23" s="5">
        <f t="shared" si="2"/>
        <v>33006.385000000002</v>
      </c>
      <c r="D23" s="4" t="str">
        <f t="shared" si="3"/>
        <v>vis</v>
      </c>
      <c r="E23" s="17">
        <f>VLOOKUP(C23,Active!C$21:E$973,3,FALSE)</f>
        <v>26.999541675730892</v>
      </c>
      <c r="F23" s="1" t="s">
        <v>55</v>
      </c>
      <c r="G23" s="4" t="str">
        <f t="shared" si="4"/>
        <v>33006.385</v>
      </c>
      <c r="H23" s="5">
        <f t="shared" si="5"/>
        <v>27</v>
      </c>
      <c r="I23" s="18" t="s">
        <v>80</v>
      </c>
      <c r="J23" s="19" t="s">
        <v>81</v>
      </c>
      <c r="K23" s="18">
        <v>27</v>
      </c>
      <c r="L23" s="18" t="s">
        <v>82</v>
      </c>
      <c r="M23" s="19" t="s">
        <v>57</v>
      </c>
      <c r="N23" s="19"/>
      <c r="O23" s="20" t="s">
        <v>61</v>
      </c>
      <c r="P23" s="20" t="s">
        <v>62</v>
      </c>
    </row>
    <row r="24" spans="1:16" ht="12.75" customHeight="1" thickBot="1" x14ac:dyDescent="0.25">
      <c r="A24" s="5" t="str">
        <f t="shared" si="0"/>
        <v> AHSB 7.3.168 </v>
      </c>
      <c r="B24" s="1" t="str">
        <f t="shared" si="1"/>
        <v>I</v>
      </c>
      <c r="C24" s="5">
        <f t="shared" si="2"/>
        <v>34771.519999999997</v>
      </c>
      <c r="D24" s="4" t="str">
        <f t="shared" si="3"/>
        <v>vis</v>
      </c>
      <c r="E24" s="17">
        <f>VLOOKUP(C24,Active!C$21:E$973,3,FALSE)</f>
        <v>550.99993745130894</v>
      </c>
      <c r="F24" s="1" t="s">
        <v>55</v>
      </c>
      <c r="G24" s="4" t="str">
        <f t="shared" si="4"/>
        <v>34771.520</v>
      </c>
      <c r="H24" s="5">
        <f t="shared" si="5"/>
        <v>551</v>
      </c>
      <c r="I24" s="18" t="s">
        <v>83</v>
      </c>
      <c r="J24" s="19" t="s">
        <v>84</v>
      </c>
      <c r="K24" s="18">
        <v>551</v>
      </c>
      <c r="L24" s="18" t="s">
        <v>85</v>
      </c>
      <c r="M24" s="19" t="s">
        <v>57</v>
      </c>
      <c r="N24" s="19"/>
      <c r="O24" s="20" t="s">
        <v>61</v>
      </c>
      <c r="P24" s="20" t="s">
        <v>62</v>
      </c>
    </row>
    <row r="25" spans="1:16" ht="12.75" customHeight="1" thickBot="1" x14ac:dyDescent="0.25">
      <c r="A25" s="5" t="str">
        <f t="shared" si="0"/>
        <v> AHSB 7.3.168 </v>
      </c>
      <c r="B25" s="1" t="str">
        <f t="shared" si="1"/>
        <v>I</v>
      </c>
      <c r="C25" s="5">
        <f t="shared" si="2"/>
        <v>34778.245000000003</v>
      </c>
      <c r="D25" s="4" t="str">
        <f t="shared" si="3"/>
        <v>vis</v>
      </c>
      <c r="E25" s="17">
        <f>VLOOKUP(C25,Active!C$21:E$973,3,FALSE)</f>
        <v>552.9963301700493</v>
      </c>
      <c r="F25" s="1" t="s">
        <v>55</v>
      </c>
      <c r="G25" s="4" t="str">
        <f t="shared" si="4"/>
        <v>34778.245</v>
      </c>
      <c r="H25" s="5">
        <f t="shared" si="5"/>
        <v>553</v>
      </c>
      <c r="I25" s="18" t="s">
        <v>86</v>
      </c>
      <c r="J25" s="19" t="s">
        <v>87</v>
      </c>
      <c r="K25" s="18">
        <v>553</v>
      </c>
      <c r="L25" s="18" t="s">
        <v>88</v>
      </c>
      <c r="M25" s="19" t="s">
        <v>57</v>
      </c>
      <c r="N25" s="19"/>
      <c r="O25" s="20" t="s">
        <v>61</v>
      </c>
      <c r="P25" s="20" t="s">
        <v>62</v>
      </c>
    </row>
    <row r="26" spans="1:16" ht="12.75" customHeight="1" thickBot="1" x14ac:dyDescent="0.25">
      <c r="A26" s="5" t="str">
        <f t="shared" si="0"/>
        <v> AHSB 7.3.168 </v>
      </c>
      <c r="B26" s="1" t="str">
        <f t="shared" si="1"/>
        <v>I</v>
      </c>
      <c r="C26" s="5">
        <f t="shared" si="2"/>
        <v>34825.43</v>
      </c>
      <c r="D26" s="4" t="str">
        <f t="shared" si="3"/>
        <v>vis</v>
      </c>
      <c r="E26" s="17">
        <f>VLOOKUP(C26,Active!C$21:E$973,3,FALSE)</f>
        <v>567.00373395200904</v>
      </c>
      <c r="F26" s="1" t="s">
        <v>55</v>
      </c>
      <c r="G26" s="4" t="str">
        <f t="shared" si="4"/>
        <v>34825.430</v>
      </c>
      <c r="H26" s="5">
        <f t="shared" si="5"/>
        <v>567</v>
      </c>
      <c r="I26" s="18" t="s">
        <v>89</v>
      </c>
      <c r="J26" s="19" t="s">
        <v>90</v>
      </c>
      <c r="K26" s="18">
        <v>567</v>
      </c>
      <c r="L26" s="18" t="s">
        <v>91</v>
      </c>
      <c r="M26" s="19" t="s">
        <v>57</v>
      </c>
      <c r="N26" s="19"/>
      <c r="O26" s="20" t="s">
        <v>61</v>
      </c>
      <c r="P26" s="20" t="s">
        <v>62</v>
      </c>
    </row>
    <row r="27" spans="1:16" ht="12.75" customHeight="1" thickBot="1" x14ac:dyDescent="0.25">
      <c r="A27" s="5" t="str">
        <f t="shared" si="0"/>
        <v> AHSB 7.3.168 </v>
      </c>
      <c r="B27" s="1" t="str">
        <f t="shared" si="1"/>
        <v>I</v>
      </c>
      <c r="C27" s="5">
        <f t="shared" si="2"/>
        <v>35044.39</v>
      </c>
      <c r="D27" s="4" t="str">
        <f t="shared" si="3"/>
        <v>vis</v>
      </c>
      <c r="E27" s="17">
        <f>VLOOKUP(C27,Active!C$21:E$973,3,FALSE)</f>
        <v>632.00449970591478</v>
      </c>
      <c r="F27" s="1" t="s">
        <v>55</v>
      </c>
      <c r="G27" s="4" t="str">
        <f t="shared" si="4"/>
        <v>35044.390</v>
      </c>
      <c r="H27" s="5">
        <f t="shared" si="5"/>
        <v>632</v>
      </c>
      <c r="I27" s="18" t="s">
        <v>92</v>
      </c>
      <c r="J27" s="19" t="s">
        <v>93</v>
      </c>
      <c r="K27" s="18">
        <v>632</v>
      </c>
      <c r="L27" s="18" t="s">
        <v>94</v>
      </c>
      <c r="M27" s="19" t="s">
        <v>57</v>
      </c>
      <c r="N27" s="19"/>
      <c r="O27" s="20" t="s">
        <v>61</v>
      </c>
      <c r="P27" s="20" t="s">
        <v>62</v>
      </c>
    </row>
    <row r="28" spans="1:16" ht="12.75" customHeight="1" thickBot="1" x14ac:dyDescent="0.25">
      <c r="A28" s="5" t="str">
        <f t="shared" si="0"/>
        <v> AHSB 7.3.168 </v>
      </c>
      <c r="B28" s="1" t="str">
        <f t="shared" si="1"/>
        <v>I</v>
      </c>
      <c r="C28" s="5">
        <f t="shared" si="2"/>
        <v>35428.404999999999</v>
      </c>
      <c r="D28" s="4" t="str">
        <f t="shared" si="3"/>
        <v>vis</v>
      </c>
      <c r="E28" s="17">
        <f>VLOOKUP(C28,Active!C$21:E$973,3,FALSE)</f>
        <v>746.0037190198816</v>
      </c>
      <c r="F28" s="1" t="s">
        <v>55</v>
      </c>
      <c r="G28" s="4" t="str">
        <f t="shared" si="4"/>
        <v>35428.405</v>
      </c>
      <c r="H28" s="5">
        <f t="shared" si="5"/>
        <v>746</v>
      </c>
      <c r="I28" s="18" t="s">
        <v>95</v>
      </c>
      <c r="J28" s="19" t="s">
        <v>96</v>
      </c>
      <c r="K28" s="18">
        <v>746</v>
      </c>
      <c r="L28" s="18" t="s">
        <v>91</v>
      </c>
      <c r="M28" s="19" t="s">
        <v>57</v>
      </c>
      <c r="N28" s="19"/>
      <c r="O28" s="20" t="s">
        <v>61</v>
      </c>
      <c r="P28" s="20" t="s">
        <v>62</v>
      </c>
    </row>
    <row r="29" spans="1:16" ht="12.75" customHeight="1" thickBot="1" x14ac:dyDescent="0.25">
      <c r="A29" s="5" t="str">
        <f t="shared" si="0"/>
        <v> AHSB 7.3.168 </v>
      </c>
      <c r="B29" s="1" t="str">
        <f t="shared" si="1"/>
        <v>I</v>
      </c>
      <c r="C29" s="5">
        <f t="shared" si="2"/>
        <v>36216.629999999997</v>
      </c>
      <c r="D29" s="4" t="str">
        <f t="shared" si="3"/>
        <v>vis</v>
      </c>
      <c r="E29" s="17">
        <f>VLOOKUP(C29,Active!C$21:E$973,3,FALSE)</f>
        <v>979.99727303144755</v>
      </c>
      <c r="F29" s="1" t="s">
        <v>55</v>
      </c>
      <c r="G29" s="4" t="str">
        <f t="shared" si="4"/>
        <v>36216.630</v>
      </c>
      <c r="H29" s="5">
        <f t="shared" si="5"/>
        <v>980</v>
      </c>
      <c r="I29" s="18" t="s">
        <v>97</v>
      </c>
      <c r="J29" s="19" t="s">
        <v>98</v>
      </c>
      <c r="K29" s="18">
        <v>980</v>
      </c>
      <c r="L29" s="18" t="s">
        <v>99</v>
      </c>
      <c r="M29" s="19" t="s">
        <v>57</v>
      </c>
      <c r="N29" s="19"/>
      <c r="O29" s="20" t="s">
        <v>61</v>
      </c>
      <c r="P29" s="20" t="s">
        <v>62</v>
      </c>
    </row>
    <row r="30" spans="1:16" ht="12.75" customHeight="1" thickBot="1" x14ac:dyDescent="0.25">
      <c r="A30" s="5" t="str">
        <f t="shared" si="0"/>
        <v> AHSB 7.3.168 </v>
      </c>
      <c r="B30" s="1" t="str">
        <f t="shared" si="1"/>
        <v>I</v>
      </c>
      <c r="C30" s="5">
        <f t="shared" si="2"/>
        <v>36597.305</v>
      </c>
      <c r="D30" s="4" t="str">
        <f t="shared" si="3"/>
        <v>vis</v>
      </c>
      <c r="E30" s="17">
        <f>VLOOKUP(C30,Active!C$21:E$973,3,FALSE)</f>
        <v>1093.0049753668895</v>
      </c>
      <c r="F30" s="1" t="s">
        <v>55</v>
      </c>
      <c r="G30" s="4" t="str">
        <f t="shared" si="4"/>
        <v>36597.305</v>
      </c>
      <c r="H30" s="5">
        <f t="shared" si="5"/>
        <v>1093</v>
      </c>
      <c r="I30" s="18" t="s">
        <v>100</v>
      </c>
      <c r="J30" s="19" t="s">
        <v>101</v>
      </c>
      <c r="K30" s="18">
        <v>1093</v>
      </c>
      <c r="L30" s="18" t="s">
        <v>102</v>
      </c>
      <c r="M30" s="19" t="s">
        <v>57</v>
      </c>
      <c r="N30" s="19"/>
      <c r="O30" s="20" t="s">
        <v>61</v>
      </c>
      <c r="P30" s="20" t="s">
        <v>62</v>
      </c>
    </row>
    <row r="31" spans="1:16" ht="12.75" customHeight="1" thickBot="1" x14ac:dyDescent="0.25">
      <c r="A31" s="5" t="str">
        <f t="shared" si="0"/>
        <v> AHSB 7.3.168 </v>
      </c>
      <c r="B31" s="1" t="str">
        <f t="shared" si="1"/>
        <v>I</v>
      </c>
      <c r="C31" s="5">
        <f t="shared" si="2"/>
        <v>36964.449999999997</v>
      </c>
      <c r="D31" s="4" t="str">
        <f t="shared" si="3"/>
        <v>vis</v>
      </c>
      <c r="E31" s="17">
        <f>VLOOKUP(C31,Active!C$21:E$973,3,FALSE)</f>
        <v>1201.9961433551871</v>
      </c>
      <c r="F31" s="1" t="s">
        <v>55</v>
      </c>
      <c r="G31" s="4" t="str">
        <f t="shared" si="4"/>
        <v>36964.450</v>
      </c>
      <c r="H31" s="5">
        <f t="shared" si="5"/>
        <v>1202</v>
      </c>
      <c r="I31" s="18" t="s">
        <v>103</v>
      </c>
      <c r="J31" s="19" t="s">
        <v>104</v>
      </c>
      <c r="K31" s="18">
        <v>1202</v>
      </c>
      <c r="L31" s="18" t="s">
        <v>105</v>
      </c>
      <c r="M31" s="19" t="s">
        <v>57</v>
      </c>
      <c r="N31" s="19"/>
      <c r="O31" s="20" t="s">
        <v>61</v>
      </c>
      <c r="P31" s="20" t="s">
        <v>62</v>
      </c>
    </row>
    <row r="32" spans="1:16" ht="12.75" customHeight="1" thickBot="1" x14ac:dyDescent="0.25">
      <c r="A32" s="5" t="str">
        <f t="shared" si="0"/>
        <v> AHSB 7.3.168 </v>
      </c>
      <c r="B32" s="1" t="str">
        <f t="shared" si="1"/>
        <v>I</v>
      </c>
      <c r="C32" s="5">
        <f t="shared" si="2"/>
        <v>37695.449999999997</v>
      </c>
      <c r="D32" s="4" t="str">
        <f t="shared" si="3"/>
        <v>vis</v>
      </c>
      <c r="E32" s="17">
        <f>VLOOKUP(C32,Active!C$21:E$973,3,FALSE)</f>
        <v>1419.0018054217987</v>
      </c>
      <c r="F32" s="1" t="s">
        <v>55</v>
      </c>
      <c r="G32" s="4" t="str">
        <f t="shared" si="4"/>
        <v>37695.450</v>
      </c>
      <c r="H32" s="5">
        <f t="shared" si="5"/>
        <v>1419</v>
      </c>
      <c r="I32" s="18" t="s">
        <v>106</v>
      </c>
      <c r="J32" s="19" t="s">
        <v>107</v>
      </c>
      <c r="K32" s="18">
        <v>1419</v>
      </c>
      <c r="L32" s="18" t="s">
        <v>108</v>
      </c>
      <c r="M32" s="19" t="s">
        <v>57</v>
      </c>
      <c r="N32" s="19"/>
      <c r="O32" s="20" t="s">
        <v>61</v>
      </c>
      <c r="P32" s="20" t="s">
        <v>62</v>
      </c>
    </row>
    <row r="33" spans="2:6" x14ac:dyDescent="0.2">
      <c r="B33" s="1"/>
      <c r="E33" s="17"/>
      <c r="F33" s="1"/>
    </row>
    <row r="34" spans="2:6" x14ac:dyDescent="0.2">
      <c r="B34" s="1"/>
      <c r="E34" s="17"/>
      <c r="F34" s="1"/>
    </row>
    <row r="35" spans="2:6" x14ac:dyDescent="0.2">
      <c r="B35" s="1"/>
      <c r="E35" s="17"/>
      <c r="F35" s="1"/>
    </row>
    <row r="36" spans="2:6" x14ac:dyDescent="0.2">
      <c r="B36" s="1"/>
      <c r="E36" s="17"/>
      <c r="F36" s="1"/>
    </row>
    <row r="37" spans="2:6" x14ac:dyDescent="0.2">
      <c r="B37" s="1"/>
      <c r="E37" s="17"/>
      <c r="F37" s="1"/>
    </row>
    <row r="38" spans="2:6" x14ac:dyDescent="0.2">
      <c r="B38" s="1"/>
      <c r="E38" s="17"/>
      <c r="F38" s="1"/>
    </row>
    <row r="39" spans="2:6" x14ac:dyDescent="0.2">
      <c r="B39" s="1"/>
      <c r="E39" s="17"/>
      <c r="F39" s="1"/>
    </row>
    <row r="40" spans="2:6" x14ac:dyDescent="0.2">
      <c r="B40" s="1"/>
      <c r="E40" s="17"/>
      <c r="F40" s="1"/>
    </row>
    <row r="41" spans="2:6" x14ac:dyDescent="0.2">
      <c r="B41" s="1"/>
      <c r="E41" s="17"/>
      <c r="F41" s="1"/>
    </row>
    <row r="42" spans="2:6" x14ac:dyDescent="0.2">
      <c r="B42" s="1"/>
      <c r="E42" s="17"/>
      <c r="F42" s="1"/>
    </row>
    <row r="43" spans="2:6" x14ac:dyDescent="0.2">
      <c r="B43" s="1"/>
      <c r="E43" s="17"/>
      <c r="F43" s="1"/>
    </row>
    <row r="44" spans="2:6" x14ac:dyDescent="0.2">
      <c r="B44" s="1"/>
      <c r="E44" s="17"/>
      <c r="F44" s="1"/>
    </row>
    <row r="45" spans="2:6" x14ac:dyDescent="0.2">
      <c r="B45" s="1"/>
      <c r="E45" s="17"/>
      <c r="F45" s="1"/>
    </row>
    <row r="46" spans="2:6" x14ac:dyDescent="0.2">
      <c r="B46" s="1"/>
      <c r="E46" s="17"/>
      <c r="F46" s="1"/>
    </row>
    <row r="47" spans="2:6" x14ac:dyDescent="0.2">
      <c r="B47" s="1"/>
      <c r="E47" s="17"/>
      <c r="F47" s="1"/>
    </row>
    <row r="48" spans="2:6" x14ac:dyDescent="0.2">
      <c r="B48" s="1"/>
      <c r="E48" s="17"/>
      <c r="F48" s="1"/>
    </row>
    <row r="49" spans="2:6" x14ac:dyDescent="0.2">
      <c r="B49" s="1"/>
      <c r="E49" s="17"/>
      <c r="F49" s="1"/>
    </row>
    <row r="50" spans="2:6" x14ac:dyDescent="0.2">
      <c r="B50" s="1"/>
      <c r="E50" s="17"/>
      <c r="F50" s="1"/>
    </row>
    <row r="51" spans="2:6" x14ac:dyDescent="0.2">
      <c r="B51" s="1"/>
      <c r="E51" s="17"/>
      <c r="F51" s="1"/>
    </row>
    <row r="52" spans="2:6" x14ac:dyDescent="0.2">
      <c r="B52" s="1"/>
      <c r="E52" s="17"/>
      <c r="F52" s="1"/>
    </row>
    <row r="53" spans="2:6" x14ac:dyDescent="0.2">
      <c r="B53" s="1"/>
      <c r="E53" s="17"/>
      <c r="F53" s="1"/>
    </row>
    <row r="54" spans="2:6" x14ac:dyDescent="0.2">
      <c r="B54" s="1"/>
      <c r="E54" s="17"/>
      <c r="F54" s="1"/>
    </row>
    <row r="55" spans="2:6" x14ac:dyDescent="0.2">
      <c r="B55" s="1"/>
      <c r="E55" s="17"/>
      <c r="F55" s="1"/>
    </row>
    <row r="56" spans="2:6" x14ac:dyDescent="0.2">
      <c r="B56" s="1"/>
      <c r="E56" s="17"/>
      <c r="F56" s="1"/>
    </row>
    <row r="57" spans="2:6" x14ac:dyDescent="0.2">
      <c r="B57" s="1"/>
      <c r="E57" s="17"/>
      <c r="F57" s="1"/>
    </row>
    <row r="58" spans="2:6" x14ac:dyDescent="0.2">
      <c r="B58" s="1"/>
      <c r="E58" s="17"/>
      <c r="F58" s="1"/>
    </row>
    <row r="59" spans="2:6" x14ac:dyDescent="0.2">
      <c r="B59" s="1"/>
      <c r="E59" s="17"/>
      <c r="F59" s="1"/>
    </row>
    <row r="60" spans="2:6" x14ac:dyDescent="0.2">
      <c r="B60" s="1"/>
      <c r="E60" s="17"/>
      <c r="F60" s="1"/>
    </row>
    <row r="61" spans="2:6" x14ac:dyDescent="0.2">
      <c r="B61" s="1"/>
      <c r="E61" s="17"/>
      <c r="F61" s="1"/>
    </row>
    <row r="62" spans="2:6" x14ac:dyDescent="0.2">
      <c r="B62" s="1"/>
      <c r="E62" s="17"/>
      <c r="F62" s="1"/>
    </row>
    <row r="63" spans="2:6" x14ac:dyDescent="0.2">
      <c r="B63" s="1"/>
      <c r="E63" s="17"/>
      <c r="F63" s="1"/>
    </row>
    <row r="64" spans="2:6" x14ac:dyDescent="0.2">
      <c r="B64" s="1"/>
      <c r="E64" s="17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</sheetData>
  <phoneticPr fontId="6" type="noConversion"/>
  <hyperlinks>
    <hyperlink ref="P11" r:id="rId1" display="http://www.bav-astro.de/sfs/BAVM_link.php?BAVMnr=158"/>
    <hyperlink ref="P12" r:id="rId2" display="http://www.bav-astro.de/sfs/BAVM_link.php?BAVMnr=178"/>
    <hyperlink ref="P13" r:id="rId3" display="http://www.bav-astro.de/sfs/BAVM_link.php?BAVMnr=186"/>
    <hyperlink ref="P14" r:id="rId4" display="http://www.bav-astro.de/sfs/BAVM_link.php?BAVMnr=209"/>
    <hyperlink ref="P15" r:id="rId5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2024-02-20T05:55:45Z</dcterms:modified>
</cp:coreProperties>
</file>