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37F07E8-6A43-435F-8E87-86EA3772183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G11" i="1"/>
  <c r="F11" i="1"/>
  <c r="Q22" i="1"/>
  <c r="Q23" i="1"/>
  <c r="Q24" i="1"/>
  <c r="Q25" i="1"/>
  <c r="C21" i="1"/>
  <c r="E21" i="1"/>
  <c r="F21" i="1"/>
  <c r="G21" i="1"/>
  <c r="H21" i="1"/>
  <c r="A21" i="1"/>
  <c r="H20" i="1"/>
  <c r="E14" i="1"/>
  <c r="C17" i="1"/>
  <c r="Q21" i="1"/>
  <c r="C12" i="1"/>
  <c r="C16" i="1" l="1"/>
  <c r="D18" i="1" s="1"/>
  <c r="E15" i="1"/>
  <c r="C11" i="1"/>
  <c r="O24" i="1" l="1"/>
  <c r="S24" i="1" s="1"/>
  <c r="O21" i="1"/>
  <c r="S21" i="1" s="1"/>
  <c r="O25" i="1"/>
  <c r="S25" i="1" s="1"/>
  <c r="O23" i="1"/>
  <c r="S23" i="1" s="1"/>
  <c r="O22" i="1"/>
  <c r="S22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<sst xmlns="http://schemas.openxmlformats.org/spreadsheetml/2006/main" count="60" uniqueCount="55">
  <si>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</si>
  <si>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</si>
  <si>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</si>
  <si>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</si>
  <si>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</si>
  <si>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</si>
  <si>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</si>
  <si>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</si>
  <si>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</si>
  <si>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</si>
  <si>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</si>
  <si>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</si>
  <si>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</si>
  <si>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</si>
  <si>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</si>
  <si>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</si>
  <si>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</si>
  <si>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</si>
  <si>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</si>
  <si>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</si>
  <si>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</si>
  <si>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</si>
  <si>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</si>
  <si>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</si>
  <si>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</si>
  <si>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</si>
  <si>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</si>
  <si>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</si>
  <si>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</si>
  <si>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</si>
  <si>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</si>
  <si>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</si>
  <si>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</si>
  <si>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</si>
  <si>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</si>
  <si>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</si>
  <si>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</si>
  <si>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</si>
  <si>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</si>
  <si>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</si>
  <si>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</si>
  <si>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</si>
  <si>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G0979-1273</t>
  </si>
  <si>
    <t>G0979-1273_Oph.xls</t>
  </si>
  <si>
    <t>EW</t>
  </si>
  <si>
    <t>Oph</t>
  </si>
  <si>
    <t>VSX</t>
  </si>
  <si>
    <t>IBVS 5894</t>
  </si>
  <si>
    <t>I</t>
  </si>
  <si>
    <t>IBVS 5945</t>
  </si>
  <si>
    <t>II</t>
  </si>
  <si>
    <t>IBVS 5992</t>
  </si>
  <si>
    <t>IBVS 6029</t>
  </si>
  <si>
    <t>V2846 Oph / GSC 0979-1273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</si>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</sst>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V2846 Oph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3685</c:v>
                </c:pt>
                <c:pt idx="2">
                  <c:v>4499.5</c:v>
                </c:pt>
                <c:pt idx="3">
                  <c:v>5553</c:v>
                </c:pt>
                <c:pt idx="4">
                  <c:v>6401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20-48F7-B71D-BDF1C587871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3685</c:v>
                </c:pt>
                <c:pt idx="2">
                  <c:v>4499.5</c:v>
                </c:pt>
                <c:pt idx="3">
                  <c:v>5553</c:v>
                </c:pt>
                <c:pt idx="4">
                  <c:v>6401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9.885000079520978E-3</c:v>
                </c:pt>
                <c:pt idx="2">
                  <c:v>1.0599500077660196E-2</c:v>
                </c:pt>
                <c:pt idx="3">
                  <c:v>8.8530000721220858E-3</c:v>
                </c:pt>
                <c:pt idx="4">
                  <c:v>1.0901000074227341E-2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20-48F7-B71D-BDF1C587871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3685</c:v>
                </c:pt>
                <c:pt idx="2">
                  <c:v>4499.5</c:v>
                </c:pt>
                <c:pt idx="3">
                  <c:v>5553</c:v>
                </c:pt>
                <c:pt idx="4">
                  <c:v>6401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20-48F7-B71D-BDF1C587871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3685</c:v>
                </c:pt>
                <c:pt idx="2">
                  <c:v>4499.5</c:v>
                </c:pt>
                <c:pt idx="3">
                  <c:v>5553</c:v>
                </c:pt>
                <c:pt idx="4">
                  <c:v>6401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20-48F7-B71D-BDF1C587871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3685</c:v>
                </c:pt>
                <c:pt idx="2">
                  <c:v>4499.5</c:v>
                </c:pt>
                <c:pt idx="3">
                  <c:v>5553</c:v>
                </c:pt>
                <c:pt idx="4">
                  <c:v>6401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20-48F7-B71D-BDF1C587871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3685</c:v>
                </c:pt>
                <c:pt idx="2">
                  <c:v>4499.5</c:v>
                </c:pt>
                <c:pt idx="3">
                  <c:v>5553</c:v>
                </c:pt>
                <c:pt idx="4">
                  <c:v>6401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20-48F7-B71D-BDF1C587871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3685</c:v>
                </c:pt>
                <c:pt idx="2">
                  <c:v>4499.5</c:v>
                </c:pt>
                <c:pt idx="3">
                  <c:v>5553</c:v>
                </c:pt>
                <c:pt idx="4">
                  <c:v>6401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20-48F7-B71D-BDF1C587871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3685</c:v>
                </c:pt>
                <c:pt idx="2">
                  <c:v>4499.5</c:v>
                </c:pt>
                <c:pt idx="3">
                  <c:v>5553</c:v>
                </c:pt>
                <c:pt idx="4">
                  <c:v>6401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9.5009071386759642E-3</c:v>
                </c:pt>
                <c:pt idx="1">
                  <c:v>9.9098503268193975E-3</c:v>
                </c:pt>
                <c:pt idx="2">
                  <c:v>1.0000239533533869E-2</c:v>
                </c:pt>
                <c:pt idx="3">
                  <c:v>1.011715178555805E-2</c:v>
                </c:pt>
                <c:pt idx="4">
                  <c:v>1.0211258657619279E-2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20-48F7-B71D-BDF1C587871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3685</c:v>
                </c:pt>
                <c:pt idx="2">
                  <c:v>4499.5</c:v>
                </c:pt>
                <c:pt idx="3">
                  <c:v>5553</c:v>
                </c:pt>
                <c:pt idx="4">
                  <c:v>6401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20-48F7-B71D-BDF1C5878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4084848"/>
        <c:axId val="1"/>
      </c:scatterChart>
      <c:valAx>
        <c:axId val="664084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084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5B5BFEA-A00D-2E19-322A-D7D002A340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6" t="s">
        <v>53</v>
      </c>
      <c r="E1" t="s">
        <v>43</v>
      </c>
    </row>
    <row r="2" spans="1:7" s="7" customFormat="1" ht="12.95" customHeight="1" x14ac:dyDescent="0.2">
      <c r="A2" s="7" t="s">
        <v>24</v>
      </c>
      <c r="B2" s="7" t="s">
        <v>44</v>
      </c>
      <c r="C2" s="8" t="s">
        <v>41</v>
      </c>
      <c r="D2" s="9" t="s">
        <v>45</v>
      </c>
      <c r="E2" s="3" t="s">
        <v>42</v>
      </c>
      <c r="F2" s="7" t="e">
        <v>#N/A</v>
      </c>
    </row>
    <row r="3" spans="1:7" s="7" customFormat="1" ht="12.95" customHeight="1" thickBot="1" x14ac:dyDescent="0.25"/>
    <row r="4" spans="1:7" s="7" customFormat="1" ht="12.95" customHeight="1" thickTop="1" thickBot="1" x14ac:dyDescent="0.25">
      <c r="A4" s="10" t="s">
        <v>0</v>
      </c>
      <c r="C4" s="11" t="s">
        <v>40</v>
      </c>
      <c r="D4" s="12" t="s">
        <v>40</v>
      </c>
    </row>
    <row r="5" spans="1:7" s="7" customFormat="1" ht="12.95" customHeight="1" x14ac:dyDescent="0.2"/>
    <row r="6" spans="1:7" s="7" customFormat="1" ht="12.95" customHeight="1" x14ac:dyDescent="0.2">
      <c r="A6" s="10" t="s">
        <v>1</v>
      </c>
    </row>
    <row r="7" spans="1:7" s="7" customFormat="1" ht="12.95" customHeight="1" x14ac:dyDescent="0.2">
      <c r="A7" s="7" t="s">
        <v>2</v>
      </c>
      <c r="C7" s="13">
        <v>53560.615999999922</v>
      </c>
      <c r="D7" s="14" t="s">
        <v>46</v>
      </c>
    </row>
    <row r="8" spans="1:7" s="7" customFormat="1" ht="12.95" customHeight="1" x14ac:dyDescent="0.2">
      <c r="A8" s="7" t="s">
        <v>3</v>
      </c>
      <c r="C8" s="13">
        <v>0.38919900000000002</v>
      </c>
      <c r="D8" s="14" t="s">
        <v>46</v>
      </c>
    </row>
    <row r="9" spans="1:7" s="7" customFormat="1" ht="12.95" customHeight="1" x14ac:dyDescent="0.2">
      <c r="A9" s="15" t="s">
        <v>30</v>
      </c>
      <c r="C9" s="16">
        <v>-9.5</v>
      </c>
      <c r="D9" s="7" t="s">
        <v>31</v>
      </c>
    </row>
    <row r="10" spans="1:7" s="7" customFormat="1" ht="12.95" customHeight="1" thickBot="1" x14ac:dyDescent="0.25">
      <c r="C10" s="17" t="s">
        <v>20</v>
      </c>
      <c r="D10" s="17" t="s">
        <v>21</v>
      </c>
    </row>
    <row r="11" spans="1:7" s="7" customFormat="1" ht="12.95" customHeight="1" x14ac:dyDescent="0.2">
      <c r="A11" s="7" t="s">
        <v>15</v>
      </c>
      <c r="C11" s="18">
        <f ca="1">INTERCEPT(INDIRECT($G$11):G992,INDIRECT($F$11):F992)</f>
        <v>9.5009071386759642E-3</v>
      </c>
      <c r="D11" s="9"/>
      <c r="F11" s="19" t="str">
        <f>"F"&amp;E19</f>
        <v>F22</v>
      </c>
      <c r="G11" s="18" t="str">
        <f>"G"&amp;E19</f>
        <v>G22</v>
      </c>
    </row>
    <row r="12" spans="1:7" s="7" customFormat="1" ht="12.95" customHeight="1" x14ac:dyDescent="0.2">
      <c r="A12" s="7" t="s">
        <v>16</v>
      </c>
      <c r="C12" s="18">
        <f ca="1">SLOPE(INDIRECT($G$11):G992,INDIRECT($F$11):F992)</f>
        <v>1.1097508497786531E-7</v>
      </c>
      <c r="D12" s="9"/>
    </row>
    <row r="13" spans="1:7" s="7" customFormat="1" ht="12.95" customHeight="1" x14ac:dyDescent="0.2">
      <c r="A13" s="7" t="s">
        <v>19</v>
      </c>
      <c r="C13" s="9" t="s">
        <v>13</v>
      </c>
      <c r="D13" s="20" t="s">
        <v>37</v>
      </c>
      <c r="E13" s="16">
        <v>1</v>
      </c>
    </row>
    <row r="14" spans="1:7" s="7" customFormat="1" ht="12.95" customHeight="1" x14ac:dyDescent="0.2">
      <c r="D14" s="20" t="s">
        <v>32</v>
      </c>
      <c r="E14" s="21">
        <f ca="1">NOW()+15018.5+$C$9/24</f>
        <v>60368.755530555551</v>
      </c>
    </row>
    <row r="15" spans="1:7" s="7" customFormat="1" ht="12.95" customHeight="1" x14ac:dyDescent="0.2">
      <c r="A15" s="22" t="s">
        <v>17</v>
      </c>
      <c r="C15" s="23">
        <f ca="1">(C7+C11)+(C8+C12)*INT(MAX(F21:F3533))</f>
        <v>56051.889010258579</v>
      </c>
      <c r="D15" s="20" t="s">
        <v>38</v>
      </c>
      <c r="E15" s="21">
        <f ca="1">ROUND(2*(E14-$C$7)/$C$8,0)/2+E13</f>
        <v>17493.5</v>
      </c>
    </row>
    <row r="16" spans="1:7" s="7" customFormat="1" ht="12.95" customHeight="1" x14ac:dyDescent="0.2">
      <c r="A16" s="10" t="s">
        <v>4</v>
      </c>
      <c r="C16" s="24">
        <f ca="1">+C8+C12</f>
        <v>0.38919911097508497</v>
      </c>
      <c r="D16" s="20" t="s">
        <v>39</v>
      </c>
      <c r="E16" s="18">
        <f ca="1">ROUND(2*(E14-$C$15)/$C$16,0)/2+E13</f>
        <v>11092.5</v>
      </c>
    </row>
    <row r="17" spans="1:19" s="7" customFormat="1" ht="12.95" customHeight="1" thickBot="1" x14ac:dyDescent="0.25">
      <c r="A17" s="20" t="s">
        <v>29</v>
      </c>
      <c r="C17" s="7">
        <f>COUNT(C21:C2191)</f>
        <v>5</v>
      </c>
      <c r="D17" s="20" t="s">
        <v>33</v>
      </c>
      <c r="E17" s="25">
        <f ca="1">+$C$15+$C$16*E16-15018.5-$C$9/24</f>
        <v>45350.975982083044</v>
      </c>
    </row>
    <row r="18" spans="1:19" s="7" customFormat="1" ht="12.95" customHeight="1" thickTop="1" thickBot="1" x14ac:dyDescent="0.25">
      <c r="A18" s="10" t="s">
        <v>5</v>
      </c>
      <c r="C18" s="26">
        <f ca="1">+C15</f>
        <v>56051.889010258579</v>
      </c>
      <c r="D18" s="27">
        <f ca="1">+C16</f>
        <v>0.38919911097508497</v>
      </c>
      <c r="E18" s="28" t="s">
        <v>34</v>
      </c>
    </row>
    <row r="19" spans="1:19" s="7" customFormat="1" ht="12.95" customHeight="1" thickTop="1" x14ac:dyDescent="0.2">
      <c r="A19" s="29" t="s">
        <v>35</v>
      </c>
      <c r="E19" s="30">
        <v>22</v>
      </c>
      <c r="S19" s="7">
        <f ca="1">SQRT(SUM(S21:S50)/(COUNT(S21:S50)-1))</f>
        <v>4.8140624728146399E-3</v>
      </c>
    </row>
    <row r="20" spans="1:19" s="7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31" t="str">
        <f>A21</f>
        <v>VSX</v>
      </c>
      <c r="I20" s="31" t="s">
        <v>54</v>
      </c>
      <c r="J20" s="31" t="s">
        <v>18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7" t="s">
        <v>14</v>
      </c>
      <c r="R20" s="33" t="s">
        <v>36</v>
      </c>
    </row>
    <row r="21" spans="1:19" s="7" customFormat="1" ht="12.95" customHeight="1" x14ac:dyDescent="0.2">
      <c r="A21" s="7" t="str">
        <f>D7</f>
        <v>VSX</v>
      </c>
      <c r="C21" s="34">
        <f>C$7</f>
        <v>53560.615999999922</v>
      </c>
      <c r="D21" s="34" t="s">
        <v>13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>
        <f ca="1">+C$11+C$12*$F21</f>
        <v>9.5009071386759642E-3</v>
      </c>
      <c r="Q21" s="35">
        <f>+C21-15018.5</f>
        <v>38542.115999999922</v>
      </c>
      <c r="S21" s="7">
        <f ca="1">+(O21-G21)^2</f>
        <v>9.0267236457743896E-5</v>
      </c>
    </row>
    <row r="22" spans="1:19" s="7" customFormat="1" ht="12.95" customHeight="1" x14ac:dyDescent="0.2">
      <c r="A22" s="4" t="s">
        <v>47</v>
      </c>
      <c r="B22" s="5" t="s">
        <v>48</v>
      </c>
      <c r="C22" s="4">
        <v>54994.824200000003</v>
      </c>
      <c r="D22" s="4">
        <v>8.0000000000000004E-4</v>
      </c>
      <c r="E22" s="7">
        <f>+(C22-C$7)/C$8</f>
        <v>3685.025398318292</v>
      </c>
      <c r="F22" s="7">
        <f>ROUND(2*E22,0)/2</f>
        <v>3685</v>
      </c>
      <c r="G22" s="7">
        <f>+C22-(C$7+F22*C$8)</f>
        <v>9.885000079520978E-3</v>
      </c>
      <c r="I22" s="7">
        <f>+G22</f>
        <v>9.885000079520978E-3</v>
      </c>
      <c r="O22" s="7">
        <f ca="1">+C$11+C$12*$F22</f>
        <v>9.9098503268193975E-3</v>
      </c>
      <c r="Q22" s="35">
        <f>+C22-15018.5</f>
        <v>39976.324200000003</v>
      </c>
      <c r="S22" s="7">
        <f ca="1">+(O22-G22)^2</f>
        <v>6.1753479079260371E-10</v>
      </c>
    </row>
    <row r="23" spans="1:19" s="7" customFormat="1" ht="12.95" customHeight="1" x14ac:dyDescent="0.2">
      <c r="A23" s="4" t="s">
        <v>49</v>
      </c>
      <c r="B23" s="5" t="s">
        <v>50</v>
      </c>
      <c r="C23" s="4">
        <v>55311.827499999999</v>
      </c>
      <c r="D23" s="4">
        <v>4.0000000000000002E-4</v>
      </c>
      <c r="E23" s="7">
        <f>+(C23-C$7)/C$8</f>
        <v>4499.5272341400605</v>
      </c>
      <c r="F23" s="7">
        <f>ROUND(2*E23,0)/2</f>
        <v>4499.5</v>
      </c>
      <c r="G23" s="7">
        <f>+C23-(C$7+F23*C$8)</f>
        <v>1.0599500077660196E-2</v>
      </c>
      <c r="I23" s="7">
        <f>+G23</f>
        <v>1.0599500077660196E-2</v>
      </c>
      <c r="O23" s="7">
        <f ca="1">+C$11+C$12*$F23</f>
        <v>1.0000239533533869E-2</v>
      </c>
      <c r="Q23" s="35">
        <f>+C23-15018.5</f>
        <v>40293.327499999999</v>
      </c>
      <c r="S23" s="7">
        <f ca="1">+(O23-G23)^2</f>
        <v>3.5911319974658072E-7</v>
      </c>
    </row>
    <row r="24" spans="1:19" s="7" customFormat="1" ht="12.95" customHeight="1" x14ac:dyDescent="0.2">
      <c r="A24" s="4" t="s">
        <v>51</v>
      </c>
      <c r="B24" s="5" t="s">
        <v>48</v>
      </c>
      <c r="C24" s="4">
        <v>55721.846899999997</v>
      </c>
      <c r="D24" s="4">
        <v>4.0000000000000002E-4</v>
      </c>
      <c r="E24" s="7">
        <f>+(C24-C$7)/C$8</f>
        <v>5553.0227467184523</v>
      </c>
      <c r="F24" s="7">
        <f>ROUND(2*E24,0)/2</f>
        <v>5553</v>
      </c>
      <c r="G24" s="7">
        <f>+C24-(C$7+F24*C$8)</f>
        <v>8.8530000721220858E-3</v>
      </c>
      <c r="I24" s="7">
        <f>+G24</f>
        <v>8.8530000721220858E-3</v>
      </c>
      <c r="O24" s="7">
        <f ca="1">+C$11+C$12*$F24</f>
        <v>1.011715178555805E-2</v>
      </c>
      <c r="Q24" s="35">
        <f>+C24-15018.5</f>
        <v>40703.346899999997</v>
      </c>
      <c r="S24" s="7">
        <f ca="1">+(O24-G24)^2</f>
        <v>1.5980795545830854E-6</v>
      </c>
    </row>
    <row r="25" spans="1:19" s="7" customFormat="1" ht="12.95" customHeight="1" x14ac:dyDescent="0.2">
      <c r="A25" s="4" t="s">
        <v>52</v>
      </c>
      <c r="B25" s="5" t="s">
        <v>48</v>
      </c>
      <c r="C25" s="4">
        <v>56051.8897</v>
      </c>
      <c r="D25" s="4">
        <v>2.9999999999999997E-4</v>
      </c>
      <c r="E25" s="7">
        <f>+(C25-C$7)/C$8</f>
        <v>6401.0280088080335</v>
      </c>
      <c r="F25" s="7">
        <f>ROUND(2*E25,0)/2</f>
        <v>6401</v>
      </c>
      <c r="G25" s="7">
        <f>+C25-(C$7+F25*C$8)</f>
        <v>1.0901000074227341E-2</v>
      </c>
      <c r="I25" s="7">
        <f>+G25</f>
        <v>1.0901000074227341E-2</v>
      </c>
      <c r="O25" s="7">
        <f ca="1">+C$11+C$12*$F25</f>
        <v>1.0211258657619279E-2</v>
      </c>
      <c r="Q25" s="35">
        <f>+C25-15018.5</f>
        <v>41033.3897</v>
      </c>
      <c r="S25" s="7">
        <f ca="1">+(O25-G25)^2</f>
        <v>4.7574322178449506E-7</v>
      </c>
    </row>
    <row r="26" spans="1:19" s="7" customFormat="1" ht="12.95" customHeight="1" x14ac:dyDescent="0.2">
      <c r="C26" s="34"/>
      <c r="D26" s="34"/>
      <c r="Q26" s="35"/>
    </row>
    <row r="27" spans="1:19" s="7" customFormat="1" ht="12.95" customHeight="1" x14ac:dyDescent="0.2">
      <c r="C27" s="34"/>
      <c r="D27" s="34"/>
      <c r="Q27" s="35"/>
    </row>
    <row r="28" spans="1:19" s="7" customFormat="1" ht="12.95" customHeight="1" x14ac:dyDescent="0.2">
      <c r="C28" s="34"/>
      <c r="D28" s="34"/>
      <c r="Q28" s="35"/>
    </row>
    <row r="29" spans="1:19" s="7" customFormat="1" ht="12.95" customHeight="1" x14ac:dyDescent="0.2">
      <c r="C29" s="34"/>
      <c r="D29" s="34"/>
      <c r="Q29" s="35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2024-02-28T05:07:57Z</dcterms:modified>
</cp:coreProperties>
</file>