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3F66924-36AA-4C3B-A075-3C0393849D3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B2" i="1" l="1"/>
  <c r="C4" i="1"/>
  <c r="C7" i="1"/>
  <c r="D4" i="1"/>
  <c r="C8" i="1"/>
  <c r="C9" i="1"/>
  <c r="D9" i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D14" i="2"/>
  <c r="G14" i="2"/>
  <c r="C14" i="2"/>
  <c r="H14" i="2"/>
  <c r="B14" i="2"/>
  <c r="A15" i="2"/>
  <c r="D15" i="2"/>
  <c r="G15" i="2"/>
  <c r="C15" i="2"/>
  <c r="H15" i="2"/>
  <c r="B15" i="2"/>
  <c r="A16" i="2"/>
  <c r="B16" i="2"/>
  <c r="D16" i="2"/>
  <c r="G16" i="2"/>
  <c r="C16" i="2"/>
  <c r="H16" i="2"/>
  <c r="A17" i="2"/>
  <c r="B17" i="2"/>
  <c r="D17" i="2"/>
  <c r="G17" i="2"/>
  <c r="C17" i="2"/>
  <c r="H17" i="2"/>
  <c r="A18" i="2"/>
  <c r="C18" i="2"/>
  <c r="D18" i="2"/>
  <c r="G18" i="2"/>
  <c r="H18" i="2"/>
  <c r="B18" i="2"/>
  <c r="A19" i="2"/>
  <c r="D19" i="2"/>
  <c r="G19" i="2"/>
  <c r="C19" i="2"/>
  <c r="H19" i="2"/>
  <c r="B19" i="2"/>
  <c r="E17" i="2"/>
  <c r="E18" i="2"/>
  <c r="E22" i="1"/>
  <c r="F22" i="1"/>
  <c r="E26" i="1"/>
  <c r="F26" i="1"/>
  <c r="G26" i="1"/>
  <c r="K26" i="1"/>
  <c r="E30" i="1"/>
  <c r="F30" i="1"/>
  <c r="G31" i="1"/>
  <c r="K31" i="1"/>
  <c r="E34" i="1"/>
  <c r="F34" i="1"/>
  <c r="E21" i="1"/>
  <c r="F21" i="1"/>
  <c r="G22" i="1"/>
  <c r="J22" i="1"/>
  <c r="E25" i="1"/>
  <c r="F25" i="1"/>
  <c r="E29" i="1"/>
  <c r="F29" i="1"/>
  <c r="G29" i="1"/>
  <c r="K29" i="1"/>
  <c r="G30" i="1"/>
  <c r="K30" i="1"/>
  <c r="E33" i="1"/>
  <c r="F33" i="1"/>
  <c r="U33" i="1"/>
  <c r="G34" i="1"/>
  <c r="K34" i="1"/>
  <c r="G21" i="1"/>
  <c r="E24" i="1"/>
  <c r="F24" i="1"/>
  <c r="G24" i="1"/>
  <c r="K24" i="1"/>
  <c r="G25" i="1"/>
  <c r="K25" i="1"/>
  <c r="E28" i="1"/>
  <c r="F28" i="1"/>
  <c r="E32" i="1"/>
  <c r="F32" i="1"/>
  <c r="G32" i="1"/>
  <c r="K32" i="1"/>
  <c r="G33" i="1"/>
  <c r="K33" i="1"/>
  <c r="E23" i="1"/>
  <c r="F23" i="1"/>
  <c r="G23" i="1"/>
  <c r="K23" i="1"/>
  <c r="E27" i="1"/>
  <c r="F27" i="1"/>
  <c r="G27" i="1"/>
  <c r="K27" i="1"/>
  <c r="G28" i="1"/>
  <c r="K28" i="1"/>
  <c r="E31" i="1"/>
  <c r="F31" i="1"/>
  <c r="E15" i="2"/>
  <c r="E13" i="2"/>
  <c r="E11" i="2"/>
  <c r="E14" i="2"/>
  <c r="E19" i="2"/>
  <c r="J21" i="1"/>
  <c r="E12" i="2"/>
  <c r="E16" i="2"/>
  <c r="C12" i="1"/>
  <c r="C11" i="1"/>
  <c r="O23" i="1" l="1"/>
  <c r="O25" i="1"/>
  <c r="O27" i="1"/>
  <c r="O29" i="1"/>
  <c r="O22" i="1"/>
  <c r="C15" i="1"/>
  <c r="F18" i="1" s="1"/>
  <c r="O26" i="1"/>
  <c r="O24" i="1"/>
  <c r="O21" i="1"/>
  <c r="O31" i="1"/>
  <c r="O33" i="1"/>
  <c r="O30" i="1"/>
  <c r="O28" i="1"/>
  <c r="O32" i="1"/>
  <c r="O34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<sst xmlns="http://schemas.openxmlformats.org/spreadsheetml/2006/main" count="153" uniqueCount="108">
  <si>
    <t xml:space="preserve">V1633 Ori / GSC 0140-1831               </t>
  </si>
  <si>
    <t xml:space="preserve">EA        </t>
  </si>
  <si>
    <t>System Type:</t>
  </si>
  <si>
    <t>Kreiner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</si>
  <si>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</si>
  <si>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</si>
  <si>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</si>
  <si>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</si>
  <si>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</si>
  <si>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</si>
  <si>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</si>
  <si>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</si>
  <si>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</si>
  <si>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</si>
  <si>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</si>
  <si>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</si>
  <si>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</si>
  <si>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</si>
  <si>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</si>
  <si>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</si>
  <si>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</si>
  <si>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</si>
  <si>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</si>
  <si>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</si>
  <si>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</si>
  <si>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</si>
  <si>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</si>
  <si>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</si>
  <si>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</si>
  <si>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</si>
  <si>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</si>
  <si>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</si>
  <si>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</si>
  <si>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</si>
  <si>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</si>
  <si>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</si>
  <si>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</si>
  <si>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</si>
  <si>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</si>
  <si>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</si>
  <si>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</si>
  <si>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</si>
  <si>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</si>
  <si>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IBVS 5296</t>
  </si>
  <si>
    <t>IBVS 5484</t>
  </si>
  <si>
    <t>Kreiner</t>
  </si>
  <si>
    <t>I</t>
  </si>
  <si>
    <t>IBVS 5741</t>
  </si>
  <si>
    <t>II</t>
  </si>
  <si>
    <t>VSB 46 </t>
  </si>
  <si>
    <t>VSB 50 </t>
  </si>
  <si>
    <t>IBVS 5960</t>
  </si>
  <si>
    <t>BAVM 225 </t>
  </si>
  <si>
    <t>IBVS 6048</t>
  </si>
  <si>
    <t>IBVS 6011</t>
  </si>
  <si>
    <t>IBVS 6196</t>
  </si>
  <si>
    <t>OEJV 0179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</si>
  <si>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</si>
  <si>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</si>
  <si>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</si>
  <si>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</si>
  <si>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</si>
  <si>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</si>
  <si>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</si>
  <si>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</si>
  <si>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2451580.3492 </t>
  </si>
  <si>
    <t> 05.02.2000 20:22 </t>
  </si>
  <si>
    <t> -0.0003 </t>
  </si>
  <si>
    <t>E </t>
  </si>
  <si>
    <t>o</t>
  </si>
  <si>
    <t> W.Moschner </t>
  </si>
  <si>
    <t>BAVM 152 </t>
  </si>
  <si>
    <t>2452258.4868 </t>
  </si>
  <si>
    <t> 14.12.2001 23:40 </t>
  </si>
  <si>
    <t> -0.0002 </t>
  </si>
  <si>
    <t>BAVM 158 </t>
  </si>
  <si>
    <t>2455523.8906 </t>
  </si>
  <si>
    <t> 23.11.2010 09:22 </t>
  </si>
  <si>
    <t> -0.0009 </t>
  </si>
  <si>
    <t>C </t>
  </si>
  <si>
    <t> R.Diethelm </t>
  </si>
  <si>
    <t>IBVS 5960 </t>
  </si>
  <si>
    <t>2455882.4990 </t>
  </si>
  <si>
    <t> 16.11.2011 23:58 </t>
  </si>
  <si>
    <t> -0.0008 </t>
  </si>
  <si>
    <t> W.Moschner &amp; P.Frank </t>
  </si>
  <si>
    <t>BAVM 228 </t>
  </si>
  <si>
    <t>2455896.8687 </t>
  </si>
  <si>
    <t> 01.12.2011 08:50 </t>
  </si>
  <si>
    <t> 0.0015 </t>
  </si>
  <si>
    <t>IBVS 6011 </t>
  </si>
  <si>
    <t>2453671.6572 </t>
  </si>
  <si>
    <t> 28.10.2005 03:46 </t>
  </si>
  <si>
    <t> 0.0006 </t>
  </si>
  <si>
    <t>?</t>
  </si>
  <si>
    <t> M. Zejda et al. </t>
  </si>
  <si>
    <t>IBVS 5741 </t>
  </si>
  <si>
    <t>2454146.9301 </t>
  </si>
  <si>
    <t> 15.02.2007 10:19 </t>
  </si>
  <si>
    <t> 0.0025 </t>
  </si>
  <si>
    <t>Ic</t>
  </si>
  <si>
    <t> K.Nakajima </t>
  </si>
  <si>
    <t>2454848.0515 </t>
  </si>
  <si>
    <t> 16.01.2009 13:14 </t>
  </si>
  <si>
    <t> -0.0013 </t>
  </si>
  <si>
    <t>2455856.6377 </t>
  </si>
  <si>
    <t> 22.10.2011 03:18 </t>
  </si>
  <si>
    <t> -0.0010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</si>
</sst>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6" formatCode="m/d/yyyy"/>
  </numFmts>
  <fonts count="16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</cellStyleXfs>
  <cellXfs count="5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NumberFormat="1" applyFont="1" applyAlignment="1">
      <alignment horizontal="left" vertical="center"/>
    </xf>
    <xf numFmtId="166" fontId="0" fillId="0" borderId="0" xfId="0" applyNumberForma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12" fillId="0" borderId="0" xfId="6" applyFont="1" applyAlignment="1">
      <alignment wrapText="1"/>
    </xf>
    <xf numFmtId="0" fontId="12" fillId="0" borderId="0" xfId="6" applyFont="1" applyAlignment="1">
      <alignment horizontal="center" wrapText="1"/>
    </xf>
    <xf numFmtId="0" fontId="12" fillId="0" borderId="0" xfId="6" applyFont="1" applyAlignment="1">
      <alignment horizontal="left" wrapText="1"/>
    </xf>
    <xf numFmtId="0" fontId="12" fillId="0" borderId="0" xfId="7" applyFont="1"/>
    <xf numFmtId="0" fontId="12" fillId="0" borderId="0" xfId="7" applyFont="1" applyAlignment="1">
      <alignment horizontal="center"/>
    </xf>
    <xf numFmtId="0" fontId="12" fillId="0" borderId="0" xfId="7" applyFont="1" applyAlignment="1">
      <alignment horizontal="left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14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9" fillId="2" borderId="10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right" vertical="top" wrapText="1"/>
    </xf>
    <xf numFmtId="0" fontId="14" fillId="2" borderId="10" xfId="5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V1633 Ori - O-C Diagr.</a:t>
            </a:r>
          </a:p>
        </c:rich>
      </c:tx>
      <c:layout>
        <c:manualLayout>
          <c:xMode val="edge"/>
          <c:yMode val="edge"/>
          <c:x val="0.36541353383458647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14414477469595582"/>
          <c:w val="0.81303258145363411"/>
          <c:h val="0.6676692440471968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-801</c:v>
                </c:pt>
                <c:pt idx="1">
                  <c:v>-211</c:v>
                </c:pt>
                <c:pt idx="2">
                  <c:v>0</c:v>
                </c:pt>
                <c:pt idx="3">
                  <c:v>1018.5</c:v>
                </c:pt>
                <c:pt idx="4">
                  <c:v>1432</c:v>
                </c:pt>
                <c:pt idx="5">
                  <c:v>2042</c:v>
                </c:pt>
                <c:pt idx="6">
                  <c:v>2630</c:v>
                </c:pt>
                <c:pt idx="7">
                  <c:v>2919.5</c:v>
                </c:pt>
                <c:pt idx="8">
                  <c:v>2942</c:v>
                </c:pt>
                <c:pt idx="9">
                  <c:v>2954.5</c:v>
                </c:pt>
                <c:pt idx="10">
                  <c:v>4239.5</c:v>
                </c:pt>
                <c:pt idx="11">
                  <c:v>4243.5</c:v>
                </c:pt>
                <c:pt idx="12">
                  <c:v>3935.5</c:v>
                </c:pt>
                <c:pt idx="13">
                  <c:v>4545.5</c:v>
                </c:pt>
              </c:numCache>
            </c:numRef>
          </c:xVal>
          <c:yVal>
            <c:numRef>
              <c:f>Active!$H$21:$H$34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BE-479E-BEBF-6FE13E0DAA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-801</c:v>
                </c:pt>
                <c:pt idx="1">
                  <c:v>-211</c:v>
                </c:pt>
                <c:pt idx="2">
                  <c:v>0</c:v>
                </c:pt>
                <c:pt idx="3">
                  <c:v>1018.5</c:v>
                </c:pt>
                <c:pt idx="4">
                  <c:v>1432</c:v>
                </c:pt>
                <c:pt idx="5">
                  <c:v>2042</c:v>
                </c:pt>
                <c:pt idx="6">
                  <c:v>2630</c:v>
                </c:pt>
                <c:pt idx="7">
                  <c:v>2919.5</c:v>
                </c:pt>
                <c:pt idx="8">
                  <c:v>2942</c:v>
                </c:pt>
                <c:pt idx="9">
                  <c:v>2954.5</c:v>
                </c:pt>
                <c:pt idx="10">
                  <c:v>4239.5</c:v>
                </c:pt>
                <c:pt idx="11">
                  <c:v>4243.5</c:v>
                </c:pt>
                <c:pt idx="12">
                  <c:v>3935.5</c:v>
                </c:pt>
                <c:pt idx="13">
                  <c:v>4545.5</c:v>
                </c:pt>
              </c:numCache>
            </c:numRef>
          </c:xVal>
          <c:yVal>
            <c:numRef>
              <c:f>Active!$I$21:$I$34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BE-479E-BEBF-6FE13E0DAA3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-801</c:v>
                </c:pt>
                <c:pt idx="1">
                  <c:v>-211</c:v>
                </c:pt>
                <c:pt idx="2">
                  <c:v>0</c:v>
                </c:pt>
                <c:pt idx="3">
                  <c:v>1018.5</c:v>
                </c:pt>
                <c:pt idx="4">
                  <c:v>1432</c:v>
                </c:pt>
                <c:pt idx="5">
                  <c:v>2042</c:v>
                </c:pt>
                <c:pt idx="6">
                  <c:v>2630</c:v>
                </c:pt>
                <c:pt idx="7">
                  <c:v>2919.5</c:v>
                </c:pt>
                <c:pt idx="8">
                  <c:v>2942</c:v>
                </c:pt>
                <c:pt idx="9">
                  <c:v>2954.5</c:v>
                </c:pt>
                <c:pt idx="10">
                  <c:v>4239.5</c:v>
                </c:pt>
                <c:pt idx="11">
                  <c:v>4243.5</c:v>
                </c:pt>
                <c:pt idx="12">
                  <c:v>3935.5</c:v>
                </c:pt>
                <c:pt idx="13">
                  <c:v>4545.5</c:v>
                </c:pt>
              </c:numCache>
            </c:numRef>
          </c:xVal>
          <c:yVal>
            <c:numRef>
              <c:f>Active!$J$21:$J$34</c:f>
              <c:numCache>
                <c:formatCode>General</c:formatCode>
                <c:ptCount val="14"/>
                <c:pt idx="0">
                  <c:v>-1.9410000095376745E-4</c:v>
                </c:pt>
                <c:pt idx="1">
                  <c:v>-2.7509999927133322E-4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BE-479E-BEBF-6FE13E0DAA3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-801</c:v>
                </c:pt>
                <c:pt idx="1">
                  <c:v>-211</c:v>
                </c:pt>
                <c:pt idx="2">
                  <c:v>0</c:v>
                </c:pt>
                <c:pt idx="3">
                  <c:v>1018.5</c:v>
                </c:pt>
                <c:pt idx="4">
                  <c:v>1432</c:v>
                </c:pt>
                <c:pt idx="5">
                  <c:v>2042</c:v>
                </c:pt>
                <c:pt idx="6">
                  <c:v>2630</c:v>
                </c:pt>
                <c:pt idx="7">
                  <c:v>2919.5</c:v>
                </c:pt>
                <c:pt idx="8">
                  <c:v>2942</c:v>
                </c:pt>
                <c:pt idx="9">
                  <c:v>2954.5</c:v>
                </c:pt>
                <c:pt idx="10">
                  <c:v>4239.5</c:v>
                </c:pt>
                <c:pt idx="11">
                  <c:v>4243.5</c:v>
                </c:pt>
                <c:pt idx="12">
                  <c:v>3935.5</c:v>
                </c:pt>
                <c:pt idx="13">
                  <c:v>4545.5</c:v>
                </c:pt>
              </c:numCache>
            </c:numRef>
          </c:xVal>
          <c:yVal>
            <c:numRef>
              <c:f>Active!$K$21:$K$34</c:f>
              <c:numCache>
                <c:formatCode>General</c:formatCode>
                <c:ptCount val="14"/>
                <c:pt idx="2">
                  <c:v>0</c:v>
                </c:pt>
                <c:pt idx="3">
                  <c:v>1.6085000243037939E-4</c:v>
                </c:pt>
                <c:pt idx="4">
                  <c:v>1.9911999988835305E-3</c:v>
                </c:pt>
                <c:pt idx="5">
                  <c:v>-2.007800001592841E-3</c:v>
                </c:pt>
                <c:pt idx="6">
                  <c:v>-1.8170000039390288E-3</c:v>
                </c:pt>
                <c:pt idx="7">
                  <c:v>-1.935050000611227E-3</c:v>
                </c:pt>
                <c:pt idx="8">
                  <c:v>-1.8177999954787083E-3</c:v>
                </c:pt>
                <c:pt idx="9">
                  <c:v>5.5844999587861821E-4</c:v>
                </c:pt>
                <c:pt idx="10">
                  <c:v>-3.1230499953380786E-3</c:v>
                </c:pt>
                <c:pt idx="11">
                  <c:v>-3.466649999609217E-3</c:v>
                </c:pt>
                <c:pt idx="12">
                  <c:v>4.9005500040948391E-3</c:v>
                </c:pt>
                <c:pt idx="13">
                  <c:v>-4.8284498843713664E-3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BE-479E-BEBF-6FE13E0DAA3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-801</c:v>
                </c:pt>
                <c:pt idx="1">
                  <c:v>-211</c:v>
                </c:pt>
                <c:pt idx="2">
                  <c:v>0</c:v>
                </c:pt>
                <c:pt idx="3">
                  <c:v>1018.5</c:v>
                </c:pt>
                <c:pt idx="4">
                  <c:v>1432</c:v>
                </c:pt>
                <c:pt idx="5">
                  <c:v>2042</c:v>
                </c:pt>
                <c:pt idx="6">
                  <c:v>2630</c:v>
                </c:pt>
                <c:pt idx="7">
                  <c:v>2919.5</c:v>
                </c:pt>
                <c:pt idx="8">
                  <c:v>2942</c:v>
                </c:pt>
                <c:pt idx="9">
                  <c:v>2954.5</c:v>
                </c:pt>
                <c:pt idx="10">
                  <c:v>4239.5</c:v>
                </c:pt>
                <c:pt idx="11">
                  <c:v>4243.5</c:v>
                </c:pt>
                <c:pt idx="12">
                  <c:v>3935.5</c:v>
                </c:pt>
                <c:pt idx="13">
                  <c:v>4545.5</c:v>
                </c:pt>
              </c:numCache>
            </c:numRef>
          </c:xVal>
          <c:yVal>
            <c:numRef>
              <c:f>Active!$L$21:$L$34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BE-479E-BEBF-6FE13E0DAA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-801</c:v>
                </c:pt>
                <c:pt idx="1">
                  <c:v>-211</c:v>
                </c:pt>
                <c:pt idx="2">
                  <c:v>0</c:v>
                </c:pt>
                <c:pt idx="3">
                  <c:v>1018.5</c:v>
                </c:pt>
                <c:pt idx="4">
                  <c:v>1432</c:v>
                </c:pt>
                <c:pt idx="5">
                  <c:v>2042</c:v>
                </c:pt>
                <c:pt idx="6">
                  <c:v>2630</c:v>
                </c:pt>
                <c:pt idx="7">
                  <c:v>2919.5</c:v>
                </c:pt>
                <c:pt idx="8">
                  <c:v>2942</c:v>
                </c:pt>
                <c:pt idx="9">
                  <c:v>2954.5</c:v>
                </c:pt>
                <c:pt idx="10">
                  <c:v>4239.5</c:v>
                </c:pt>
                <c:pt idx="11">
                  <c:v>4243.5</c:v>
                </c:pt>
                <c:pt idx="12">
                  <c:v>3935.5</c:v>
                </c:pt>
                <c:pt idx="13">
                  <c:v>4545.5</c:v>
                </c:pt>
              </c:numCache>
            </c:numRef>
          </c:xVal>
          <c:yVal>
            <c:numRef>
              <c:f>Active!$M$21:$M$34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BE-479E-BEBF-6FE13E0DAA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-801</c:v>
                </c:pt>
                <c:pt idx="1">
                  <c:v>-211</c:v>
                </c:pt>
                <c:pt idx="2">
                  <c:v>0</c:v>
                </c:pt>
                <c:pt idx="3">
                  <c:v>1018.5</c:v>
                </c:pt>
                <c:pt idx="4">
                  <c:v>1432</c:v>
                </c:pt>
                <c:pt idx="5">
                  <c:v>2042</c:v>
                </c:pt>
                <c:pt idx="6">
                  <c:v>2630</c:v>
                </c:pt>
                <c:pt idx="7">
                  <c:v>2919.5</c:v>
                </c:pt>
                <c:pt idx="8">
                  <c:v>2942</c:v>
                </c:pt>
                <c:pt idx="9">
                  <c:v>2954.5</c:v>
                </c:pt>
                <c:pt idx="10">
                  <c:v>4239.5</c:v>
                </c:pt>
                <c:pt idx="11">
                  <c:v>4243.5</c:v>
                </c:pt>
                <c:pt idx="12">
                  <c:v>3935.5</c:v>
                </c:pt>
                <c:pt idx="13">
                  <c:v>4545.5</c:v>
                </c:pt>
              </c:numCache>
            </c:numRef>
          </c:xVal>
          <c:yVal>
            <c:numRef>
              <c:f>Active!$N$21:$N$34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BE-479E-BEBF-6FE13E0DAA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-801</c:v>
                </c:pt>
                <c:pt idx="1">
                  <c:v>-211</c:v>
                </c:pt>
                <c:pt idx="2">
                  <c:v>0</c:v>
                </c:pt>
                <c:pt idx="3">
                  <c:v>1018.5</c:v>
                </c:pt>
                <c:pt idx="4">
                  <c:v>1432</c:v>
                </c:pt>
                <c:pt idx="5">
                  <c:v>2042</c:v>
                </c:pt>
                <c:pt idx="6">
                  <c:v>2630</c:v>
                </c:pt>
                <c:pt idx="7">
                  <c:v>2919.5</c:v>
                </c:pt>
                <c:pt idx="8">
                  <c:v>2942</c:v>
                </c:pt>
                <c:pt idx="9">
                  <c:v>2954.5</c:v>
                </c:pt>
                <c:pt idx="10">
                  <c:v>4239.5</c:v>
                </c:pt>
                <c:pt idx="11">
                  <c:v>4243.5</c:v>
                </c:pt>
                <c:pt idx="12">
                  <c:v>3935.5</c:v>
                </c:pt>
                <c:pt idx="13">
                  <c:v>4545.5</c:v>
                </c:pt>
              </c:numCache>
            </c:numRef>
          </c:xVal>
          <c:yVal>
            <c:numRef>
              <c:f>Active!$O$21:$O$34</c:f>
              <c:numCache>
                <c:formatCode>General</c:formatCode>
                <c:ptCount val="14"/>
                <c:pt idx="0">
                  <c:v>5.7646789404955704E-4</c:v>
                </c:pt>
                <c:pt idx="1">
                  <c:v>3.0374798698701191E-4</c:v>
                </c:pt>
                <c:pt idx="2">
                  <c:v>2.0621595242735589E-4</c:v>
                </c:pt>
                <c:pt idx="3">
                  <c:v>-2.6457256510349544E-4</c:v>
                </c:pt>
                <c:pt idx="4">
                  <c:v>-4.557076186125843E-4</c:v>
                </c:pt>
                <c:pt idx="5">
                  <c:v>-7.3767226828741917E-4</c:v>
                </c:pt>
                <c:pt idx="6">
                  <c:v>-1.0094677010887352E-3</c:v>
                </c:pt>
                <c:pt idx="7">
                  <c:v>-1.1432853504016282E-3</c:v>
                </c:pt>
                <c:pt idx="8">
                  <c:v>-1.1536856858404541E-3</c:v>
                </c:pt>
                <c:pt idx="9">
                  <c:v>-1.1594636499731351E-3</c:v>
                </c:pt>
                <c:pt idx="10">
                  <c:v>-1.7534383628127464E-3</c:v>
                </c:pt>
                <c:pt idx="11">
                  <c:v>-1.7552873113352045E-3</c:v>
                </c:pt>
                <c:pt idx="12">
                  <c:v>-1.6129182751059433E-3</c:v>
                </c:pt>
                <c:pt idx="13">
                  <c:v>-1.8948829247807785E-3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BE-479E-BEBF-6FE13E0DAA3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Active!$F$21:$F$34</c:f>
              <c:numCache>
                <c:formatCode>General</c:formatCode>
                <c:ptCount val="14"/>
                <c:pt idx="0">
                  <c:v>-801</c:v>
                </c:pt>
                <c:pt idx="1">
                  <c:v>-211</c:v>
                </c:pt>
                <c:pt idx="2">
                  <c:v>0</c:v>
                </c:pt>
                <c:pt idx="3">
                  <c:v>1018.5</c:v>
                </c:pt>
                <c:pt idx="4">
                  <c:v>1432</c:v>
                </c:pt>
                <c:pt idx="5">
                  <c:v>2042</c:v>
                </c:pt>
                <c:pt idx="6">
                  <c:v>2630</c:v>
                </c:pt>
                <c:pt idx="7">
                  <c:v>2919.5</c:v>
                </c:pt>
                <c:pt idx="8">
                  <c:v>2942</c:v>
                </c:pt>
                <c:pt idx="9">
                  <c:v>2954.5</c:v>
                </c:pt>
                <c:pt idx="10">
                  <c:v>4239.5</c:v>
                </c:pt>
                <c:pt idx="11">
                  <c:v>4243.5</c:v>
                </c:pt>
                <c:pt idx="12">
                  <c:v>3935.5</c:v>
                </c:pt>
                <c:pt idx="13">
                  <c:v>4545.5</c:v>
                </c:pt>
              </c:numCache>
            </c:numRef>
          </c:xVal>
          <c:yVal>
            <c:numRef>
              <c:f>Active!$U$21:$U$34</c:f>
              <c:numCache>
                <c:formatCode>General</c:formatCode>
                <c:ptCount val="14"/>
                <c:pt idx="12">
                  <c:v>4.9005500040948391E-3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DBE-479E-BEBF-6FE13E0DA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431512"/>
        <c:axId val="1"/>
      </c:scatterChart>
      <c:valAx>
        <c:axId val="659431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4315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96992481203006"/>
          <c:y val="0.91291543512015949"/>
          <c:w val="0.72330827067669157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38100</xdr:rowOff>
    </xdr:from>
    <xdr:to>
      <xdr:col>17</xdr:col>
      <xdr:colOff>161925</xdr:colOff>
      <xdr:row>18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E8D6DC-BCFC-AF1D-3DD3-49492DC0D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vsoljno50.pdf" TargetMode="External"/><Relationship Id="rId3" Type="http://schemas.openxmlformats.org/officeDocument/2006/relationships/hyperlink" Target="http://www.konkoly.hu/cgi-bin/IBVS?5960" TargetMode="External"/><Relationship Id="rId7" Type="http://schemas.openxmlformats.org/officeDocument/2006/relationships/hyperlink" Target="http://vsolj.cetus-net.org/no46.pdf" TargetMode="External"/><Relationship Id="rId2" Type="http://schemas.openxmlformats.org/officeDocument/2006/relationships/hyperlink" Target="http://www.bav-astro.de/sfs/BAVM_link.php?BAVMnr=158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konkoly.hu/cgi-bin/IBVS?5741" TargetMode="External"/><Relationship Id="rId5" Type="http://schemas.openxmlformats.org/officeDocument/2006/relationships/hyperlink" Target="http://www.konkoly.hu/cgi-bin/IBVS?6011" TargetMode="External"/><Relationship Id="rId4" Type="http://schemas.openxmlformats.org/officeDocument/2006/relationships/hyperlink" Target="http://www.bav-astro.de/sfs/BAVM_link.php?BAVMnr=228" TargetMode="External"/><Relationship Id="rId9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 x14ac:dyDescent="0.3">
      <c r="A1" s="2" t="s">
        <v>0</v>
      </c>
      <c r="F1" s="3">
        <v>52501.0075</v>
      </c>
      <c r="G1" s="3">
        <v>1.1493859</v>
      </c>
      <c r="H1" s="3" t="s">
        <v>1</v>
      </c>
    </row>
    <row r="2" spans="1:8" s="31" customFormat="1" ht="12.95" customHeight="1" x14ac:dyDescent="0.2">
      <c r="A2" s="31" t="s">
        <v>2</v>
      </c>
      <c r="B2" s="31" t="str">
        <f>H1</f>
        <v xml:space="preserve">EA        </v>
      </c>
      <c r="C2" s="32"/>
      <c r="D2" s="32"/>
    </row>
    <row r="3" spans="1:8" s="31" customFormat="1" ht="12.95" customHeight="1" x14ac:dyDescent="0.2"/>
    <row r="4" spans="1:8" s="31" customFormat="1" ht="12.95" customHeight="1" x14ac:dyDescent="0.2">
      <c r="A4" s="33" t="s">
        <v>3</v>
      </c>
      <c r="C4" s="34">
        <f>F1</f>
        <v>52501.0075</v>
      </c>
      <c r="D4" s="35">
        <f>G1</f>
        <v>1.1493859</v>
      </c>
    </row>
    <row r="5" spans="1:8" s="31" customFormat="1" ht="12.95" customHeight="1" x14ac:dyDescent="0.2">
      <c r="A5" s="36" t="s">
        <v>4</v>
      </c>
      <c r="C5" s="37">
        <v>-9.5</v>
      </c>
      <c r="D5" s="31" t="s">
        <v>5</v>
      </c>
    </row>
    <row r="6" spans="1:8" s="31" customFormat="1" ht="12.95" customHeight="1" x14ac:dyDescent="0.2">
      <c r="A6" s="33" t="s">
        <v>6</v>
      </c>
    </row>
    <row r="7" spans="1:8" s="31" customFormat="1" ht="12.95" customHeight="1" x14ac:dyDescent="0.2">
      <c r="A7" s="31" t="s">
        <v>7</v>
      </c>
      <c r="C7" s="31">
        <f>C4</f>
        <v>52501.0075</v>
      </c>
    </row>
    <row r="8" spans="1:8" s="31" customFormat="1" ht="12.95" customHeight="1" x14ac:dyDescent="0.2">
      <c r="A8" s="31" t="s">
        <v>8</v>
      </c>
      <c r="C8" s="31">
        <f>D4</f>
        <v>1.1493859</v>
      </c>
      <c r="D8" s="37"/>
    </row>
    <row r="9" spans="1:8" s="31" customFormat="1" ht="12.95" customHeight="1" x14ac:dyDescent="0.2">
      <c r="A9" s="38" t="s">
        <v>9</v>
      </c>
      <c r="B9" s="39">
        <v>21</v>
      </c>
      <c r="C9" s="40" t="str">
        <f>"F"&amp;B9</f>
        <v>F21</v>
      </c>
      <c r="D9" s="41" t="str">
        <f>"G"&amp;B9</f>
        <v>G21</v>
      </c>
    </row>
    <row r="10" spans="1:8" s="31" customFormat="1" ht="12.95" customHeight="1" x14ac:dyDescent="0.2">
      <c r="C10" s="42" t="s">
        <v>10</v>
      </c>
      <c r="D10" s="42" t="s">
        <v>11</v>
      </c>
    </row>
    <row r="11" spans="1:8" s="31" customFormat="1" ht="12.95" customHeight="1" x14ac:dyDescent="0.2">
      <c r="A11" s="31" t="s">
        <v>12</v>
      </c>
      <c r="C11" s="41">
        <f ca="1">INTERCEPT(INDIRECT($D$9):G992,INDIRECT($C$9):F992)</f>
        <v>2.0621595242735589E-4</v>
      </c>
      <c r="D11" s="32"/>
    </row>
    <row r="12" spans="1:8" s="31" customFormat="1" ht="12.95" customHeight="1" x14ac:dyDescent="0.2">
      <c r="A12" s="31" t="s">
        <v>13</v>
      </c>
      <c r="C12" s="41">
        <f ca="1">SLOPE(INDIRECT($D$9):G992,INDIRECT($C$9):F992)</f>
        <v>-4.6223713061448339E-7</v>
      </c>
      <c r="D12" s="32"/>
    </row>
    <row r="13" spans="1:8" s="31" customFormat="1" ht="12.95" customHeight="1" x14ac:dyDescent="0.2">
      <c r="A13" s="31" t="s">
        <v>14</v>
      </c>
      <c r="C13" s="32" t="s">
        <v>15</v>
      </c>
    </row>
    <row r="14" spans="1:8" s="31" customFormat="1" ht="12.95" customHeight="1" x14ac:dyDescent="0.2"/>
    <row r="15" spans="1:8" s="31" customFormat="1" ht="12.95" customHeight="1" x14ac:dyDescent="0.2">
      <c r="A15" s="33" t="s">
        <v>16</v>
      </c>
      <c r="C15" s="43">
        <f ca="1">(C7+C11)+(C8+C12)*INT(MAX(F21:F3533))</f>
        <v>57724.964520848196</v>
      </c>
      <c r="E15" s="38" t="s">
        <v>17</v>
      </c>
      <c r="F15" s="37">
        <v>1</v>
      </c>
    </row>
    <row r="16" spans="1:8" s="31" customFormat="1" ht="12.95" customHeight="1" x14ac:dyDescent="0.2">
      <c r="A16" s="33" t="s">
        <v>18</v>
      </c>
      <c r="C16" s="43">
        <f ca="1">+C8+C12</f>
        <v>1.1493854377628694</v>
      </c>
      <c r="E16" s="38" t="s">
        <v>19</v>
      </c>
      <c r="F16" s="41">
        <f ca="1">NOW()+15018.5+$C$5/24</f>
        <v>60370.723445601849</v>
      </c>
    </row>
    <row r="17" spans="1:21" s="31" customFormat="1" ht="12.95" customHeight="1" x14ac:dyDescent="0.2">
      <c r="A17" s="38" t="s">
        <v>20</v>
      </c>
      <c r="C17" s="31">
        <f>COUNT(C21:C2191)</f>
        <v>14</v>
      </c>
      <c r="E17" s="38" t="s">
        <v>21</v>
      </c>
      <c r="F17" s="41">
        <f ca="1">ROUND(2*(F16-$C$7)/$C$8,0)/2+F15</f>
        <v>6848</v>
      </c>
    </row>
    <row r="18" spans="1:21" s="31" customFormat="1" ht="12.95" customHeight="1" x14ac:dyDescent="0.2">
      <c r="A18" s="33" t="s">
        <v>22</v>
      </c>
      <c r="C18" s="44">
        <f ca="1">+C15</f>
        <v>57724.964520848196</v>
      </c>
      <c r="D18" s="45">
        <f ca="1">+C16</f>
        <v>1.1493854377628694</v>
      </c>
      <c r="E18" s="38" t="s">
        <v>23</v>
      </c>
      <c r="F18" s="41">
        <f ca="1">ROUND(2*(F16-$C$15)/$C$16,0)/2+F15</f>
        <v>2303</v>
      </c>
    </row>
    <row r="19" spans="1:21" s="31" customFormat="1" ht="12.95" customHeight="1" x14ac:dyDescent="0.2">
      <c r="E19" s="38" t="s">
        <v>24</v>
      </c>
      <c r="F19" s="46">
        <f ca="1">+$C$15+$C$16*F18-15018.5-$C$5/24</f>
        <v>45353.895017349423</v>
      </c>
    </row>
    <row r="20" spans="1:21" s="31" customFormat="1" ht="12.95" customHeight="1" x14ac:dyDescent="0.2">
      <c r="A20" s="42" t="s">
        <v>25</v>
      </c>
      <c r="B20" s="42" t="s">
        <v>26</v>
      </c>
      <c r="C20" s="42" t="s">
        <v>27</v>
      </c>
      <c r="D20" s="42" t="s">
        <v>28</v>
      </c>
      <c r="E20" s="42" t="s">
        <v>29</v>
      </c>
      <c r="F20" s="42" t="s">
        <v>30</v>
      </c>
      <c r="G20" s="42" t="s">
        <v>31</v>
      </c>
      <c r="H20" s="47" t="s">
        <v>32</v>
      </c>
      <c r="I20" s="47" t="s">
        <v>33</v>
      </c>
      <c r="J20" s="47" t="s">
        <v>34</v>
      </c>
      <c r="K20" s="47" t="s">
        <v>35</v>
      </c>
      <c r="L20" s="47" t="s">
        <v>36</v>
      </c>
      <c r="M20" s="47" t="s">
        <v>37</v>
      </c>
      <c r="N20" s="47" t="s">
        <v>38</v>
      </c>
      <c r="O20" s="47" t="s">
        <v>39</v>
      </c>
      <c r="P20" s="47" t="s">
        <v>40</v>
      </c>
      <c r="Q20" s="42" t="s">
        <v>41</v>
      </c>
      <c r="U20" s="48" t="s">
        <v>42</v>
      </c>
    </row>
    <row r="21" spans="1:21" s="31" customFormat="1" ht="12.95" customHeight="1" x14ac:dyDescent="0.2">
      <c r="A21" s="4" t="s">
        <v>43</v>
      </c>
      <c r="B21" s="5"/>
      <c r="C21" s="6">
        <v>51580.349199999997</v>
      </c>
      <c r="D21" s="6">
        <v>8.0000000000000004E-4</v>
      </c>
      <c r="E21" s="31">
        <f t="shared" ref="E21:E30" si="0">+(C21-C$7)/C$8</f>
        <v>-801.00016887278923</v>
      </c>
      <c r="F21" s="31">
        <f t="shared" ref="F21:F32" si="1">ROUND(2*E21,0)/2</f>
        <v>-801</v>
      </c>
      <c r="G21" s="31">
        <f t="shared" ref="G21:G30" si="2">+C21-(C$7+F21*C$8)</f>
        <v>-1.9410000095376745E-4</v>
      </c>
      <c r="J21" s="31">
        <f>+G21</f>
        <v>-1.9410000095376745E-4</v>
      </c>
      <c r="O21" s="31">
        <f t="shared" ref="O21:O30" ca="1" si="3">+C$11+C$12*$F21</f>
        <v>5.7646789404955704E-4</v>
      </c>
      <c r="Q21" s="49">
        <f t="shared" ref="Q21:Q30" si="4">+C21-15018.5</f>
        <v>36561.849199999997</v>
      </c>
    </row>
    <row r="22" spans="1:21" s="31" customFormat="1" ht="12.95" customHeight="1" x14ac:dyDescent="0.2">
      <c r="A22" s="4" t="s">
        <v>44</v>
      </c>
      <c r="B22" s="5"/>
      <c r="C22" s="6">
        <v>52258.486799999999</v>
      </c>
      <c r="D22" s="6">
        <v>4.0000000000000002E-4</v>
      </c>
      <c r="E22" s="31">
        <f t="shared" si="0"/>
        <v>-211.00023934520246</v>
      </c>
      <c r="F22" s="31">
        <f t="shared" si="1"/>
        <v>-211</v>
      </c>
      <c r="G22" s="31">
        <f t="shared" si="2"/>
        <v>-2.7509999927133322E-4</v>
      </c>
      <c r="J22" s="31">
        <f>+G22</f>
        <v>-2.7509999927133322E-4</v>
      </c>
      <c r="O22" s="31">
        <f t="shared" ca="1" si="3"/>
        <v>3.0374798698701191E-4</v>
      </c>
      <c r="Q22" s="49">
        <f t="shared" si="4"/>
        <v>37239.986799999999</v>
      </c>
    </row>
    <row r="23" spans="1:21" s="31" customFormat="1" ht="12.95" customHeight="1" x14ac:dyDescent="0.2">
      <c r="A23" s="4" t="s">
        <v>45</v>
      </c>
      <c r="B23" s="9" t="s">
        <v>46</v>
      </c>
      <c r="C23" s="4">
        <v>52501.0075</v>
      </c>
      <c r="D23" s="50"/>
      <c r="E23" s="31">
        <f t="shared" si="0"/>
        <v>0</v>
      </c>
      <c r="F23" s="31">
        <f t="shared" si="1"/>
        <v>0</v>
      </c>
      <c r="G23" s="31">
        <f t="shared" si="2"/>
        <v>0</v>
      </c>
      <c r="K23" s="31">
        <f t="shared" ref="K23:K32" si="5">+G23</f>
        <v>0</v>
      </c>
      <c r="O23" s="31">
        <f t="shared" ca="1" si="3"/>
        <v>2.0621595242735589E-4</v>
      </c>
      <c r="Q23" s="49">
        <f t="shared" si="4"/>
        <v>37482.5075</v>
      </c>
    </row>
    <row r="24" spans="1:21" s="31" customFormat="1" ht="12.95" customHeight="1" x14ac:dyDescent="0.2">
      <c r="A24" s="51" t="s">
        <v>47</v>
      </c>
      <c r="B24" s="52" t="s">
        <v>48</v>
      </c>
      <c r="C24" s="53">
        <v>53671.657200000001</v>
      </c>
      <c r="D24" s="54"/>
      <c r="E24" s="31">
        <f t="shared" si="0"/>
        <v>1018.5001399442971</v>
      </c>
      <c r="F24" s="31">
        <f t="shared" si="1"/>
        <v>1018.5</v>
      </c>
      <c r="G24" s="31">
        <f t="shared" si="2"/>
        <v>1.6085000243037939E-4</v>
      </c>
      <c r="K24" s="31">
        <f t="shared" si="5"/>
        <v>1.6085000243037939E-4</v>
      </c>
      <c r="O24" s="31">
        <f t="shared" ca="1" si="3"/>
        <v>-2.6457256510349544E-4</v>
      </c>
      <c r="Q24" s="49">
        <f t="shared" si="4"/>
        <v>38653.157200000001</v>
      </c>
    </row>
    <row r="25" spans="1:21" s="31" customFormat="1" ht="12.95" customHeight="1" x14ac:dyDescent="0.2">
      <c r="A25" s="51" t="s">
        <v>49</v>
      </c>
      <c r="B25" s="52" t="s">
        <v>46</v>
      </c>
      <c r="C25" s="53">
        <v>54146.930099999998</v>
      </c>
      <c r="D25" s="54"/>
      <c r="E25" s="31">
        <f t="shared" si="0"/>
        <v>1432.0017324033627</v>
      </c>
      <c r="F25" s="31">
        <f t="shared" si="1"/>
        <v>1432</v>
      </c>
      <c r="G25" s="31">
        <f t="shared" si="2"/>
        <v>1.9911999988835305E-3</v>
      </c>
      <c r="K25" s="31">
        <f t="shared" si="5"/>
        <v>1.9911999988835305E-3</v>
      </c>
      <c r="O25" s="31">
        <f t="shared" ca="1" si="3"/>
        <v>-4.557076186125843E-4</v>
      </c>
      <c r="Q25" s="49">
        <f t="shared" si="4"/>
        <v>39128.430099999998</v>
      </c>
    </row>
    <row r="26" spans="1:21" s="31" customFormat="1" ht="12.95" customHeight="1" x14ac:dyDescent="0.2">
      <c r="A26" s="51" t="s">
        <v>50</v>
      </c>
      <c r="B26" s="52" t="s">
        <v>46</v>
      </c>
      <c r="C26" s="53">
        <v>54848.051500000001</v>
      </c>
      <c r="D26" s="54"/>
      <c r="E26" s="31">
        <f t="shared" si="0"/>
        <v>2041.9982531541423</v>
      </c>
      <c r="F26" s="31">
        <f t="shared" si="1"/>
        <v>2042</v>
      </c>
      <c r="G26" s="31">
        <f t="shared" si="2"/>
        <v>-2.007800001592841E-3</v>
      </c>
      <c r="K26" s="31">
        <f t="shared" si="5"/>
        <v>-2.007800001592841E-3</v>
      </c>
      <c r="O26" s="31">
        <f t="shared" ca="1" si="3"/>
        <v>-7.3767226828741917E-4</v>
      </c>
      <c r="Q26" s="49">
        <f t="shared" si="4"/>
        <v>39829.551500000001</v>
      </c>
    </row>
    <row r="27" spans="1:21" s="31" customFormat="1" ht="12.95" customHeight="1" x14ac:dyDescent="0.2">
      <c r="A27" s="55" t="s">
        <v>51</v>
      </c>
      <c r="B27" s="9" t="s">
        <v>46</v>
      </c>
      <c r="C27" s="4">
        <v>55523.890599999999</v>
      </c>
      <c r="D27" s="4">
        <v>2.9999999999999997E-4</v>
      </c>
      <c r="E27" s="31">
        <f t="shared" si="0"/>
        <v>2629.9984191558287</v>
      </c>
      <c r="F27" s="31">
        <f t="shared" si="1"/>
        <v>2630</v>
      </c>
      <c r="G27" s="31">
        <f t="shared" si="2"/>
        <v>-1.8170000039390288E-3</v>
      </c>
      <c r="K27" s="31">
        <f t="shared" si="5"/>
        <v>-1.8170000039390288E-3</v>
      </c>
      <c r="O27" s="31">
        <f t="shared" ca="1" si="3"/>
        <v>-1.0094677010887352E-3</v>
      </c>
      <c r="Q27" s="49">
        <f t="shared" si="4"/>
        <v>40505.390599999999</v>
      </c>
    </row>
    <row r="28" spans="1:21" s="31" customFormat="1" ht="12.95" customHeight="1" x14ac:dyDescent="0.2">
      <c r="A28" s="51" t="s">
        <v>52</v>
      </c>
      <c r="B28" s="52" t="s">
        <v>48</v>
      </c>
      <c r="C28" s="53">
        <v>55856.637699999999</v>
      </c>
      <c r="D28" s="54"/>
      <c r="E28" s="31">
        <f t="shared" si="0"/>
        <v>2919.4983164488094</v>
      </c>
      <c r="F28" s="31">
        <f t="shared" si="1"/>
        <v>2919.5</v>
      </c>
      <c r="G28" s="31">
        <f t="shared" si="2"/>
        <v>-1.935050000611227E-3</v>
      </c>
      <c r="K28" s="31">
        <f t="shared" si="5"/>
        <v>-1.935050000611227E-3</v>
      </c>
      <c r="O28" s="31">
        <f t="shared" ca="1" si="3"/>
        <v>-1.1432853504016282E-3</v>
      </c>
      <c r="Q28" s="49">
        <f t="shared" si="4"/>
        <v>40838.137699999999</v>
      </c>
    </row>
    <row r="29" spans="1:21" s="31" customFormat="1" ht="12.95" customHeight="1" x14ac:dyDescent="0.2">
      <c r="A29" s="56" t="s">
        <v>53</v>
      </c>
      <c r="B29" s="57" t="s">
        <v>46</v>
      </c>
      <c r="C29" s="58">
        <v>55882.499000000003</v>
      </c>
      <c r="D29" s="58">
        <v>2.0000000000000001E-4</v>
      </c>
      <c r="E29" s="31">
        <f t="shared" si="0"/>
        <v>2941.9984184598088</v>
      </c>
      <c r="F29" s="31">
        <f t="shared" si="1"/>
        <v>2942</v>
      </c>
      <c r="G29" s="31">
        <f t="shared" si="2"/>
        <v>-1.8177999954787083E-3</v>
      </c>
      <c r="K29" s="31">
        <f t="shared" si="5"/>
        <v>-1.8177999954787083E-3</v>
      </c>
      <c r="O29" s="31">
        <f t="shared" ca="1" si="3"/>
        <v>-1.1536856858404541E-3</v>
      </c>
      <c r="Q29" s="49">
        <f t="shared" si="4"/>
        <v>40863.999000000003</v>
      </c>
    </row>
    <row r="30" spans="1:21" s="31" customFormat="1" ht="12.95" customHeight="1" x14ac:dyDescent="0.2">
      <c r="A30" s="4" t="s">
        <v>54</v>
      </c>
      <c r="B30" s="9" t="s">
        <v>48</v>
      </c>
      <c r="C30" s="4">
        <v>55896.868699999999</v>
      </c>
      <c r="D30" s="4">
        <v>4.0000000000000002E-4</v>
      </c>
      <c r="E30" s="31">
        <f t="shared" si="0"/>
        <v>2954.5004858681486</v>
      </c>
      <c r="F30" s="31">
        <f t="shared" si="1"/>
        <v>2954.5</v>
      </c>
      <c r="G30" s="31">
        <f t="shared" si="2"/>
        <v>5.5844999587861821E-4</v>
      </c>
      <c r="K30" s="31">
        <f t="shared" si="5"/>
        <v>5.5844999587861821E-4</v>
      </c>
      <c r="O30" s="31">
        <f t="shared" ca="1" si="3"/>
        <v>-1.1594636499731351E-3</v>
      </c>
      <c r="Q30" s="49">
        <f t="shared" si="4"/>
        <v>40878.368699999999</v>
      </c>
    </row>
    <row r="31" spans="1:21" x14ac:dyDescent="0.2">
      <c r="A31" s="10" t="s">
        <v>55</v>
      </c>
      <c r="B31" s="11" t="s">
        <v>46</v>
      </c>
      <c r="C31" s="12">
        <v>57373.825900000003</v>
      </c>
      <c r="D31" s="12">
        <v>1E-4</v>
      </c>
      <c r="E31" s="1">
        <f>+(C31-C$7)/C$8</f>
        <v>4239.4972828533946</v>
      </c>
      <c r="F31" s="1">
        <f t="shared" si="1"/>
        <v>4239.5</v>
      </c>
      <c r="G31" s="1">
        <f>+C31-(C$7+F31*C$8)</f>
        <v>-3.1230499953380786E-3</v>
      </c>
      <c r="K31" s="1">
        <f t="shared" si="5"/>
        <v>-3.1230499953380786E-3</v>
      </c>
      <c r="O31" s="1">
        <f ca="1">+C$11+C$12*$F31</f>
        <v>-1.7534383628127464E-3</v>
      </c>
      <c r="Q31" s="7">
        <f>+C31-15018.5</f>
        <v>42355.325900000003</v>
      </c>
    </row>
    <row r="32" spans="1:21" x14ac:dyDescent="0.2">
      <c r="A32" s="10" t="s">
        <v>55</v>
      </c>
      <c r="B32" s="11" t="s">
        <v>46</v>
      </c>
      <c r="C32" s="12">
        <v>57378.4231</v>
      </c>
      <c r="D32" s="12">
        <v>2.9999999999999997E-4</v>
      </c>
      <c r="E32" s="1">
        <f>+(C32-C$7)/C$8</f>
        <v>4243.4969839111482</v>
      </c>
      <c r="F32" s="1">
        <f t="shared" si="1"/>
        <v>4243.5</v>
      </c>
      <c r="G32" s="1">
        <f>+C32-(C$7+F32*C$8)</f>
        <v>-3.466649999609217E-3</v>
      </c>
      <c r="K32" s="1">
        <f t="shared" si="5"/>
        <v>-3.466649999609217E-3</v>
      </c>
      <c r="O32" s="1">
        <f ca="1">+C$11+C$12*$F32</f>
        <v>-1.7552873113352045E-3</v>
      </c>
      <c r="Q32" s="7">
        <f>+C32-15018.5</f>
        <v>42359.9231</v>
      </c>
    </row>
    <row r="33" spans="1:21" x14ac:dyDescent="0.2">
      <c r="A33" s="13" t="s">
        <v>56</v>
      </c>
      <c r="B33" s="14" t="s">
        <v>48</v>
      </c>
      <c r="C33" s="15">
        <v>57024.420610000001</v>
      </c>
      <c r="D33" s="15">
        <v>5.0000000000000001E-4</v>
      </c>
      <c r="E33" s="1">
        <f>+(C33-C$7)/C$8</f>
        <v>3935.504263624603</v>
      </c>
      <c r="F33" s="1">
        <f>ROUND(2*E33,0)/2</f>
        <v>3935.5</v>
      </c>
      <c r="G33" s="1">
        <f>+C33-(C$7+F33*C$8)</f>
        <v>4.9005500040948391E-3</v>
      </c>
      <c r="K33" s="1">
        <f>+G33</f>
        <v>4.9005500040948391E-3</v>
      </c>
      <c r="O33" s="1">
        <f ca="1">+C$11+C$12*$F33</f>
        <v>-1.6129182751059433E-3</v>
      </c>
      <c r="Q33" s="7">
        <f>+C33-15018.5</f>
        <v>42005.920610000001</v>
      </c>
      <c r="U33" s="1">
        <f>+C33-(C$7+F33*C$8)</f>
        <v>4.9005500040948391E-3</v>
      </c>
    </row>
    <row r="34" spans="1:21" x14ac:dyDescent="0.2">
      <c r="A34" s="16" t="s">
        <v>57</v>
      </c>
      <c r="B34" s="17" t="s">
        <v>48</v>
      </c>
      <c r="C34" s="18">
        <v>57725.536280000117</v>
      </c>
      <c r="D34" s="18">
        <v>2.9999999999999997E-4</v>
      </c>
      <c r="E34" s="1">
        <f>+(C34-C$7)/C$8</f>
        <v>4545.4957991046494</v>
      </c>
      <c r="F34" s="1">
        <f>ROUND(2*E34,0)/2</f>
        <v>4545.5</v>
      </c>
      <c r="G34" s="1">
        <f>+C34-(C$7+F34*C$8)</f>
        <v>-4.8284498843713664E-3</v>
      </c>
      <c r="K34" s="1">
        <f>+G34</f>
        <v>-4.8284498843713664E-3</v>
      </c>
      <c r="O34" s="1">
        <f ca="1">+C$11+C$12*$F34</f>
        <v>-1.8948829247807785E-3</v>
      </c>
      <c r="Q34" s="7">
        <f>+C34-15018.5</f>
        <v>42707.036280000117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A16" sqref="A16"/>
    </sheetView>
  </sheetViews>
  <sheetFormatPr defaultRowHeight="12.75" x14ac:dyDescent="0.2"/>
  <cols>
    <col min="1" max="1" width="19.7109375" style="8" customWidth="1"/>
    <col min="2" max="2" width="4.42578125" customWidth="1"/>
    <col min="3" max="3" width="12.7109375" style="8" customWidth="1"/>
    <col min="4" max="4" width="5.42578125" customWidth="1"/>
    <col min="5" max="5" width="14.85546875" customWidth="1"/>
    <col min="7" max="7" width="12" customWidth="1"/>
    <col min="8" max="8" width="14.140625" style="8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9" t="s">
        <v>58</v>
      </c>
      <c r="I1" s="20" t="s">
        <v>59</v>
      </c>
      <c r="J1" s="21" t="s">
        <v>35</v>
      </c>
    </row>
    <row r="2" spans="1:16" x14ac:dyDescent="0.2">
      <c r="I2" s="22" t="s">
        <v>60</v>
      </c>
      <c r="J2" s="23" t="s">
        <v>34</v>
      </c>
    </row>
    <row r="3" spans="1:16" x14ac:dyDescent="0.2">
      <c r="A3" s="24" t="s">
        <v>61</v>
      </c>
      <c r="I3" s="22" t="s">
        <v>62</v>
      </c>
      <c r="J3" s="23" t="s">
        <v>32</v>
      </c>
    </row>
    <row r="4" spans="1:16" x14ac:dyDescent="0.2">
      <c r="I4" s="22" t="s">
        <v>63</v>
      </c>
      <c r="J4" s="23" t="s">
        <v>32</v>
      </c>
    </row>
    <row r="5" spans="1:16" x14ac:dyDescent="0.2">
      <c r="I5" s="25" t="s">
        <v>64</v>
      </c>
      <c r="J5" s="26" t="s">
        <v>33</v>
      </c>
    </row>
    <row r="11" spans="1:16" ht="12.75" customHeight="1" x14ac:dyDescent="0.2">
      <c r="A11" s="8" t="str">
        <f t="shared" ref="A11:A19" si="0">P11</f>
        <v>BAVM 152 </v>
      </c>
      <c r="B11" s="3" t="str">
        <f t="shared" ref="B11:B19" si="1">IF(H11=INT(H11),"I","II")</f>
        <v>I</v>
      </c>
      <c r="C11" s="8">
        <f t="shared" ref="C11:C19" si="2">1*G11</f>
        <v>51580.349199999997</v>
      </c>
      <c r="D11" t="str">
        <f t="shared" ref="D11:D19" si="3">VLOOKUP(F11,I$1:J$5,2,FALSE)</f>
        <v>vis</v>
      </c>
      <c r="E11">
        <f>VLOOKUP(C11,Active!C$21:E$973,3,FALSE)</f>
        <v>-801.00016887278923</v>
      </c>
      <c r="F11" s="3" t="s">
        <v>64</v>
      </c>
      <c r="G11" t="str">
        <f t="shared" ref="G11:G19" si="4">MID(I11,3,LEN(I11)-3)</f>
        <v>51580.3492</v>
      </c>
      <c r="H11" s="8">
        <f t="shared" ref="H11:H19" si="5">1*K11</f>
        <v>-801</v>
      </c>
      <c r="I11" s="27" t="s">
        <v>65</v>
      </c>
      <c r="J11" s="28" t="s">
        <v>66</v>
      </c>
      <c r="K11" s="27">
        <v>-801</v>
      </c>
      <c r="L11" s="27" t="s">
        <v>67</v>
      </c>
      <c r="M11" s="28" t="s">
        <v>68</v>
      </c>
      <c r="N11" s="28" t="s">
        <v>69</v>
      </c>
      <c r="O11" s="29" t="s">
        <v>70</v>
      </c>
      <c r="P11" s="30" t="s">
        <v>71</v>
      </c>
    </row>
    <row r="12" spans="1:16" ht="12.75" customHeight="1" x14ac:dyDescent="0.2">
      <c r="A12" s="8" t="str">
        <f t="shared" si="0"/>
        <v>BAVM 158 </v>
      </c>
      <c r="B12" s="3" t="str">
        <f t="shared" si="1"/>
        <v>I</v>
      </c>
      <c r="C12" s="8">
        <f t="shared" si="2"/>
        <v>52258.486799999999</v>
      </c>
      <c r="D12" t="str">
        <f t="shared" si="3"/>
        <v>vis</v>
      </c>
      <c r="E12">
        <f>VLOOKUP(C12,Active!C$21:E$973,3,FALSE)</f>
        <v>-211.00023934520246</v>
      </c>
      <c r="F12" s="3" t="s">
        <v>64</v>
      </c>
      <c r="G12" t="str">
        <f t="shared" si="4"/>
        <v>52258.4868</v>
      </c>
      <c r="H12" s="8">
        <f t="shared" si="5"/>
        <v>-211</v>
      </c>
      <c r="I12" s="27" t="s">
        <v>72</v>
      </c>
      <c r="J12" s="28" t="s">
        <v>73</v>
      </c>
      <c r="K12" s="27">
        <v>-211</v>
      </c>
      <c r="L12" s="27" t="s">
        <v>74</v>
      </c>
      <c r="M12" s="28" t="s">
        <v>68</v>
      </c>
      <c r="N12" s="28" t="s">
        <v>69</v>
      </c>
      <c r="O12" s="29" t="s">
        <v>70</v>
      </c>
      <c r="P12" s="30" t="s">
        <v>75</v>
      </c>
    </row>
    <row r="13" spans="1:16" ht="12.75" customHeight="1" x14ac:dyDescent="0.2">
      <c r="A13" s="8" t="str">
        <f t="shared" si="0"/>
        <v>IBVS 5960 </v>
      </c>
      <c r="B13" s="3" t="str">
        <f t="shared" si="1"/>
        <v>I</v>
      </c>
      <c r="C13" s="8">
        <f t="shared" si="2"/>
        <v>55523.890599999999</v>
      </c>
      <c r="D13" t="str">
        <f t="shared" si="3"/>
        <v>vis</v>
      </c>
      <c r="E13">
        <f>VLOOKUP(C13,Active!C$21:E$973,3,FALSE)</f>
        <v>2629.9984191558287</v>
      </c>
      <c r="F13" s="3" t="s">
        <v>64</v>
      </c>
      <c r="G13" t="str">
        <f t="shared" si="4"/>
        <v>55523.8906</v>
      </c>
      <c r="H13" s="8">
        <f t="shared" si="5"/>
        <v>2630</v>
      </c>
      <c r="I13" s="27" t="s">
        <v>76</v>
      </c>
      <c r="J13" s="28" t="s">
        <v>77</v>
      </c>
      <c r="K13" s="27">
        <v>2630</v>
      </c>
      <c r="L13" s="27" t="s">
        <v>78</v>
      </c>
      <c r="M13" s="28" t="s">
        <v>79</v>
      </c>
      <c r="N13" s="28" t="s">
        <v>64</v>
      </c>
      <c r="O13" s="29" t="s">
        <v>80</v>
      </c>
      <c r="P13" s="30" t="s">
        <v>81</v>
      </c>
    </row>
    <row r="14" spans="1:16" ht="12.75" customHeight="1" x14ac:dyDescent="0.2">
      <c r="A14" s="8" t="str">
        <f t="shared" si="0"/>
        <v>BAVM 228 </v>
      </c>
      <c r="B14" s="3" t="str">
        <f t="shared" si="1"/>
        <v>I</v>
      </c>
      <c r="C14" s="8">
        <f t="shared" si="2"/>
        <v>55882.499000000003</v>
      </c>
      <c r="D14" t="str">
        <f t="shared" si="3"/>
        <v>vis</v>
      </c>
      <c r="E14">
        <f>VLOOKUP(C14,Active!C$21:E$973,3,FALSE)</f>
        <v>2941.9984184598088</v>
      </c>
      <c r="F14" s="3" t="s">
        <v>64</v>
      </c>
      <c r="G14" t="str">
        <f t="shared" si="4"/>
        <v>55882.4990</v>
      </c>
      <c r="H14" s="8">
        <f t="shared" si="5"/>
        <v>2942</v>
      </c>
      <c r="I14" s="27" t="s">
        <v>82</v>
      </c>
      <c r="J14" s="28" t="s">
        <v>83</v>
      </c>
      <c r="K14" s="27">
        <v>2942</v>
      </c>
      <c r="L14" s="27" t="s">
        <v>84</v>
      </c>
      <c r="M14" s="28" t="s">
        <v>79</v>
      </c>
      <c r="N14" s="28" t="s">
        <v>69</v>
      </c>
      <c r="O14" s="29" t="s">
        <v>85</v>
      </c>
      <c r="P14" s="30" t="s">
        <v>86</v>
      </c>
    </row>
    <row r="15" spans="1:16" ht="12.75" customHeight="1" x14ac:dyDescent="0.2">
      <c r="A15" s="8" t="str">
        <f t="shared" si="0"/>
        <v>IBVS 6011 </v>
      </c>
      <c r="B15" s="3" t="str">
        <f t="shared" si="1"/>
        <v>II</v>
      </c>
      <c r="C15" s="8">
        <f t="shared" si="2"/>
        <v>55896.868699999999</v>
      </c>
      <c r="D15" t="str">
        <f t="shared" si="3"/>
        <v>vis</v>
      </c>
      <c r="E15">
        <f>VLOOKUP(C15,Active!C$21:E$973,3,FALSE)</f>
        <v>2954.5004858681486</v>
      </c>
      <c r="F15" s="3" t="s">
        <v>64</v>
      </c>
      <c r="G15" t="str">
        <f t="shared" si="4"/>
        <v>55896.8687</v>
      </c>
      <c r="H15" s="8">
        <f t="shared" si="5"/>
        <v>2954.5</v>
      </c>
      <c r="I15" s="27" t="s">
        <v>87</v>
      </c>
      <c r="J15" s="28" t="s">
        <v>88</v>
      </c>
      <c r="K15" s="27">
        <v>2954.5</v>
      </c>
      <c r="L15" s="27" t="s">
        <v>89</v>
      </c>
      <c r="M15" s="28" t="s">
        <v>79</v>
      </c>
      <c r="N15" s="28" t="s">
        <v>64</v>
      </c>
      <c r="O15" s="29" t="s">
        <v>80</v>
      </c>
      <c r="P15" s="30" t="s">
        <v>90</v>
      </c>
    </row>
    <row r="16" spans="1:16" ht="12.75" customHeight="1" x14ac:dyDescent="0.2">
      <c r="A16" s="8" t="str">
        <f t="shared" si="0"/>
        <v>IBVS 5741 </v>
      </c>
      <c r="B16" s="3" t="str">
        <f t="shared" si="1"/>
        <v>II</v>
      </c>
      <c r="C16" s="8">
        <f t="shared" si="2"/>
        <v>53671.657200000001</v>
      </c>
      <c r="D16" t="str">
        <f t="shared" si="3"/>
        <v>vis</v>
      </c>
      <c r="E16">
        <f>VLOOKUP(C16,Active!C$21:E$973,3,FALSE)</f>
        <v>1018.5001399442971</v>
      </c>
      <c r="F16" s="3" t="s">
        <v>64</v>
      </c>
      <c r="G16" t="str">
        <f t="shared" si="4"/>
        <v>53671.6572</v>
      </c>
      <c r="H16" s="8">
        <f t="shared" si="5"/>
        <v>1018.5</v>
      </c>
      <c r="I16" s="27" t="s">
        <v>91</v>
      </c>
      <c r="J16" s="28" t="s">
        <v>92</v>
      </c>
      <c r="K16" s="27">
        <v>1018.5</v>
      </c>
      <c r="L16" s="27" t="s">
        <v>93</v>
      </c>
      <c r="M16" s="28" t="s">
        <v>68</v>
      </c>
      <c r="N16" s="28" t="s">
        <v>94</v>
      </c>
      <c r="O16" s="29" t="s">
        <v>95</v>
      </c>
      <c r="P16" s="30" t="s">
        <v>96</v>
      </c>
    </row>
    <row r="17" spans="1:16" ht="12.75" customHeight="1" x14ac:dyDescent="0.2">
      <c r="A17" s="8" t="str">
        <f t="shared" si="0"/>
        <v>VSB 46 </v>
      </c>
      <c r="B17" s="3" t="str">
        <f t="shared" si="1"/>
        <v>I</v>
      </c>
      <c r="C17" s="8">
        <f t="shared" si="2"/>
        <v>54146.930099999998</v>
      </c>
      <c r="D17" t="str">
        <f t="shared" si="3"/>
        <v>vis</v>
      </c>
      <c r="E17">
        <f>VLOOKUP(C17,Active!C$21:E$973,3,FALSE)</f>
        <v>1432.0017324033627</v>
      </c>
      <c r="F17" s="3" t="s">
        <v>64</v>
      </c>
      <c r="G17" t="str">
        <f t="shared" si="4"/>
        <v>54146.9301</v>
      </c>
      <c r="H17" s="8">
        <f t="shared" si="5"/>
        <v>1432</v>
      </c>
      <c r="I17" s="27" t="s">
        <v>97</v>
      </c>
      <c r="J17" s="28" t="s">
        <v>98</v>
      </c>
      <c r="K17" s="27">
        <v>1432</v>
      </c>
      <c r="L17" s="27" t="s">
        <v>99</v>
      </c>
      <c r="M17" s="28" t="s">
        <v>79</v>
      </c>
      <c r="N17" s="28" t="s">
        <v>100</v>
      </c>
      <c r="O17" s="29" t="s">
        <v>101</v>
      </c>
      <c r="P17" s="30" t="s">
        <v>49</v>
      </c>
    </row>
    <row r="18" spans="1:16" ht="12.75" customHeight="1" x14ac:dyDescent="0.2">
      <c r="A18" s="8" t="str">
        <f t="shared" si="0"/>
        <v>VSB 50 </v>
      </c>
      <c r="B18" s="3" t="str">
        <f t="shared" si="1"/>
        <v>I</v>
      </c>
      <c r="C18" s="8">
        <f t="shared" si="2"/>
        <v>54848.051500000001</v>
      </c>
      <c r="D18" t="str">
        <f t="shared" si="3"/>
        <v>vis</v>
      </c>
      <c r="E18">
        <f>VLOOKUP(C18,Active!C$21:E$973,3,FALSE)</f>
        <v>2041.9982531541423</v>
      </c>
      <c r="F18" s="3" t="s">
        <v>64</v>
      </c>
      <c r="G18" t="str">
        <f t="shared" si="4"/>
        <v>54848.0515</v>
      </c>
      <c r="H18" s="8">
        <f t="shared" si="5"/>
        <v>2042</v>
      </c>
      <c r="I18" s="27" t="s">
        <v>102</v>
      </c>
      <c r="J18" s="28" t="s">
        <v>103</v>
      </c>
      <c r="K18" s="27">
        <v>2042</v>
      </c>
      <c r="L18" s="27" t="s">
        <v>104</v>
      </c>
      <c r="M18" s="28" t="s">
        <v>79</v>
      </c>
      <c r="N18" s="28" t="s">
        <v>100</v>
      </c>
      <c r="O18" s="29" t="s">
        <v>101</v>
      </c>
      <c r="P18" s="30" t="s">
        <v>50</v>
      </c>
    </row>
    <row r="19" spans="1:16" ht="12.75" customHeight="1" x14ac:dyDescent="0.2">
      <c r="A19" s="8" t="str">
        <f t="shared" si="0"/>
        <v>BAVM 225 </v>
      </c>
      <c r="B19" s="3" t="str">
        <f t="shared" si="1"/>
        <v>II</v>
      </c>
      <c r="C19" s="8">
        <f t="shared" si="2"/>
        <v>55856.637699999999</v>
      </c>
      <c r="D19" t="str">
        <f t="shared" si="3"/>
        <v>vis</v>
      </c>
      <c r="E19">
        <f>VLOOKUP(C19,Active!C$21:E$973,3,FALSE)</f>
        <v>2919.4983164488094</v>
      </c>
      <c r="F19" s="3" t="s">
        <v>64</v>
      </c>
      <c r="G19" t="str">
        <f t="shared" si="4"/>
        <v>55856.6377</v>
      </c>
      <c r="H19" s="8">
        <f t="shared" si="5"/>
        <v>2919.5</v>
      </c>
      <c r="I19" s="27" t="s">
        <v>105</v>
      </c>
      <c r="J19" s="28" t="s">
        <v>106</v>
      </c>
      <c r="K19" s="27">
        <v>2919.5</v>
      </c>
      <c r="L19" s="27" t="s">
        <v>107</v>
      </c>
      <c r="M19" s="28" t="s">
        <v>79</v>
      </c>
      <c r="N19" s="28" t="s">
        <v>69</v>
      </c>
      <c r="O19" s="29" t="s">
        <v>85</v>
      </c>
      <c r="P19" s="30" t="s">
        <v>52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19" r:id="rId9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2024-03-01T04:21:45Z</dcterms:created>
  <dcterms:modified xsi:type="dcterms:W3CDTF">2024-03-01T04:21:45Z</dcterms:modified>
</cp:coreProperties>
</file>