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2C068D0-882A-48CB-AAB0-49EA3518257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BAV" sheetId="5" r:id="rId2"/>
  </sheets>
  <calcPr calcId="181029"/>
</workbook>
</file>

<file path=xl/calcChain.xml><?xml version="1.0" encoding="utf-8"?>
<calcChain xmlns="http://schemas.openxmlformats.org/spreadsheetml/2006/main">
  <c r="D9" i="2" l="1"/>
  <c r="C9" i="2"/>
  <c r="Q35" i="2"/>
  <c r="G25" i="5"/>
  <c r="C25" i="5"/>
  <c r="G24" i="5"/>
  <c r="C24" i="5"/>
  <c r="G23" i="5"/>
  <c r="C23" i="5"/>
  <c r="G26" i="5"/>
  <c r="C26" i="5"/>
  <c r="G22" i="5"/>
  <c r="C22" i="5"/>
  <c r="G21" i="5"/>
  <c r="C21" i="5"/>
  <c r="G20" i="5"/>
  <c r="C20" i="5"/>
  <c r="G19" i="5"/>
  <c r="C19" i="5"/>
  <c r="G18" i="5"/>
  <c r="C18" i="5"/>
  <c r="G17" i="5"/>
  <c r="C17" i="5"/>
  <c r="G16" i="5"/>
  <c r="C16" i="5"/>
  <c r="G15" i="5"/>
  <c r="C15" i="5"/>
  <c r="G14" i="5"/>
  <c r="C14" i="5"/>
  <c r="G13" i="5"/>
  <c r="C13" i="5"/>
  <c r="G12" i="5"/>
  <c r="C12" i="5"/>
  <c r="G11" i="5"/>
  <c r="C11" i="5"/>
  <c r="E11" i="5"/>
  <c r="H25" i="5"/>
  <c r="B25" i="5"/>
  <c r="D25" i="5"/>
  <c r="A25" i="5"/>
  <c r="H24" i="5"/>
  <c r="B24" i="5"/>
  <c r="D24" i="5"/>
  <c r="A24" i="5"/>
  <c r="H23" i="5"/>
  <c r="B23" i="5"/>
  <c r="D23" i="5"/>
  <c r="A23" i="5"/>
  <c r="H26" i="5"/>
  <c r="B26" i="5"/>
  <c r="D26" i="5"/>
  <c r="A26" i="5"/>
  <c r="H22" i="5"/>
  <c r="B22" i="5"/>
  <c r="D22" i="5"/>
  <c r="A22" i="5"/>
  <c r="H21" i="5"/>
  <c r="B21" i="5"/>
  <c r="D21" i="5"/>
  <c r="A21" i="5"/>
  <c r="H20" i="5"/>
  <c r="B20" i="5"/>
  <c r="D20" i="5"/>
  <c r="A20" i="5"/>
  <c r="H19" i="5"/>
  <c r="B19" i="5"/>
  <c r="D19" i="5"/>
  <c r="A19" i="5"/>
  <c r="H18" i="5"/>
  <c r="B18" i="5"/>
  <c r="D18" i="5"/>
  <c r="A18" i="5"/>
  <c r="H17" i="5"/>
  <c r="B17" i="5"/>
  <c r="D17" i="5"/>
  <c r="A17" i="5"/>
  <c r="H16" i="5"/>
  <c r="B16" i="5"/>
  <c r="D16" i="5"/>
  <c r="A16" i="5"/>
  <c r="H15" i="5"/>
  <c r="B15" i="5"/>
  <c r="D15" i="5"/>
  <c r="A15" i="5"/>
  <c r="H14" i="5"/>
  <c r="B14" i="5"/>
  <c r="D14" i="5"/>
  <c r="A14" i="5"/>
  <c r="H13" i="5"/>
  <c r="B13" i="5"/>
  <c r="D13" i="5"/>
  <c r="A13" i="5"/>
  <c r="H12" i="5"/>
  <c r="B12" i="5"/>
  <c r="D12" i="5"/>
  <c r="A12" i="5"/>
  <c r="H11" i="5"/>
  <c r="B11" i="5"/>
  <c r="D11" i="5"/>
  <c r="A11" i="5"/>
  <c r="Q41" i="2"/>
  <c r="F16" i="2"/>
  <c r="C17" i="2"/>
  <c r="Q33" i="2"/>
  <c r="Q34" i="2"/>
  <c r="Q36" i="2"/>
  <c r="Q37" i="2"/>
  <c r="Q38" i="2"/>
  <c r="Q39" i="2"/>
  <c r="Q40" i="2"/>
  <c r="Q29" i="2"/>
  <c r="Q30" i="2"/>
  <c r="C7" i="2"/>
  <c r="E35" i="2" s="1"/>
  <c r="C8" i="2"/>
  <c r="Q23" i="2"/>
  <c r="Q31" i="2"/>
  <c r="Q32" i="2"/>
  <c r="Q24" i="2"/>
  <c r="Q25" i="2"/>
  <c r="Q26" i="2"/>
  <c r="Q27" i="2"/>
  <c r="Q28" i="2"/>
  <c r="E12" i="5"/>
  <c r="E24" i="2"/>
  <c r="F24" i="2" s="1"/>
  <c r="G24" i="2" s="1"/>
  <c r="I24" i="2" s="1"/>
  <c r="E26" i="2"/>
  <c r="F26" i="2" s="1"/>
  <c r="G26" i="2" s="1"/>
  <c r="I26" i="2" s="1"/>
  <c r="E28" i="2"/>
  <c r="E17" i="5" s="1"/>
  <c r="E30" i="2"/>
  <c r="E19" i="5" s="1"/>
  <c r="E34" i="2"/>
  <c r="F34" i="2" s="1"/>
  <c r="G34" i="2" s="1"/>
  <c r="I34" i="2" s="1"/>
  <c r="E40" i="2"/>
  <c r="F40" i="2" s="1"/>
  <c r="G40" i="2" s="1"/>
  <c r="I40" i="2" s="1"/>
  <c r="E31" i="2"/>
  <c r="F31" i="2" s="1"/>
  <c r="G31" i="2" s="1"/>
  <c r="I31" i="2" s="1"/>
  <c r="E37" i="2"/>
  <c r="F37" i="2" s="1"/>
  <c r="G37" i="2" s="1"/>
  <c r="I37" i="2" s="1"/>
  <c r="E33" i="2"/>
  <c r="F33" i="2" s="1"/>
  <c r="G33" i="2" s="1"/>
  <c r="I33" i="2" s="1"/>
  <c r="E23" i="2"/>
  <c r="F23" i="2" s="1"/>
  <c r="G23" i="2" s="1"/>
  <c r="I23" i="2" s="1"/>
  <c r="E25" i="2"/>
  <c r="F25" i="2" s="1"/>
  <c r="G25" i="2" s="1"/>
  <c r="I25" i="2" s="1"/>
  <c r="E27" i="2"/>
  <c r="F27" i="2" s="1"/>
  <c r="G27" i="2" s="1"/>
  <c r="I27" i="2" s="1"/>
  <c r="E29" i="2"/>
  <c r="E18" i="5" s="1"/>
  <c r="E39" i="2"/>
  <c r="F39" i="2" s="1"/>
  <c r="G39" i="2" s="1"/>
  <c r="I39" i="2" s="1"/>
  <c r="E21" i="2"/>
  <c r="E36" i="2"/>
  <c r="F36" i="2"/>
  <c r="G36" i="2" s="1"/>
  <c r="I36" i="2" s="1"/>
  <c r="E41" i="2"/>
  <c r="F41" i="2"/>
  <c r="G41" i="2" s="1"/>
  <c r="I41" i="2" s="1"/>
  <c r="E32" i="2"/>
  <c r="E21" i="5" s="1"/>
  <c r="E38" i="2"/>
  <c r="F38" i="2"/>
  <c r="G38" i="2" s="1"/>
  <c r="I38" i="2" s="1"/>
  <c r="E16" i="5"/>
  <c r="E25" i="5"/>
  <c r="E15" i="5"/>
  <c r="E24" i="5"/>
  <c r="E13" i="5"/>
  <c r="E23" i="5"/>
  <c r="E20" i="5"/>
  <c r="E26" i="5" l="1"/>
  <c r="F35" i="2"/>
  <c r="G35" i="2" s="1"/>
  <c r="I35" i="2" s="1"/>
  <c r="F32" i="2"/>
  <c r="G32" i="2" s="1"/>
  <c r="E22" i="5"/>
  <c r="F29" i="2"/>
  <c r="G29" i="2" s="1"/>
  <c r="I29" i="2" s="1"/>
  <c r="F30" i="2"/>
  <c r="G30" i="2" s="1"/>
  <c r="I30" i="2" s="1"/>
  <c r="F17" i="2"/>
  <c r="F28" i="2"/>
  <c r="G28" i="2" s="1"/>
  <c r="I28" i="2" s="1"/>
  <c r="E14" i="5"/>
  <c r="C12" i="2"/>
  <c r="C11" i="2"/>
  <c r="O29" i="2" l="1"/>
  <c r="O36" i="2"/>
  <c r="O40" i="2"/>
  <c r="O23" i="2"/>
  <c r="O31" i="2"/>
  <c r="O41" i="2"/>
  <c r="O26" i="2"/>
  <c r="O28" i="2"/>
  <c r="O35" i="2"/>
  <c r="O30" i="2"/>
  <c r="O34" i="2"/>
  <c r="O24" i="2"/>
  <c r="O32" i="2"/>
  <c r="O37" i="2"/>
  <c r="O33" i="2"/>
  <c r="C15" i="2"/>
  <c r="F18" i="2" s="1"/>
  <c r="O39" i="2"/>
  <c r="O25" i="2"/>
  <c r="O27" i="2"/>
  <c r="O38" i="2"/>
  <c r="C16" i="2"/>
  <c r="D18" i="2" s="1"/>
  <c r="I32" i="2"/>
  <c r="F19" i="2" l="1"/>
  <c r="C18" i="2"/>
</calcChain>
</file>

<file path=xl/sharedStrings.xml><?xml version="1.0" encoding="utf-8"?>
<sst xmlns="http://schemas.openxmlformats.org/spreadsheetml/2006/main" count="219" uniqueCount="135">
  <si>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</si>
  <si>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</si>
  <si>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</si>
  <si>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</si>
  <si>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</si>
  <si>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</si>
  <si>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</si>
  <si>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</si>
  <si>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</si>
  <si>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</si>
  <si>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</si>
  <si>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</si>
  <si>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</si>
  <si>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</si>
  <si>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</si>
  <si>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</si>
  <si>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</si>
  <si>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</si>
  <si>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</si>
  <si>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</si>
  <si>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</si>
  <si>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</si>
  <si>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</si>
  <si>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</si>
  <si>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</si>
  <si>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</si>
  <si>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</si>
  <si>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</si>
  <si>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 5484</t>
  </si>
  <si>
    <t>IBVS 5643</t>
  </si>
  <si>
    <t>EW/KE</t>
  </si>
  <si>
    <t>II</t>
  </si>
  <si>
    <t>I</t>
  </si>
  <si>
    <t>IBVS 5690</t>
  </si>
  <si>
    <t>IBVS 5657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</si>
  <si>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</si>
  <si>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</si>
  <si>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</si>
  <si>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</si>
  <si>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</si>
  <si>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</si>
  <si>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</si>
  <si>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</si>
  <si>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</si>
  <si>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OEJV 0094</t>
  </si>
  <si>
    <t>IBVS 5920</t>
  </si>
  <si>
    <t>Add cycle</t>
  </si>
  <si>
    <t>Old Cycle</t>
  </si>
  <si>
    <t>IBVS 6011</t>
  </si>
  <si>
    <t>IBVS 6042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</si>
  <si>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</si>
  <si>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</si>
  <si>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</si>
  <si>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</si>
  <si>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</si>
  <si>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</si>
  <si>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</si>
  <si>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</si>
  <si>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</si>
  <si>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</si>
  <si>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</si>
  <si>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2451815.38057 </t>
  </si>
  <si>
    <t> 27.09.2000 21:08 </t>
  </si>
  <si>
    <t> -0.02861 </t>
  </si>
  <si>
    <t>C </t>
  </si>
  <si>
    <t>o</t>
  </si>
  <si>
    <t> J.Safar </t>
  </si>
  <si>
    <t>OEJV 0074 </t>
  </si>
  <si>
    <t>2452505.5070 </t>
  </si>
  <si>
    <t> 19.08.2002 00:10 </t>
  </si>
  <si>
    <t> -0.0005 </t>
  </si>
  <si>
    <t>E </t>
  </si>
  <si>
    <t> F.Agerer </t>
  </si>
  <si>
    <t>BAVM 158 </t>
  </si>
  <si>
    <t>2452510.4627 </t>
  </si>
  <si>
    <t> 23.08.2002 23:06 </t>
  </si>
  <si>
    <t> -0.0095 </t>
  </si>
  <si>
    <t>2452878.4716 </t>
  </si>
  <si>
    <t> 26.08.2003 23:19 </t>
  </si>
  <si>
    <t> -0.0117 </t>
  </si>
  <si>
    <t>BAVM 172 </t>
  </si>
  <si>
    <t>2452887.3613 </t>
  </si>
  <si>
    <t> 04.09.2003 20:40 </t>
  </si>
  <si>
    <t> -0.0171 </t>
  </si>
  <si>
    <t>2452887.5687 </t>
  </si>
  <si>
    <t> 05.09.2003 01:38 </t>
  </si>
  <si>
    <t> -0.0166 </t>
  </si>
  <si>
    <t>2452929.5405 </t>
  </si>
  <si>
    <t> 17.10.2003 00:58 </t>
  </si>
  <si>
    <t> -0.0382 </t>
  </si>
  <si>
    <t>2453257.4426 </t>
  </si>
  <si>
    <t> 08.09.2004 22:37 </t>
  </si>
  <si>
    <t> -0.0155 </t>
  </si>
  <si>
    <t>BAVM 173 </t>
  </si>
  <si>
    <t>2453267.3665 </t>
  </si>
  <si>
    <t> 18.09.2004 20:47 </t>
  </si>
  <si>
    <t> -0.0211 </t>
  </si>
  <si>
    <t>2453341.5907 </t>
  </si>
  <si>
    <t> 02.12.2004 02:10 </t>
  </si>
  <si>
    <t> -0.0611 </t>
  </si>
  <si>
    <t> T.Krajci </t>
  </si>
  <si>
    <t>IBVS 5690 </t>
  </si>
  <si>
    <t>2453342.6239 </t>
  </si>
  <si>
    <t> 03.12.2004 02:58 </t>
  </si>
  <si>
    <t> -0.0622 </t>
  </si>
  <si>
    <t>2453659.3689 </t>
  </si>
  <si>
    <t> 15.10.2005 20:51 </t>
  </si>
  <si>
    <t> -0.0260 </t>
  </si>
  <si>
    <t>-I</t>
  </si>
  <si>
    <t> P.Frank </t>
  </si>
  <si>
    <t>BAVM 178 </t>
  </si>
  <si>
    <t>2453917.8006 </t>
  </si>
  <si>
    <t> 01.07.2006 07:12 </t>
  </si>
  <si>
    <t>70459.5</t>
  </si>
  <si>
    <t> 0.0326 </t>
  </si>
  <si>
    <t>IBVS 5806 </t>
  </si>
  <si>
    <t>2455102.665 </t>
  </si>
  <si>
    <t> 28.09.2009 03:57 </t>
  </si>
  <si>
    <t>73323.5</t>
  </si>
  <si>
    <t> -0.020 </t>
  </si>
  <si>
    <t> R.Diethelm </t>
  </si>
  <si>
    <t>IBVS 5920 </t>
  </si>
  <si>
    <t>2455850.6853 </t>
  </si>
  <si>
    <t> 16.10.2011 04:26 </t>
  </si>
  <si>
    <t>75131.5</t>
  </si>
  <si>
    <t> -0.0199 </t>
  </si>
  <si>
    <t>IBVS 6011 </t>
  </si>
  <si>
    <t>2456218.6962 </t>
  </si>
  <si>
    <t> 18.10.2012 04:42 </t>
  </si>
  <si>
    <t>76021</t>
  </si>
  <si>
    <t> -0.0201 </t>
  </si>
  <si>
    <t>IBVS 6042 </t>
  </si>
  <si>
    <t>CF Peg / GSC 2193-1079</t>
  </si>
  <si>
    <t>S3</t>
  </si>
  <si>
    <t>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</si>
</sst>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2" borderId="0" xfId="0" applyFont="1" applyFill="1" applyAlignmen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0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8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8" fillId="3" borderId="12" xfId="7" applyFill="1" applyBorder="1" applyAlignment="1" applyProtection="1">
      <alignment horizontal="right" vertical="top" wrapText="1"/>
    </xf>
    <xf numFmtId="0" fontId="8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2" fontId="0" fillId="0" borderId="0" xfId="0" applyNumberFormat="1" applyAlignment="1">
      <alignment horizontal="left" vertical="center"/>
    </xf>
    <xf numFmtId="0" fontId="9" fillId="2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 wrapText="1"/>
    </xf>
    <xf numFmtId="172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CF Peg - O-C Diagr.</a:t>
            </a:r>
          </a:p>
        </c:rich>
      </c:tx>
      <c:layout>
        <c:manualLayout>
          <c:xMode val="edge"/>
          <c:yMode val="edge"/>
          <c:x val="0.38781606236813265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2846986475397"/>
          <c:y val="0.14678942920199375"/>
          <c:w val="0.83060981511322252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-2592.5</c:v>
                </c:pt>
                <c:pt idx="1">
                  <c:v>-2592.5</c:v>
                </c:pt>
                <c:pt idx="2">
                  <c:v>67045.5</c:v>
                </c:pt>
                <c:pt idx="3">
                  <c:v>67057.5</c:v>
                </c:pt>
                <c:pt idx="4">
                  <c:v>67947.5</c:v>
                </c:pt>
                <c:pt idx="5">
                  <c:v>67969</c:v>
                </c:pt>
                <c:pt idx="6">
                  <c:v>67969.5</c:v>
                </c:pt>
                <c:pt idx="7">
                  <c:v>68071</c:v>
                </c:pt>
                <c:pt idx="8">
                  <c:v>68864</c:v>
                </c:pt>
                <c:pt idx="9">
                  <c:v>68888</c:v>
                </c:pt>
                <c:pt idx="10">
                  <c:v>69067.5</c:v>
                </c:pt>
                <c:pt idx="11">
                  <c:v>69070</c:v>
                </c:pt>
                <c:pt idx="12">
                  <c:v>69835.5</c:v>
                </c:pt>
                <c:pt idx="13">
                  <c:v>69835.5</c:v>
                </c:pt>
                <c:pt idx="14">
                  <c:v>70460</c:v>
                </c:pt>
                <c:pt idx="15">
                  <c:v>71452.5</c:v>
                </c:pt>
                <c:pt idx="16">
                  <c:v>71564</c:v>
                </c:pt>
                <c:pt idx="17">
                  <c:v>73324</c:v>
                </c:pt>
                <c:pt idx="18">
                  <c:v>73324</c:v>
                </c:pt>
                <c:pt idx="19">
                  <c:v>75132</c:v>
                </c:pt>
                <c:pt idx="20">
                  <c:v>76021.5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5.0884105803561397E-3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44-4D74-B09F-D95B9E5620B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3.3999999999999998E-3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1.1000000000000001E-3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1.1999999999999999E-3</c:v>
                  </c:pt>
                  <c:pt idx="9">
                    <c:v>3.0000000000000001E-3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2.5999999999999999E-3</c:v>
                  </c:pt>
                  <c:pt idx="13">
                    <c:v>2.5999999999999999E-3</c:v>
                  </c:pt>
                  <c:pt idx="15">
                    <c:v>2.9999999999999997E-4</c:v>
                  </c:pt>
                  <c:pt idx="16">
                    <c:v>6.9999999999999999E-4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3.3999999999999998E-3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1.1000000000000001E-3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1.1999999999999999E-3</c:v>
                  </c:pt>
                  <c:pt idx="9">
                    <c:v>3.0000000000000001E-3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2.5999999999999999E-3</c:v>
                  </c:pt>
                  <c:pt idx="13">
                    <c:v>2.5999999999999999E-3</c:v>
                  </c:pt>
                  <c:pt idx="15">
                    <c:v>2.9999999999999997E-4</c:v>
                  </c:pt>
                  <c:pt idx="16">
                    <c:v>6.9999999999999999E-4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-2592.5</c:v>
                </c:pt>
                <c:pt idx="1">
                  <c:v>-2592.5</c:v>
                </c:pt>
                <c:pt idx="2">
                  <c:v>67045.5</c:v>
                </c:pt>
                <c:pt idx="3">
                  <c:v>67057.5</c:v>
                </c:pt>
                <c:pt idx="4">
                  <c:v>67947.5</c:v>
                </c:pt>
                <c:pt idx="5">
                  <c:v>67969</c:v>
                </c:pt>
                <c:pt idx="6">
                  <c:v>67969.5</c:v>
                </c:pt>
                <c:pt idx="7">
                  <c:v>68071</c:v>
                </c:pt>
                <c:pt idx="8">
                  <c:v>68864</c:v>
                </c:pt>
                <c:pt idx="9">
                  <c:v>68888</c:v>
                </c:pt>
                <c:pt idx="10">
                  <c:v>69067.5</c:v>
                </c:pt>
                <c:pt idx="11">
                  <c:v>69070</c:v>
                </c:pt>
                <c:pt idx="12">
                  <c:v>69835.5</c:v>
                </c:pt>
                <c:pt idx="13">
                  <c:v>69835.5</c:v>
                </c:pt>
                <c:pt idx="14">
                  <c:v>70460</c:v>
                </c:pt>
                <c:pt idx="15">
                  <c:v>71452.5</c:v>
                </c:pt>
                <c:pt idx="16">
                  <c:v>71564</c:v>
                </c:pt>
                <c:pt idx="17">
                  <c:v>73324</c:v>
                </c:pt>
                <c:pt idx="18">
                  <c:v>73324</c:v>
                </c:pt>
                <c:pt idx="19">
                  <c:v>75132</c:v>
                </c:pt>
                <c:pt idx="20">
                  <c:v>76021.5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5.0884105803561397E-3</c:v>
                </c:pt>
                <c:pt idx="2">
                  <c:v>0.20637600000191014</c:v>
                </c:pt>
                <c:pt idx="3">
                  <c:v>0.19733999999152729</c:v>
                </c:pt>
                <c:pt idx="4">
                  <c:v>-1.1680000003252644E-2</c:v>
                </c:pt>
                <c:pt idx="5">
                  <c:v>-1.7132000000856351E-2</c:v>
                </c:pt>
                <c:pt idx="6">
                  <c:v>-1.6596000001300126E-2</c:v>
                </c:pt>
                <c:pt idx="7">
                  <c:v>-3.8187999998626765E-2</c:v>
                </c:pt>
                <c:pt idx="8">
                  <c:v>-0.22239199999603443</c:v>
                </c:pt>
                <c:pt idx="9">
                  <c:v>-0.22796399999788264</c:v>
                </c:pt>
                <c:pt idx="10">
                  <c:v>-0.26793999999790685</c:v>
                </c:pt>
                <c:pt idx="11">
                  <c:v>-0.2690599999987171</c:v>
                </c:pt>
                <c:pt idx="12">
                  <c:v>-0.23284399999829475</c:v>
                </c:pt>
                <c:pt idx="13">
                  <c:v>-0.23284399999829475</c:v>
                </c:pt>
                <c:pt idx="14">
                  <c:v>-0.17427999999199528</c:v>
                </c:pt>
                <c:pt idx="15">
                  <c:v>-0.21489000000292435</c:v>
                </c:pt>
                <c:pt idx="16">
                  <c:v>-0.23799200000212295</c:v>
                </c:pt>
                <c:pt idx="17">
                  <c:v>-0.22687199999927543</c:v>
                </c:pt>
                <c:pt idx="18">
                  <c:v>-0.22687199999927543</c:v>
                </c:pt>
                <c:pt idx="19">
                  <c:v>-0.22679600000265054</c:v>
                </c:pt>
                <c:pt idx="20">
                  <c:v>-0.22695200000453042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44-4D74-B09F-D95B9E5620B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3.3999999999999998E-3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1.1000000000000001E-3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1.1999999999999999E-3</c:v>
                  </c:pt>
                  <c:pt idx="9">
                    <c:v>3.0000000000000001E-3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2.5999999999999999E-3</c:v>
                  </c:pt>
                  <c:pt idx="13">
                    <c:v>2.5999999999999999E-3</c:v>
                  </c:pt>
                  <c:pt idx="15">
                    <c:v>2.9999999999999997E-4</c:v>
                  </c:pt>
                  <c:pt idx="16">
                    <c:v>6.9999999999999999E-4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3.3999999999999998E-3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1.1000000000000001E-3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1.1999999999999999E-3</c:v>
                  </c:pt>
                  <c:pt idx="9">
                    <c:v>3.0000000000000001E-3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2.5999999999999999E-3</c:v>
                  </c:pt>
                  <c:pt idx="13">
                    <c:v>2.5999999999999999E-3</c:v>
                  </c:pt>
                  <c:pt idx="15">
                    <c:v>2.9999999999999997E-4</c:v>
                  </c:pt>
                  <c:pt idx="16">
                    <c:v>6.9999999999999999E-4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-2592.5</c:v>
                </c:pt>
                <c:pt idx="1">
                  <c:v>-2592.5</c:v>
                </c:pt>
                <c:pt idx="2">
                  <c:v>67045.5</c:v>
                </c:pt>
                <c:pt idx="3">
                  <c:v>67057.5</c:v>
                </c:pt>
                <c:pt idx="4">
                  <c:v>67947.5</c:v>
                </c:pt>
                <c:pt idx="5">
                  <c:v>67969</c:v>
                </c:pt>
                <c:pt idx="6">
                  <c:v>67969.5</c:v>
                </c:pt>
                <c:pt idx="7">
                  <c:v>68071</c:v>
                </c:pt>
                <c:pt idx="8">
                  <c:v>68864</c:v>
                </c:pt>
                <c:pt idx="9">
                  <c:v>68888</c:v>
                </c:pt>
                <c:pt idx="10">
                  <c:v>69067.5</c:v>
                </c:pt>
                <c:pt idx="11">
                  <c:v>69070</c:v>
                </c:pt>
                <c:pt idx="12">
                  <c:v>69835.5</c:v>
                </c:pt>
                <c:pt idx="13">
                  <c:v>69835.5</c:v>
                </c:pt>
                <c:pt idx="14">
                  <c:v>70460</c:v>
                </c:pt>
                <c:pt idx="15">
                  <c:v>71452.5</c:v>
                </c:pt>
                <c:pt idx="16">
                  <c:v>71564</c:v>
                </c:pt>
                <c:pt idx="17">
                  <c:v>73324</c:v>
                </c:pt>
                <c:pt idx="18">
                  <c:v>73324</c:v>
                </c:pt>
                <c:pt idx="19">
                  <c:v>75132</c:v>
                </c:pt>
                <c:pt idx="20">
                  <c:v>76021.5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44-4D74-B09F-D95B9E5620B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3.3999999999999998E-3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1.1000000000000001E-3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1.1999999999999999E-3</c:v>
                  </c:pt>
                  <c:pt idx="9">
                    <c:v>3.0000000000000001E-3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2.5999999999999999E-3</c:v>
                  </c:pt>
                  <c:pt idx="13">
                    <c:v>2.5999999999999999E-3</c:v>
                  </c:pt>
                  <c:pt idx="15">
                    <c:v>2.9999999999999997E-4</c:v>
                  </c:pt>
                  <c:pt idx="16">
                    <c:v>6.9999999999999999E-4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3.3999999999999998E-3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1.1000000000000001E-3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1.1999999999999999E-3</c:v>
                  </c:pt>
                  <c:pt idx="9">
                    <c:v>3.0000000000000001E-3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2.5999999999999999E-3</c:v>
                  </c:pt>
                  <c:pt idx="13">
                    <c:v>2.5999999999999999E-3</c:v>
                  </c:pt>
                  <c:pt idx="15">
                    <c:v>2.9999999999999997E-4</c:v>
                  </c:pt>
                  <c:pt idx="16">
                    <c:v>6.9999999999999999E-4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-2592.5</c:v>
                </c:pt>
                <c:pt idx="1">
                  <c:v>-2592.5</c:v>
                </c:pt>
                <c:pt idx="2">
                  <c:v>67045.5</c:v>
                </c:pt>
                <c:pt idx="3">
                  <c:v>67057.5</c:v>
                </c:pt>
                <c:pt idx="4">
                  <c:v>67947.5</c:v>
                </c:pt>
                <c:pt idx="5">
                  <c:v>67969</c:v>
                </c:pt>
                <c:pt idx="6">
                  <c:v>67969.5</c:v>
                </c:pt>
                <c:pt idx="7">
                  <c:v>68071</c:v>
                </c:pt>
                <c:pt idx="8">
                  <c:v>68864</c:v>
                </c:pt>
                <c:pt idx="9">
                  <c:v>68888</c:v>
                </c:pt>
                <c:pt idx="10">
                  <c:v>69067.5</c:v>
                </c:pt>
                <c:pt idx="11">
                  <c:v>69070</c:v>
                </c:pt>
                <c:pt idx="12">
                  <c:v>69835.5</c:v>
                </c:pt>
                <c:pt idx="13">
                  <c:v>69835.5</c:v>
                </c:pt>
                <c:pt idx="14">
                  <c:v>70460</c:v>
                </c:pt>
                <c:pt idx="15">
                  <c:v>71452.5</c:v>
                </c:pt>
                <c:pt idx="16">
                  <c:v>71564</c:v>
                </c:pt>
                <c:pt idx="17">
                  <c:v>73324</c:v>
                </c:pt>
                <c:pt idx="18">
                  <c:v>73324</c:v>
                </c:pt>
                <c:pt idx="19">
                  <c:v>75132</c:v>
                </c:pt>
                <c:pt idx="20">
                  <c:v>76021.5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44-4D74-B09F-D95B9E5620B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3.3999999999999998E-3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1.1000000000000001E-3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1.1999999999999999E-3</c:v>
                  </c:pt>
                  <c:pt idx="9">
                    <c:v>3.0000000000000001E-3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2.5999999999999999E-3</c:v>
                  </c:pt>
                  <c:pt idx="13">
                    <c:v>2.5999999999999999E-3</c:v>
                  </c:pt>
                  <c:pt idx="15">
                    <c:v>2.9999999999999997E-4</c:v>
                  </c:pt>
                  <c:pt idx="16">
                    <c:v>6.9999999999999999E-4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3.3999999999999998E-3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1.1000000000000001E-3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1.1999999999999999E-3</c:v>
                  </c:pt>
                  <c:pt idx="9">
                    <c:v>3.0000000000000001E-3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2.5999999999999999E-3</c:v>
                  </c:pt>
                  <c:pt idx="13">
                    <c:v>2.5999999999999999E-3</c:v>
                  </c:pt>
                  <c:pt idx="15">
                    <c:v>2.9999999999999997E-4</c:v>
                  </c:pt>
                  <c:pt idx="16">
                    <c:v>6.9999999999999999E-4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-2592.5</c:v>
                </c:pt>
                <c:pt idx="1">
                  <c:v>-2592.5</c:v>
                </c:pt>
                <c:pt idx="2">
                  <c:v>67045.5</c:v>
                </c:pt>
                <c:pt idx="3">
                  <c:v>67057.5</c:v>
                </c:pt>
                <c:pt idx="4">
                  <c:v>67947.5</c:v>
                </c:pt>
                <c:pt idx="5">
                  <c:v>67969</c:v>
                </c:pt>
                <c:pt idx="6">
                  <c:v>67969.5</c:v>
                </c:pt>
                <c:pt idx="7">
                  <c:v>68071</c:v>
                </c:pt>
                <c:pt idx="8">
                  <c:v>68864</c:v>
                </c:pt>
                <c:pt idx="9">
                  <c:v>68888</c:v>
                </c:pt>
                <c:pt idx="10">
                  <c:v>69067.5</c:v>
                </c:pt>
                <c:pt idx="11">
                  <c:v>69070</c:v>
                </c:pt>
                <c:pt idx="12">
                  <c:v>69835.5</c:v>
                </c:pt>
                <c:pt idx="13">
                  <c:v>69835.5</c:v>
                </c:pt>
                <c:pt idx="14">
                  <c:v>70460</c:v>
                </c:pt>
                <c:pt idx="15">
                  <c:v>71452.5</c:v>
                </c:pt>
                <c:pt idx="16">
                  <c:v>71564</c:v>
                </c:pt>
                <c:pt idx="17">
                  <c:v>73324</c:v>
                </c:pt>
                <c:pt idx="18">
                  <c:v>73324</c:v>
                </c:pt>
                <c:pt idx="19">
                  <c:v>75132</c:v>
                </c:pt>
                <c:pt idx="20">
                  <c:v>76021.5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44-4D74-B09F-D95B9E5620B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3.3999999999999998E-3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1.1000000000000001E-3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1.1999999999999999E-3</c:v>
                  </c:pt>
                  <c:pt idx="9">
                    <c:v>3.0000000000000001E-3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2.5999999999999999E-3</c:v>
                  </c:pt>
                  <c:pt idx="13">
                    <c:v>2.5999999999999999E-3</c:v>
                  </c:pt>
                  <c:pt idx="15">
                    <c:v>2.9999999999999997E-4</c:v>
                  </c:pt>
                  <c:pt idx="16">
                    <c:v>6.9999999999999999E-4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3.3999999999999998E-3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1.1000000000000001E-3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1.1999999999999999E-3</c:v>
                  </c:pt>
                  <c:pt idx="9">
                    <c:v>3.0000000000000001E-3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2.5999999999999999E-3</c:v>
                  </c:pt>
                  <c:pt idx="13">
                    <c:v>2.5999999999999999E-3</c:v>
                  </c:pt>
                  <c:pt idx="15">
                    <c:v>2.9999999999999997E-4</c:v>
                  </c:pt>
                  <c:pt idx="16">
                    <c:v>6.9999999999999999E-4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-2592.5</c:v>
                </c:pt>
                <c:pt idx="1">
                  <c:v>-2592.5</c:v>
                </c:pt>
                <c:pt idx="2">
                  <c:v>67045.5</c:v>
                </c:pt>
                <c:pt idx="3">
                  <c:v>67057.5</c:v>
                </c:pt>
                <c:pt idx="4">
                  <c:v>67947.5</c:v>
                </c:pt>
                <c:pt idx="5">
                  <c:v>67969</c:v>
                </c:pt>
                <c:pt idx="6">
                  <c:v>67969.5</c:v>
                </c:pt>
                <c:pt idx="7">
                  <c:v>68071</c:v>
                </c:pt>
                <c:pt idx="8">
                  <c:v>68864</c:v>
                </c:pt>
                <c:pt idx="9">
                  <c:v>68888</c:v>
                </c:pt>
                <c:pt idx="10">
                  <c:v>69067.5</c:v>
                </c:pt>
                <c:pt idx="11">
                  <c:v>69070</c:v>
                </c:pt>
                <c:pt idx="12">
                  <c:v>69835.5</c:v>
                </c:pt>
                <c:pt idx="13">
                  <c:v>69835.5</c:v>
                </c:pt>
                <c:pt idx="14">
                  <c:v>70460</c:v>
                </c:pt>
                <c:pt idx="15">
                  <c:v>71452.5</c:v>
                </c:pt>
                <c:pt idx="16">
                  <c:v>71564</c:v>
                </c:pt>
                <c:pt idx="17">
                  <c:v>73324</c:v>
                </c:pt>
                <c:pt idx="18">
                  <c:v>73324</c:v>
                </c:pt>
                <c:pt idx="19">
                  <c:v>75132</c:v>
                </c:pt>
                <c:pt idx="20">
                  <c:v>76021.5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44-4D74-B09F-D95B9E5620B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3.3999999999999998E-3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1.1000000000000001E-3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1.1999999999999999E-3</c:v>
                  </c:pt>
                  <c:pt idx="9">
                    <c:v>3.0000000000000001E-3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2.5999999999999999E-3</c:v>
                  </c:pt>
                  <c:pt idx="13">
                    <c:v>2.5999999999999999E-3</c:v>
                  </c:pt>
                  <c:pt idx="15">
                    <c:v>2.9999999999999997E-4</c:v>
                  </c:pt>
                  <c:pt idx="16">
                    <c:v>6.9999999999999999E-4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3.3999999999999998E-3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1.1000000000000001E-3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1.1999999999999999E-3</c:v>
                  </c:pt>
                  <c:pt idx="9">
                    <c:v>3.0000000000000001E-3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2.5999999999999999E-3</c:v>
                  </c:pt>
                  <c:pt idx="13">
                    <c:v>2.5999999999999999E-3</c:v>
                  </c:pt>
                  <c:pt idx="15">
                    <c:v>2.9999999999999997E-4</c:v>
                  </c:pt>
                  <c:pt idx="16">
                    <c:v>6.9999999999999999E-4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-2592.5</c:v>
                </c:pt>
                <c:pt idx="1">
                  <c:v>-2592.5</c:v>
                </c:pt>
                <c:pt idx="2">
                  <c:v>67045.5</c:v>
                </c:pt>
                <c:pt idx="3">
                  <c:v>67057.5</c:v>
                </c:pt>
                <c:pt idx="4">
                  <c:v>67947.5</c:v>
                </c:pt>
                <c:pt idx="5">
                  <c:v>67969</c:v>
                </c:pt>
                <c:pt idx="6">
                  <c:v>67969.5</c:v>
                </c:pt>
                <c:pt idx="7">
                  <c:v>68071</c:v>
                </c:pt>
                <c:pt idx="8">
                  <c:v>68864</c:v>
                </c:pt>
                <c:pt idx="9">
                  <c:v>68888</c:v>
                </c:pt>
                <c:pt idx="10">
                  <c:v>69067.5</c:v>
                </c:pt>
                <c:pt idx="11">
                  <c:v>69070</c:v>
                </c:pt>
                <c:pt idx="12">
                  <c:v>69835.5</c:v>
                </c:pt>
                <c:pt idx="13">
                  <c:v>69835.5</c:v>
                </c:pt>
                <c:pt idx="14">
                  <c:v>70460</c:v>
                </c:pt>
                <c:pt idx="15">
                  <c:v>71452.5</c:v>
                </c:pt>
                <c:pt idx="16">
                  <c:v>71564</c:v>
                </c:pt>
                <c:pt idx="17">
                  <c:v>73324</c:v>
                </c:pt>
                <c:pt idx="18">
                  <c:v>73324</c:v>
                </c:pt>
                <c:pt idx="19">
                  <c:v>75132</c:v>
                </c:pt>
                <c:pt idx="20">
                  <c:v>76021.5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44-4D74-B09F-D95B9E5620B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-2592.5</c:v>
                </c:pt>
                <c:pt idx="1">
                  <c:v>-2592.5</c:v>
                </c:pt>
                <c:pt idx="2">
                  <c:v>67045.5</c:v>
                </c:pt>
                <c:pt idx="3">
                  <c:v>67057.5</c:v>
                </c:pt>
                <c:pt idx="4">
                  <c:v>67947.5</c:v>
                </c:pt>
                <c:pt idx="5">
                  <c:v>67969</c:v>
                </c:pt>
                <c:pt idx="6">
                  <c:v>67969.5</c:v>
                </c:pt>
                <c:pt idx="7">
                  <c:v>68071</c:v>
                </c:pt>
                <c:pt idx="8">
                  <c:v>68864</c:v>
                </c:pt>
                <c:pt idx="9">
                  <c:v>68888</c:v>
                </c:pt>
                <c:pt idx="10">
                  <c:v>69067.5</c:v>
                </c:pt>
                <c:pt idx="11">
                  <c:v>69070</c:v>
                </c:pt>
                <c:pt idx="12">
                  <c:v>69835.5</c:v>
                </c:pt>
                <c:pt idx="13">
                  <c:v>69835.5</c:v>
                </c:pt>
                <c:pt idx="14">
                  <c:v>70460</c:v>
                </c:pt>
                <c:pt idx="15">
                  <c:v>71452.5</c:v>
                </c:pt>
                <c:pt idx="16">
                  <c:v>71564</c:v>
                </c:pt>
                <c:pt idx="17">
                  <c:v>73324</c:v>
                </c:pt>
                <c:pt idx="18">
                  <c:v>73324</c:v>
                </c:pt>
                <c:pt idx="19">
                  <c:v>75132</c:v>
                </c:pt>
                <c:pt idx="20">
                  <c:v>76021.5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2">
                  <c:v>-0.24486977300255933</c:v>
                </c:pt>
                <c:pt idx="3">
                  <c:v>-0.24483343163016399</c:v>
                </c:pt>
                <c:pt idx="4">
                  <c:v>-0.24213811317750966</c:v>
                </c:pt>
                <c:pt idx="5">
                  <c:v>-0.24207300155196801</c:v>
                </c:pt>
                <c:pt idx="6">
                  <c:v>-0.2420714873281182</c:v>
                </c:pt>
                <c:pt idx="7">
                  <c:v>-0.2417640998866076</c:v>
                </c:pt>
                <c:pt idx="8">
                  <c:v>-0.2393625408608156</c:v>
                </c:pt>
                <c:pt idx="9">
                  <c:v>-0.23928985811602493</c:v>
                </c:pt>
                <c:pt idx="10">
                  <c:v>-0.23874625175394462</c:v>
                </c:pt>
                <c:pt idx="11">
                  <c:v>-0.23873868063469561</c:v>
                </c:pt>
                <c:pt idx="12">
                  <c:v>-0.2364204039206429</c:v>
                </c:pt>
                <c:pt idx="13">
                  <c:v>-0.2364204039206429</c:v>
                </c:pt>
                <c:pt idx="14">
                  <c:v>-0.23452913833223546</c:v>
                </c:pt>
                <c:pt idx="15">
                  <c:v>-0.23152340399037091</c:v>
                </c:pt>
                <c:pt idx="16">
                  <c:v>-0.23118573207186421</c:v>
                </c:pt>
                <c:pt idx="17">
                  <c:v>-0.22585566412054778</c:v>
                </c:pt>
                <c:pt idx="18">
                  <c:v>-0.22585566412054778</c:v>
                </c:pt>
                <c:pt idx="19">
                  <c:v>-0.22038023067964996</c:v>
                </c:pt>
                <c:pt idx="20">
                  <c:v>-0.21768642645084543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44-4D74-B09F-D95B9E562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761968"/>
        <c:axId val="1"/>
      </c:scatterChart>
      <c:valAx>
        <c:axId val="530761968"/>
        <c:scaling>
          <c:orientation val="minMax"/>
          <c:min val="6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05974736070326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4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0761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24978452730556"/>
          <c:y val="0.9204921861831491"/>
          <c:w val="0.70728130009008905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CF Peg - O-C Diagr.</a:t>
            </a:r>
          </a:p>
        </c:rich>
      </c:tx>
      <c:layout>
        <c:manualLayout>
          <c:xMode val="edge"/>
          <c:yMode val="edge"/>
          <c:x val="0.375206611570247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8429752066117"/>
          <c:y val="0.16161669302626863"/>
          <c:w val="0.81157024793388433"/>
          <c:h val="0.5925945410963182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-2592.5</c:v>
                </c:pt>
                <c:pt idx="1">
                  <c:v>-2592.5</c:v>
                </c:pt>
                <c:pt idx="2">
                  <c:v>67045.5</c:v>
                </c:pt>
                <c:pt idx="3">
                  <c:v>67057.5</c:v>
                </c:pt>
                <c:pt idx="4">
                  <c:v>67947.5</c:v>
                </c:pt>
                <c:pt idx="5">
                  <c:v>67969</c:v>
                </c:pt>
                <c:pt idx="6">
                  <c:v>67969.5</c:v>
                </c:pt>
                <c:pt idx="7">
                  <c:v>68071</c:v>
                </c:pt>
                <c:pt idx="8">
                  <c:v>68864</c:v>
                </c:pt>
                <c:pt idx="9">
                  <c:v>68888</c:v>
                </c:pt>
                <c:pt idx="10">
                  <c:v>69067.5</c:v>
                </c:pt>
                <c:pt idx="11">
                  <c:v>69070</c:v>
                </c:pt>
                <c:pt idx="12">
                  <c:v>69835.5</c:v>
                </c:pt>
                <c:pt idx="13">
                  <c:v>69835.5</c:v>
                </c:pt>
                <c:pt idx="14">
                  <c:v>70460</c:v>
                </c:pt>
                <c:pt idx="15">
                  <c:v>71452.5</c:v>
                </c:pt>
                <c:pt idx="16">
                  <c:v>71564</c:v>
                </c:pt>
                <c:pt idx="17">
                  <c:v>73324</c:v>
                </c:pt>
                <c:pt idx="18">
                  <c:v>73324</c:v>
                </c:pt>
                <c:pt idx="19">
                  <c:v>75132</c:v>
                </c:pt>
                <c:pt idx="20">
                  <c:v>76021.5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5.0884105803561397E-3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13-4CFF-BC17-2309E16DC8D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3.3999999999999998E-3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1.1000000000000001E-3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1.1999999999999999E-3</c:v>
                  </c:pt>
                  <c:pt idx="9">
                    <c:v>3.0000000000000001E-3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2.5999999999999999E-3</c:v>
                  </c:pt>
                  <c:pt idx="13">
                    <c:v>2.5999999999999999E-3</c:v>
                  </c:pt>
                  <c:pt idx="15">
                    <c:v>2.9999999999999997E-4</c:v>
                  </c:pt>
                  <c:pt idx="16">
                    <c:v>6.9999999999999999E-4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3.3999999999999998E-3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1.1000000000000001E-3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1.1999999999999999E-3</c:v>
                  </c:pt>
                  <c:pt idx="9">
                    <c:v>3.0000000000000001E-3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2.5999999999999999E-3</c:v>
                  </c:pt>
                  <c:pt idx="13">
                    <c:v>2.5999999999999999E-3</c:v>
                  </c:pt>
                  <c:pt idx="15">
                    <c:v>2.9999999999999997E-4</c:v>
                  </c:pt>
                  <c:pt idx="16">
                    <c:v>6.9999999999999999E-4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-2592.5</c:v>
                </c:pt>
                <c:pt idx="1">
                  <c:v>-2592.5</c:v>
                </c:pt>
                <c:pt idx="2">
                  <c:v>67045.5</c:v>
                </c:pt>
                <c:pt idx="3">
                  <c:v>67057.5</c:v>
                </c:pt>
                <c:pt idx="4">
                  <c:v>67947.5</c:v>
                </c:pt>
                <c:pt idx="5">
                  <c:v>67969</c:v>
                </c:pt>
                <c:pt idx="6">
                  <c:v>67969.5</c:v>
                </c:pt>
                <c:pt idx="7">
                  <c:v>68071</c:v>
                </c:pt>
                <c:pt idx="8">
                  <c:v>68864</c:v>
                </c:pt>
                <c:pt idx="9">
                  <c:v>68888</c:v>
                </c:pt>
                <c:pt idx="10">
                  <c:v>69067.5</c:v>
                </c:pt>
                <c:pt idx="11">
                  <c:v>69070</c:v>
                </c:pt>
                <c:pt idx="12">
                  <c:v>69835.5</c:v>
                </c:pt>
                <c:pt idx="13">
                  <c:v>69835.5</c:v>
                </c:pt>
                <c:pt idx="14">
                  <c:v>70460</c:v>
                </c:pt>
                <c:pt idx="15">
                  <c:v>71452.5</c:v>
                </c:pt>
                <c:pt idx="16">
                  <c:v>71564</c:v>
                </c:pt>
                <c:pt idx="17">
                  <c:v>73324</c:v>
                </c:pt>
                <c:pt idx="18">
                  <c:v>73324</c:v>
                </c:pt>
                <c:pt idx="19">
                  <c:v>75132</c:v>
                </c:pt>
                <c:pt idx="20">
                  <c:v>76021.5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5.0884105803561397E-3</c:v>
                </c:pt>
                <c:pt idx="2">
                  <c:v>0.20637600000191014</c:v>
                </c:pt>
                <c:pt idx="3">
                  <c:v>0.19733999999152729</c:v>
                </c:pt>
                <c:pt idx="4">
                  <c:v>-1.1680000003252644E-2</c:v>
                </c:pt>
                <c:pt idx="5">
                  <c:v>-1.7132000000856351E-2</c:v>
                </c:pt>
                <c:pt idx="6">
                  <c:v>-1.6596000001300126E-2</c:v>
                </c:pt>
                <c:pt idx="7">
                  <c:v>-3.8187999998626765E-2</c:v>
                </c:pt>
                <c:pt idx="8">
                  <c:v>-0.22239199999603443</c:v>
                </c:pt>
                <c:pt idx="9">
                  <c:v>-0.22796399999788264</c:v>
                </c:pt>
                <c:pt idx="10">
                  <c:v>-0.26793999999790685</c:v>
                </c:pt>
                <c:pt idx="11">
                  <c:v>-0.2690599999987171</c:v>
                </c:pt>
                <c:pt idx="12">
                  <c:v>-0.23284399999829475</c:v>
                </c:pt>
                <c:pt idx="13">
                  <c:v>-0.23284399999829475</c:v>
                </c:pt>
                <c:pt idx="14">
                  <c:v>-0.17427999999199528</c:v>
                </c:pt>
                <c:pt idx="15">
                  <c:v>-0.21489000000292435</c:v>
                </c:pt>
                <c:pt idx="16">
                  <c:v>-0.23799200000212295</c:v>
                </c:pt>
                <c:pt idx="17">
                  <c:v>-0.22687199999927543</c:v>
                </c:pt>
                <c:pt idx="18">
                  <c:v>-0.22687199999927543</c:v>
                </c:pt>
                <c:pt idx="19">
                  <c:v>-0.22679600000265054</c:v>
                </c:pt>
                <c:pt idx="20">
                  <c:v>-0.22695200000453042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13-4CFF-BC17-2309E16DC8D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3.3999999999999998E-3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1.1000000000000001E-3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1.1999999999999999E-3</c:v>
                  </c:pt>
                  <c:pt idx="9">
                    <c:v>3.0000000000000001E-3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2.5999999999999999E-3</c:v>
                  </c:pt>
                  <c:pt idx="13">
                    <c:v>2.5999999999999999E-3</c:v>
                  </c:pt>
                  <c:pt idx="15">
                    <c:v>2.9999999999999997E-4</c:v>
                  </c:pt>
                  <c:pt idx="16">
                    <c:v>6.9999999999999999E-4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3.3999999999999998E-3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1.1000000000000001E-3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1.1999999999999999E-3</c:v>
                  </c:pt>
                  <c:pt idx="9">
                    <c:v>3.0000000000000001E-3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2.5999999999999999E-3</c:v>
                  </c:pt>
                  <c:pt idx="13">
                    <c:v>2.5999999999999999E-3</c:v>
                  </c:pt>
                  <c:pt idx="15">
                    <c:v>2.9999999999999997E-4</c:v>
                  </c:pt>
                  <c:pt idx="16">
                    <c:v>6.9999999999999999E-4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-2592.5</c:v>
                </c:pt>
                <c:pt idx="1">
                  <c:v>-2592.5</c:v>
                </c:pt>
                <c:pt idx="2">
                  <c:v>67045.5</c:v>
                </c:pt>
                <c:pt idx="3">
                  <c:v>67057.5</c:v>
                </c:pt>
                <c:pt idx="4">
                  <c:v>67947.5</c:v>
                </c:pt>
                <c:pt idx="5">
                  <c:v>67969</c:v>
                </c:pt>
                <c:pt idx="6">
                  <c:v>67969.5</c:v>
                </c:pt>
                <c:pt idx="7">
                  <c:v>68071</c:v>
                </c:pt>
                <c:pt idx="8">
                  <c:v>68864</c:v>
                </c:pt>
                <c:pt idx="9">
                  <c:v>68888</c:v>
                </c:pt>
                <c:pt idx="10">
                  <c:v>69067.5</c:v>
                </c:pt>
                <c:pt idx="11">
                  <c:v>69070</c:v>
                </c:pt>
                <c:pt idx="12">
                  <c:v>69835.5</c:v>
                </c:pt>
                <c:pt idx="13">
                  <c:v>69835.5</c:v>
                </c:pt>
                <c:pt idx="14">
                  <c:v>70460</c:v>
                </c:pt>
                <c:pt idx="15">
                  <c:v>71452.5</c:v>
                </c:pt>
                <c:pt idx="16">
                  <c:v>71564</c:v>
                </c:pt>
                <c:pt idx="17">
                  <c:v>73324</c:v>
                </c:pt>
                <c:pt idx="18">
                  <c:v>73324</c:v>
                </c:pt>
                <c:pt idx="19">
                  <c:v>75132</c:v>
                </c:pt>
                <c:pt idx="20">
                  <c:v>76021.5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13-4CFF-BC17-2309E16DC8D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3.3999999999999998E-3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1.1000000000000001E-3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1.1999999999999999E-3</c:v>
                  </c:pt>
                  <c:pt idx="9">
                    <c:v>3.0000000000000001E-3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2.5999999999999999E-3</c:v>
                  </c:pt>
                  <c:pt idx="13">
                    <c:v>2.5999999999999999E-3</c:v>
                  </c:pt>
                  <c:pt idx="15">
                    <c:v>2.9999999999999997E-4</c:v>
                  </c:pt>
                  <c:pt idx="16">
                    <c:v>6.9999999999999999E-4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3.3999999999999998E-3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1.1000000000000001E-3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1.1999999999999999E-3</c:v>
                  </c:pt>
                  <c:pt idx="9">
                    <c:v>3.0000000000000001E-3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2.5999999999999999E-3</c:v>
                  </c:pt>
                  <c:pt idx="13">
                    <c:v>2.5999999999999999E-3</c:v>
                  </c:pt>
                  <c:pt idx="15">
                    <c:v>2.9999999999999997E-4</c:v>
                  </c:pt>
                  <c:pt idx="16">
                    <c:v>6.9999999999999999E-4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-2592.5</c:v>
                </c:pt>
                <c:pt idx="1">
                  <c:v>-2592.5</c:v>
                </c:pt>
                <c:pt idx="2">
                  <c:v>67045.5</c:v>
                </c:pt>
                <c:pt idx="3">
                  <c:v>67057.5</c:v>
                </c:pt>
                <c:pt idx="4">
                  <c:v>67947.5</c:v>
                </c:pt>
                <c:pt idx="5">
                  <c:v>67969</c:v>
                </c:pt>
                <c:pt idx="6">
                  <c:v>67969.5</c:v>
                </c:pt>
                <c:pt idx="7">
                  <c:v>68071</c:v>
                </c:pt>
                <c:pt idx="8">
                  <c:v>68864</c:v>
                </c:pt>
                <c:pt idx="9">
                  <c:v>68888</c:v>
                </c:pt>
                <c:pt idx="10">
                  <c:v>69067.5</c:v>
                </c:pt>
                <c:pt idx="11">
                  <c:v>69070</c:v>
                </c:pt>
                <c:pt idx="12">
                  <c:v>69835.5</c:v>
                </c:pt>
                <c:pt idx="13">
                  <c:v>69835.5</c:v>
                </c:pt>
                <c:pt idx="14">
                  <c:v>70460</c:v>
                </c:pt>
                <c:pt idx="15">
                  <c:v>71452.5</c:v>
                </c:pt>
                <c:pt idx="16">
                  <c:v>71564</c:v>
                </c:pt>
                <c:pt idx="17">
                  <c:v>73324</c:v>
                </c:pt>
                <c:pt idx="18">
                  <c:v>73324</c:v>
                </c:pt>
                <c:pt idx="19">
                  <c:v>75132</c:v>
                </c:pt>
                <c:pt idx="20">
                  <c:v>76021.5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13-4CFF-BC17-2309E16DC8D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3.3999999999999998E-3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1.1000000000000001E-3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1.1999999999999999E-3</c:v>
                  </c:pt>
                  <c:pt idx="9">
                    <c:v>3.0000000000000001E-3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2.5999999999999999E-3</c:v>
                  </c:pt>
                  <c:pt idx="13">
                    <c:v>2.5999999999999999E-3</c:v>
                  </c:pt>
                  <c:pt idx="15">
                    <c:v>2.9999999999999997E-4</c:v>
                  </c:pt>
                  <c:pt idx="16">
                    <c:v>6.9999999999999999E-4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3.3999999999999998E-3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1.1000000000000001E-3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1.1999999999999999E-3</c:v>
                  </c:pt>
                  <c:pt idx="9">
                    <c:v>3.0000000000000001E-3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2.5999999999999999E-3</c:v>
                  </c:pt>
                  <c:pt idx="13">
                    <c:v>2.5999999999999999E-3</c:v>
                  </c:pt>
                  <c:pt idx="15">
                    <c:v>2.9999999999999997E-4</c:v>
                  </c:pt>
                  <c:pt idx="16">
                    <c:v>6.9999999999999999E-4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-2592.5</c:v>
                </c:pt>
                <c:pt idx="1">
                  <c:v>-2592.5</c:v>
                </c:pt>
                <c:pt idx="2">
                  <c:v>67045.5</c:v>
                </c:pt>
                <c:pt idx="3">
                  <c:v>67057.5</c:v>
                </c:pt>
                <c:pt idx="4">
                  <c:v>67947.5</c:v>
                </c:pt>
                <c:pt idx="5">
                  <c:v>67969</c:v>
                </c:pt>
                <c:pt idx="6">
                  <c:v>67969.5</c:v>
                </c:pt>
                <c:pt idx="7">
                  <c:v>68071</c:v>
                </c:pt>
                <c:pt idx="8">
                  <c:v>68864</c:v>
                </c:pt>
                <c:pt idx="9">
                  <c:v>68888</c:v>
                </c:pt>
                <c:pt idx="10">
                  <c:v>69067.5</c:v>
                </c:pt>
                <c:pt idx="11">
                  <c:v>69070</c:v>
                </c:pt>
                <c:pt idx="12">
                  <c:v>69835.5</c:v>
                </c:pt>
                <c:pt idx="13">
                  <c:v>69835.5</c:v>
                </c:pt>
                <c:pt idx="14">
                  <c:v>70460</c:v>
                </c:pt>
                <c:pt idx="15">
                  <c:v>71452.5</c:v>
                </c:pt>
                <c:pt idx="16">
                  <c:v>71564</c:v>
                </c:pt>
                <c:pt idx="17">
                  <c:v>73324</c:v>
                </c:pt>
                <c:pt idx="18">
                  <c:v>73324</c:v>
                </c:pt>
                <c:pt idx="19">
                  <c:v>75132</c:v>
                </c:pt>
                <c:pt idx="20">
                  <c:v>76021.5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13-4CFF-BC17-2309E16DC8D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3.3999999999999998E-3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1.1000000000000001E-3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1.1999999999999999E-3</c:v>
                  </c:pt>
                  <c:pt idx="9">
                    <c:v>3.0000000000000001E-3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2.5999999999999999E-3</c:v>
                  </c:pt>
                  <c:pt idx="13">
                    <c:v>2.5999999999999999E-3</c:v>
                  </c:pt>
                  <c:pt idx="15">
                    <c:v>2.9999999999999997E-4</c:v>
                  </c:pt>
                  <c:pt idx="16">
                    <c:v>6.9999999999999999E-4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3.3999999999999998E-3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1.1000000000000001E-3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1.1999999999999999E-3</c:v>
                  </c:pt>
                  <c:pt idx="9">
                    <c:v>3.0000000000000001E-3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2.5999999999999999E-3</c:v>
                  </c:pt>
                  <c:pt idx="13">
                    <c:v>2.5999999999999999E-3</c:v>
                  </c:pt>
                  <c:pt idx="15">
                    <c:v>2.9999999999999997E-4</c:v>
                  </c:pt>
                  <c:pt idx="16">
                    <c:v>6.9999999999999999E-4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-2592.5</c:v>
                </c:pt>
                <c:pt idx="1">
                  <c:v>-2592.5</c:v>
                </c:pt>
                <c:pt idx="2">
                  <c:v>67045.5</c:v>
                </c:pt>
                <c:pt idx="3">
                  <c:v>67057.5</c:v>
                </c:pt>
                <c:pt idx="4">
                  <c:v>67947.5</c:v>
                </c:pt>
                <c:pt idx="5">
                  <c:v>67969</c:v>
                </c:pt>
                <c:pt idx="6">
                  <c:v>67969.5</c:v>
                </c:pt>
                <c:pt idx="7">
                  <c:v>68071</c:v>
                </c:pt>
                <c:pt idx="8">
                  <c:v>68864</c:v>
                </c:pt>
                <c:pt idx="9">
                  <c:v>68888</c:v>
                </c:pt>
                <c:pt idx="10">
                  <c:v>69067.5</c:v>
                </c:pt>
                <c:pt idx="11">
                  <c:v>69070</c:v>
                </c:pt>
                <c:pt idx="12">
                  <c:v>69835.5</c:v>
                </c:pt>
                <c:pt idx="13">
                  <c:v>69835.5</c:v>
                </c:pt>
                <c:pt idx="14">
                  <c:v>70460</c:v>
                </c:pt>
                <c:pt idx="15">
                  <c:v>71452.5</c:v>
                </c:pt>
                <c:pt idx="16">
                  <c:v>71564</c:v>
                </c:pt>
                <c:pt idx="17">
                  <c:v>73324</c:v>
                </c:pt>
                <c:pt idx="18">
                  <c:v>73324</c:v>
                </c:pt>
                <c:pt idx="19">
                  <c:v>75132</c:v>
                </c:pt>
                <c:pt idx="20">
                  <c:v>76021.5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13-4CFF-BC17-2309E16DC8D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3.3999999999999998E-3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1.1000000000000001E-3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1.1999999999999999E-3</c:v>
                  </c:pt>
                  <c:pt idx="9">
                    <c:v>3.0000000000000001E-3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2.5999999999999999E-3</c:v>
                  </c:pt>
                  <c:pt idx="13">
                    <c:v>2.5999999999999999E-3</c:v>
                  </c:pt>
                  <c:pt idx="15">
                    <c:v>2.9999999999999997E-4</c:v>
                  </c:pt>
                  <c:pt idx="16">
                    <c:v>6.9999999999999999E-4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3.3999999999999998E-3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1.1000000000000001E-3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1.1999999999999999E-3</c:v>
                  </c:pt>
                  <c:pt idx="9">
                    <c:v>3.0000000000000001E-3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2.5999999999999999E-3</c:v>
                  </c:pt>
                  <c:pt idx="13">
                    <c:v>2.5999999999999999E-3</c:v>
                  </c:pt>
                  <c:pt idx="15">
                    <c:v>2.9999999999999997E-4</c:v>
                  </c:pt>
                  <c:pt idx="16">
                    <c:v>6.9999999999999999E-4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-2592.5</c:v>
                </c:pt>
                <c:pt idx="1">
                  <c:v>-2592.5</c:v>
                </c:pt>
                <c:pt idx="2">
                  <c:v>67045.5</c:v>
                </c:pt>
                <c:pt idx="3">
                  <c:v>67057.5</c:v>
                </c:pt>
                <c:pt idx="4">
                  <c:v>67947.5</c:v>
                </c:pt>
                <c:pt idx="5">
                  <c:v>67969</c:v>
                </c:pt>
                <c:pt idx="6">
                  <c:v>67969.5</c:v>
                </c:pt>
                <c:pt idx="7">
                  <c:v>68071</c:v>
                </c:pt>
                <c:pt idx="8">
                  <c:v>68864</c:v>
                </c:pt>
                <c:pt idx="9">
                  <c:v>68888</c:v>
                </c:pt>
                <c:pt idx="10">
                  <c:v>69067.5</c:v>
                </c:pt>
                <c:pt idx="11">
                  <c:v>69070</c:v>
                </c:pt>
                <c:pt idx="12">
                  <c:v>69835.5</c:v>
                </c:pt>
                <c:pt idx="13">
                  <c:v>69835.5</c:v>
                </c:pt>
                <c:pt idx="14">
                  <c:v>70460</c:v>
                </c:pt>
                <c:pt idx="15">
                  <c:v>71452.5</c:v>
                </c:pt>
                <c:pt idx="16">
                  <c:v>71564</c:v>
                </c:pt>
                <c:pt idx="17">
                  <c:v>73324</c:v>
                </c:pt>
                <c:pt idx="18">
                  <c:v>73324</c:v>
                </c:pt>
                <c:pt idx="19">
                  <c:v>75132</c:v>
                </c:pt>
                <c:pt idx="20">
                  <c:v>76021.5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13-4CFF-BC17-2309E16DC8D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-2592.5</c:v>
                </c:pt>
                <c:pt idx="1">
                  <c:v>-2592.5</c:v>
                </c:pt>
                <c:pt idx="2">
                  <c:v>67045.5</c:v>
                </c:pt>
                <c:pt idx="3">
                  <c:v>67057.5</c:v>
                </c:pt>
                <c:pt idx="4">
                  <c:v>67947.5</c:v>
                </c:pt>
                <c:pt idx="5">
                  <c:v>67969</c:v>
                </c:pt>
                <c:pt idx="6">
                  <c:v>67969.5</c:v>
                </c:pt>
                <c:pt idx="7">
                  <c:v>68071</c:v>
                </c:pt>
                <c:pt idx="8">
                  <c:v>68864</c:v>
                </c:pt>
                <c:pt idx="9">
                  <c:v>68888</c:v>
                </c:pt>
                <c:pt idx="10">
                  <c:v>69067.5</c:v>
                </c:pt>
                <c:pt idx="11">
                  <c:v>69070</c:v>
                </c:pt>
                <c:pt idx="12">
                  <c:v>69835.5</c:v>
                </c:pt>
                <c:pt idx="13">
                  <c:v>69835.5</c:v>
                </c:pt>
                <c:pt idx="14">
                  <c:v>70460</c:v>
                </c:pt>
                <c:pt idx="15">
                  <c:v>71452.5</c:v>
                </c:pt>
                <c:pt idx="16">
                  <c:v>71564</c:v>
                </c:pt>
                <c:pt idx="17">
                  <c:v>73324</c:v>
                </c:pt>
                <c:pt idx="18">
                  <c:v>73324</c:v>
                </c:pt>
                <c:pt idx="19">
                  <c:v>75132</c:v>
                </c:pt>
                <c:pt idx="20">
                  <c:v>76021.5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2">
                  <c:v>-0.24486977300255933</c:v>
                </c:pt>
                <c:pt idx="3">
                  <c:v>-0.24483343163016399</c:v>
                </c:pt>
                <c:pt idx="4">
                  <c:v>-0.24213811317750966</c:v>
                </c:pt>
                <c:pt idx="5">
                  <c:v>-0.24207300155196801</c:v>
                </c:pt>
                <c:pt idx="6">
                  <c:v>-0.2420714873281182</c:v>
                </c:pt>
                <c:pt idx="7">
                  <c:v>-0.2417640998866076</c:v>
                </c:pt>
                <c:pt idx="8">
                  <c:v>-0.2393625408608156</c:v>
                </c:pt>
                <c:pt idx="9">
                  <c:v>-0.23928985811602493</c:v>
                </c:pt>
                <c:pt idx="10">
                  <c:v>-0.23874625175394462</c:v>
                </c:pt>
                <c:pt idx="11">
                  <c:v>-0.23873868063469561</c:v>
                </c:pt>
                <c:pt idx="12">
                  <c:v>-0.2364204039206429</c:v>
                </c:pt>
                <c:pt idx="13">
                  <c:v>-0.2364204039206429</c:v>
                </c:pt>
                <c:pt idx="14">
                  <c:v>-0.23452913833223546</c:v>
                </c:pt>
                <c:pt idx="15">
                  <c:v>-0.23152340399037091</c:v>
                </c:pt>
                <c:pt idx="16">
                  <c:v>-0.23118573207186421</c:v>
                </c:pt>
                <c:pt idx="17">
                  <c:v>-0.22585566412054778</c:v>
                </c:pt>
                <c:pt idx="18">
                  <c:v>-0.22585566412054778</c:v>
                </c:pt>
                <c:pt idx="19">
                  <c:v>-0.22038023067964996</c:v>
                </c:pt>
                <c:pt idx="20">
                  <c:v>-0.21768642645084543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13-4CFF-BC17-2309E16DC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777448"/>
        <c:axId val="1"/>
      </c:scatterChart>
      <c:valAx>
        <c:axId val="530777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35537190082648"/>
              <c:y val="0.824918652845162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39669421487603E-2"/>
              <c:y val="0.356903417375858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07774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545454545454545"/>
          <c:y val="0.91246074038724956"/>
          <c:w val="0.78677685950413223"/>
          <c:h val="6.73404208312344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190500</xdr:colOff>
      <xdr:row>18</xdr:row>
      <xdr:rowOff>38100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3E1BB307-156B-A8EF-B408-57A8B95D0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361951</xdr:colOff>
      <xdr:row>0</xdr:row>
      <xdr:rowOff>0</xdr:rowOff>
    </xdr:from>
    <xdr:to>
      <xdr:col>26</xdr:col>
      <xdr:colOff>266701</xdr:colOff>
      <xdr:row>17</xdr:row>
      <xdr:rowOff>161925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BF8231C2-32BD-01B3-4416-0822129333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3" TargetMode="External"/><Relationship Id="rId13" Type="http://schemas.openxmlformats.org/officeDocument/2006/relationships/hyperlink" Target="http://www.konkoly.hu/cgi-bin/IBVS?5806" TargetMode="External"/><Relationship Id="rId3" Type="http://schemas.openxmlformats.org/officeDocument/2006/relationships/hyperlink" Target="http://www.bav-astro.de/sfs/BAVM_link.php?BAVMnr=158" TargetMode="External"/><Relationship Id="rId7" Type="http://schemas.openxmlformats.org/officeDocument/2006/relationships/hyperlink" Target="http://www.bav-astro.de/sfs/BAVM_link.php?BAVMnr=172" TargetMode="External"/><Relationship Id="rId12" Type="http://schemas.openxmlformats.org/officeDocument/2006/relationships/hyperlink" Target="http://www.bav-astro.de/sfs/BAVM_link.php?BAVMnr=178" TargetMode="External"/><Relationship Id="rId2" Type="http://schemas.openxmlformats.org/officeDocument/2006/relationships/hyperlink" Target="http://www.bav-astro.de/sfs/BAVM_link.php?BAVMnr=158" TargetMode="External"/><Relationship Id="rId16" Type="http://schemas.openxmlformats.org/officeDocument/2006/relationships/hyperlink" Target="http://www.konkoly.hu/cgi-bin/IBVS?6042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www.bav-astro.de/sfs/BAVM_link.php?BAVMnr=172" TargetMode="External"/><Relationship Id="rId11" Type="http://schemas.openxmlformats.org/officeDocument/2006/relationships/hyperlink" Target="http://www.konkoly.hu/cgi-bin/IBVS?5690" TargetMode="External"/><Relationship Id="rId5" Type="http://schemas.openxmlformats.org/officeDocument/2006/relationships/hyperlink" Target="http://www.bav-astro.de/sfs/BAVM_link.php?BAVMnr=172" TargetMode="External"/><Relationship Id="rId15" Type="http://schemas.openxmlformats.org/officeDocument/2006/relationships/hyperlink" Target="http://www.konkoly.hu/cgi-bin/IBVS?6011" TargetMode="External"/><Relationship Id="rId10" Type="http://schemas.openxmlformats.org/officeDocument/2006/relationships/hyperlink" Target="http://www.konkoly.hu/cgi-bin/IBVS?5690" TargetMode="External"/><Relationship Id="rId4" Type="http://schemas.openxmlformats.org/officeDocument/2006/relationships/hyperlink" Target="http://www.bav-astro.de/sfs/BAVM_link.php?BAVMnr=172" TargetMode="External"/><Relationship Id="rId9" Type="http://schemas.openxmlformats.org/officeDocument/2006/relationships/hyperlink" Target="http://www.bav-astro.de/sfs/BAVM_link.php?BAVMnr=173" TargetMode="External"/><Relationship Id="rId14" Type="http://schemas.openxmlformats.org/officeDocument/2006/relationships/hyperlink" Target="http://www.konkoly.hu/cgi-bin/IBVS?5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132</v>
      </c>
    </row>
    <row r="2" spans="1:6" s="8" customFormat="1" ht="12.95" customHeight="1" x14ac:dyDescent="0.2">
      <c r="A2" s="8" t="s">
        <v>24</v>
      </c>
      <c r="B2" s="29" t="s">
        <v>30</v>
      </c>
    </row>
    <row r="3" spans="1:6" s="8" customFormat="1" ht="12.95" customHeight="1" x14ac:dyDescent="0.2"/>
    <row r="4" spans="1:6" s="8" customFormat="1" ht="12.95" customHeight="1" thickTop="1" thickBot="1" x14ac:dyDescent="0.25">
      <c r="A4" s="30" t="s">
        <v>0</v>
      </c>
      <c r="C4" s="31">
        <v>24766.7</v>
      </c>
      <c r="D4" s="32">
        <v>0.41372799999999998</v>
      </c>
    </row>
    <row r="5" spans="1:6" s="8" customFormat="1" ht="12.95" customHeight="1" thickTop="1" x14ac:dyDescent="0.2">
      <c r="A5" s="33" t="s">
        <v>37</v>
      </c>
      <c r="C5" s="34">
        <v>-9.5</v>
      </c>
      <c r="D5" s="8" t="s">
        <v>38</v>
      </c>
    </row>
    <row r="6" spans="1:6" s="8" customFormat="1" ht="12.95" customHeight="1" x14ac:dyDescent="0.2">
      <c r="A6" s="30" t="s">
        <v>1</v>
      </c>
    </row>
    <row r="7" spans="1:6" s="8" customFormat="1" ht="12.95" customHeight="1" x14ac:dyDescent="0.2">
      <c r="A7" s="8" t="s">
        <v>2</v>
      </c>
      <c r="C7" s="8">
        <f>+C4</f>
        <v>24766.7</v>
      </c>
    </row>
    <row r="8" spans="1:6" s="8" customFormat="1" ht="12.95" customHeight="1" x14ac:dyDescent="0.2">
      <c r="A8" s="8" t="s">
        <v>3</v>
      </c>
      <c r="C8" s="8">
        <f>+D4</f>
        <v>0.41372799999999998</v>
      </c>
    </row>
    <row r="9" spans="1:6" s="8" customFormat="1" ht="12.95" customHeight="1" x14ac:dyDescent="0.2">
      <c r="A9" s="35" t="s">
        <v>42</v>
      </c>
      <c r="B9" s="36">
        <v>31</v>
      </c>
      <c r="C9" s="37" t="str">
        <f>"F"&amp;B9</f>
        <v>F31</v>
      </c>
      <c r="D9" s="38" t="str">
        <f>"G"&amp;B9</f>
        <v>G31</v>
      </c>
    </row>
    <row r="10" spans="1:6" s="8" customFormat="1" ht="12.95" customHeight="1" thickBot="1" x14ac:dyDescent="0.25">
      <c r="C10" s="39" t="s">
        <v>20</v>
      </c>
      <c r="D10" s="39" t="s">
        <v>21</v>
      </c>
    </row>
    <row r="11" spans="1:6" s="8" customFormat="1" ht="12.95" customHeight="1" x14ac:dyDescent="0.2">
      <c r="A11" s="8" t="s">
        <v>16</v>
      </c>
      <c r="C11" s="38">
        <f ca="1">INTERCEPT(INDIRECT($D$9):G992,INDIRECT($C$9):F992)</f>
        <v>-0.44791356324687026</v>
      </c>
      <c r="D11" s="40"/>
    </row>
    <row r="12" spans="1:6" s="8" customFormat="1" ht="12.95" customHeight="1" x14ac:dyDescent="0.2">
      <c r="A12" s="8" t="s">
        <v>17</v>
      </c>
      <c r="C12" s="38">
        <f ca="1">SLOPE(INDIRECT($D$9):G992,INDIRECT($C$9):F992)</f>
        <v>3.0284476996116209E-6</v>
      </c>
      <c r="D12" s="40"/>
    </row>
    <row r="13" spans="1:6" s="8" customFormat="1" ht="12.95" customHeight="1" x14ac:dyDescent="0.2">
      <c r="A13" s="8" t="s">
        <v>19</v>
      </c>
      <c r="C13" s="40" t="s">
        <v>14</v>
      </c>
    </row>
    <row r="14" spans="1:6" s="8" customFormat="1" ht="12.95" customHeight="1" x14ac:dyDescent="0.2"/>
    <row r="15" spans="1:6" s="8" customFormat="1" ht="12.95" customHeight="1" x14ac:dyDescent="0.2">
      <c r="A15" s="41" t="s">
        <v>18</v>
      </c>
      <c r="C15" s="42">
        <f ca="1">(C7+C11)+(C8+C12)*INT(MAX(F21:F3533))</f>
        <v>56218.498600059327</v>
      </c>
      <c r="E15" s="43" t="s">
        <v>46</v>
      </c>
      <c r="F15" s="34">
        <v>1</v>
      </c>
    </row>
    <row r="16" spans="1:6" s="8" customFormat="1" ht="12.95" customHeight="1" x14ac:dyDescent="0.2">
      <c r="A16" s="30" t="s">
        <v>4</v>
      </c>
      <c r="C16" s="44">
        <f ca="1">+C8+C12</f>
        <v>0.4137310284476996</v>
      </c>
      <c r="E16" s="43" t="s">
        <v>39</v>
      </c>
      <c r="F16" s="45">
        <f ca="1">NOW()+15018.5+$C$5/24</f>
        <v>60371.703791550921</v>
      </c>
    </row>
    <row r="17" spans="1:17" s="8" customFormat="1" ht="12.95" customHeight="1" thickBot="1" x14ac:dyDescent="0.25">
      <c r="A17" s="43" t="s">
        <v>35</v>
      </c>
      <c r="C17" s="8">
        <f>COUNT(C21:C2191)</f>
        <v>21</v>
      </c>
      <c r="E17" s="43" t="s">
        <v>47</v>
      </c>
      <c r="F17" s="45">
        <f ca="1">ROUND(2*(F16-$C$7)/$C$8,0)/2+F15</f>
        <v>86060</v>
      </c>
    </row>
    <row r="18" spans="1:17" s="8" customFormat="1" ht="12.95" customHeight="1" thickTop="1" thickBot="1" x14ac:dyDescent="0.25">
      <c r="A18" s="30" t="s">
        <v>5</v>
      </c>
      <c r="C18" s="31">
        <f ca="1">+C15</f>
        <v>56218.498600059327</v>
      </c>
      <c r="D18" s="32">
        <f ca="1">+C16</f>
        <v>0.4137310284476996</v>
      </c>
      <c r="E18" s="43" t="s">
        <v>40</v>
      </c>
      <c r="F18" s="38">
        <f ca="1">ROUND(2*(F16-$C$15)/$C$16,0)/2+F15</f>
        <v>10039.5</v>
      </c>
    </row>
    <row r="19" spans="1:17" s="8" customFormat="1" ht="12.95" customHeight="1" thickTop="1" x14ac:dyDescent="0.2">
      <c r="E19" s="43" t="s">
        <v>41</v>
      </c>
      <c r="F19" s="46">
        <f ca="1">+$C$15+$C$16*F18-15018.5-$C$5/24</f>
        <v>45354.04709349334</v>
      </c>
    </row>
    <row r="20" spans="1:17" s="8" customFormat="1" ht="12.95" customHeight="1" thickBot="1" x14ac:dyDescent="0.25">
      <c r="A20" s="39" t="s">
        <v>6</v>
      </c>
      <c r="B20" s="39" t="s">
        <v>7</v>
      </c>
      <c r="C20" s="39" t="s">
        <v>8</v>
      </c>
      <c r="D20" s="39" t="s">
        <v>13</v>
      </c>
      <c r="E20" s="39" t="s">
        <v>9</v>
      </c>
      <c r="F20" s="39" t="s">
        <v>10</v>
      </c>
      <c r="G20" s="39" t="s">
        <v>11</v>
      </c>
      <c r="H20" s="47" t="s">
        <v>12</v>
      </c>
      <c r="I20" s="47" t="s">
        <v>52</v>
      </c>
      <c r="J20" s="47" t="s">
        <v>133</v>
      </c>
      <c r="K20" s="47" t="s">
        <v>134</v>
      </c>
      <c r="L20" s="47" t="s">
        <v>25</v>
      </c>
      <c r="M20" s="47" t="s">
        <v>26</v>
      </c>
      <c r="N20" s="47" t="s">
        <v>27</v>
      </c>
      <c r="O20" s="47" t="s">
        <v>23</v>
      </c>
      <c r="P20" s="48" t="s">
        <v>22</v>
      </c>
      <c r="Q20" s="39" t="s">
        <v>15</v>
      </c>
    </row>
    <row r="21" spans="1:17" s="8" customFormat="1" ht="12.95" customHeight="1" x14ac:dyDescent="0.2">
      <c r="A21" s="8" t="s">
        <v>12</v>
      </c>
      <c r="C21" s="49">
        <v>24766.7</v>
      </c>
      <c r="D21" s="49" t="s">
        <v>14</v>
      </c>
      <c r="E21" s="8">
        <f>+(C21-C$7)/C$8</f>
        <v>0</v>
      </c>
      <c r="F21" s="8">
        <v>-2592.5</v>
      </c>
      <c r="G21" s="8">
        <v>5.0884105803561397E-3</v>
      </c>
      <c r="H21" s="8">
        <v>5.0884105803561397E-3</v>
      </c>
      <c r="Q21" s="8">
        <v>36796.880570000001</v>
      </c>
    </row>
    <row r="22" spans="1:17" s="8" customFormat="1" ht="12.95" customHeight="1" x14ac:dyDescent="0.2">
      <c r="A22" s="8" t="s">
        <v>43</v>
      </c>
      <c r="B22" s="8" t="s">
        <v>32</v>
      </c>
      <c r="C22" s="49">
        <v>51815.380570000001</v>
      </c>
      <c r="D22" s="49">
        <v>1.8E-3</v>
      </c>
      <c r="E22" s="8">
        <v>-2592.4876941427801</v>
      </c>
      <c r="F22" s="8">
        <v>-2592.5</v>
      </c>
      <c r="G22" s="8">
        <v>5.0884105803561397E-3</v>
      </c>
      <c r="I22" s="8">
        <v>5.0884105803561397E-3</v>
      </c>
      <c r="Q22" s="8">
        <v>36796.880570000001</v>
      </c>
    </row>
    <row r="23" spans="1:17" s="8" customFormat="1" ht="12.95" customHeight="1" x14ac:dyDescent="0.2">
      <c r="A23" s="6" t="s">
        <v>28</v>
      </c>
      <c r="C23" s="50">
        <v>52505.506999999998</v>
      </c>
      <c r="D23" s="50">
        <v>3.3999999999999998E-3</v>
      </c>
      <c r="E23" s="8">
        <f t="shared" ref="E23:E41" si="0">+(C23-C$7)/C$8</f>
        <v>67045.99882048108</v>
      </c>
      <c r="F23" s="51">
        <f>ROUND(2*E23,0)/2-0.5</f>
        <v>67045.5</v>
      </c>
      <c r="G23" s="8">
        <f t="shared" ref="G23:G41" si="1">+C23-(C$7+F23*C$8)</f>
        <v>0.20637600000191014</v>
      </c>
      <c r="I23" s="8">
        <f t="shared" ref="I23:I28" si="2">+G23</f>
        <v>0.20637600000191014</v>
      </c>
      <c r="O23" s="8">
        <f t="shared" ref="O23:O41" ca="1" si="3">+C$11+C$12*$F23</f>
        <v>-0.24486977300255933</v>
      </c>
      <c r="Q23" s="52">
        <f t="shared" ref="Q23:Q41" si="4">+C23-15018.5</f>
        <v>37487.006999999998</v>
      </c>
    </row>
    <row r="24" spans="1:17" s="8" customFormat="1" ht="12.95" customHeight="1" x14ac:dyDescent="0.2">
      <c r="A24" s="5" t="s">
        <v>28</v>
      </c>
      <c r="B24" s="4"/>
      <c r="C24" s="15">
        <v>52510.462699999996</v>
      </c>
      <c r="D24" s="15">
        <v>1.2999999999999999E-3</v>
      </c>
      <c r="E24" s="8">
        <f t="shared" si="0"/>
        <v>67057.976980044856</v>
      </c>
      <c r="F24" s="51">
        <f>ROUND(2*E24,0)/2-0.5</f>
        <v>67057.5</v>
      </c>
      <c r="G24" s="8">
        <f t="shared" si="1"/>
        <v>0.19733999999152729</v>
      </c>
      <c r="I24" s="8">
        <f t="shared" si="2"/>
        <v>0.19733999999152729</v>
      </c>
      <c r="O24" s="8">
        <f t="shared" ca="1" si="3"/>
        <v>-0.24483343163016399</v>
      </c>
      <c r="Q24" s="52">
        <f t="shared" si="4"/>
        <v>37491.962699999996</v>
      </c>
    </row>
    <row r="25" spans="1:17" s="8" customFormat="1" ht="12.95" customHeight="1" x14ac:dyDescent="0.2">
      <c r="A25" s="6" t="s">
        <v>29</v>
      </c>
      <c r="B25" s="53"/>
      <c r="C25" s="54">
        <v>52878.471599999997</v>
      </c>
      <c r="D25" s="54">
        <v>6.9999999999999999E-4</v>
      </c>
      <c r="E25" s="8">
        <f t="shared" si="0"/>
        <v>67947.471768891628</v>
      </c>
      <c r="F25" s="8">
        <f>ROUND(2*E25,0)/2</f>
        <v>67947.5</v>
      </c>
      <c r="G25" s="8">
        <f t="shared" si="1"/>
        <v>-1.1680000003252644E-2</v>
      </c>
      <c r="I25" s="8">
        <f t="shared" si="2"/>
        <v>-1.1680000003252644E-2</v>
      </c>
      <c r="O25" s="8">
        <f t="shared" ca="1" si="3"/>
        <v>-0.24213811317750966</v>
      </c>
      <c r="Q25" s="52">
        <f t="shared" si="4"/>
        <v>37859.971599999997</v>
      </c>
    </row>
    <row r="26" spans="1:17" s="8" customFormat="1" ht="12.95" customHeight="1" x14ac:dyDescent="0.2">
      <c r="A26" s="6" t="s">
        <v>29</v>
      </c>
      <c r="B26" s="53"/>
      <c r="C26" s="54">
        <v>52887.361299999997</v>
      </c>
      <c r="D26" s="54">
        <v>1.1000000000000001E-3</v>
      </c>
      <c r="E26" s="8">
        <f t="shared" si="0"/>
        <v>67968.958591151662</v>
      </c>
      <c r="F26" s="8">
        <f>ROUND(2*E26,0)/2</f>
        <v>67969</v>
      </c>
      <c r="G26" s="8">
        <f t="shared" si="1"/>
        <v>-1.7132000000856351E-2</v>
      </c>
      <c r="I26" s="8">
        <f t="shared" si="2"/>
        <v>-1.7132000000856351E-2</v>
      </c>
      <c r="O26" s="8">
        <f t="shared" ca="1" si="3"/>
        <v>-0.24207300155196801</v>
      </c>
      <c r="Q26" s="52">
        <f t="shared" si="4"/>
        <v>37868.861299999997</v>
      </c>
    </row>
    <row r="27" spans="1:17" s="8" customFormat="1" ht="12.95" customHeight="1" x14ac:dyDescent="0.2">
      <c r="A27" s="6" t="s">
        <v>29</v>
      </c>
      <c r="B27" s="53"/>
      <c r="C27" s="54">
        <v>52887.568700000003</v>
      </c>
      <c r="D27" s="54">
        <v>6.9999999999999999E-4</v>
      </c>
      <c r="E27" s="8">
        <f t="shared" si="0"/>
        <v>67969.459886688841</v>
      </c>
      <c r="F27" s="8">
        <f>ROUND(2*E27,0)/2</f>
        <v>67969.5</v>
      </c>
      <c r="G27" s="8">
        <f t="shared" si="1"/>
        <v>-1.6596000001300126E-2</v>
      </c>
      <c r="I27" s="8">
        <f t="shared" si="2"/>
        <v>-1.6596000001300126E-2</v>
      </c>
      <c r="O27" s="8">
        <f t="shared" ca="1" si="3"/>
        <v>-0.2420714873281182</v>
      </c>
      <c r="Q27" s="52">
        <f t="shared" si="4"/>
        <v>37869.068700000003</v>
      </c>
    </row>
    <row r="28" spans="1:17" s="8" customFormat="1" ht="12.95" customHeight="1" x14ac:dyDescent="0.2">
      <c r="A28" s="6" t="s">
        <v>29</v>
      </c>
      <c r="B28" s="53"/>
      <c r="C28" s="54">
        <v>52929.540500000003</v>
      </c>
      <c r="D28" s="54">
        <v>1.2999999999999999E-3</v>
      </c>
      <c r="E28" s="8">
        <f t="shared" si="0"/>
        <v>68070.907697811126</v>
      </c>
      <c r="F28" s="8">
        <f>ROUND(2*E28,0)/2</f>
        <v>68071</v>
      </c>
      <c r="G28" s="8">
        <f t="shared" si="1"/>
        <v>-3.8187999998626765E-2</v>
      </c>
      <c r="I28" s="8">
        <f t="shared" si="2"/>
        <v>-3.8187999998626765E-2</v>
      </c>
      <c r="O28" s="8">
        <f t="shared" ca="1" si="3"/>
        <v>-0.2417640998866076</v>
      </c>
      <c r="Q28" s="52">
        <f t="shared" si="4"/>
        <v>37911.040500000003</v>
      </c>
    </row>
    <row r="29" spans="1:17" s="8" customFormat="1" ht="12.95" customHeight="1" x14ac:dyDescent="0.2">
      <c r="A29" s="8" t="s">
        <v>34</v>
      </c>
      <c r="B29" s="55"/>
      <c r="C29" s="49">
        <v>53257.442600000002</v>
      </c>
      <c r="D29" s="49">
        <v>1.1999999999999999E-3</v>
      </c>
      <c r="E29" s="8">
        <f t="shared" si="0"/>
        <v>68863.462468094993</v>
      </c>
      <c r="F29" s="51">
        <f t="shared" ref="F29:F41" si="5">ROUND(2*E29,0)/2+0.5</f>
        <v>68864</v>
      </c>
      <c r="G29" s="8">
        <f t="shared" si="1"/>
        <v>-0.22239199999603443</v>
      </c>
      <c r="I29" s="8">
        <f>G29</f>
        <v>-0.22239199999603443</v>
      </c>
      <c r="O29" s="8">
        <f t="shared" ca="1" si="3"/>
        <v>-0.2393625408608156</v>
      </c>
      <c r="Q29" s="52">
        <f t="shared" si="4"/>
        <v>38238.942600000002</v>
      </c>
    </row>
    <row r="30" spans="1:17" s="8" customFormat="1" ht="12.95" customHeight="1" x14ac:dyDescent="0.2">
      <c r="A30" s="8" t="s">
        <v>34</v>
      </c>
      <c r="B30" s="55"/>
      <c r="C30" s="49">
        <v>53267.366499999996</v>
      </c>
      <c r="D30" s="49">
        <v>3.0000000000000001E-3</v>
      </c>
      <c r="E30" s="8">
        <f t="shared" si="0"/>
        <v>68887.449000309367</v>
      </c>
      <c r="F30" s="51">
        <f t="shared" si="5"/>
        <v>68888</v>
      </c>
      <c r="G30" s="8">
        <f t="shared" si="1"/>
        <v>-0.22796399999788264</v>
      </c>
      <c r="I30" s="8">
        <f>G30</f>
        <v>-0.22796399999788264</v>
      </c>
      <c r="O30" s="8">
        <f t="shared" ca="1" si="3"/>
        <v>-0.23928985811602493</v>
      </c>
      <c r="Q30" s="52">
        <f t="shared" si="4"/>
        <v>38248.866499999996</v>
      </c>
    </row>
    <row r="31" spans="1:17" s="8" customFormat="1" ht="12.95" customHeight="1" x14ac:dyDescent="0.2">
      <c r="A31" s="8" t="s">
        <v>33</v>
      </c>
      <c r="B31" s="40" t="s">
        <v>31</v>
      </c>
      <c r="C31" s="50">
        <v>53341.590700000001</v>
      </c>
      <c r="D31" s="50">
        <v>2.9999999999999997E-4</v>
      </c>
      <c r="E31" s="8">
        <f t="shared" si="0"/>
        <v>69066.852376440569</v>
      </c>
      <c r="F31" s="51">
        <f t="shared" si="5"/>
        <v>69067.5</v>
      </c>
      <c r="G31" s="8">
        <f t="shared" si="1"/>
        <v>-0.26793999999790685</v>
      </c>
      <c r="I31" s="8">
        <f>G31</f>
        <v>-0.26793999999790685</v>
      </c>
      <c r="O31" s="8">
        <f t="shared" ca="1" si="3"/>
        <v>-0.23874625175394462</v>
      </c>
      <c r="Q31" s="52">
        <f t="shared" si="4"/>
        <v>38323.090700000001</v>
      </c>
    </row>
    <row r="32" spans="1:17" s="8" customFormat="1" ht="12.95" customHeight="1" x14ac:dyDescent="0.2">
      <c r="A32" s="6" t="s">
        <v>33</v>
      </c>
      <c r="B32" s="11" t="s">
        <v>32</v>
      </c>
      <c r="C32" s="56">
        <v>53342.623899999999</v>
      </c>
      <c r="D32" s="56">
        <v>2.9999999999999997E-4</v>
      </c>
      <c r="E32" s="8">
        <f t="shared" si="0"/>
        <v>69069.349669347968</v>
      </c>
      <c r="F32" s="51">
        <f t="shared" si="5"/>
        <v>69070</v>
      </c>
      <c r="G32" s="8">
        <f t="shared" si="1"/>
        <v>-0.2690599999987171</v>
      </c>
      <c r="I32" s="8">
        <f>G32</f>
        <v>-0.2690599999987171</v>
      </c>
      <c r="O32" s="8">
        <f t="shared" ca="1" si="3"/>
        <v>-0.23873868063469561</v>
      </c>
      <c r="Q32" s="52">
        <f t="shared" si="4"/>
        <v>38324.123899999999</v>
      </c>
    </row>
    <row r="33" spans="1:17" s="8" customFormat="1" ht="12.95" customHeight="1" x14ac:dyDescent="0.2">
      <c r="A33" s="6" t="s">
        <v>36</v>
      </c>
      <c r="B33" s="57"/>
      <c r="C33" s="5">
        <v>53659.368900000001</v>
      </c>
      <c r="D33" s="5">
        <v>2.5999999999999999E-3</v>
      </c>
      <c r="E33" s="8">
        <f t="shared" si="0"/>
        <v>69834.937205120281</v>
      </c>
      <c r="F33" s="51">
        <f t="shared" si="5"/>
        <v>69835.5</v>
      </c>
      <c r="G33" s="8">
        <f t="shared" si="1"/>
        <v>-0.23284399999829475</v>
      </c>
      <c r="I33" s="8">
        <f>G33</f>
        <v>-0.23284399999829475</v>
      </c>
      <c r="O33" s="8">
        <f t="shared" ca="1" si="3"/>
        <v>-0.2364204039206429</v>
      </c>
      <c r="Q33" s="52">
        <f t="shared" si="4"/>
        <v>38640.868900000001</v>
      </c>
    </row>
    <row r="34" spans="1:17" s="8" customFormat="1" ht="12.95" customHeight="1" x14ac:dyDescent="0.2">
      <c r="A34" s="5" t="s">
        <v>36</v>
      </c>
      <c r="B34" s="11" t="s">
        <v>32</v>
      </c>
      <c r="C34" s="5">
        <v>53659.368900000001</v>
      </c>
      <c r="D34" s="5">
        <v>2.5999999999999999E-3</v>
      </c>
      <c r="E34" s="8">
        <f t="shared" si="0"/>
        <v>69834.937205120281</v>
      </c>
      <c r="F34" s="51">
        <f t="shared" si="5"/>
        <v>69835.5</v>
      </c>
      <c r="G34" s="8">
        <f t="shared" si="1"/>
        <v>-0.23284399999829475</v>
      </c>
      <c r="I34" s="8">
        <f>G34</f>
        <v>-0.23284399999829475</v>
      </c>
      <c r="O34" s="8">
        <f t="shared" ca="1" si="3"/>
        <v>-0.2364204039206429</v>
      </c>
      <c r="Q34" s="52">
        <f t="shared" si="4"/>
        <v>38640.868900000001</v>
      </c>
    </row>
    <row r="35" spans="1:17" s="8" customFormat="1" ht="12.95" customHeight="1" x14ac:dyDescent="0.2">
      <c r="A35" s="58" t="s">
        <v>115</v>
      </c>
      <c r="B35" s="59" t="s">
        <v>31</v>
      </c>
      <c r="C35" s="60">
        <v>53917.800600000002</v>
      </c>
      <c r="D35" s="40"/>
      <c r="E35" s="8">
        <f t="shared" si="0"/>
        <v>70459.578757057781</v>
      </c>
      <c r="F35" s="51">
        <f t="shared" si="5"/>
        <v>70460</v>
      </c>
      <c r="G35" s="8">
        <f t="shared" si="1"/>
        <v>-0.17427999999199528</v>
      </c>
      <c r="I35" s="8">
        <f>G35</f>
        <v>-0.17427999999199528</v>
      </c>
      <c r="O35" s="8">
        <f t="shared" ca="1" si="3"/>
        <v>-0.23452913833223546</v>
      </c>
      <c r="Q35" s="52">
        <f t="shared" si="4"/>
        <v>38899.300600000002</v>
      </c>
    </row>
    <row r="36" spans="1:17" s="8" customFormat="1" ht="12.95" customHeight="1" x14ac:dyDescent="0.2">
      <c r="A36" s="61" t="s">
        <v>43</v>
      </c>
      <c r="B36" s="62" t="s">
        <v>32</v>
      </c>
      <c r="C36" s="61">
        <v>54328.385029999998</v>
      </c>
      <c r="D36" s="61">
        <v>2.9999999999999997E-4</v>
      </c>
      <c r="E36" s="8">
        <f t="shared" si="0"/>
        <v>71451.980600781186</v>
      </c>
      <c r="F36" s="51">
        <f t="shared" si="5"/>
        <v>71452.5</v>
      </c>
      <c r="G36" s="8">
        <f t="shared" si="1"/>
        <v>-0.21489000000292435</v>
      </c>
      <c r="I36" s="8">
        <f>G36</f>
        <v>-0.21489000000292435</v>
      </c>
      <c r="O36" s="8">
        <f t="shared" ca="1" si="3"/>
        <v>-0.23152340399037091</v>
      </c>
      <c r="Q36" s="52">
        <f t="shared" si="4"/>
        <v>39309.885029999998</v>
      </c>
    </row>
    <row r="37" spans="1:17" s="8" customFormat="1" ht="12.95" customHeight="1" x14ac:dyDescent="0.2">
      <c r="A37" s="5" t="s">
        <v>44</v>
      </c>
      <c r="B37" s="11" t="s">
        <v>32</v>
      </c>
      <c r="C37" s="5">
        <v>54374.492599999998</v>
      </c>
      <c r="D37" s="5">
        <v>6.9999999999999999E-4</v>
      </c>
      <c r="E37" s="8">
        <f t="shared" si="0"/>
        <v>71563.424762162569</v>
      </c>
      <c r="F37" s="51">
        <f t="shared" si="5"/>
        <v>71564</v>
      </c>
      <c r="G37" s="8">
        <f t="shared" si="1"/>
        <v>-0.23799200000212295</v>
      </c>
      <c r="I37" s="8">
        <f>G37</f>
        <v>-0.23799200000212295</v>
      </c>
      <c r="O37" s="8">
        <f t="shared" ca="1" si="3"/>
        <v>-0.23118573207186421</v>
      </c>
      <c r="Q37" s="52">
        <f t="shared" si="4"/>
        <v>39355.992599999998</v>
      </c>
    </row>
    <row r="38" spans="1:17" s="8" customFormat="1" ht="12.95" customHeight="1" x14ac:dyDescent="0.2">
      <c r="A38" s="5" t="s">
        <v>45</v>
      </c>
      <c r="B38" s="11" t="s">
        <v>31</v>
      </c>
      <c r="C38" s="5">
        <v>55102.665000000001</v>
      </c>
      <c r="D38" s="5">
        <v>6.9999999999999999E-4</v>
      </c>
      <c r="E38" s="8">
        <f t="shared" si="0"/>
        <v>73323.451639724648</v>
      </c>
      <c r="F38" s="51">
        <f t="shared" si="5"/>
        <v>73324</v>
      </c>
      <c r="G38" s="8">
        <f t="shared" si="1"/>
        <v>-0.22687199999927543</v>
      </c>
      <c r="I38" s="8">
        <f>G38</f>
        <v>-0.22687199999927543</v>
      </c>
      <c r="O38" s="8">
        <f t="shared" ca="1" si="3"/>
        <v>-0.22585566412054778</v>
      </c>
      <c r="Q38" s="52">
        <f t="shared" si="4"/>
        <v>40084.165000000001</v>
      </c>
    </row>
    <row r="39" spans="1:17" s="8" customFormat="1" ht="12.95" customHeight="1" x14ac:dyDescent="0.2">
      <c r="A39" s="5" t="s">
        <v>45</v>
      </c>
      <c r="B39" s="11" t="s">
        <v>31</v>
      </c>
      <c r="C39" s="5">
        <v>55102.665000000001</v>
      </c>
      <c r="D39" s="5">
        <v>6.9999999999999999E-4</v>
      </c>
      <c r="E39" s="8">
        <f t="shared" si="0"/>
        <v>73323.451639724648</v>
      </c>
      <c r="F39" s="51">
        <f t="shared" si="5"/>
        <v>73324</v>
      </c>
      <c r="G39" s="8">
        <f t="shared" si="1"/>
        <v>-0.22687199999927543</v>
      </c>
      <c r="I39" s="8">
        <f>G39</f>
        <v>-0.22687199999927543</v>
      </c>
      <c r="O39" s="8">
        <f t="shared" ca="1" si="3"/>
        <v>-0.22585566412054778</v>
      </c>
      <c r="Q39" s="52">
        <f t="shared" si="4"/>
        <v>40084.165000000001</v>
      </c>
    </row>
    <row r="40" spans="1:17" s="8" customFormat="1" ht="12.95" customHeight="1" x14ac:dyDescent="0.2">
      <c r="A40" s="5" t="s">
        <v>48</v>
      </c>
      <c r="B40" s="11" t="s">
        <v>32</v>
      </c>
      <c r="C40" s="5">
        <v>55850.685299999997</v>
      </c>
      <c r="D40" s="5">
        <v>5.0000000000000001E-4</v>
      </c>
      <c r="E40" s="8">
        <f t="shared" si="0"/>
        <v>75131.451823420211</v>
      </c>
      <c r="F40" s="51">
        <f t="shared" si="5"/>
        <v>75132</v>
      </c>
      <c r="G40" s="8">
        <f t="shared" si="1"/>
        <v>-0.22679600000265054</v>
      </c>
      <c r="I40" s="8">
        <f>G40</f>
        <v>-0.22679600000265054</v>
      </c>
      <c r="O40" s="8">
        <f t="shared" ca="1" si="3"/>
        <v>-0.22038023067964996</v>
      </c>
      <c r="Q40" s="52">
        <f t="shared" si="4"/>
        <v>40832.185299999997</v>
      </c>
    </row>
    <row r="41" spans="1:17" x14ac:dyDescent="0.2">
      <c r="A41" s="12" t="s">
        <v>49</v>
      </c>
      <c r="B41" s="13" t="s">
        <v>31</v>
      </c>
      <c r="C41" s="14">
        <v>56218.696199999998</v>
      </c>
      <c r="D41" s="14">
        <v>5.0000000000000001E-4</v>
      </c>
      <c r="E41">
        <f t="shared" si="0"/>
        <v>76020.951446360894</v>
      </c>
      <c r="F41" s="7">
        <f t="shared" si="5"/>
        <v>76021.5</v>
      </c>
      <c r="G41">
        <f t="shared" si="1"/>
        <v>-0.22695200000453042</v>
      </c>
      <c r="I41">
        <f>G41</f>
        <v>-0.22695200000453042</v>
      </c>
      <c r="O41">
        <f t="shared" ca="1" si="3"/>
        <v>-0.21768642645084543</v>
      </c>
      <c r="Q41" s="2">
        <f t="shared" si="4"/>
        <v>41200.196199999998</v>
      </c>
    </row>
    <row r="42" spans="1:17" x14ac:dyDescent="0.2">
      <c r="D42" s="3"/>
    </row>
    <row r="43" spans="1:17" x14ac:dyDescent="0.2">
      <c r="D43" s="3"/>
    </row>
    <row r="44" spans="1:17" x14ac:dyDescent="0.2">
      <c r="D44" s="3"/>
    </row>
    <row r="45" spans="1:17" x14ac:dyDescent="0.2">
      <c r="D45" s="3"/>
    </row>
    <row r="46" spans="1:17" x14ac:dyDescent="0.2">
      <c r="D46" s="3"/>
    </row>
    <row r="47" spans="1:17" x14ac:dyDescent="0.2">
      <c r="D47" s="3"/>
    </row>
    <row r="48" spans="1:17" x14ac:dyDescent="0.2">
      <c r="D48" s="3"/>
    </row>
    <row r="49" spans="4:4" x14ac:dyDescent="0.2">
      <c r="D49" s="3"/>
    </row>
    <row r="50" spans="4:4" x14ac:dyDescent="0.2">
      <c r="D50" s="3"/>
    </row>
    <row r="51" spans="4:4" x14ac:dyDescent="0.2">
      <c r="D51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0"/>
  <sheetViews>
    <sheetView topLeftCell="A4" workbookViewId="0">
      <selection activeCell="A26" sqref="A26:C26"/>
    </sheetView>
  </sheetViews>
  <sheetFormatPr defaultRowHeight="12.75" x14ac:dyDescent="0.2"/>
  <cols>
    <col min="1" max="1" width="19.7109375" style="9" customWidth="1"/>
    <col min="2" max="2" width="4.42578125" style="10" customWidth="1"/>
    <col min="3" max="3" width="12.7109375" style="9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9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16" t="s">
        <v>50</v>
      </c>
      <c r="I1" s="17" t="s">
        <v>51</v>
      </c>
      <c r="J1" s="18" t="s">
        <v>52</v>
      </c>
    </row>
    <row r="2" spans="1:16" x14ac:dyDescent="0.2">
      <c r="I2" s="19" t="s">
        <v>53</v>
      </c>
      <c r="J2" s="20" t="s">
        <v>54</v>
      </c>
    </row>
    <row r="3" spans="1:16" x14ac:dyDescent="0.2">
      <c r="A3" s="21" t="s">
        <v>55</v>
      </c>
      <c r="I3" s="19" t="s">
        <v>56</v>
      </c>
      <c r="J3" s="20" t="s">
        <v>57</v>
      </c>
    </row>
    <row r="4" spans="1:16" x14ac:dyDescent="0.2">
      <c r="I4" s="19" t="s">
        <v>58</v>
      </c>
      <c r="J4" s="20" t="s">
        <v>57</v>
      </c>
    </row>
    <row r="5" spans="1:16" ht="13.5" thickBot="1" x14ac:dyDescent="0.25">
      <c r="I5" s="22" t="s">
        <v>59</v>
      </c>
      <c r="J5" s="23" t="s">
        <v>60</v>
      </c>
    </row>
    <row r="10" spans="1:16" ht="13.5" thickBot="1" x14ac:dyDescent="0.25"/>
    <row r="11" spans="1:16" ht="12.75" customHeight="1" thickBot="1" x14ac:dyDescent="0.25">
      <c r="A11" s="9" t="str">
        <f t="shared" ref="A11:A26" si="0">P11</f>
        <v>OEJV 0074 </v>
      </c>
      <c r="B11" s="3" t="str">
        <f t="shared" ref="B11:B26" si="1">IF(H11=INT(H11),"I","II")</f>
        <v>I</v>
      </c>
      <c r="C11" s="9">
        <f t="shared" ref="C11:C26" si="2">1*G11</f>
        <v>51815.380570000001</v>
      </c>
      <c r="D11" s="10" t="str">
        <f t="shared" ref="D11:D26" si="3">VLOOKUP(F11,I$1:J$5,2,FALSE)</f>
        <v>vis</v>
      </c>
      <c r="E11" s="24">
        <f>VLOOKUP(C11,Active!C$21:E$973,3,FALSE)</f>
        <v>-2592.4876941427801</v>
      </c>
      <c r="F11" s="3" t="s">
        <v>59</v>
      </c>
      <c r="G11" s="10" t="str">
        <f t="shared" ref="G11:G26" si="4">MID(I11,3,LEN(I11)-3)</f>
        <v>51815.38057</v>
      </c>
      <c r="H11" s="9">
        <f t="shared" ref="H11:H26" si="5">1*K11</f>
        <v>65378</v>
      </c>
      <c r="I11" s="25" t="s">
        <v>61</v>
      </c>
      <c r="J11" s="26" t="s">
        <v>62</v>
      </c>
      <c r="K11" s="25">
        <v>65378</v>
      </c>
      <c r="L11" s="25" t="s">
        <v>63</v>
      </c>
      <c r="M11" s="26" t="s">
        <v>64</v>
      </c>
      <c r="N11" s="26" t="s">
        <v>65</v>
      </c>
      <c r="O11" s="27" t="s">
        <v>66</v>
      </c>
      <c r="P11" s="28" t="s">
        <v>67</v>
      </c>
    </row>
    <row r="12" spans="1:16" ht="12.75" customHeight="1" thickBot="1" x14ac:dyDescent="0.25">
      <c r="A12" s="9" t="str">
        <f t="shared" si="0"/>
        <v>BAVM 158 </v>
      </c>
      <c r="B12" s="3" t="str">
        <f t="shared" si="1"/>
        <v>I</v>
      </c>
      <c r="C12" s="9">
        <f t="shared" si="2"/>
        <v>52505.506999999998</v>
      </c>
      <c r="D12" s="10" t="str">
        <f t="shared" si="3"/>
        <v>vis</v>
      </c>
      <c r="E12" s="24">
        <f>VLOOKUP(C12,Active!C$21:E$973,3,FALSE)</f>
        <v>67045.99882048108</v>
      </c>
      <c r="F12" s="3" t="s">
        <v>59</v>
      </c>
      <c r="G12" s="10" t="str">
        <f t="shared" si="4"/>
        <v>52505.5070</v>
      </c>
      <c r="H12" s="9">
        <f t="shared" si="5"/>
        <v>67046</v>
      </c>
      <c r="I12" s="25" t="s">
        <v>68</v>
      </c>
      <c r="J12" s="26" t="s">
        <v>69</v>
      </c>
      <c r="K12" s="25">
        <v>67046</v>
      </c>
      <c r="L12" s="25" t="s">
        <v>70</v>
      </c>
      <c r="M12" s="26" t="s">
        <v>71</v>
      </c>
      <c r="N12" s="26" t="s">
        <v>65</v>
      </c>
      <c r="O12" s="27" t="s">
        <v>72</v>
      </c>
      <c r="P12" s="28" t="s">
        <v>73</v>
      </c>
    </row>
    <row r="13" spans="1:16" ht="12.75" customHeight="1" thickBot="1" x14ac:dyDescent="0.25">
      <c r="A13" s="9" t="str">
        <f t="shared" si="0"/>
        <v>BAVM 158 </v>
      </c>
      <c r="B13" s="3" t="str">
        <f t="shared" si="1"/>
        <v>I</v>
      </c>
      <c r="C13" s="9">
        <f t="shared" si="2"/>
        <v>52510.462699999996</v>
      </c>
      <c r="D13" s="10" t="str">
        <f t="shared" si="3"/>
        <v>vis</v>
      </c>
      <c r="E13" s="24">
        <f>VLOOKUP(C13,Active!C$21:E$973,3,FALSE)</f>
        <v>67057.976980044856</v>
      </c>
      <c r="F13" s="3" t="s">
        <v>59</v>
      </c>
      <c r="G13" s="10" t="str">
        <f t="shared" si="4"/>
        <v>52510.4627</v>
      </c>
      <c r="H13" s="9">
        <f t="shared" si="5"/>
        <v>67058</v>
      </c>
      <c r="I13" s="25" t="s">
        <v>74</v>
      </c>
      <c r="J13" s="26" t="s">
        <v>75</v>
      </c>
      <c r="K13" s="25">
        <v>67058</v>
      </c>
      <c r="L13" s="25" t="s">
        <v>76</v>
      </c>
      <c r="M13" s="26" t="s">
        <v>71</v>
      </c>
      <c r="N13" s="26" t="s">
        <v>65</v>
      </c>
      <c r="O13" s="27" t="s">
        <v>72</v>
      </c>
      <c r="P13" s="28" t="s">
        <v>73</v>
      </c>
    </row>
    <row r="14" spans="1:16" ht="12.75" customHeight="1" thickBot="1" x14ac:dyDescent="0.25">
      <c r="A14" s="9" t="str">
        <f t="shared" si="0"/>
        <v>BAVM 172 </v>
      </c>
      <c r="B14" s="3" t="str">
        <f t="shared" si="1"/>
        <v>II</v>
      </c>
      <c r="C14" s="9">
        <f t="shared" si="2"/>
        <v>52878.471599999997</v>
      </c>
      <c r="D14" s="10" t="str">
        <f t="shared" si="3"/>
        <v>vis</v>
      </c>
      <c r="E14" s="24">
        <f>VLOOKUP(C14,Active!C$21:E$973,3,FALSE)</f>
        <v>67947.471768891628</v>
      </c>
      <c r="F14" s="3" t="s">
        <v>59</v>
      </c>
      <c r="G14" s="10" t="str">
        <f t="shared" si="4"/>
        <v>52878.4716</v>
      </c>
      <c r="H14" s="9">
        <f t="shared" si="5"/>
        <v>67947.5</v>
      </c>
      <c r="I14" s="25" t="s">
        <v>77</v>
      </c>
      <c r="J14" s="26" t="s">
        <v>78</v>
      </c>
      <c r="K14" s="25">
        <v>67947.5</v>
      </c>
      <c r="L14" s="25" t="s">
        <v>79</v>
      </c>
      <c r="M14" s="26" t="s">
        <v>71</v>
      </c>
      <c r="N14" s="26" t="s">
        <v>65</v>
      </c>
      <c r="O14" s="27" t="s">
        <v>72</v>
      </c>
      <c r="P14" s="28" t="s">
        <v>80</v>
      </c>
    </row>
    <row r="15" spans="1:16" ht="12.75" customHeight="1" thickBot="1" x14ac:dyDescent="0.25">
      <c r="A15" s="9" t="str">
        <f t="shared" si="0"/>
        <v>BAVM 172 </v>
      </c>
      <c r="B15" s="3" t="str">
        <f t="shared" si="1"/>
        <v>I</v>
      </c>
      <c r="C15" s="9">
        <f t="shared" si="2"/>
        <v>52887.361299999997</v>
      </c>
      <c r="D15" s="10" t="str">
        <f t="shared" si="3"/>
        <v>vis</v>
      </c>
      <c r="E15" s="24">
        <f>VLOOKUP(C15,Active!C$21:E$973,3,FALSE)</f>
        <v>67968.958591151662</v>
      </c>
      <c r="F15" s="3" t="s">
        <v>59</v>
      </c>
      <c r="G15" s="10" t="str">
        <f t="shared" si="4"/>
        <v>52887.3613</v>
      </c>
      <c r="H15" s="9">
        <f t="shared" si="5"/>
        <v>67969</v>
      </c>
      <c r="I15" s="25" t="s">
        <v>81</v>
      </c>
      <c r="J15" s="26" t="s">
        <v>82</v>
      </c>
      <c r="K15" s="25">
        <v>67969</v>
      </c>
      <c r="L15" s="25" t="s">
        <v>83</v>
      </c>
      <c r="M15" s="26" t="s">
        <v>71</v>
      </c>
      <c r="N15" s="26" t="s">
        <v>65</v>
      </c>
      <c r="O15" s="27" t="s">
        <v>72</v>
      </c>
      <c r="P15" s="28" t="s">
        <v>80</v>
      </c>
    </row>
    <row r="16" spans="1:16" ht="12.75" customHeight="1" thickBot="1" x14ac:dyDescent="0.25">
      <c r="A16" s="9" t="str">
        <f t="shared" si="0"/>
        <v>BAVM 172 </v>
      </c>
      <c r="B16" s="3" t="str">
        <f t="shared" si="1"/>
        <v>II</v>
      </c>
      <c r="C16" s="9">
        <f t="shared" si="2"/>
        <v>52887.568700000003</v>
      </c>
      <c r="D16" s="10" t="str">
        <f t="shared" si="3"/>
        <v>vis</v>
      </c>
      <c r="E16" s="24">
        <f>VLOOKUP(C16,Active!C$21:E$973,3,FALSE)</f>
        <v>67969.459886688841</v>
      </c>
      <c r="F16" s="3" t="s">
        <v>59</v>
      </c>
      <c r="G16" s="10" t="str">
        <f t="shared" si="4"/>
        <v>52887.5687</v>
      </c>
      <c r="H16" s="9">
        <f t="shared" si="5"/>
        <v>67969.5</v>
      </c>
      <c r="I16" s="25" t="s">
        <v>84</v>
      </c>
      <c r="J16" s="26" t="s">
        <v>85</v>
      </c>
      <c r="K16" s="25">
        <v>67969.5</v>
      </c>
      <c r="L16" s="25" t="s">
        <v>86</v>
      </c>
      <c r="M16" s="26" t="s">
        <v>71</v>
      </c>
      <c r="N16" s="26" t="s">
        <v>65</v>
      </c>
      <c r="O16" s="27" t="s">
        <v>72</v>
      </c>
      <c r="P16" s="28" t="s">
        <v>80</v>
      </c>
    </row>
    <row r="17" spans="1:16" ht="12.75" customHeight="1" thickBot="1" x14ac:dyDescent="0.25">
      <c r="A17" s="9" t="str">
        <f t="shared" si="0"/>
        <v>BAVM 172 </v>
      </c>
      <c r="B17" s="3" t="str">
        <f t="shared" si="1"/>
        <v>I</v>
      </c>
      <c r="C17" s="9">
        <f t="shared" si="2"/>
        <v>52929.540500000003</v>
      </c>
      <c r="D17" s="10" t="str">
        <f t="shared" si="3"/>
        <v>vis</v>
      </c>
      <c r="E17" s="24">
        <f>VLOOKUP(C17,Active!C$21:E$973,3,FALSE)</f>
        <v>68070.907697811126</v>
      </c>
      <c r="F17" s="3" t="s">
        <v>59</v>
      </c>
      <c r="G17" s="10" t="str">
        <f t="shared" si="4"/>
        <v>52929.5405</v>
      </c>
      <c r="H17" s="9">
        <f t="shared" si="5"/>
        <v>68071</v>
      </c>
      <c r="I17" s="25" t="s">
        <v>87</v>
      </c>
      <c r="J17" s="26" t="s">
        <v>88</v>
      </c>
      <c r="K17" s="25">
        <v>68071</v>
      </c>
      <c r="L17" s="25" t="s">
        <v>89</v>
      </c>
      <c r="M17" s="26" t="s">
        <v>71</v>
      </c>
      <c r="N17" s="26" t="s">
        <v>65</v>
      </c>
      <c r="O17" s="27" t="s">
        <v>72</v>
      </c>
      <c r="P17" s="28" t="s">
        <v>80</v>
      </c>
    </row>
    <row r="18" spans="1:16" ht="12.75" customHeight="1" thickBot="1" x14ac:dyDescent="0.25">
      <c r="A18" s="9" t="str">
        <f t="shared" si="0"/>
        <v>BAVM 173 </v>
      </c>
      <c r="B18" s="3" t="str">
        <f t="shared" si="1"/>
        <v>II</v>
      </c>
      <c r="C18" s="9">
        <f t="shared" si="2"/>
        <v>53257.442600000002</v>
      </c>
      <c r="D18" s="10" t="str">
        <f t="shared" si="3"/>
        <v>vis</v>
      </c>
      <c r="E18" s="24">
        <f>VLOOKUP(C18,Active!C$21:E$973,3,FALSE)</f>
        <v>68863.462468094993</v>
      </c>
      <c r="F18" s="3" t="s">
        <v>59</v>
      </c>
      <c r="G18" s="10" t="str">
        <f t="shared" si="4"/>
        <v>53257.4426</v>
      </c>
      <c r="H18" s="9">
        <f t="shared" si="5"/>
        <v>68863.5</v>
      </c>
      <c r="I18" s="25" t="s">
        <v>90</v>
      </c>
      <c r="J18" s="26" t="s">
        <v>91</v>
      </c>
      <c r="K18" s="25">
        <v>68863.5</v>
      </c>
      <c r="L18" s="25" t="s">
        <v>92</v>
      </c>
      <c r="M18" s="26" t="s">
        <v>71</v>
      </c>
      <c r="N18" s="26" t="s">
        <v>65</v>
      </c>
      <c r="O18" s="27" t="s">
        <v>72</v>
      </c>
      <c r="P18" s="28" t="s">
        <v>93</v>
      </c>
    </row>
    <row r="19" spans="1:16" ht="12.75" customHeight="1" thickBot="1" x14ac:dyDescent="0.25">
      <c r="A19" s="9" t="str">
        <f t="shared" si="0"/>
        <v>BAVM 173 </v>
      </c>
      <c r="B19" s="3" t="str">
        <f t="shared" si="1"/>
        <v>II</v>
      </c>
      <c r="C19" s="9">
        <f t="shared" si="2"/>
        <v>53267.366499999996</v>
      </c>
      <c r="D19" s="10" t="str">
        <f t="shared" si="3"/>
        <v>vis</v>
      </c>
      <c r="E19" s="24">
        <f>VLOOKUP(C19,Active!C$21:E$973,3,FALSE)</f>
        <v>68887.449000309367</v>
      </c>
      <c r="F19" s="3" t="s">
        <v>59</v>
      </c>
      <c r="G19" s="10" t="str">
        <f t="shared" si="4"/>
        <v>53267.3665</v>
      </c>
      <c r="H19" s="9">
        <f t="shared" si="5"/>
        <v>68887.5</v>
      </c>
      <c r="I19" s="25" t="s">
        <v>94</v>
      </c>
      <c r="J19" s="26" t="s">
        <v>95</v>
      </c>
      <c r="K19" s="25">
        <v>68887.5</v>
      </c>
      <c r="L19" s="25" t="s">
        <v>96</v>
      </c>
      <c r="M19" s="26" t="s">
        <v>71</v>
      </c>
      <c r="N19" s="26" t="s">
        <v>65</v>
      </c>
      <c r="O19" s="27" t="s">
        <v>72</v>
      </c>
      <c r="P19" s="28" t="s">
        <v>93</v>
      </c>
    </row>
    <row r="20" spans="1:16" ht="12.75" customHeight="1" thickBot="1" x14ac:dyDescent="0.25">
      <c r="A20" s="9" t="str">
        <f t="shared" si="0"/>
        <v>IBVS 5690 </v>
      </c>
      <c r="B20" s="3" t="str">
        <f t="shared" si="1"/>
        <v>I</v>
      </c>
      <c r="C20" s="9">
        <f t="shared" si="2"/>
        <v>53341.590700000001</v>
      </c>
      <c r="D20" s="10" t="str">
        <f t="shared" si="3"/>
        <v>vis</v>
      </c>
      <c r="E20" s="24">
        <f>VLOOKUP(C20,Active!C$21:E$973,3,FALSE)</f>
        <v>69066.852376440569</v>
      </c>
      <c r="F20" s="3" t="s">
        <v>59</v>
      </c>
      <c r="G20" s="10" t="str">
        <f t="shared" si="4"/>
        <v>53341.5907</v>
      </c>
      <c r="H20" s="9">
        <f t="shared" si="5"/>
        <v>69067</v>
      </c>
      <c r="I20" s="25" t="s">
        <v>97</v>
      </c>
      <c r="J20" s="26" t="s">
        <v>98</v>
      </c>
      <c r="K20" s="25">
        <v>69067</v>
      </c>
      <c r="L20" s="25" t="s">
        <v>99</v>
      </c>
      <c r="M20" s="26" t="s">
        <v>64</v>
      </c>
      <c r="N20" s="26" t="s">
        <v>65</v>
      </c>
      <c r="O20" s="27" t="s">
        <v>100</v>
      </c>
      <c r="P20" s="28" t="s">
        <v>101</v>
      </c>
    </row>
    <row r="21" spans="1:16" ht="12.75" customHeight="1" thickBot="1" x14ac:dyDescent="0.25">
      <c r="A21" s="9" t="str">
        <f t="shared" si="0"/>
        <v>IBVS 5690 </v>
      </c>
      <c r="B21" s="3" t="str">
        <f t="shared" si="1"/>
        <v>II</v>
      </c>
      <c r="C21" s="9">
        <f t="shared" si="2"/>
        <v>53342.623899999999</v>
      </c>
      <c r="D21" s="10" t="str">
        <f t="shared" si="3"/>
        <v>vis</v>
      </c>
      <c r="E21" s="24">
        <f>VLOOKUP(C21,Active!C$21:E$973,3,FALSE)</f>
        <v>69069.349669347968</v>
      </c>
      <c r="F21" s="3" t="s">
        <v>59</v>
      </c>
      <c r="G21" s="10" t="str">
        <f t="shared" si="4"/>
        <v>53342.6239</v>
      </c>
      <c r="H21" s="9">
        <f t="shared" si="5"/>
        <v>69069.5</v>
      </c>
      <c r="I21" s="25" t="s">
        <v>102</v>
      </c>
      <c r="J21" s="26" t="s">
        <v>103</v>
      </c>
      <c r="K21" s="25">
        <v>69069.5</v>
      </c>
      <c r="L21" s="25" t="s">
        <v>104</v>
      </c>
      <c r="M21" s="26" t="s">
        <v>64</v>
      </c>
      <c r="N21" s="26" t="s">
        <v>65</v>
      </c>
      <c r="O21" s="27" t="s">
        <v>100</v>
      </c>
      <c r="P21" s="28" t="s">
        <v>101</v>
      </c>
    </row>
    <row r="22" spans="1:16" ht="12.75" customHeight="1" thickBot="1" x14ac:dyDescent="0.25">
      <c r="A22" s="9" t="str">
        <f t="shared" si="0"/>
        <v>BAVM 178 </v>
      </c>
      <c r="B22" s="3" t="str">
        <f t="shared" si="1"/>
        <v>I</v>
      </c>
      <c r="C22" s="9">
        <f t="shared" si="2"/>
        <v>53659.368900000001</v>
      </c>
      <c r="D22" s="10" t="str">
        <f t="shared" si="3"/>
        <v>vis</v>
      </c>
      <c r="E22" s="24">
        <f>VLOOKUP(C22,Active!C$21:E$973,3,FALSE)</f>
        <v>69834.937205120281</v>
      </c>
      <c r="F22" s="3" t="s">
        <v>59</v>
      </c>
      <c r="G22" s="10" t="str">
        <f t="shared" si="4"/>
        <v>53659.3689</v>
      </c>
      <c r="H22" s="9">
        <f t="shared" si="5"/>
        <v>69835</v>
      </c>
      <c r="I22" s="25" t="s">
        <v>105</v>
      </c>
      <c r="J22" s="26" t="s">
        <v>106</v>
      </c>
      <c r="K22" s="25">
        <v>69835</v>
      </c>
      <c r="L22" s="25" t="s">
        <v>107</v>
      </c>
      <c r="M22" s="26" t="s">
        <v>64</v>
      </c>
      <c r="N22" s="26" t="s">
        <v>108</v>
      </c>
      <c r="O22" s="27" t="s">
        <v>109</v>
      </c>
      <c r="P22" s="28" t="s">
        <v>110</v>
      </c>
    </row>
    <row r="23" spans="1:16" ht="12.75" customHeight="1" thickBot="1" x14ac:dyDescent="0.25">
      <c r="A23" s="9" t="str">
        <f t="shared" si="0"/>
        <v>IBVS 5920 </v>
      </c>
      <c r="B23" s="3" t="str">
        <f t="shared" si="1"/>
        <v>II</v>
      </c>
      <c r="C23" s="9">
        <f t="shared" si="2"/>
        <v>55102.665000000001</v>
      </c>
      <c r="D23" s="10" t="str">
        <f t="shared" si="3"/>
        <v>vis</v>
      </c>
      <c r="E23" s="24">
        <f>VLOOKUP(C23,Active!C$21:E$973,3,FALSE)</f>
        <v>73323.451639724648</v>
      </c>
      <c r="F23" s="3" t="s">
        <v>59</v>
      </c>
      <c r="G23" s="10" t="str">
        <f t="shared" si="4"/>
        <v>55102.665</v>
      </c>
      <c r="H23" s="9">
        <f t="shared" si="5"/>
        <v>73323.5</v>
      </c>
      <c r="I23" s="25" t="s">
        <v>116</v>
      </c>
      <c r="J23" s="26" t="s">
        <v>117</v>
      </c>
      <c r="K23" s="25" t="s">
        <v>118</v>
      </c>
      <c r="L23" s="25" t="s">
        <v>119</v>
      </c>
      <c r="M23" s="26" t="s">
        <v>64</v>
      </c>
      <c r="N23" s="26" t="s">
        <v>59</v>
      </c>
      <c r="O23" s="27" t="s">
        <v>120</v>
      </c>
      <c r="P23" s="28" t="s">
        <v>121</v>
      </c>
    </row>
    <row r="24" spans="1:16" ht="12.75" customHeight="1" thickBot="1" x14ac:dyDescent="0.25">
      <c r="A24" s="9" t="str">
        <f t="shared" si="0"/>
        <v>IBVS 6011 </v>
      </c>
      <c r="B24" s="3" t="str">
        <f t="shared" si="1"/>
        <v>II</v>
      </c>
      <c r="C24" s="9">
        <f t="shared" si="2"/>
        <v>55850.685299999997</v>
      </c>
      <c r="D24" s="10" t="str">
        <f t="shared" si="3"/>
        <v>vis</v>
      </c>
      <c r="E24" s="24">
        <f>VLOOKUP(C24,Active!C$21:E$973,3,FALSE)</f>
        <v>75131.451823420211</v>
      </c>
      <c r="F24" s="3" t="s">
        <v>59</v>
      </c>
      <c r="G24" s="10" t="str">
        <f t="shared" si="4"/>
        <v>55850.6853</v>
      </c>
      <c r="H24" s="9">
        <f t="shared" si="5"/>
        <v>75131.5</v>
      </c>
      <c r="I24" s="25" t="s">
        <v>122</v>
      </c>
      <c r="J24" s="26" t="s">
        <v>123</v>
      </c>
      <c r="K24" s="25" t="s">
        <v>124</v>
      </c>
      <c r="L24" s="25" t="s">
        <v>125</v>
      </c>
      <c r="M24" s="26" t="s">
        <v>64</v>
      </c>
      <c r="N24" s="26" t="s">
        <v>59</v>
      </c>
      <c r="O24" s="27" t="s">
        <v>120</v>
      </c>
      <c r="P24" s="28" t="s">
        <v>126</v>
      </c>
    </row>
    <row r="25" spans="1:16" ht="12.75" customHeight="1" thickBot="1" x14ac:dyDescent="0.25">
      <c r="A25" s="9" t="str">
        <f t="shared" si="0"/>
        <v>IBVS 6042 </v>
      </c>
      <c r="B25" s="3" t="str">
        <f t="shared" si="1"/>
        <v>I</v>
      </c>
      <c r="C25" s="9">
        <f t="shared" si="2"/>
        <v>56218.696199999998</v>
      </c>
      <c r="D25" s="10" t="str">
        <f t="shared" si="3"/>
        <v>vis</v>
      </c>
      <c r="E25" s="24">
        <f>VLOOKUP(C25,Active!C$21:E$973,3,FALSE)</f>
        <v>76020.951446360894</v>
      </c>
      <c r="F25" s="3" t="s">
        <v>59</v>
      </c>
      <c r="G25" s="10" t="str">
        <f t="shared" si="4"/>
        <v>56218.6962</v>
      </c>
      <c r="H25" s="9">
        <f t="shared" si="5"/>
        <v>76021</v>
      </c>
      <c r="I25" s="25" t="s">
        <v>127</v>
      </c>
      <c r="J25" s="26" t="s">
        <v>128</v>
      </c>
      <c r="K25" s="25" t="s">
        <v>129</v>
      </c>
      <c r="L25" s="25" t="s">
        <v>130</v>
      </c>
      <c r="M25" s="26" t="s">
        <v>64</v>
      </c>
      <c r="N25" s="26" t="s">
        <v>59</v>
      </c>
      <c r="O25" s="27" t="s">
        <v>120</v>
      </c>
      <c r="P25" s="28" t="s">
        <v>131</v>
      </c>
    </row>
    <row r="26" spans="1:16" ht="12.75" customHeight="1" thickBot="1" x14ac:dyDescent="0.25">
      <c r="A26" s="9" t="str">
        <f t="shared" si="0"/>
        <v>IBVS 5806 </v>
      </c>
      <c r="B26" s="3" t="str">
        <f t="shared" si="1"/>
        <v>II</v>
      </c>
      <c r="C26" s="9">
        <f t="shared" si="2"/>
        <v>53917.800600000002</v>
      </c>
      <c r="D26" s="10" t="str">
        <f t="shared" si="3"/>
        <v>vis</v>
      </c>
      <c r="E26" s="24">
        <f>VLOOKUP(C26,Active!C$21:E$973,3,FALSE)</f>
        <v>70459.578757057781</v>
      </c>
      <c r="F26" s="3" t="s">
        <v>59</v>
      </c>
      <c r="G26" s="10" t="str">
        <f t="shared" si="4"/>
        <v>53917.8006</v>
      </c>
      <c r="H26" s="9">
        <f t="shared" si="5"/>
        <v>70459.5</v>
      </c>
      <c r="I26" s="25" t="s">
        <v>111</v>
      </c>
      <c r="J26" s="26" t="s">
        <v>112</v>
      </c>
      <c r="K26" s="25" t="s">
        <v>113</v>
      </c>
      <c r="L26" s="25" t="s">
        <v>114</v>
      </c>
      <c r="M26" s="26" t="s">
        <v>64</v>
      </c>
      <c r="N26" s="26" t="s">
        <v>65</v>
      </c>
      <c r="O26" s="27" t="s">
        <v>100</v>
      </c>
      <c r="P26" s="28" t="s">
        <v>115</v>
      </c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</sheetData>
  <phoneticPr fontId="7" type="noConversion"/>
  <hyperlinks>
    <hyperlink ref="P11" r:id="rId1" display="http://var.astro.cz/oejv/issues/oejv0074.pdf"/>
    <hyperlink ref="P12" r:id="rId2" display="http://www.bav-astro.de/sfs/BAVM_link.php?BAVMnr=158"/>
    <hyperlink ref="P13" r:id="rId3" display="http://www.bav-astro.de/sfs/BAVM_link.php?BAVMnr=158"/>
    <hyperlink ref="P14" r:id="rId4" display="http://www.bav-astro.de/sfs/BAVM_link.php?BAVMnr=172"/>
    <hyperlink ref="P15" r:id="rId5" display="http://www.bav-astro.de/sfs/BAVM_link.php?BAVMnr=172"/>
    <hyperlink ref="P16" r:id="rId6" display="http://www.bav-astro.de/sfs/BAVM_link.php?BAVMnr=172"/>
    <hyperlink ref="P17" r:id="rId7" display="http://www.bav-astro.de/sfs/BAVM_link.php?BAVMnr=172"/>
    <hyperlink ref="P18" r:id="rId8" display="http://www.bav-astro.de/sfs/BAVM_link.php?BAVMnr=173"/>
    <hyperlink ref="P19" r:id="rId9" display="http://www.bav-astro.de/sfs/BAVM_link.php?BAVMnr=173"/>
    <hyperlink ref="P20" r:id="rId10" display="http://www.konkoly.hu/cgi-bin/IBVS?5690"/>
    <hyperlink ref="P21" r:id="rId11" display="http://www.konkoly.hu/cgi-bin/IBVS?5690"/>
    <hyperlink ref="P22" r:id="rId12" display="http://www.bav-astro.de/sfs/BAVM_link.php?BAVMnr=178"/>
    <hyperlink ref="P26" r:id="rId13" display="http://www.konkoly.hu/cgi-bin/IBVS?5806"/>
    <hyperlink ref="P23" r:id="rId14" display="http://www.konkoly.hu/cgi-bin/IBVS?5920"/>
    <hyperlink ref="P24" r:id="rId15" display="http://www.konkoly.hu/cgi-bin/IBVS?6011"/>
    <hyperlink ref="P25" r:id="rId16" display="http://www.konkoly.hu/cgi-bin/IBVS?604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2024-03-02T03:53:27Z</dcterms:modified>
</cp:coreProperties>
</file>