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87FBC24-9E73-4BA9-9F6A-69145D8BCEB2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D9" i="1" l="1"/>
  <c r="E9" i="1"/>
  <c r="F16" i="1"/>
  <c r="F17" i="1" s="1"/>
  <c r="C17" i="1"/>
  <c r="E21" i="1"/>
  <c r="F21" i="1"/>
  <c r="G21" i="1"/>
  <c r="I21" i="1"/>
  <c r="Q21" i="1"/>
  <c r="E22" i="1"/>
  <c r="F22" i="1"/>
  <c r="G22" i="1"/>
  <c r="K22" i="1"/>
  <c r="Q22" i="1"/>
  <c r="E23" i="1"/>
  <c r="F23" i="1"/>
  <c r="G23" i="1"/>
  <c r="K23" i="1"/>
  <c r="Q23" i="1"/>
  <c r="E24" i="1"/>
  <c r="F24" i="1"/>
  <c r="G24" i="1"/>
  <c r="K24" i="1"/>
  <c r="Q24" i="1"/>
  <c r="C12" i="1"/>
  <c r="C11" i="1"/>
  <c r="O23" i="1" l="1"/>
  <c r="C15" i="1"/>
  <c r="F18" i="1" s="1"/>
  <c r="O22" i="1"/>
  <c r="O24" i="1"/>
  <c r="O21" i="1"/>
  <c r="C16" i="1"/>
  <c r="D18" i="1" s="1"/>
  <c r="F19" i="1" l="1"/>
  <c r="C18" i="1"/>
</calcChain>
</file>

<file path=xl/sharedStrings.xml><?xml version="1.0" encoding="utf-8"?>
<sst xmlns="http://schemas.openxmlformats.org/spreadsheetml/2006/main" count="58" uniqueCount="50">
  <si>
    <t>V0473 Peg / GSC 1687-0298</t>
  </si>
  <si>
    <t>V0473 Peg</t>
  </si>
  <si>
    <t>2018L</t>
  </si>
  <si>
    <t>G1687-0298</t>
  </si>
  <si>
    <t>EW</t>
  </si>
  <si>
    <t>System Type:</t>
  </si>
  <si>
    <t>GCVS 4 Eph.</t>
  </si>
  <si>
    <t>My time zone &gt;&gt;&gt;&gt;&gt;</t>
  </si>
  <si>
    <t>(PST=8, PDT=MDT=7, MDT=CST=6, etc.)</t>
  </si>
  <si>
    <t>--- Working ----</t>
  </si>
  <si>
    <t>Epoch =</t>
  </si>
  <si>
    <t>GCVS</t>
  </si>
  <si>
    <t>Period =</t>
  </si>
  <si>
    <t>Start of linear fit &gt;&gt;&gt;&gt;&gt;&gt;&gt;&gt;&gt;&gt;&gt;&gt;&gt;&gt;&gt;&gt;&gt;&gt;&gt;&gt;&gt;</t>
  </si>
  <si>
    <t>Linear</t>
  </si>
  <si>
    <t>Quadratic</t>
  </si>
  <si>
    <t>LS Intercept =</t>
  </si>
  <si>
    <t>LS Slope =</t>
  </si>
  <si>
    <t>LS Quadr term =</t>
  </si>
  <si>
    <t>na</t>
  </si>
  <si>
    <t>New epoch =</t>
  </si>
  <si>
    <t>Add cycle</t>
  </si>
  <si>
    <t>New Period =</t>
  </si>
  <si>
    <t>JD today</t>
  </si>
  <si>
    <t># of data points:</t>
  </si>
  <si>
    <t>Old Cycle</t>
  </si>
  <si>
    <t>New Ephemeris =</t>
  </si>
  <si>
    <t>New Cycle</t>
  </si>
  <si>
    <t>Next ToM</t>
  </si>
  <si>
    <t>Source</t>
  </si>
  <si>
    <t>Typ</t>
  </si>
  <si>
    <t>ToM</t>
  </si>
  <si>
    <t>error</t>
  </si>
  <si>
    <t>n'</t>
  </si>
  <si>
    <t>n</t>
  </si>
  <si>
    <t>O-C</t>
  </si>
  <si>
    <t>pg</t>
  </si>
  <si>
    <t>vis</t>
  </si>
  <si>
    <t>PE</t>
  </si>
  <si>
    <t>CCD</t>
  </si>
  <si>
    <t>S5</t>
  </si>
  <si>
    <t>S6</t>
  </si>
  <si>
    <t>Misc</t>
  </si>
  <si>
    <t>Lin Fit</t>
  </si>
  <si>
    <t>Q. Fit</t>
  </si>
  <si>
    <t>Date</t>
  </si>
  <si>
    <t>BAD</t>
  </si>
  <si>
    <t>IBVS 6244</t>
  </si>
  <si>
    <t>I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</si>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</sst>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_);&quot;($&quot;#,##0\)"/>
    <numFmt numFmtId="165" formatCode="m/d/yyyy\ h:mm"/>
    <numFmt numFmtId="166" formatCode="m/d/yyyy"/>
  </numFmts>
  <fonts count="12" x14ac:knownFonts="1">
    <font>
      <sz val="10"/>
      <name val="Arial"/>
      <family val="2"/>
    </font>
    <font>
      <sz val="16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1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49"/>
      </patternFill>
    </fill>
    <fill>
      <patternFill patternType="solid">
        <fgColor indexed="43"/>
        <bgColor indexed="26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8"/>
      </bottom>
      <diagonal/>
    </border>
  </borders>
  <cellStyleXfs count="7">
    <xf numFmtId="0" fontId="0" fillId="0" borderId="0">
      <alignment vertical="top"/>
    </xf>
    <xf numFmtId="3" fontId="11" fillId="0" borderId="0" applyFill="0" applyBorder="0" applyProtection="0">
      <alignment vertical="top"/>
    </xf>
    <xf numFmtId="164" fontId="11" fillId="0" borderId="0" applyFill="0" applyBorder="0" applyProtection="0">
      <alignment vertical="top"/>
    </xf>
    <xf numFmtId="0" fontId="11" fillId="0" borderId="0" applyFill="0" applyBorder="0" applyProtection="0">
      <alignment vertical="top"/>
    </xf>
    <xf numFmtId="2" fontId="11" fillId="0" borderId="0" applyFill="0" applyBorder="0" applyProtection="0">
      <alignment vertical="top"/>
    </xf>
    <xf numFmtId="0" fontId="11" fillId="0" borderId="0"/>
    <xf numFmtId="0" fontId="11" fillId="0" borderId="0"/>
  </cellStyleXfs>
  <cellXfs count="41">
    <xf numFmtId="0" fontId="0" fillId="0" borderId="0" xfId="0">
      <alignment vertical="top"/>
    </xf>
    <xf numFmtId="0" fontId="0" fillId="0" borderId="0" xfId="0" applyAlignment="1"/>
    <xf numFmtId="0" fontId="1" fillId="0" borderId="0" xfId="0" applyFont="1" applyAlignment="1"/>
    <xf numFmtId="0" fontId="2" fillId="2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165" fontId="8" fillId="0" borderId="0" xfId="0" applyNumberFormat="1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66" fontId="0" fillId="0" borderId="0" xfId="0" applyNumberFormat="1" applyAlignment="1">
      <alignment vertical="center"/>
    </xf>
    <xf numFmtId="0" fontId="10" fillId="0" borderId="0" xfId="6" applyFont="1" applyAlignment="1">
      <alignment vertical="center"/>
    </xf>
    <xf numFmtId="0" fontId="10" fillId="0" borderId="0" xfId="6" applyFont="1" applyAlignment="1">
      <alignment horizontal="center" vertical="center" wrapText="1"/>
    </xf>
    <xf numFmtId="0" fontId="10" fillId="0" borderId="0" xfId="6" applyFont="1" applyAlignment="1">
      <alignment horizontal="left" vertical="center" wrapText="1"/>
    </xf>
    <xf numFmtId="0" fontId="10" fillId="0" borderId="0" xfId="5" applyFont="1" applyAlignment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Alignment="1">
      <alignment horizontal="left" vertical="center"/>
    </xf>
  </cellXfs>
  <cellStyles count="7">
    <cellStyle name="Comma0" xfId="1"/>
    <cellStyle name="Currency0" xfId="2"/>
    <cellStyle name="Date" xfId="3"/>
    <cellStyle name="Fixed" xfId="4"/>
    <cellStyle name="Normal" xfId="0" builtinId="0"/>
    <cellStyle name="Normal_A" xfId="5"/>
    <cellStyle name="Normal_A_1" xfId="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69FF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V0473 Peg - O-C Diagr.</a:t>
            </a:r>
          </a:p>
        </c:rich>
      </c:tx>
      <c:layout>
        <c:manualLayout>
          <c:xMode val="edge"/>
          <c:yMode val="edge"/>
          <c:x val="0.35735783027121609"/>
          <c:y val="3.3033033033033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56458592076342"/>
          <c:y val="0.22822889753688513"/>
          <c:w val="0.81081199971260276"/>
          <c:h val="0.5555571847937335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Active!$H$21:$H$24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53-4758-8416-D463FAD5B83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Active!$I$21:$I$24</c:f>
              <c:numCache>
                <c:formatCode>General</c:formatCode>
                <c:ptCount val="4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F53-4758-8416-D463FAD5B83E}"/>
            </c:ext>
          </c:extLst>
        </c:ser>
        <c:ser>
          <c:idx val="2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Active!$J$21:$J$24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F53-4758-8416-D463FAD5B83E}"/>
            </c:ext>
          </c:extLst>
        </c:ser>
        <c:ser>
          <c:idx val="3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Active!$F$21:$F$204</c:f>
              <c:numCache>
                <c:formatCode>General</c:formatCode>
                <c:ptCount val="18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Active!$K$21:$K$204</c:f>
              <c:numCache>
                <c:formatCode>General</c:formatCode>
                <c:ptCount val="184"/>
                <c:pt idx="1">
                  <c:v>-4.5065000005706679E-2</c:v>
                </c:pt>
                <c:pt idx="2">
                  <c:v>-4.5395000008284114E-2</c:v>
                </c:pt>
                <c:pt idx="3">
                  <c:v>-4.7239999890734907E-2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F53-4758-8416-D463FAD5B83E}"/>
            </c:ext>
          </c:extLst>
        </c:ser>
        <c:ser>
          <c:idx val="4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Active!$L$21:$L$24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F53-4758-8416-D463FAD5B83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Active!$M$21:$M$24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F53-4758-8416-D463FAD5B83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Active!$N$21:$N$24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F53-4758-8416-D463FAD5B83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Active!$O$21:$O$24</c:f>
              <c:numCache>
                <c:formatCode>General</c:formatCode>
                <c:ptCount val="4"/>
                <c:pt idx="0">
                  <c:v>-5.6364888944629432E-6</c:v>
                </c:pt>
                <c:pt idx="1">
                  <c:v>-4.5773301172718134E-2</c:v>
                </c:pt>
                <c:pt idx="2">
                  <c:v>-4.6138476940700501E-2</c:v>
                </c:pt>
                <c:pt idx="3">
                  <c:v>-4.5782585302412603E-2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F53-4758-8416-D463FAD5B83E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7394.5</c:v>
                </c:pt>
                <c:pt idx="2">
                  <c:v>7453.5</c:v>
                </c:pt>
                <c:pt idx="3">
                  <c:v>7396</c:v>
                </c:pt>
              </c:numCache>
            </c:numRef>
          </c:xVal>
          <c:yVal>
            <c:numRef>
              <c:f>Active!$U$21:$U$24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F53-4758-8416-D463FAD5B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7465448"/>
        <c:axId val="1"/>
      </c:scatterChart>
      <c:valAx>
        <c:axId val="8874654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248122137886"/>
              <c:y val="0.8648673870721115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2552552552552555E-2"/>
              <c:y val="0.414415675518037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87465448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519551047110101"/>
          <c:y val="0.91291543512015949"/>
          <c:w val="0.71321431667888358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104775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C85FF2E-1FFB-92D3-A836-09E51B32C0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style="1" customWidth="1"/>
    <col min="2" max="2" width="4.85546875" style="1" customWidth="1"/>
    <col min="3" max="3" width="11.85546875" style="1" customWidth="1"/>
    <col min="4" max="4" width="9.42578125" style="1" customWidth="1"/>
    <col min="5" max="5" width="10.140625" style="1" customWidth="1"/>
    <col min="6" max="6" width="17" style="1" customWidth="1"/>
    <col min="7" max="7" width="8.140625" style="1" customWidth="1"/>
    <col min="8" max="14" width="8.5703125" style="1" customWidth="1"/>
    <col min="15" max="15" width="8" style="1" customWidth="1"/>
    <col min="16" max="16" width="7.7109375" style="1" customWidth="1"/>
    <col min="17" max="17" width="9.85546875" style="1" customWidth="1"/>
    <col min="18" max="16384" width="10.28515625" style="1"/>
  </cols>
  <sheetData>
    <row r="1" spans="1:17" ht="20.25" x14ac:dyDescent="0.3">
      <c r="A1" s="2" t="s">
        <v>0</v>
      </c>
      <c r="F1" s="3" t="s">
        <v>1</v>
      </c>
      <c r="G1" s="4" t="s">
        <v>2</v>
      </c>
      <c r="H1" s="5"/>
      <c r="I1" s="6" t="s">
        <v>3</v>
      </c>
      <c r="J1" s="7" t="s">
        <v>1</v>
      </c>
      <c r="K1" s="8">
        <v>21.542999999999999</v>
      </c>
      <c r="L1" s="8">
        <v>19.0352</v>
      </c>
      <c r="M1" s="9">
        <v>53621.588000000003</v>
      </c>
      <c r="N1" s="9">
        <v>0.59057000000000004</v>
      </c>
      <c r="O1" s="10" t="s">
        <v>4</v>
      </c>
      <c r="P1" s="10">
        <v>12.7</v>
      </c>
      <c r="Q1" s="10">
        <v>13.3</v>
      </c>
    </row>
    <row r="2" spans="1:17" s="11" customFormat="1" ht="12.95" customHeight="1" x14ac:dyDescent="0.2">
      <c r="A2" s="11" t="s">
        <v>5</v>
      </c>
      <c r="B2" s="11" t="s">
        <v>4</v>
      </c>
      <c r="C2" s="12"/>
      <c r="D2" s="13"/>
    </row>
    <row r="3" spans="1:17" s="11" customFormat="1" ht="12.95" customHeight="1" x14ac:dyDescent="0.2"/>
    <row r="4" spans="1:17" s="11" customFormat="1" ht="12.95" customHeight="1" x14ac:dyDescent="0.2">
      <c r="A4" s="14" t="s">
        <v>6</v>
      </c>
      <c r="C4" s="15">
        <v>53621.588000000003</v>
      </c>
      <c r="D4" s="16">
        <v>0.59057000000000004</v>
      </c>
    </row>
    <row r="5" spans="1:17" s="11" customFormat="1" ht="12.95" customHeight="1" x14ac:dyDescent="0.2">
      <c r="A5" s="17" t="s">
        <v>7</v>
      </c>
      <c r="C5" s="18">
        <v>-9.5</v>
      </c>
      <c r="D5" s="11" t="s">
        <v>8</v>
      </c>
    </row>
    <row r="6" spans="1:17" s="11" customFormat="1" ht="12.95" customHeight="1" x14ac:dyDescent="0.2">
      <c r="A6" s="14" t="s">
        <v>9</v>
      </c>
    </row>
    <row r="7" spans="1:17" s="11" customFormat="1" ht="12.95" customHeight="1" x14ac:dyDescent="0.2">
      <c r="A7" s="11" t="s">
        <v>10</v>
      </c>
      <c r="C7" s="19">
        <v>53621.588000000003</v>
      </c>
      <c r="D7" s="20" t="s">
        <v>11</v>
      </c>
    </row>
    <row r="8" spans="1:17" s="11" customFormat="1" ht="12.95" customHeight="1" x14ac:dyDescent="0.2">
      <c r="A8" s="11" t="s">
        <v>12</v>
      </c>
      <c r="C8" s="19">
        <v>0.59057000000000004</v>
      </c>
      <c r="D8" s="20" t="s">
        <v>11</v>
      </c>
    </row>
    <row r="9" spans="1:17" s="11" customFormat="1" ht="12.95" customHeight="1" x14ac:dyDescent="0.2">
      <c r="A9" s="21" t="s">
        <v>13</v>
      </c>
      <c r="C9" s="22">
        <v>21</v>
      </c>
      <c r="D9" s="23" t="str">
        <f>"F"&amp;C9</f>
        <v>F21</v>
      </c>
      <c r="E9" s="24" t="str">
        <f>"G"&amp;C9</f>
        <v>G21</v>
      </c>
    </row>
    <row r="10" spans="1:17" s="11" customFormat="1" ht="12.95" customHeight="1" x14ac:dyDescent="0.2">
      <c r="C10" s="25" t="s">
        <v>14</v>
      </c>
      <c r="D10" s="25" t="s">
        <v>15</v>
      </c>
    </row>
    <row r="11" spans="1:17" s="11" customFormat="1" ht="12.95" customHeight="1" x14ac:dyDescent="0.2">
      <c r="A11" s="11" t="s">
        <v>16</v>
      </c>
      <c r="C11" s="24">
        <f ca="1">INTERCEPT(INDIRECT($E$9):G992,INDIRECT($D$9):F992)</f>
        <v>-5.6364888944629432E-6</v>
      </c>
      <c r="D11" s="13"/>
    </row>
    <row r="12" spans="1:17" s="11" customFormat="1" ht="12.95" customHeight="1" x14ac:dyDescent="0.2">
      <c r="A12" s="11" t="s">
        <v>17</v>
      </c>
      <c r="C12" s="24">
        <f ca="1">SLOPE(INDIRECT($E$9):G992,INDIRECT($D$9):F992)</f>
        <v>-6.1894197963112683E-6</v>
      </c>
      <c r="D12" s="13"/>
    </row>
    <row r="13" spans="1:17" s="11" customFormat="1" ht="12.95" customHeight="1" x14ac:dyDescent="0.2">
      <c r="A13" s="11" t="s">
        <v>18</v>
      </c>
      <c r="C13" s="13" t="s">
        <v>19</v>
      </c>
    </row>
    <row r="14" spans="1:17" s="11" customFormat="1" ht="12.95" customHeight="1" x14ac:dyDescent="0.2"/>
    <row r="15" spans="1:17" s="11" customFormat="1" ht="12.95" customHeight="1" x14ac:dyDescent="0.2">
      <c r="A15" s="14" t="s">
        <v>20</v>
      </c>
      <c r="C15" s="26">
        <f ca="1">(C7+C11)+(C8+C12)*INT(MAX(F21:F3533))</f>
        <v>58023.060074617773</v>
      </c>
      <c r="E15" s="21" t="s">
        <v>21</v>
      </c>
      <c r="F15" s="27">
        <v>1</v>
      </c>
    </row>
    <row r="16" spans="1:17" s="11" customFormat="1" ht="12.95" customHeight="1" x14ac:dyDescent="0.2">
      <c r="A16" s="14" t="s">
        <v>22</v>
      </c>
      <c r="C16" s="26">
        <f ca="1">+C8+C12</f>
        <v>0.59056381058020369</v>
      </c>
      <c r="E16" s="21" t="s">
        <v>23</v>
      </c>
      <c r="F16" s="26">
        <f ca="1">NOW()+15018.5+$C$5/24</f>
        <v>60371.802012615735</v>
      </c>
    </row>
    <row r="17" spans="1:21" s="11" customFormat="1" ht="12.95" customHeight="1" x14ac:dyDescent="0.2">
      <c r="A17" s="21" t="s">
        <v>24</v>
      </c>
      <c r="C17" s="11">
        <f>COUNT(C21:C2191)</f>
        <v>4</v>
      </c>
      <c r="E17" s="21" t="s">
        <v>25</v>
      </c>
      <c r="F17" s="24">
        <f ca="1">ROUND(2*(F16-$C$7)/$C$8,0)/2+F15</f>
        <v>11431</v>
      </c>
    </row>
    <row r="18" spans="1:21" s="11" customFormat="1" ht="12.95" customHeight="1" x14ac:dyDescent="0.2">
      <c r="A18" s="14" t="s">
        <v>26</v>
      </c>
      <c r="C18" s="28">
        <f ca="1">+C15</f>
        <v>58023.060074617773</v>
      </c>
      <c r="D18" s="29">
        <f ca="1">+C16</f>
        <v>0.59056381058020369</v>
      </c>
      <c r="E18" s="21" t="s">
        <v>27</v>
      </c>
      <c r="F18" s="24">
        <f ca="1">ROUND(2*(F16-$C$15)/$C$16,0)/2+F15</f>
        <v>3978</v>
      </c>
    </row>
    <row r="19" spans="1:21" s="11" customFormat="1" ht="12.95" customHeight="1" x14ac:dyDescent="0.2">
      <c r="E19" s="21" t="s">
        <v>28</v>
      </c>
      <c r="F19" s="30">
        <f ca="1">+$C$15+$C$16*F18-15018.5-$C$5/24</f>
        <v>45354.218746439161</v>
      </c>
    </row>
    <row r="20" spans="1:21" s="11" customFormat="1" ht="12.95" customHeight="1" x14ac:dyDescent="0.2">
      <c r="A20" s="25" t="s">
        <v>29</v>
      </c>
      <c r="B20" s="25" t="s">
        <v>30</v>
      </c>
      <c r="C20" s="25" t="s">
        <v>31</v>
      </c>
      <c r="D20" s="25" t="s">
        <v>32</v>
      </c>
      <c r="E20" s="25" t="s">
        <v>33</v>
      </c>
      <c r="F20" s="25" t="s">
        <v>34</v>
      </c>
      <c r="G20" s="25" t="s">
        <v>35</v>
      </c>
      <c r="H20" s="31" t="s">
        <v>36</v>
      </c>
      <c r="I20" s="31" t="s">
        <v>37</v>
      </c>
      <c r="J20" s="31" t="s">
        <v>38</v>
      </c>
      <c r="K20" s="31" t="s">
        <v>39</v>
      </c>
      <c r="L20" s="31" t="s">
        <v>40</v>
      </c>
      <c r="M20" s="31" t="s">
        <v>41</v>
      </c>
      <c r="N20" s="31" t="s">
        <v>42</v>
      </c>
      <c r="O20" s="31" t="s">
        <v>43</v>
      </c>
      <c r="P20" s="31" t="s">
        <v>44</v>
      </c>
      <c r="Q20" s="25" t="s">
        <v>45</v>
      </c>
      <c r="U20" s="32" t="s">
        <v>46</v>
      </c>
    </row>
    <row r="21" spans="1:21" s="11" customFormat="1" ht="12.95" customHeight="1" x14ac:dyDescent="0.2">
      <c r="A21" s="11" t="s">
        <v>11</v>
      </c>
      <c r="C21" s="33">
        <v>53621.588000000003</v>
      </c>
      <c r="D21" s="33" t="s">
        <v>19</v>
      </c>
      <c r="E21" s="11">
        <f>+(C21-C$7)/C$8</f>
        <v>0</v>
      </c>
      <c r="F21" s="11">
        <f>ROUND(2*E21,0)/2</f>
        <v>0</v>
      </c>
      <c r="G21" s="11">
        <f>+C21-(C$7+F21*C$8)</f>
        <v>0</v>
      </c>
      <c r="I21" s="11">
        <f>+G21</f>
        <v>0</v>
      </c>
      <c r="O21" s="11">
        <f ca="1">+C$11+C$12*$F21</f>
        <v>-5.6364888944629432E-6</v>
      </c>
      <c r="Q21" s="34">
        <f>+C21-15018.5</f>
        <v>38603.088000000003</v>
      </c>
    </row>
    <row r="22" spans="1:21" s="11" customFormat="1" ht="12.95" customHeight="1" x14ac:dyDescent="0.2">
      <c r="A22" s="35" t="s">
        <v>47</v>
      </c>
      <c r="B22" s="36" t="s">
        <v>48</v>
      </c>
      <c r="C22" s="37">
        <v>57988.512799999997</v>
      </c>
      <c r="D22" s="37">
        <v>2.5000000000000001E-3</v>
      </c>
      <c r="E22" s="11">
        <f>+(C22-C$7)/C$8</f>
        <v>7394.4236923649914</v>
      </c>
      <c r="F22" s="11">
        <f>ROUND(2*E22,0)/2</f>
        <v>7394.5</v>
      </c>
      <c r="G22" s="11">
        <f>+C22-(C$7+F22*C$8)</f>
        <v>-4.5065000005706679E-2</v>
      </c>
      <c r="K22" s="11">
        <f>+G22</f>
        <v>-4.5065000005706679E-2</v>
      </c>
      <c r="O22" s="11">
        <f ca="1">+C$11+C$12*$F22</f>
        <v>-4.5773301172718134E-2</v>
      </c>
      <c r="Q22" s="34">
        <f>+C22-15018.5</f>
        <v>42970.012799999997</v>
      </c>
    </row>
    <row r="23" spans="1:21" s="11" customFormat="1" ht="12.95" customHeight="1" x14ac:dyDescent="0.2">
      <c r="A23" s="35" t="s">
        <v>47</v>
      </c>
      <c r="B23" s="36" t="s">
        <v>48</v>
      </c>
      <c r="C23" s="37">
        <v>58023.356099999997</v>
      </c>
      <c r="D23" s="37">
        <v>2.8E-3</v>
      </c>
      <c r="E23" s="11">
        <f>+(C23-C$7)/C$8</f>
        <v>7453.423133582799</v>
      </c>
      <c r="F23" s="11">
        <f>ROUND(2*E23,0)/2</f>
        <v>7453.5</v>
      </c>
      <c r="G23" s="11">
        <f>+C23-(C$7+F23*C$8)</f>
        <v>-4.5395000008284114E-2</v>
      </c>
      <c r="K23" s="11">
        <f>+G23</f>
        <v>-4.5395000008284114E-2</v>
      </c>
      <c r="O23" s="11">
        <f ca="1">+C$11+C$12*$F23</f>
        <v>-4.6138476940700501E-2</v>
      </c>
      <c r="Q23" s="34">
        <f>+C23-15018.5</f>
        <v>43004.856099999997</v>
      </c>
    </row>
    <row r="24" spans="1:21" s="11" customFormat="1" ht="12.95" customHeight="1" x14ac:dyDescent="0.2">
      <c r="A24" s="38" t="s">
        <v>49</v>
      </c>
      <c r="B24" s="39" t="s">
        <v>48</v>
      </c>
      <c r="C24" s="40">
        <v>57989.396480000112</v>
      </c>
      <c r="D24" s="40">
        <v>5.9999999999999995E-4</v>
      </c>
      <c r="E24" s="11">
        <f>+(C24-C$7)/C$8</f>
        <v>7395.9200094825483</v>
      </c>
      <c r="F24" s="11">
        <f>ROUND(2*E24,0)/2</f>
        <v>7396</v>
      </c>
      <c r="G24" s="11">
        <f>+C24-(C$7+F24*C$8)</f>
        <v>-4.7239999890734907E-2</v>
      </c>
      <c r="K24" s="11">
        <f>+G24</f>
        <v>-4.7239999890734907E-2</v>
      </c>
      <c r="O24" s="11">
        <f ca="1">+C$11+C$12*$F24</f>
        <v>-4.5782585302412603E-2</v>
      </c>
      <c r="Q24" s="34">
        <f>+C24-15018.5</f>
        <v>42970.896480000112</v>
      </c>
    </row>
    <row r="25" spans="1:21" s="11" customFormat="1" ht="12.95" customHeight="1" x14ac:dyDescent="0.2"/>
    <row r="26" spans="1:21" s="11" customFormat="1" ht="12.95" customHeight="1" x14ac:dyDescent="0.2"/>
    <row r="27" spans="1:21" s="11" customFormat="1" ht="12.95" customHeight="1" x14ac:dyDescent="0.2"/>
    <row r="28" spans="1:21" s="11" customFormat="1" ht="12.95" customHeight="1" x14ac:dyDescent="0.2"/>
    <row r="29" spans="1:21" s="11" customFormat="1" ht="12.95" customHeight="1" x14ac:dyDescent="0.2"/>
    <row r="30" spans="1:21" s="11" customFormat="1" ht="12.95" customHeight="1" x14ac:dyDescent="0.2"/>
    <row r="31" spans="1:21" s="11" customFormat="1" ht="12.95" customHeight="1" x14ac:dyDescent="0.2"/>
    <row r="32" spans="1:21" s="11" customFormat="1" ht="12.95" customHeight="1" x14ac:dyDescent="0.2"/>
  </sheetData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dcterms:created xsi:type="dcterms:W3CDTF">2024-03-02T06:14:53Z</dcterms:created>
  <dcterms:modified xsi:type="dcterms:W3CDTF">2024-03-02T06:14:53Z</dcterms:modified>
</cp:coreProperties>
</file>