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D47B92C-6A81-40BA-869B-EC05009886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E25" i="1"/>
  <c r="F25" i="1"/>
  <c r="G25" i="1" s="1"/>
  <c r="K25" i="1" s="1"/>
  <c r="Q25" i="1"/>
  <c r="D9" i="1"/>
  <c r="E9" i="1"/>
  <c r="F16" i="1"/>
  <c r="F17" i="1" s="1"/>
  <c r="C17" i="1"/>
  <c r="E21" i="1"/>
  <c r="F21" i="1"/>
  <c r="G21" i="1"/>
  <c r="I21" i="1"/>
  <c r="Q21" i="1"/>
  <c r="E22" i="1"/>
  <c r="F22" i="1"/>
  <c r="G22" i="1"/>
  <c r="K22" i="1"/>
  <c r="Q22" i="1"/>
  <c r="E23" i="1"/>
  <c r="F23" i="1"/>
  <c r="G23" i="1"/>
  <c r="K23" i="1"/>
  <c r="Q23" i="1"/>
  <c r="C12" i="1"/>
  <c r="C11" i="1"/>
  <c r="O24" i="1" l="1"/>
  <c r="O25" i="1"/>
  <c r="C16" i="1"/>
  <c r="D18" i="1" s="1"/>
  <c r="O21" i="1"/>
  <c r="O22" i="1"/>
  <c r="O23" i="1"/>
  <c r="C15" i="1"/>
  <c r="F18" i="1" s="1"/>
  <c r="C18" i="1" l="1"/>
  <c r="F19" i="1"/>
</calcChain>
</file>

<file path=xl/sharedStrings.xml><?xml version="1.0" encoding="utf-8"?>
<sst xmlns="http://schemas.openxmlformats.org/spreadsheetml/2006/main" count="64" uniqueCount="55">
  <si>
    <t>V0669 Peg / GSC 2755-0120</t>
  </si>
  <si>
    <t>V0669 Peg</t>
  </si>
  <si>
    <t>2018L</t>
  </si>
  <si>
    <t>G2755-0120</t>
  </si>
  <si>
    <t>V0668 Peg</t>
  </si>
  <si>
    <t>EW</t>
  </si>
  <si>
    <t>pr_0</t>
  </si>
  <si>
    <t>~</t>
  </si>
  <si>
    <t>System Type: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</si>
  <si>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</si>
  <si>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</si>
  <si>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</si>
  <si>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</si>
  <si>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</si>
  <si>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</si>
  <si>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GCVS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</si>
  <si>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</si>
  <si>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</si>
  <si>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</si>
  <si>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</si>
  <si>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</si>
  <si>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</si>
  <si>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</si>
  <si>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</si>
  <si>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</si>
  <si>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</si>
  <si>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</si>
  <si>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</si>
  <si>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</si>
  <si>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</si>
  <si>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</si>
  <si>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</si>
  <si>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</si>
  <si>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</si>
  <si>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</si>
  <si>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</si>
  <si>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</si>
  <si>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</si>
  <si>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</si>
  <si>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</si>
  <si>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</si>
  <si>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</si>
  <si>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</si>
  <si>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</si>
  <si>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</si>
  <si>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</si>
  <si>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</si>
  <si>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</si>
  <si>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</si>
  <si>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</si>
  <si>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</si>
  <si>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IBVS 6244</t>
  </si>
  <si>
    <t>I</t>
  </si>
  <si>
    <t>OEJV 0211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</si>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</sst>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0.00000"/>
    <numFmt numFmtId="167" formatCode="dd/mm/yyyy"/>
  </numFmts>
  <fonts count="29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35"/>
        <bgColor indexed="41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27" fillId="0" borderId="0" applyFill="0" applyBorder="0" applyProtection="0">
      <alignment vertical="top"/>
    </xf>
    <xf numFmtId="164" fontId="27" fillId="0" borderId="0" applyFill="0" applyBorder="0" applyProtection="0">
      <alignment vertical="top"/>
    </xf>
    <xf numFmtId="0" fontId="27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27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27" fillId="0" borderId="0"/>
    <xf numFmtId="0" fontId="27" fillId="0" borderId="0"/>
    <xf numFmtId="0" fontId="27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27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48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18" fillId="24" borderId="8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19" fillId="24" borderId="8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22" borderId="5" xfId="0" applyFont="1" applyFill="1" applyBorder="1" applyAlignment="1">
      <alignment horizontal="left" vertical="center"/>
    </xf>
    <xf numFmtId="0" fontId="0" fillId="22" borderId="5" xfId="0" applyFill="1" applyBorder="1" applyAlignment="1">
      <alignment vertical="center"/>
    </xf>
    <xf numFmtId="0" fontId="0" fillId="0" borderId="5" xfId="0" applyBorder="1">
      <alignment vertical="top"/>
    </xf>
    <xf numFmtId="0" fontId="0" fillId="0" borderId="0" xfId="0" applyAlignment="1">
      <alignment horizontal="left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167" fontId="0" fillId="0" borderId="0" xfId="0" applyNumberFormat="1" applyAlignment="1"/>
    <xf numFmtId="0" fontId="0" fillId="0" borderId="0" xfId="0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165" fontId="24" fillId="0" borderId="0" xfId="0" applyNumberFormat="1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167" fontId="0" fillId="0" borderId="0" xfId="0" applyNumberFormat="1" applyAlignment="1">
      <alignment vertical="center"/>
    </xf>
    <xf numFmtId="0" fontId="26" fillId="0" borderId="0" xfId="42" applyFont="1" applyAlignment="1">
      <alignment vertical="center"/>
    </xf>
    <xf numFmtId="0" fontId="26" fillId="0" borderId="0" xfId="42" applyFont="1" applyAlignment="1">
      <alignment horizontal="center" vertical="center" wrapText="1"/>
    </xf>
    <xf numFmtId="0" fontId="26" fillId="0" borderId="0" xfId="42" applyFont="1" applyAlignment="1">
      <alignment horizontal="left" vertical="center" wrapText="1"/>
    </xf>
    <xf numFmtId="0" fontId="26" fillId="0" borderId="0" xfId="41" applyFont="1" applyAlignment="1">
      <alignment vertical="center"/>
    </xf>
    <xf numFmtId="0" fontId="26" fillId="0" borderId="0" xfId="41" applyFont="1" applyAlignment="1">
      <alignment horizontal="center" vertical="center"/>
    </xf>
    <xf numFmtId="0" fontId="26" fillId="0" borderId="0" xfId="41" applyFont="1" applyAlignment="1">
      <alignment horizontal="left" vertical="center"/>
    </xf>
    <xf numFmtId="0" fontId="0" fillId="0" borderId="0" xfId="0" applyAlignment="1">
      <alignment horizontal="right" vertical="center"/>
    </xf>
    <xf numFmtId="166" fontId="28" fillId="0" borderId="0" xfId="0" applyNumberFormat="1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69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V0669 Peg - O-C Diagr.</a:t>
            </a:r>
          </a:p>
        </c:rich>
      </c:tx>
      <c:layout>
        <c:manualLayout>
          <c:xMode val="edge"/>
          <c:yMode val="edge"/>
          <c:x val="0.35735783027121609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1577325356853"/>
          <c:y val="0.1361367666879478"/>
          <c:w val="0.84084210194446418"/>
          <c:h val="0.6476492240271768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8261</c:v>
                </c:pt>
                <c:pt idx="2">
                  <c:v>7694</c:v>
                </c:pt>
              </c:numCache>
            </c:numRef>
          </c:xVal>
          <c:yVal>
            <c:numRef>
              <c:f>Active!$H$21:$H$23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0A-462B-B6D3-7C26D069184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8261</c:v>
                </c:pt>
                <c:pt idx="2">
                  <c:v>7694</c:v>
                </c:pt>
                <c:pt idx="3">
                  <c:v>11991</c:v>
                </c:pt>
                <c:pt idx="4">
                  <c:v>11991.5</c:v>
                </c:pt>
              </c:numCache>
            </c:numRef>
          </c:xVal>
          <c:yVal>
            <c:numRef>
              <c:f>Active!$I$21:$I$500</c:f>
              <c:numCache>
                <c:formatCode>General</c:formatCode>
                <c:ptCount val="48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0A-462B-B6D3-7C26D069184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8261</c:v>
                </c:pt>
                <c:pt idx="2">
                  <c:v>7694</c:v>
                </c:pt>
              </c:numCache>
            </c:numRef>
          </c:xVal>
          <c:yVal>
            <c:numRef>
              <c:f>Active!$J$21:$J$23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0A-462B-B6D3-7C26D069184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8261</c:v>
                </c:pt>
                <c:pt idx="2">
                  <c:v>7694</c:v>
                </c:pt>
                <c:pt idx="3">
                  <c:v>11991</c:v>
                </c:pt>
                <c:pt idx="4">
                  <c:v>11991.5</c:v>
                </c:pt>
              </c:numCache>
            </c:numRef>
          </c:xVal>
          <c:yVal>
            <c:numRef>
              <c:f>Active!$K$21:$K$500</c:f>
              <c:numCache>
                <c:formatCode>General</c:formatCode>
                <c:ptCount val="480"/>
                <c:pt idx="1">
                  <c:v>-2.6048200001241639E-2</c:v>
                </c:pt>
                <c:pt idx="2">
                  <c:v>-2.2442800029239152E-2</c:v>
                </c:pt>
                <c:pt idx="3">
                  <c:v>-4.2574200000672136E-2</c:v>
                </c:pt>
                <c:pt idx="4">
                  <c:v>-4.049230000237003E-2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0A-462B-B6D3-7C26D069184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8261</c:v>
                </c:pt>
                <c:pt idx="2">
                  <c:v>7694</c:v>
                </c:pt>
              </c:numCache>
            </c:numRef>
          </c:xVal>
          <c:yVal>
            <c:numRef>
              <c:f>Active!$L$21:$L$23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0A-462B-B6D3-7C26D069184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8261</c:v>
                </c:pt>
                <c:pt idx="2">
                  <c:v>7694</c:v>
                </c:pt>
              </c:numCache>
            </c:numRef>
          </c:xVal>
          <c:yVal>
            <c:numRef>
              <c:f>Active!$M$21:$M$23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0A-462B-B6D3-7C26D069184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8261</c:v>
                </c:pt>
                <c:pt idx="2">
                  <c:v>7694</c:v>
                </c:pt>
              </c:numCache>
            </c:numRef>
          </c:xVal>
          <c:yVal>
            <c:numRef>
              <c:f>Active!$N$21:$N$23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0A-462B-B6D3-7C26D069184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8261</c:v>
                </c:pt>
                <c:pt idx="2">
                  <c:v>7694</c:v>
                </c:pt>
                <c:pt idx="3">
                  <c:v>11991</c:v>
                </c:pt>
                <c:pt idx="4">
                  <c:v>11991.5</c:v>
                </c:pt>
              </c:numCache>
            </c:numRef>
          </c:xVal>
          <c:yVal>
            <c:numRef>
              <c:f>Active!$O$21:$O$500</c:f>
              <c:numCache>
                <c:formatCode>General</c:formatCode>
                <c:ptCount val="480"/>
                <c:pt idx="0">
                  <c:v>1.3985435914492909E-3</c:v>
                </c:pt>
                <c:pt idx="1">
                  <c:v>-2.7260319652913676E-2</c:v>
                </c:pt>
                <c:pt idx="2">
                  <c:v>-2.5293296839748951E-2</c:v>
                </c:pt>
                <c:pt idx="3">
                  <c:v>-4.0200346272145471E-2</c:v>
                </c:pt>
                <c:pt idx="4">
                  <c:v>-4.0202080860164136E-2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0A-462B-B6D3-7C26D069184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8261</c:v>
                </c:pt>
                <c:pt idx="2">
                  <c:v>7694</c:v>
                </c:pt>
              </c:numCache>
            </c:numRef>
          </c:xVal>
          <c:yVal>
            <c:numRef>
              <c:f>Active!$U$21:$U$23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0A-462B-B6D3-7C26D0691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631616"/>
        <c:axId val="1"/>
      </c:scatterChart>
      <c:valAx>
        <c:axId val="721631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6316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8198513474104"/>
          <c:y val="0.91291543512015949"/>
          <c:w val="0.71321431667888358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228600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06FA64-D6D5-A695-6061-004EBE96D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0.140625" style="1" customWidth="1"/>
    <col min="6" max="6" width="17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0.28515625" style="1"/>
  </cols>
  <sheetData>
    <row r="1" spans="1:19" ht="20.25" x14ac:dyDescent="0.3">
      <c r="A1" s="2" t="s">
        <v>0</v>
      </c>
      <c r="F1" s="3" t="s">
        <v>1</v>
      </c>
      <c r="G1" s="4" t="s">
        <v>2</v>
      </c>
      <c r="H1" s="5"/>
      <c r="I1" s="6" t="s">
        <v>3</v>
      </c>
      <c r="J1" s="7" t="s">
        <v>4</v>
      </c>
      <c r="K1" s="8">
        <v>23.062799999999999</v>
      </c>
      <c r="L1" s="8">
        <v>33.4009</v>
      </c>
      <c r="M1" s="9">
        <v>54700.546000000002</v>
      </c>
      <c r="N1" s="9">
        <v>0.39703620000000001</v>
      </c>
      <c r="O1" s="8" t="s">
        <v>5</v>
      </c>
      <c r="P1" s="8">
        <v>13.72</v>
      </c>
      <c r="Q1" s="8">
        <v>14.42</v>
      </c>
      <c r="R1" s="10" t="s">
        <v>6</v>
      </c>
      <c r="S1" s="11" t="s">
        <v>7</v>
      </c>
    </row>
    <row r="2" spans="1:19" s="16" customFormat="1" ht="12.95" customHeight="1" x14ac:dyDescent="0.2">
      <c r="A2" s="16" t="s">
        <v>8</v>
      </c>
      <c r="B2" s="16" t="s">
        <v>5</v>
      </c>
      <c r="C2" s="17"/>
      <c r="D2" s="18"/>
    </row>
    <row r="3" spans="1:19" s="16" customFormat="1" ht="12.95" customHeight="1" x14ac:dyDescent="0.2"/>
    <row r="4" spans="1:19" s="16" customFormat="1" ht="12.95" customHeight="1" x14ac:dyDescent="0.2">
      <c r="A4" s="19" t="s">
        <v>9</v>
      </c>
      <c r="C4" s="20" t="s">
        <v>10</v>
      </c>
      <c r="D4" s="21" t="s">
        <v>10</v>
      </c>
    </row>
    <row r="5" spans="1:19" s="16" customFormat="1" ht="12.95" customHeight="1" x14ac:dyDescent="0.2">
      <c r="A5" s="22" t="s">
        <v>11</v>
      </c>
      <c r="C5" s="23">
        <v>-9.5</v>
      </c>
      <c r="D5" s="16" t="s">
        <v>12</v>
      </c>
    </row>
    <row r="6" spans="1:19" s="16" customFormat="1" ht="12.95" customHeight="1" x14ac:dyDescent="0.2">
      <c r="A6" s="19" t="s">
        <v>13</v>
      </c>
    </row>
    <row r="7" spans="1:19" s="16" customFormat="1" ht="12.95" customHeight="1" x14ac:dyDescent="0.2">
      <c r="A7" s="16" t="s">
        <v>14</v>
      </c>
      <c r="C7" s="45">
        <v>54700.546000000002</v>
      </c>
      <c r="D7" s="25" t="s">
        <v>15</v>
      </c>
    </row>
    <row r="8" spans="1:19" s="16" customFormat="1" ht="12.95" customHeight="1" x14ac:dyDescent="0.2">
      <c r="A8" s="16" t="s">
        <v>16</v>
      </c>
      <c r="C8" s="45">
        <v>0.39703620000000001</v>
      </c>
      <c r="D8" s="25" t="s">
        <v>15</v>
      </c>
    </row>
    <row r="9" spans="1:19" s="16" customFormat="1" ht="12.95" customHeight="1" x14ac:dyDescent="0.2">
      <c r="A9" s="26" t="s">
        <v>17</v>
      </c>
      <c r="C9" s="27">
        <v>21</v>
      </c>
      <c r="D9" s="28" t="str">
        <f>"F"&amp;C9</f>
        <v>F21</v>
      </c>
      <c r="E9" s="29" t="str">
        <f>"G"&amp;C9</f>
        <v>G21</v>
      </c>
    </row>
    <row r="10" spans="1:19" s="16" customFormat="1" ht="12.95" customHeight="1" x14ac:dyDescent="0.2">
      <c r="C10" s="30" t="s">
        <v>18</v>
      </c>
      <c r="D10" s="30" t="s">
        <v>19</v>
      </c>
    </row>
    <row r="11" spans="1:19" s="16" customFormat="1" ht="12.95" customHeight="1" x14ac:dyDescent="0.2">
      <c r="A11" s="16" t="s">
        <v>20</v>
      </c>
      <c r="C11" s="29">
        <f ca="1">INTERCEPT(INDIRECT($E$9):G992,INDIRECT($D$9):F992)</f>
        <v>1.3985435914492909E-3</v>
      </c>
      <c r="D11" s="18"/>
    </row>
    <row r="12" spans="1:19" s="16" customFormat="1" ht="12.95" customHeight="1" x14ac:dyDescent="0.2">
      <c r="A12" s="16" t="s">
        <v>21</v>
      </c>
      <c r="C12" s="29">
        <f ca="1">SLOPE(INDIRECT($E$9):G992,INDIRECT($D$9):F992)</f>
        <v>-3.4691760373275595E-6</v>
      </c>
      <c r="D12" s="18"/>
    </row>
    <row r="13" spans="1:19" s="16" customFormat="1" ht="12.95" customHeight="1" x14ac:dyDescent="0.2">
      <c r="A13" s="16" t="s">
        <v>22</v>
      </c>
      <c r="C13" s="18" t="s">
        <v>23</v>
      </c>
    </row>
    <row r="14" spans="1:19" s="16" customFormat="1" ht="12.95" customHeight="1" x14ac:dyDescent="0.2"/>
    <row r="15" spans="1:19" s="16" customFormat="1" ht="12.95" customHeight="1" x14ac:dyDescent="0.2">
      <c r="A15" s="19" t="s">
        <v>24</v>
      </c>
      <c r="C15" s="31">
        <f ca="1">(C7+C11)+(C8+C12)*INT(MAX(F21:F3533))</f>
        <v>59461.366873853731</v>
      </c>
      <c r="E15" s="26" t="s">
        <v>25</v>
      </c>
      <c r="F15" s="32">
        <v>1</v>
      </c>
    </row>
    <row r="16" spans="1:19" s="16" customFormat="1" ht="12.95" customHeight="1" x14ac:dyDescent="0.2">
      <c r="A16" s="19" t="s">
        <v>26</v>
      </c>
      <c r="C16" s="31">
        <f ca="1">+C8+C12</f>
        <v>0.39703273082396268</v>
      </c>
      <c r="E16" s="26" t="s">
        <v>27</v>
      </c>
      <c r="F16" s="31">
        <f ca="1">NOW()+15018.5+$C$5/24</f>
        <v>60371.835137731476</v>
      </c>
    </row>
    <row r="17" spans="1:21" s="16" customFormat="1" ht="12.95" customHeight="1" x14ac:dyDescent="0.2">
      <c r="A17" s="26" t="s">
        <v>28</v>
      </c>
      <c r="C17" s="16">
        <f>COUNT(C21:C2191)</f>
        <v>5</v>
      </c>
      <c r="E17" s="26" t="s">
        <v>29</v>
      </c>
      <c r="F17" s="29">
        <f ca="1">ROUND(2*(F16-$C$7)/$C$8,0)/2+F15</f>
        <v>14285</v>
      </c>
    </row>
    <row r="18" spans="1:21" s="16" customFormat="1" ht="12.95" customHeight="1" x14ac:dyDescent="0.2">
      <c r="A18" s="19" t="s">
        <v>30</v>
      </c>
      <c r="C18" s="33">
        <f ca="1">+C15</f>
        <v>59461.366873853731</v>
      </c>
      <c r="D18" s="34">
        <f ca="1">+C16</f>
        <v>0.39703273082396268</v>
      </c>
      <c r="E18" s="26" t="s">
        <v>31</v>
      </c>
      <c r="F18" s="29">
        <f ca="1">ROUND(2*(F16-$C$15)/$C$16,0)/2+F15</f>
        <v>2294</v>
      </c>
    </row>
    <row r="19" spans="1:21" s="16" customFormat="1" ht="12.95" customHeight="1" x14ac:dyDescent="0.2">
      <c r="E19" s="26" t="s">
        <v>32</v>
      </c>
      <c r="F19" s="35">
        <f ca="1">+$C$15+$C$16*F18-15018.5-$C$5/24</f>
        <v>45354.055791697239</v>
      </c>
    </row>
    <row r="20" spans="1:21" s="16" customFormat="1" ht="12.95" customHeight="1" x14ac:dyDescent="0.2">
      <c r="A20" s="30" t="s">
        <v>33</v>
      </c>
      <c r="B20" s="30" t="s">
        <v>34</v>
      </c>
      <c r="C20" s="30" t="s">
        <v>35</v>
      </c>
      <c r="D20" s="30" t="s">
        <v>36</v>
      </c>
      <c r="E20" s="30" t="s">
        <v>37</v>
      </c>
      <c r="F20" s="30" t="s">
        <v>38</v>
      </c>
      <c r="G20" s="30" t="s">
        <v>39</v>
      </c>
      <c r="H20" s="36" t="s">
        <v>40</v>
      </c>
      <c r="I20" s="36" t="s">
        <v>41</v>
      </c>
      <c r="J20" s="36" t="s">
        <v>42</v>
      </c>
      <c r="K20" s="36" t="s">
        <v>43</v>
      </c>
      <c r="L20" s="36" t="s">
        <v>44</v>
      </c>
      <c r="M20" s="36" t="s">
        <v>45</v>
      </c>
      <c r="N20" s="36" t="s">
        <v>46</v>
      </c>
      <c r="O20" s="36" t="s">
        <v>47</v>
      </c>
      <c r="P20" s="36" t="s">
        <v>48</v>
      </c>
      <c r="Q20" s="30" t="s">
        <v>49</v>
      </c>
      <c r="U20" s="37" t="s">
        <v>50</v>
      </c>
    </row>
    <row r="21" spans="1:21" s="16" customFormat="1" ht="12.95" customHeight="1" x14ac:dyDescent="0.2">
      <c r="A21" s="16" t="s">
        <v>15</v>
      </c>
      <c r="C21" s="24">
        <v>54700.546000000002</v>
      </c>
      <c r="D21" s="24" t="s">
        <v>23</v>
      </c>
      <c r="E21" s="16">
        <f>+(C21-C$7)/C$8</f>
        <v>0</v>
      </c>
      <c r="F21" s="16">
        <f>ROUND(2*E21,0)/2</f>
        <v>0</v>
      </c>
      <c r="G21" s="16">
        <f>+C21-(C$7+F21*C$8)</f>
        <v>0</v>
      </c>
      <c r="I21" s="16">
        <f>+G21</f>
        <v>0</v>
      </c>
      <c r="O21" s="16">
        <f ca="1">+C$11+C$12*$F21</f>
        <v>1.3985435914492909E-3</v>
      </c>
      <c r="Q21" s="38">
        <f>+C21-15018.5</f>
        <v>39682.046000000002</v>
      </c>
    </row>
    <row r="22" spans="1:21" s="16" customFormat="1" ht="12.95" customHeight="1" x14ac:dyDescent="0.2">
      <c r="A22" s="39" t="s">
        <v>51</v>
      </c>
      <c r="B22" s="40" t="s">
        <v>52</v>
      </c>
      <c r="C22" s="41">
        <v>57980.436000000002</v>
      </c>
      <c r="D22" s="41">
        <v>2.0999999999999999E-3</v>
      </c>
      <c r="E22" s="16">
        <f>+(C22-C$7)/C$8</f>
        <v>8260.9343933878063</v>
      </c>
      <c r="F22" s="16">
        <f>ROUND(2*E22,0)/2</f>
        <v>8261</v>
      </c>
      <c r="G22" s="16">
        <f>+C22-(C$7+F22*C$8)</f>
        <v>-2.6048200001241639E-2</v>
      </c>
      <c r="K22" s="16">
        <f>+G22</f>
        <v>-2.6048200001241639E-2</v>
      </c>
      <c r="O22" s="16">
        <f ca="1">+C$11+C$12*$F22</f>
        <v>-2.7260319652913676E-2</v>
      </c>
      <c r="Q22" s="38">
        <f>+C22-15018.5</f>
        <v>42961.936000000002</v>
      </c>
    </row>
    <row r="23" spans="1:21" s="16" customFormat="1" ht="12.95" customHeight="1" x14ac:dyDescent="0.2">
      <c r="A23" s="42" t="s">
        <v>53</v>
      </c>
      <c r="B23" s="43" t="s">
        <v>52</v>
      </c>
      <c r="C23" s="44">
        <v>57755.320079999976</v>
      </c>
      <c r="D23" s="44">
        <v>5.9999999999999995E-4</v>
      </c>
      <c r="E23" s="16">
        <f>+(C23-C$7)/C$8</f>
        <v>7693.9434741718105</v>
      </c>
      <c r="F23" s="16">
        <f>ROUND(2*E23,0)/2</f>
        <v>7694</v>
      </c>
      <c r="G23" s="16">
        <f>+C23-(C$7+F23*C$8)</f>
        <v>-2.2442800029239152E-2</v>
      </c>
      <c r="K23" s="16">
        <f>+G23</f>
        <v>-2.2442800029239152E-2</v>
      </c>
      <c r="O23" s="16">
        <f ca="1">+C$11+C$12*$F23</f>
        <v>-2.5293296839748951E-2</v>
      </c>
      <c r="Q23" s="38">
        <f>+C23-15018.5</f>
        <v>42736.820079999976</v>
      </c>
    </row>
    <row r="24" spans="1:21" s="16" customFormat="1" ht="12.95" customHeight="1" x14ac:dyDescent="0.2">
      <c r="A24" s="13" t="s">
        <v>54</v>
      </c>
      <c r="B24" s="14" t="s">
        <v>52</v>
      </c>
      <c r="C24" s="46">
        <v>59461.364500000003</v>
      </c>
      <c r="D24" s="47">
        <v>3.5999999999999999E-3</v>
      </c>
      <c r="E24" s="16">
        <f t="shared" ref="E24:E25" si="0">+(C24-C$7)/C$8</f>
        <v>11990.892769979164</v>
      </c>
      <c r="F24" s="16">
        <f t="shared" ref="F24:F25" si="1">ROUND(2*E24,0)/2</f>
        <v>11991</v>
      </c>
      <c r="G24" s="16">
        <f t="shared" ref="G24:G25" si="2">+C24-(C$7+F24*C$8)</f>
        <v>-4.2574200000672136E-2</v>
      </c>
      <c r="K24" s="16">
        <f t="shared" ref="K24:K25" si="3">+G24</f>
        <v>-4.2574200000672136E-2</v>
      </c>
      <c r="O24" s="16">
        <f t="shared" ref="O24:O25" ca="1" si="4">+C$11+C$12*$F24</f>
        <v>-4.0200346272145471E-2</v>
      </c>
      <c r="Q24" s="38">
        <f t="shared" ref="Q24:Q25" si="5">+C24-15018.5</f>
        <v>44442.864500000003</v>
      </c>
    </row>
    <row r="25" spans="1:21" s="16" customFormat="1" ht="12.95" customHeight="1" x14ac:dyDescent="0.2">
      <c r="A25" s="13" t="s">
        <v>54</v>
      </c>
      <c r="B25" s="14" t="s">
        <v>52</v>
      </c>
      <c r="C25" s="46">
        <v>59461.5651</v>
      </c>
      <c r="D25" s="47">
        <v>1.2999999999999999E-3</v>
      </c>
      <c r="E25" s="16">
        <f t="shared" si="0"/>
        <v>11991.398013581627</v>
      </c>
      <c r="F25" s="16">
        <f t="shared" si="1"/>
        <v>11991.5</v>
      </c>
      <c r="G25" s="16">
        <f t="shared" si="2"/>
        <v>-4.049230000237003E-2</v>
      </c>
      <c r="K25" s="16">
        <f t="shared" si="3"/>
        <v>-4.049230000237003E-2</v>
      </c>
      <c r="O25" s="16">
        <f t="shared" ca="1" si="4"/>
        <v>-4.0202080860164136E-2</v>
      </c>
      <c r="Q25" s="38">
        <f t="shared" si="5"/>
        <v>44443.0651</v>
      </c>
    </row>
    <row r="26" spans="1:21" s="16" customFormat="1" ht="12.95" customHeight="1" x14ac:dyDescent="0.2">
      <c r="C26" s="24"/>
      <c r="D26" s="24"/>
      <c r="Q26" s="38"/>
    </row>
    <row r="27" spans="1:21" s="16" customFormat="1" ht="12.95" customHeight="1" x14ac:dyDescent="0.2">
      <c r="C27" s="24"/>
      <c r="D27" s="24"/>
      <c r="Q27" s="38"/>
    </row>
    <row r="28" spans="1:21" s="16" customFormat="1" ht="12.95" customHeight="1" x14ac:dyDescent="0.2">
      <c r="C28" s="24"/>
      <c r="D28" s="24"/>
      <c r="Q28" s="38"/>
    </row>
    <row r="29" spans="1:21" s="16" customFormat="1" ht="12.95" customHeight="1" x14ac:dyDescent="0.2">
      <c r="C29" s="24"/>
      <c r="D29" s="24"/>
      <c r="Q29" s="38"/>
    </row>
    <row r="30" spans="1:21" s="16" customFormat="1" ht="12.95" customHeight="1" x14ac:dyDescent="0.2">
      <c r="C30" s="24"/>
      <c r="D30" s="24"/>
      <c r="Q30" s="38"/>
    </row>
    <row r="31" spans="1:21" s="16" customFormat="1" ht="12.95" customHeight="1" x14ac:dyDescent="0.2">
      <c r="C31" s="24"/>
      <c r="D31" s="24"/>
      <c r="Q31" s="38"/>
    </row>
    <row r="32" spans="1:21" x14ac:dyDescent="0.2">
      <c r="C32" s="12"/>
      <c r="D32" s="12"/>
      <c r="Q32" s="15"/>
    </row>
    <row r="33" spans="3:17" x14ac:dyDescent="0.2">
      <c r="C33" s="12"/>
      <c r="D33" s="12"/>
      <c r="Q33" s="15"/>
    </row>
    <row r="34" spans="3:17" x14ac:dyDescent="0.2">
      <c r="C34" s="12"/>
      <c r="D34" s="12"/>
      <c r="Q34" s="15"/>
    </row>
    <row r="35" spans="3:17" x14ac:dyDescent="0.2">
      <c r="C35" s="12"/>
      <c r="D35" s="12"/>
      <c r="Q35" s="15"/>
    </row>
    <row r="36" spans="3:17" x14ac:dyDescent="0.2">
      <c r="C36" s="12"/>
      <c r="D36" s="12"/>
      <c r="Q36" s="15"/>
    </row>
    <row r="37" spans="3:17" x14ac:dyDescent="0.2">
      <c r="Q37" s="15"/>
    </row>
    <row r="38" spans="3:17" x14ac:dyDescent="0.2">
      <c r="Q38" s="15"/>
    </row>
    <row r="39" spans="3:17" x14ac:dyDescent="0.2">
      <c r="Q39" s="15"/>
    </row>
    <row r="40" spans="3:17" x14ac:dyDescent="0.2">
      <c r="Q40" s="15"/>
    </row>
    <row r="41" spans="3:17" x14ac:dyDescent="0.2">
      <c r="Q41" s="15"/>
    </row>
    <row r="42" spans="3:17" x14ac:dyDescent="0.2">
      <c r="Q42" s="15"/>
    </row>
    <row r="43" spans="3:17" x14ac:dyDescent="0.2">
      <c r="Q43" s="15"/>
    </row>
    <row r="44" spans="3:17" x14ac:dyDescent="0.2">
      <c r="Q44" s="15"/>
    </row>
    <row r="45" spans="3:17" x14ac:dyDescent="0.2">
      <c r="Q45" s="15"/>
    </row>
    <row r="46" spans="3:17" x14ac:dyDescent="0.2">
      <c r="Q46" s="15"/>
    </row>
    <row r="47" spans="3:17" x14ac:dyDescent="0.2">
      <c r="Q47" s="15"/>
    </row>
    <row r="48" spans="3:17" x14ac:dyDescent="0.2">
      <c r="Q48" s="15"/>
    </row>
    <row r="49" spans="17:17" x14ac:dyDescent="0.2">
      <c r="Q49" s="15"/>
    </row>
    <row r="50" spans="17:17" x14ac:dyDescent="0.2">
      <c r="Q50" s="15"/>
    </row>
    <row r="51" spans="17:17" x14ac:dyDescent="0.2">
      <c r="Q51" s="15"/>
    </row>
    <row r="52" spans="17:17" x14ac:dyDescent="0.2">
      <c r="Q52" s="15"/>
    </row>
    <row r="53" spans="17:17" x14ac:dyDescent="0.2">
      <c r="Q53" s="15"/>
    </row>
    <row r="54" spans="17:17" x14ac:dyDescent="0.2">
      <c r="Q54" s="15"/>
    </row>
    <row r="55" spans="17:17" x14ac:dyDescent="0.2">
      <c r="Q55" s="15"/>
    </row>
    <row r="56" spans="17:17" x14ac:dyDescent="0.2">
      <c r="Q56" s="15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2023-01-21T06:02:35Z</dcterms:created>
  <dcterms:modified xsi:type="dcterms:W3CDTF">2024-03-02T07:02:35Z</dcterms:modified>
</cp:coreProperties>
</file>