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8D07A82-F7E9-4C5E-AAE6-3D7665804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31" i="1"/>
  <c r="F31" i="1"/>
  <c r="G31" i="1" s="1"/>
  <c r="I31" i="1" s="1"/>
  <c r="Q31" i="1"/>
  <c r="E29" i="1"/>
  <c r="F29" i="1"/>
  <c r="G29" i="1"/>
  <c r="I29" i="1"/>
  <c r="Q29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C21" i="1"/>
  <c r="Q21" i="1"/>
  <c r="E21" i="1"/>
  <c r="F21" i="1"/>
  <c r="Q22" i="1"/>
  <c r="Q23" i="1"/>
  <c r="Q24" i="1"/>
  <c r="Q25" i="1"/>
  <c r="Q26" i="1"/>
  <c r="Q27" i="1"/>
  <c r="Q28" i="1"/>
  <c r="F11" i="1"/>
  <c r="A21" i="1"/>
  <c r="H20" i="1"/>
  <c r="G11" i="1"/>
  <c r="E14" i="1"/>
  <c r="E15" i="1" s="1"/>
  <c r="C17" i="1"/>
  <c r="G21" i="1"/>
  <c r="H21" i="1"/>
  <c r="C11" i="1"/>
  <c r="C12" i="1"/>
  <c r="O30" i="1" l="1"/>
  <c r="S30" i="1" s="1"/>
  <c r="O25" i="1"/>
  <c r="S25" i="1" s="1"/>
  <c r="C16" i="1"/>
  <c r="D18" i="1" s="1"/>
  <c r="O26" i="1"/>
  <c r="S26" i="1" s="1"/>
  <c r="O24" i="1"/>
  <c r="S24" i="1" s="1"/>
  <c r="O27" i="1"/>
  <c r="S27" i="1" s="1"/>
  <c r="O21" i="1"/>
  <c r="S21" i="1" s="1"/>
  <c r="S19" i="1" s="1"/>
  <c r="O31" i="1"/>
  <c r="S31" i="1" s="1"/>
  <c r="O29" i="1"/>
  <c r="S29" i="1" s="1"/>
  <c r="O28" i="1"/>
  <c r="S28" i="1" s="1"/>
  <c r="O23" i="1"/>
  <c r="S23" i="1" s="1"/>
  <c r="O22" i="1"/>
  <c r="S22" i="1" s="1"/>
  <c r="C15" i="1"/>
  <c r="E16" i="1" l="1"/>
  <c r="E17" i="1" s="1"/>
  <c r="C18" i="1"/>
</calcChain>
</file>

<file path=xl/sharedStrings.xml><?xml version="1.0" encoding="utf-8"?>
<sst xmlns="http://schemas.openxmlformats.org/spreadsheetml/2006/main" count="76" uniqueCount="58">
  <si>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</si>
  <si>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</si>
  <si>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</si>
  <si>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</si>
  <si>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</si>
  <si>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</si>
  <si>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</si>
  <si>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</si>
  <si>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</si>
  <si>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</si>
  <si>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</si>
  <si>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</si>
  <si>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</si>
  <si>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</si>
  <si>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</si>
  <si>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</si>
  <si>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</si>
  <si>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</si>
  <si>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</si>
  <si>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</si>
  <si>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</si>
  <si>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</si>
  <si>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</si>
  <si>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</si>
  <si>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</si>
  <si>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</si>
  <si>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</si>
  <si>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</si>
  <si>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</si>
  <si>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</si>
  <si>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</si>
  <si>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</si>
  <si>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</si>
  <si>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</si>
  <si>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</si>
  <si>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</si>
  <si>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</si>
  <si>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</si>
  <si>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</si>
  <si>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</si>
  <si>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</si>
  <si>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</si>
  <si>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G0575-0429</t>
  </si>
  <si>
    <t>IBVS 5920</t>
  </si>
  <si>
    <t>I</t>
  </si>
  <si>
    <t>II</t>
  </si>
  <si>
    <t>IBVS 5960</t>
  </si>
  <si>
    <t>IBVS 6011</t>
  </si>
  <si>
    <t>IBVS 6042</t>
  </si>
  <si>
    <t>G0575-0429_Psc.xls</t>
  </si>
  <si>
    <t>EW?</t>
  </si>
  <si>
    <t>Psc</t>
  </si>
  <si>
    <t>ToMcat</t>
  </si>
  <si>
    <t>VSB 067</t>
  </si>
  <si>
    <t>V</t>
  </si>
  <si>
    <t>VSB, 91</t>
  </si>
  <si>
    <t>KW Psc / GSC 0575-0429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</si>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</sst>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Psc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6-4B2F-9504-DFBDA04BA0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-3.7129999909666367E-3</c:v>
                </c:pt>
                <c:pt idx="3">
                  <c:v>9.6400000620633364E-4</c:v>
                </c:pt>
                <c:pt idx="4">
                  <c:v>-1.5999999595806003E-4</c:v>
                </c:pt>
                <c:pt idx="5">
                  <c:v>-1.273000001674518E-3</c:v>
                </c:pt>
                <c:pt idx="6">
                  <c:v>1.5580000035697594E-3</c:v>
                </c:pt>
                <c:pt idx="7">
                  <c:v>-7.5500000093597919E-4</c:v>
                </c:pt>
                <c:pt idx="8">
                  <c:v>1.6532000001461711E-2</c:v>
                </c:pt>
                <c:pt idx="9">
                  <c:v>-1.7362000224238727E-2</c:v>
                </c:pt>
                <c:pt idx="10">
                  <c:v>-1.7575000143551733E-2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96-4B2F-9504-DFBDA04BA0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96-4B2F-9504-DFBDA04BA0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96-4B2F-9504-DFBDA04BA0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96-4B2F-9504-DFBDA04BA0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96-4B2F-9504-DFBDA04BA0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1.5E-3</c:v>
                  </c:pt>
                  <c:pt idx="6">
                    <c:v>8.0000000000000004E-4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96-4B2F-9504-DFBDA04BA0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9.782117740692077E-4</c:v>
                </c:pt>
                <c:pt idx="1">
                  <c:v>9.782117740692077E-4</c:v>
                </c:pt>
                <c:pt idx="2">
                  <c:v>9.7797926142445426E-4</c:v>
                </c:pt>
                <c:pt idx="3">
                  <c:v>2.6393292938664786E-4</c:v>
                </c:pt>
                <c:pt idx="4">
                  <c:v>-4.6801687629717341E-4</c:v>
                </c:pt>
                <c:pt idx="5">
                  <c:v>-4.6824938894192685E-4</c:v>
                </c:pt>
                <c:pt idx="6">
                  <c:v>-1.1920612520593776E-3</c:v>
                </c:pt>
                <c:pt idx="7">
                  <c:v>-1.1922937647041308E-3</c:v>
                </c:pt>
                <c:pt idx="8">
                  <c:v>-6.1915481395477898E-3</c:v>
                </c:pt>
                <c:pt idx="9">
                  <c:v>-7.7349670754211074E-3</c:v>
                </c:pt>
                <c:pt idx="10">
                  <c:v>-7.7351995880658615E-3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96-4B2F-9504-DFBDA04BA0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1536</c:v>
                </c:pt>
                <c:pt idx="4">
                  <c:v>3110</c:v>
                </c:pt>
                <c:pt idx="5">
                  <c:v>3110.5</c:v>
                </c:pt>
                <c:pt idx="6">
                  <c:v>4667</c:v>
                </c:pt>
                <c:pt idx="7">
                  <c:v>4667.5</c:v>
                </c:pt>
                <c:pt idx="8">
                  <c:v>15418</c:v>
                </c:pt>
                <c:pt idx="9">
                  <c:v>18737</c:v>
                </c:pt>
                <c:pt idx="10">
                  <c:v>18737.5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96-4B2F-9504-DFBDA04BA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70288"/>
        <c:axId val="1"/>
      </c:scatterChart>
      <c:valAx>
        <c:axId val="46507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07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0F45CEF-096D-8E4A-8165-B8F81A960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978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56</v>
      </c>
      <c r="E1" t="s">
        <v>49</v>
      </c>
    </row>
    <row r="2" spans="1:7" s="10" customFormat="1" ht="12.95" customHeight="1" x14ac:dyDescent="0.2">
      <c r="A2" s="10" t="s">
        <v>24</v>
      </c>
      <c r="B2" s="10" t="s">
        <v>50</v>
      </c>
      <c r="C2" s="11" t="s">
        <v>41</v>
      </c>
      <c r="D2" s="12" t="s">
        <v>51</v>
      </c>
      <c r="E2" s="4" t="s">
        <v>42</v>
      </c>
      <c r="F2" s="10" t="s">
        <v>42</v>
      </c>
    </row>
    <row r="3" spans="1:7" s="10" customFormat="1" ht="12.95" customHeight="1" thickBot="1" x14ac:dyDescent="0.25"/>
    <row r="4" spans="1:7" s="10" customFormat="1" ht="12.95" customHeight="1" thickTop="1" thickBot="1" x14ac:dyDescent="0.25">
      <c r="A4" s="13" t="s">
        <v>0</v>
      </c>
      <c r="C4" s="14" t="s">
        <v>40</v>
      </c>
      <c r="D4" s="15" t="s">
        <v>40</v>
      </c>
    </row>
    <row r="5" spans="1:7" s="10" customFormat="1" ht="12.95" customHeight="1" x14ac:dyDescent="0.2"/>
    <row r="6" spans="1:7" s="10" customFormat="1" ht="12.95" customHeight="1" x14ac:dyDescent="0.2">
      <c r="A6" s="13" t="s">
        <v>1</v>
      </c>
    </row>
    <row r="7" spans="1:7" s="10" customFormat="1" ht="12.95" customHeight="1" x14ac:dyDescent="0.2">
      <c r="A7" s="10" t="s">
        <v>2</v>
      </c>
      <c r="C7" s="42">
        <v>55137.604399999997</v>
      </c>
      <c r="D7" s="17" t="s">
        <v>52</v>
      </c>
    </row>
    <row r="8" spans="1:7" s="10" customFormat="1" ht="12.95" customHeight="1" x14ac:dyDescent="0.2">
      <c r="A8" s="10" t="s">
        <v>3</v>
      </c>
      <c r="C8" s="42">
        <v>0.234426</v>
      </c>
      <c r="D8" s="17" t="s">
        <v>52</v>
      </c>
    </row>
    <row r="9" spans="1:7" s="10" customFormat="1" ht="12.95" customHeight="1" x14ac:dyDescent="0.2">
      <c r="A9" s="18" t="s">
        <v>30</v>
      </c>
      <c r="C9" s="19">
        <v>-9.5</v>
      </c>
      <c r="D9" s="10" t="s">
        <v>31</v>
      </c>
    </row>
    <row r="10" spans="1:7" s="10" customFormat="1" ht="12.95" customHeight="1" thickBot="1" x14ac:dyDescent="0.25">
      <c r="C10" s="20" t="s">
        <v>20</v>
      </c>
      <c r="D10" s="20" t="s">
        <v>21</v>
      </c>
    </row>
    <row r="11" spans="1:7" s="10" customFormat="1" ht="12.95" customHeight="1" x14ac:dyDescent="0.2">
      <c r="A11" s="10" t="s">
        <v>15</v>
      </c>
      <c r="C11" s="21">
        <f ca="1">INTERCEPT(INDIRECT($G$11):G992,INDIRECT($F$11):F992)</f>
        <v>9.782117740692077E-4</v>
      </c>
      <c r="D11" s="12"/>
      <c r="F11" s="22" t="str">
        <f>"F"&amp;E19</f>
        <v>F21</v>
      </c>
      <c r="G11" s="21" t="str">
        <f>"G"&amp;E19</f>
        <v>G21</v>
      </c>
    </row>
    <row r="12" spans="1:7" s="10" customFormat="1" ht="12.95" customHeight="1" x14ac:dyDescent="0.2">
      <c r="A12" s="10" t="s">
        <v>16</v>
      </c>
      <c r="C12" s="21">
        <f ca="1">SLOPE(INDIRECT($G$11):G992,INDIRECT($F$11):F992)</f>
        <v>-4.6502528950687493E-7</v>
      </c>
      <c r="D12" s="12"/>
    </row>
    <row r="13" spans="1:7" s="10" customFormat="1" ht="12.95" customHeight="1" x14ac:dyDescent="0.2">
      <c r="A13" s="10" t="s">
        <v>19</v>
      </c>
      <c r="C13" s="12" t="s">
        <v>13</v>
      </c>
      <c r="D13" s="23" t="s">
        <v>37</v>
      </c>
      <c r="E13" s="19">
        <v>1</v>
      </c>
    </row>
    <row r="14" spans="1:7" s="10" customFormat="1" ht="12.95" customHeight="1" x14ac:dyDescent="0.2">
      <c r="D14" s="23" t="s">
        <v>32</v>
      </c>
      <c r="E14" s="24">
        <f ca="1">NOW()+15018.5+$C$9/24</f>
        <v>60373.753410416663</v>
      </c>
    </row>
    <row r="15" spans="1:7" s="10" customFormat="1" ht="12.95" customHeight="1" x14ac:dyDescent="0.2">
      <c r="A15" s="25" t="s">
        <v>17</v>
      </c>
      <c r="C15" s="26">
        <f ca="1">(C7+C11)+(C8+C12)*INT(MAX(F21:F3533))</f>
        <v>59530.036627032925</v>
      </c>
      <c r="D15" s="23" t="s">
        <v>38</v>
      </c>
      <c r="E15" s="24">
        <f ca="1">ROUND(2*(E14-$C$7)/$C$8,0)/2+E13</f>
        <v>22337</v>
      </c>
    </row>
    <row r="16" spans="1:7" s="10" customFormat="1" ht="12.95" customHeight="1" x14ac:dyDescent="0.2">
      <c r="A16" s="13" t="s">
        <v>4</v>
      </c>
      <c r="C16" s="27">
        <f ca="1">+C8+C12</f>
        <v>0.2344255349747105</v>
      </c>
      <c r="D16" s="23" t="s">
        <v>39</v>
      </c>
      <c r="E16" s="21">
        <f ca="1">ROUND(2*(E14-$C$15)/$C$16,0)/2+E13</f>
        <v>3600</v>
      </c>
    </row>
    <row r="17" spans="1:19" s="10" customFormat="1" ht="12.95" customHeight="1" thickBot="1" x14ac:dyDescent="0.25">
      <c r="A17" s="23" t="s">
        <v>29</v>
      </c>
      <c r="C17" s="10">
        <f>COUNT(C21:C2191)</f>
        <v>11</v>
      </c>
      <c r="D17" s="23" t="s">
        <v>33</v>
      </c>
      <c r="E17" s="28">
        <f ca="1">+$C$15+$C$16*E16-15018.5-$C$9/24</f>
        <v>45355.864386275221</v>
      </c>
    </row>
    <row r="18" spans="1:19" s="10" customFormat="1" ht="12.95" customHeight="1" thickTop="1" thickBot="1" x14ac:dyDescent="0.25">
      <c r="A18" s="13" t="s">
        <v>5</v>
      </c>
      <c r="C18" s="29">
        <f ca="1">+C15</f>
        <v>59530.036627032925</v>
      </c>
      <c r="D18" s="30">
        <f ca="1">+C16</f>
        <v>0.2344255349747105</v>
      </c>
      <c r="E18" s="31" t="s">
        <v>34</v>
      </c>
    </row>
    <row r="19" spans="1:19" s="10" customFormat="1" ht="12.95" customHeight="1" thickTop="1" x14ac:dyDescent="0.2">
      <c r="A19" s="32" t="s">
        <v>35</v>
      </c>
      <c r="E19" s="33">
        <v>21</v>
      </c>
      <c r="S19" s="10">
        <f ca="1">SQRT(SUM(S21:S50)/(COUNT(S21:S50)-1))</f>
        <v>8.5951545642764665E-3</v>
      </c>
    </row>
    <row r="20" spans="1:19" s="10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34" t="str">
        <f>A21</f>
        <v>ToMcat</v>
      </c>
      <c r="I20" s="34" t="s">
        <v>57</v>
      </c>
      <c r="J20" s="34" t="s">
        <v>18</v>
      </c>
      <c r="K20" s="34" t="s">
        <v>25</v>
      </c>
      <c r="L20" s="34" t="s">
        <v>26</v>
      </c>
      <c r="M20" s="34" t="s">
        <v>27</v>
      </c>
      <c r="N20" s="34" t="s">
        <v>28</v>
      </c>
      <c r="O20" s="34" t="s">
        <v>23</v>
      </c>
      <c r="P20" s="35" t="s">
        <v>22</v>
      </c>
      <c r="Q20" s="20" t="s">
        <v>14</v>
      </c>
      <c r="R20" s="36" t="s">
        <v>36</v>
      </c>
    </row>
    <row r="21" spans="1:19" s="10" customFormat="1" ht="12.95" customHeight="1" x14ac:dyDescent="0.2">
      <c r="A21" s="10" t="str">
        <f>D7</f>
        <v>ToMcat</v>
      </c>
      <c r="C21" s="16">
        <f>C$7</f>
        <v>55137.604399999997</v>
      </c>
      <c r="D21" s="16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9.782117740692077E-4</v>
      </c>
      <c r="Q21" s="37">
        <f>+C21-15018.5</f>
        <v>40119.104399999997</v>
      </c>
      <c r="S21" s="10">
        <f ca="1">+(O21-G21)^2</f>
        <v>9.5689827492762663E-7</v>
      </c>
    </row>
    <row r="22" spans="1:19" s="10" customFormat="1" ht="12.95" customHeight="1" x14ac:dyDescent="0.2">
      <c r="A22" s="5" t="s">
        <v>43</v>
      </c>
      <c r="B22" s="6" t="s">
        <v>44</v>
      </c>
      <c r="C22" s="5">
        <v>55137.604399999997</v>
      </c>
      <c r="D22" s="5">
        <v>2.9999999999999997E-4</v>
      </c>
      <c r="E22" s="10">
        <f t="shared" ref="E22:E28" si="0">+(C22-C$7)/C$8</f>
        <v>0</v>
      </c>
      <c r="F22" s="10">
        <f t="shared" ref="F22:F28" si="1">ROUND(2*E22,0)/2</f>
        <v>0</v>
      </c>
      <c r="G22" s="10">
        <f t="shared" ref="G22:G28" si="2">+C22-(C$7+F22*C$8)</f>
        <v>0</v>
      </c>
      <c r="I22" s="10">
        <f>+G22</f>
        <v>0</v>
      </c>
      <c r="O22" s="10">
        <f t="shared" ref="O22:O28" ca="1" si="3">+C$11+C$12*$F22</f>
        <v>9.782117740692077E-4</v>
      </c>
      <c r="Q22" s="37">
        <f t="shared" ref="Q22:Q28" si="4">+C22-15018.5</f>
        <v>40119.104399999997</v>
      </c>
      <c r="S22" s="10">
        <f t="shared" ref="S22:S28" ca="1" si="5">+(O22-G22)^2</f>
        <v>9.5689827492762663E-7</v>
      </c>
    </row>
    <row r="23" spans="1:19" s="10" customFormat="1" ht="12.95" customHeight="1" x14ac:dyDescent="0.2">
      <c r="A23" s="5" t="s">
        <v>43</v>
      </c>
      <c r="B23" s="6" t="s">
        <v>45</v>
      </c>
      <c r="C23" s="5">
        <v>55137.717900000003</v>
      </c>
      <c r="D23" s="5">
        <v>4.0000000000000002E-4</v>
      </c>
      <c r="E23" s="10">
        <f t="shared" si="0"/>
        <v>0.48416131319372463</v>
      </c>
      <c r="F23" s="10">
        <f t="shared" si="1"/>
        <v>0.5</v>
      </c>
      <c r="G23" s="10">
        <f t="shared" si="2"/>
        <v>-3.7129999909666367E-3</v>
      </c>
      <c r="I23" s="10">
        <f>+G23</f>
        <v>-3.7129999909666367E-3</v>
      </c>
      <c r="O23" s="10">
        <f t="shared" ca="1" si="3"/>
        <v>9.7797926142445426E-4</v>
      </c>
      <c r="Q23" s="37">
        <f t="shared" si="4"/>
        <v>40119.217900000003</v>
      </c>
      <c r="S23" s="10">
        <f t="shared" ca="1" si="5"/>
        <v>2.2005286346363681E-5</v>
      </c>
    </row>
    <row r="24" spans="1:19" s="10" customFormat="1" ht="12.95" customHeight="1" x14ac:dyDescent="0.2">
      <c r="A24" s="5" t="s">
        <v>46</v>
      </c>
      <c r="B24" s="6" t="s">
        <v>44</v>
      </c>
      <c r="C24" s="5">
        <v>55497.683700000001</v>
      </c>
      <c r="D24" s="5">
        <v>1E-4</v>
      </c>
      <c r="E24" s="10">
        <f t="shared" si="0"/>
        <v>1536.0041121718789</v>
      </c>
      <c r="F24" s="10">
        <f t="shared" si="1"/>
        <v>1536</v>
      </c>
      <c r="G24" s="10">
        <f t="shared" si="2"/>
        <v>9.6400000620633364E-4</v>
      </c>
      <c r="I24" s="10">
        <f>+G24</f>
        <v>9.6400000620633364E-4</v>
      </c>
      <c r="O24" s="10">
        <f t="shared" ca="1" si="3"/>
        <v>2.6393292938664786E-4</v>
      </c>
      <c r="Q24" s="37">
        <f t="shared" si="4"/>
        <v>40479.183700000001</v>
      </c>
      <c r="S24" s="10">
        <f t="shared" ca="1" si="5"/>
        <v>4.9009391204685979E-7</v>
      </c>
    </row>
    <row r="25" spans="1:19" s="10" customFormat="1" ht="12.95" customHeight="1" x14ac:dyDescent="0.2">
      <c r="A25" s="5" t="s">
        <v>47</v>
      </c>
      <c r="B25" s="6" t="s">
        <v>44</v>
      </c>
      <c r="C25" s="5">
        <v>55866.669099999999</v>
      </c>
      <c r="D25" s="5">
        <v>5.9999999999999995E-4</v>
      </c>
      <c r="E25" s="10">
        <f t="shared" si="0"/>
        <v>3109.9993174818605</v>
      </c>
      <c r="F25" s="10">
        <f t="shared" si="1"/>
        <v>3110</v>
      </c>
      <c r="G25" s="10">
        <f t="shared" si="2"/>
        <v>-1.5999999595806003E-4</v>
      </c>
      <c r="I25" s="10">
        <f>+G25</f>
        <v>-1.5999999595806003E-4</v>
      </c>
      <c r="O25" s="10">
        <f t="shared" ca="1" si="3"/>
        <v>-4.6801687629717341E-4</v>
      </c>
      <c r="Q25" s="37">
        <f t="shared" si="4"/>
        <v>40848.169099999999</v>
      </c>
      <c r="S25" s="10">
        <f t="shared" ca="1" si="5"/>
        <v>9.4874398573839696E-8</v>
      </c>
    </row>
    <row r="26" spans="1:19" s="10" customFormat="1" ht="12.95" customHeight="1" x14ac:dyDescent="0.2">
      <c r="A26" s="5" t="s">
        <v>47</v>
      </c>
      <c r="B26" s="6" t="s">
        <v>45</v>
      </c>
      <c r="C26" s="5">
        <v>55866.785199999998</v>
      </c>
      <c r="D26" s="5">
        <v>1.5E-3</v>
      </c>
      <c r="E26" s="10">
        <f t="shared" si="0"/>
        <v>3110.4945697149715</v>
      </c>
      <c r="F26" s="10">
        <f t="shared" si="1"/>
        <v>3110.5</v>
      </c>
      <c r="G26" s="10">
        <f t="shared" si="2"/>
        <v>-1.273000001674518E-3</v>
      </c>
      <c r="I26" s="10">
        <f>+G26</f>
        <v>-1.273000001674518E-3</v>
      </c>
      <c r="O26" s="10">
        <f t="shared" ca="1" si="3"/>
        <v>-4.6824938894192685E-4</v>
      </c>
      <c r="Q26" s="37">
        <f t="shared" si="4"/>
        <v>40848.285199999998</v>
      </c>
      <c r="S26" s="10">
        <f t="shared" ca="1" si="5"/>
        <v>6.4762354869348083E-7</v>
      </c>
    </row>
    <row r="27" spans="1:19" s="10" customFormat="1" ht="12.95" customHeight="1" x14ac:dyDescent="0.2">
      <c r="A27" s="38" t="s">
        <v>48</v>
      </c>
      <c r="B27" s="39" t="s">
        <v>44</v>
      </c>
      <c r="C27" s="40">
        <v>56231.672100000003</v>
      </c>
      <c r="D27" s="40">
        <v>8.0000000000000004E-4</v>
      </c>
      <c r="E27" s="10">
        <f t="shared" si="0"/>
        <v>4667.0066460205217</v>
      </c>
      <c r="F27" s="10">
        <f t="shared" si="1"/>
        <v>4667</v>
      </c>
      <c r="G27" s="10">
        <f t="shared" si="2"/>
        <v>1.5580000035697594E-3</v>
      </c>
      <c r="I27" s="10">
        <f>+G27</f>
        <v>1.5580000035697594E-3</v>
      </c>
      <c r="O27" s="10">
        <f t="shared" ca="1" si="3"/>
        <v>-1.1920612520593776E-3</v>
      </c>
      <c r="Q27" s="37">
        <f t="shared" si="4"/>
        <v>41213.172100000003</v>
      </c>
      <c r="S27" s="10">
        <f t="shared" ca="1" si="5"/>
        <v>7.5628369097125061E-6</v>
      </c>
    </row>
    <row r="28" spans="1:19" s="10" customFormat="1" ht="12.95" customHeight="1" x14ac:dyDescent="0.2">
      <c r="A28" s="38" t="s">
        <v>48</v>
      </c>
      <c r="B28" s="39" t="s">
        <v>45</v>
      </c>
      <c r="C28" s="40">
        <v>56231.786999999997</v>
      </c>
      <c r="D28" s="40">
        <v>1E-4</v>
      </c>
      <c r="E28" s="10">
        <f t="shared" si="0"/>
        <v>4667.4967793674768</v>
      </c>
      <c r="F28" s="10">
        <f t="shared" si="1"/>
        <v>4667.5</v>
      </c>
      <c r="G28" s="10">
        <f t="shared" si="2"/>
        <v>-7.5500000093597919E-4</v>
      </c>
      <c r="I28" s="10">
        <f>+G28</f>
        <v>-7.5500000093597919E-4</v>
      </c>
      <c r="O28" s="10">
        <f t="shared" ca="1" si="3"/>
        <v>-1.1922937647041308E-3</v>
      </c>
      <c r="Q28" s="37">
        <f t="shared" si="4"/>
        <v>41213.286999999997</v>
      </c>
      <c r="S28" s="10">
        <f t="shared" ca="1" si="5"/>
        <v>1.9122583583051602E-7</v>
      </c>
    </row>
    <row r="29" spans="1:19" s="10" customFormat="1" ht="12.95" customHeight="1" x14ac:dyDescent="0.2">
      <c r="A29" s="41" t="s">
        <v>53</v>
      </c>
      <c r="B29" s="6" t="s">
        <v>44</v>
      </c>
      <c r="C29" s="5">
        <v>58752.000999999997</v>
      </c>
      <c r="D29" s="5" t="s">
        <v>54</v>
      </c>
      <c r="E29" s="10">
        <f>+(C29-C$7)/C$8</f>
        <v>15418.070521187923</v>
      </c>
      <c r="F29" s="10">
        <f>ROUND(2*E29,0)/2</f>
        <v>15418</v>
      </c>
      <c r="G29" s="10">
        <f>+C29-(C$7+F29*C$8)</f>
        <v>1.6532000001461711E-2</v>
      </c>
      <c r="I29" s="10">
        <f>+G29</f>
        <v>1.6532000001461711E-2</v>
      </c>
      <c r="O29" s="10">
        <f ca="1">+C$11+C$12*$F29</f>
        <v>-6.1915481395477898E-3</v>
      </c>
      <c r="Q29" s="37">
        <f>+C29-15018.5</f>
        <v>43733.500999999997</v>
      </c>
      <c r="S29" s="10">
        <f ca="1">+(O29-G29)^2</f>
        <v>5.163596401167763E-4</v>
      </c>
    </row>
    <row r="30" spans="1:19" s="10" customFormat="1" ht="12.95" customHeight="1" x14ac:dyDescent="0.2">
      <c r="A30" s="7" t="s">
        <v>55</v>
      </c>
      <c r="B30" s="8" t="s">
        <v>44</v>
      </c>
      <c r="C30" s="9">
        <v>59530.026999999769</v>
      </c>
      <c r="D30" s="7" t="s">
        <v>54</v>
      </c>
      <c r="E30" s="10">
        <f t="shared" ref="E30:E31" si="6">+(C30-C$7)/C$8</f>
        <v>18736.925938248201</v>
      </c>
      <c r="F30" s="10">
        <f t="shared" ref="F30:F31" si="7">ROUND(2*E30,0)/2</f>
        <v>18737</v>
      </c>
      <c r="G30" s="10">
        <f t="shared" ref="G30:G31" si="8">+C30-(C$7+F30*C$8)</f>
        <v>-1.7362000224238727E-2</v>
      </c>
      <c r="I30" s="10">
        <f>+G30</f>
        <v>-1.7362000224238727E-2</v>
      </c>
      <c r="O30" s="10">
        <f t="shared" ref="O30:O31" ca="1" si="9">+C$11+C$12*$F30</f>
        <v>-7.7349670754211074E-3</v>
      </c>
      <c r="Q30" s="37">
        <f t="shared" ref="Q30:Q31" si="10">+C30-15018.5</f>
        <v>44511.526999999769</v>
      </c>
      <c r="S30" s="10">
        <f t="shared" ref="S30:S31" ca="1" si="11">+(O30-G30)^2</f>
        <v>9.2679767248433296E-5</v>
      </c>
    </row>
    <row r="31" spans="1:19" x14ac:dyDescent="0.2">
      <c r="A31" s="7" t="s">
        <v>55</v>
      </c>
      <c r="B31" s="8" t="s">
        <v>44</v>
      </c>
      <c r="C31" s="9">
        <v>59530.143999999855</v>
      </c>
      <c r="D31" s="7" t="s">
        <v>54</v>
      </c>
      <c r="E31">
        <f t="shared" si="6"/>
        <v>18737.425029646278</v>
      </c>
      <c r="F31">
        <f t="shared" si="7"/>
        <v>18737.5</v>
      </c>
      <c r="G31">
        <f t="shared" si="8"/>
        <v>-1.7575000143551733E-2</v>
      </c>
      <c r="I31">
        <f>+G31</f>
        <v>-1.7575000143551733E-2</v>
      </c>
      <c r="O31">
        <f t="shared" ca="1" si="9"/>
        <v>-7.7351995880658615E-3</v>
      </c>
      <c r="Q31" s="2">
        <f t="shared" si="10"/>
        <v>44511.643999999855</v>
      </c>
      <c r="S31">
        <f t="shared" ca="1" si="11"/>
        <v>9.6821674971740067E-5</v>
      </c>
    </row>
    <row r="32" spans="1:19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rotectedRanges>
    <protectedRange sqref="A29:D29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2024-03-04T05:04:54Z</dcterms:modified>
</cp:coreProperties>
</file>