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55C02D4-70AD-4A3D-BF8E-EE4ECEB45ED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J21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H30" i="1"/>
  <c r="E31" i="1"/>
  <c r="F31" i="1"/>
  <c r="G31" i="1"/>
  <c r="I31" i="1"/>
  <c r="Q21" i="1"/>
  <c r="Q22" i="1"/>
  <c r="Q23" i="1"/>
  <c r="Q24" i="1"/>
  <c r="Q25" i="1"/>
  <c r="Q26" i="1"/>
  <c r="Q27" i="1"/>
  <c r="Q28" i="1"/>
  <c r="Q29" i="1"/>
  <c r="G11" i="2"/>
  <c r="C11" i="2"/>
  <c r="E1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11" i="2"/>
  <c r="B11" i="2"/>
  <c r="D11" i="2"/>
  <c r="A1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F11" i="1"/>
  <c r="Q31" i="1"/>
  <c r="G11" i="1"/>
  <c r="E14" i="1"/>
  <c r="E15" i="1" s="1"/>
  <c r="C17" i="1"/>
  <c r="Q30" i="1"/>
  <c r="C11" i="1"/>
  <c r="C12" i="1"/>
  <c r="C16" i="1" l="1"/>
  <c r="D18" i="1" s="1"/>
  <c r="O23" i="1"/>
  <c r="O21" i="1"/>
  <c r="O28" i="1"/>
  <c r="O31" i="1"/>
  <c r="O29" i="1"/>
  <c r="C15" i="1"/>
  <c r="O30" i="1"/>
  <c r="O24" i="1"/>
  <c r="O27" i="1"/>
  <c r="O25" i="1"/>
  <c r="O22" i="1"/>
  <c r="O26" i="1"/>
  <c r="C18" i="1" l="1"/>
  <c r="E16" i="1"/>
  <c r="E17" i="1" s="1"/>
</calcChain>
</file>

<file path=xl/sharedStrings.xml><?xml version="1.0" encoding="utf-8"?>
<sst xmlns="http://schemas.openxmlformats.org/spreadsheetml/2006/main" count="153" uniqueCount="94">
  <si>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</si>
  <si>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</si>
  <si>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</si>
  <si>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</si>
  <si>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</si>
  <si>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</si>
  <si>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</si>
  <si>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</si>
  <si>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</si>
  <si>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</si>
  <si>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</si>
  <si>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</si>
  <si>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</si>
  <si>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</si>
  <si>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</si>
  <si>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</si>
  <si>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</si>
  <si>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</si>
  <si>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</si>
  <si>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</si>
  <si>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</si>
  <si>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</si>
  <si>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</si>
  <si>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</si>
  <si>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</si>
  <si>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</si>
  <si>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</si>
  <si>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</si>
  <si>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</si>
  <si>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</si>
  <si>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</si>
  <si>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</si>
  <si>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</si>
  <si>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</si>
  <si>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</si>
  <si>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</si>
  <si>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</si>
  <si>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</si>
  <si>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</si>
  <si>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GV Pup / GSC 5418-0692</t>
  </si>
  <si>
    <t>IBVS 6029</t>
  </si>
  <si>
    <t>I</t>
  </si>
  <si>
    <t>Kreiner</t>
  </si>
  <si>
    <t>not avail.</t>
  </si>
  <si>
    <t>E: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</si>
  <si>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</si>
  <si>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</si>
  <si>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</si>
  <si>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</si>
  <si>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</si>
  <si>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</si>
  <si>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</si>
  <si>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</si>
  <si>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</si>
  <si>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</si>
  <si>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</si>
  <si>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2426391.378 </t>
  </si>
  <si>
    <t> 18.02.1931 21:04 </t>
  </si>
  <si>
    <t> -0.378 </t>
  </si>
  <si>
    <t>P </t>
  </si>
  <si>
    <t> Ahnert &amp; Huth </t>
  </si>
  <si>
    <t> VSS 2.99 </t>
  </si>
  <si>
    <t>2426770.360 </t>
  </si>
  <si>
    <t> 03.03.1932 20:38 </t>
  </si>
  <si>
    <t> -0.432 </t>
  </si>
  <si>
    <t>2428267.327 </t>
  </si>
  <si>
    <t> 08.04.1936 19:50 </t>
  </si>
  <si>
    <t> -0.334 </t>
  </si>
  <si>
    <t>2428494.628 </t>
  </si>
  <si>
    <t> 22.11.1936 03:04 </t>
  </si>
  <si>
    <t> -0.355 </t>
  </si>
  <si>
    <t>2428496.595 </t>
  </si>
  <si>
    <t> 24.11.1936 02:16 </t>
  </si>
  <si>
    <t> -0.365 </t>
  </si>
  <si>
    <t>2428949.399 </t>
  </si>
  <si>
    <t> 19.02.1938 21:34 </t>
  </si>
  <si>
    <t> -0.229 </t>
  </si>
  <si>
    <t>2429943.690 </t>
  </si>
  <si>
    <t> 10.11.1940 04:33 </t>
  </si>
  <si>
    <t> -0.227 </t>
  </si>
  <si>
    <t>2431503.421 </t>
  </si>
  <si>
    <t> 16.02.1945 22:06 </t>
  </si>
  <si>
    <t> -0.127 </t>
  </si>
  <si>
    <t>2432946.473 </t>
  </si>
  <si>
    <t> 29.01.1949 23:21 </t>
  </si>
  <si>
    <t> -0.078 </t>
  </si>
  <si>
    <t>2455980.7469 </t>
  </si>
  <si>
    <t> 23.02.2012 05:55 </t>
  </si>
  <si>
    <t> 0.0005 </t>
  </si>
  <si>
    <t>C </t>
  </si>
  <si>
    <t> R.Diethelm </t>
  </si>
  <si>
    <t>IBVS 6029 </t>
  </si>
  <si>
    <t>II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</si>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</sst>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1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GV Pup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9">
                    <c:v>0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9">
                    <c:v>0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-26416</c:v>
                </c:pt>
                <c:pt idx="1">
                  <c:v>-26032.5</c:v>
                </c:pt>
                <c:pt idx="2">
                  <c:v>-24518</c:v>
                </c:pt>
                <c:pt idx="3">
                  <c:v>-24288</c:v>
                </c:pt>
                <c:pt idx="4">
                  <c:v>-24286</c:v>
                </c:pt>
                <c:pt idx="5">
                  <c:v>-23828</c:v>
                </c:pt>
                <c:pt idx="6">
                  <c:v>-22822</c:v>
                </c:pt>
                <c:pt idx="7">
                  <c:v>-21244</c:v>
                </c:pt>
                <c:pt idx="8">
                  <c:v>-19784</c:v>
                </c:pt>
                <c:pt idx="9">
                  <c:v>0</c:v>
                </c:pt>
                <c:pt idx="10">
                  <c:v>3521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ED-43D2-95C9-1ADF5552ED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-26416</c:v>
                </c:pt>
                <c:pt idx="1">
                  <c:v>-26032.5</c:v>
                </c:pt>
                <c:pt idx="2">
                  <c:v>-24518</c:v>
                </c:pt>
                <c:pt idx="3">
                  <c:v>-24288</c:v>
                </c:pt>
                <c:pt idx="4">
                  <c:v>-24286</c:v>
                </c:pt>
                <c:pt idx="5">
                  <c:v>-23828</c:v>
                </c:pt>
                <c:pt idx="6">
                  <c:v>-22822</c:v>
                </c:pt>
                <c:pt idx="7">
                  <c:v>-21244</c:v>
                </c:pt>
                <c:pt idx="8">
                  <c:v>-19784</c:v>
                </c:pt>
                <c:pt idx="9">
                  <c:v>0</c:v>
                </c:pt>
                <c:pt idx="10">
                  <c:v>3521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0">
                  <c:v>-0.11357149999821559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ED-43D2-95C9-1ADF5552ED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-26416</c:v>
                </c:pt>
                <c:pt idx="1">
                  <c:v>-26032.5</c:v>
                </c:pt>
                <c:pt idx="2">
                  <c:v>-24518</c:v>
                </c:pt>
                <c:pt idx="3">
                  <c:v>-24288</c:v>
                </c:pt>
                <c:pt idx="4">
                  <c:v>-24286</c:v>
                </c:pt>
                <c:pt idx="5">
                  <c:v>-23828</c:v>
                </c:pt>
                <c:pt idx="6">
                  <c:v>-22822</c:v>
                </c:pt>
                <c:pt idx="7">
                  <c:v>-21244</c:v>
                </c:pt>
                <c:pt idx="8">
                  <c:v>-19784</c:v>
                </c:pt>
                <c:pt idx="9">
                  <c:v>0</c:v>
                </c:pt>
                <c:pt idx="10">
                  <c:v>3521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-6.1359999963315204E-3</c:v>
                </c:pt>
                <c:pt idx="1">
                  <c:v>-7.2276249997230479E-2</c:v>
                </c:pt>
                <c:pt idx="2">
                  <c:v>-2.4202999997214647E-2</c:v>
                </c:pt>
                <c:pt idx="3">
                  <c:v>-5.3247999996528961E-2</c:v>
                </c:pt>
                <c:pt idx="4">
                  <c:v>-6.3030999997863546E-2</c:v>
                </c:pt>
                <c:pt idx="5">
                  <c:v>5.7662000002892455E-2</c:v>
                </c:pt>
                <c:pt idx="6">
                  <c:v>2.6813000000402099E-2</c:v>
                </c:pt>
                <c:pt idx="7">
                  <c:v>7.6026000002457295E-2</c:v>
                </c:pt>
                <c:pt idx="8">
                  <c:v>7.643600000301376E-2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ED-43D2-95C9-1ADF5552ED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-26416</c:v>
                </c:pt>
                <c:pt idx="1">
                  <c:v>-26032.5</c:v>
                </c:pt>
                <c:pt idx="2">
                  <c:v>-24518</c:v>
                </c:pt>
                <c:pt idx="3">
                  <c:v>-24288</c:v>
                </c:pt>
                <c:pt idx="4">
                  <c:v>-24286</c:v>
                </c:pt>
                <c:pt idx="5">
                  <c:v>-23828</c:v>
                </c:pt>
                <c:pt idx="6">
                  <c:v>-22822</c:v>
                </c:pt>
                <c:pt idx="7">
                  <c:v>-21244</c:v>
                </c:pt>
                <c:pt idx="8">
                  <c:v>-19784</c:v>
                </c:pt>
                <c:pt idx="9">
                  <c:v>0</c:v>
                </c:pt>
                <c:pt idx="10">
                  <c:v>3521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ED-43D2-95C9-1ADF5552ED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-26416</c:v>
                </c:pt>
                <c:pt idx="1">
                  <c:v>-26032.5</c:v>
                </c:pt>
                <c:pt idx="2">
                  <c:v>-24518</c:v>
                </c:pt>
                <c:pt idx="3">
                  <c:v>-24288</c:v>
                </c:pt>
                <c:pt idx="4">
                  <c:v>-24286</c:v>
                </c:pt>
                <c:pt idx="5">
                  <c:v>-23828</c:v>
                </c:pt>
                <c:pt idx="6">
                  <c:v>-22822</c:v>
                </c:pt>
                <c:pt idx="7">
                  <c:v>-21244</c:v>
                </c:pt>
                <c:pt idx="8">
                  <c:v>-19784</c:v>
                </c:pt>
                <c:pt idx="9">
                  <c:v>0</c:v>
                </c:pt>
                <c:pt idx="10">
                  <c:v>3521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ED-43D2-95C9-1ADF5552ED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-26416</c:v>
                </c:pt>
                <c:pt idx="1">
                  <c:v>-26032.5</c:v>
                </c:pt>
                <c:pt idx="2">
                  <c:v>-24518</c:v>
                </c:pt>
                <c:pt idx="3">
                  <c:v>-24288</c:v>
                </c:pt>
                <c:pt idx="4">
                  <c:v>-24286</c:v>
                </c:pt>
                <c:pt idx="5">
                  <c:v>-23828</c:v>
                </c:pt>
                <c:pt idx="6">
                  <c:v>-22822</c:v>
                </c:pt>
                <c:pt idx="7">
                  <c:v>-21244</c:v>
                </c:pt>
                <c:pt idx="8">
                  <c:v>-19784</c:v>
                </c:pt>
                <c:pt idx="9">
                  <c:v>0</c:v>
                </c:pt>
                <c:pt idx="10">
                  <c:v>3521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ED-43D2-95C9-1ADF5552ED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0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-26416</c:v>
                </c:pt>
                <c:pt idx="1">
                  <c:v>-26032.5</c:v>
                </c:pt>
                <c:pt idx="2">
                  <c:v>-24518</c:v>
                </c:pt>
                <c:pt idx="3">
                  <c:v>-24288</c:v>
                </c:pt>
                <c:pt idx="4">
                  <c:v>-24286</c:v>
                </c:pt>
                <c:pt idx="5">
                  <c:v>-23828</c:v>
                </c:pt>
                <c:pt idx="6">
                  <c:v>-22822</c:v>
                </c:pt>
                <c:pt idx="7">
                  <c:v>-21244</c:v>
                </c:pt>
                <c:pt idx="8">
                  <c:v>-19784</c:v>
                </c:pt>
                <c:pt idx="9">
                  <c:v>0</c:v>
                </c:pt>
                <c:pt idx="10">
                  <c:v>3521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ED-43D2-95C9-1ADF5552ED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-26416</c:v>
                </c:pt>
                <c:pt idx="1">
                  <c:v>-26032.5</c:v>
                </c:pt>
                <c:pt idx="2">
                  <c:v>-24518</c:v>
                </c:pt>
                <c:pt idx="3">
                  <c:v>-24288</c:v>
                </c:pt>
                <c:pt idx="4">
                  <c:v>-24286</c:v>
                </c:pt>
                <c:pt idx="5">
                  <c:v>-23828</c:v>
                </c:pt>
                <c:pt idx="6">
                  <c:v>-22822</c:v>
                </c:pt>
                <c:pt idx="7">
                  <c:v>-21244</c:v>
                </c:pt>
                <c:pt idx="8">
                  <c:v>-19784</c:v>
                </c:pt>
                <c:pt idx="9">
                  <c:v>0</c:v>
                </c:pt>
                <c:pt idx="10">
                  <c:v>3521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3.8070483867151811E-3</c:v>
                </c:pt>
                <c:pt idx="1">
                  <c:v>3.155511708430786E-3</c:v>
                </c:pt>
                <c:pt idx="2">
                  <c:v>5.8249397893478383E-4</c:v>
                </c:pt>
                <c:pt idx="3">
                  <c:v>1.9174186418795258E-4</c:v>
                </c:pt>
                <c:pt idx="4">
                  <c:v>1.8834401971189185E-4</c:v>
                </c:pt>
                <c:pt idx="5">
                  <c:v>-5.8976236530571685E-4</c:v>
                </c:pt>
                <c:pt idx="6">
                  <c:v>-2.2988781367636046E-3</c:v>
                </c:pt>
                <c:pt idx="7">
                  <c:v>-4.9797774283744933E-3</c:v>
                </c:pt>
                <c:pt idx="8">
                  <c:v>-7.4602038958978684E-3</c:v>
                </c:pt>
                <c:pt idx="9">
                  <c:v>-4.1071681453077692E-2</c:v>
                </c:pt>
                <c:pt idx="10">
                  <c:v>-4.705358665318031E-2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ED-43D2-95C9-1ADF5552ED6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-26416</c:v>
                </c:pt>
                <c:pt idx="1">
                  <c:v>-26032.5</c:v>
                </c:pt>
                <c:pt idx="2">
                  <c:v>-24518</c:v>
                </c:pt>
                <c:pt idx="3">
                  <c:v>-24288</c:v>
                </c:pt>
                <c:pt idx="4">
                  <c:v>-24286</c:v>
                </c:pt>
                <c:pt idx="5">
                  <c:v>-23828</c:v>
                </c:pt>
                <c:pt idx="6">
                  <c:v>-22822</c:v>
                </c:pt>
                <c:pt idx="7">
                  <c:v>-21244</c:v>
                </c:pt>
                <c:pt idx="8">
                  <c:v>-19784</c:v>
                </c:pt>
                <c:pt idx="9">
                  <c:v>0</c:v>
                </c:pt>
                <c:pt idx="10">
                  <c:v>3521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ED-43D2-95C9-1ADF5552E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144320"/>
        <c:axId val="1"/>
      </c:scatterChart>
      <c:valAx>
        <c:axId val="942144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144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97744360902255"/>
          <c:y val="0.92375366568914952"/>
          <c:w val="0.7533834586466164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552450</xdr:colOff>
      <xdr:row>18</xdr:row>
      <xdr:rowOff>104776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2A2A460-41CC-9B93-BD57-BA4BDB558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s="21" customFormat="1" ht="12.95" customHeight="1" x14ac:dyDescent="0.2">
      <c r="A2" s="21" t="s">
        <v>23</v>
      </c>
      <c r="B2" s="6" t="s">
        <v>44</v>
      </c>
      <c r="C2" s="22"/>
      <c r="D2" s="22"/>
    </row>
    <row r="3" spans="1:7" s="21" customFormat="1" ht="12.95" customHeight="1" thickBot="1" x14ac:dyDescent="0.25"/>
    <row r="4" spans="1:7" s="21" customFormat="1" ht="12.95" customHeight="1" thickTop="1" thickBot="1" x14ac:dyDescent="0.25">
      <c r="A4" s="23" t="s">
        <v>0</v>
      </c>
      <c r="C4" s="24" t="s">
        <v>43</v>
      </c>
      <c r="D4" s="25" t="s">
        <v>43</v>
      </c>
    </row>
    <row r="5" spans="1:7" s="21" customFormat="1" ht="12.95" customHeight="1" x14ac:dyDescent="0.2"/>
    <row r="6" spans="1:7" s="21" customFormat="1" ht="12.95" customHeight="1" x14ac:dyDescent="0.2">
      <c r="A6" s="23" t="s">
        <v>1</v>
      </c>
    </row>
    <row r="7" spans="1:7" s="21" customFormat="1" ht="12.95" customHeight="1" x14ac:dyDescent="0.2">
      <c r="A7" s="21" t="s">
        <v>2</v>
      </c>
      <c r="C7" s="53">
        <v>52500.733999999997</v>
      </c>
      <c r="D7" s="6" t="s">
        <v>42</v>
      </c>
    </row>
    <row r="8" spans="1:7" s="21" customFormat="1" ht="12.95" customHeight="1" x14ac:dyDescent="0.2">
      <c r="A8" s="21" t="s">
        <v>3</v>
      </c>
      <c r="C8" s="53">
        <v>0.98839149999999998</v>
      </c>
      <c r="D8" s="6" t="s">
        <v>42</v>
      </c>
    </row>
    <row r="9" spans="1:7" s="21" customFormat="1" ht="12.95" customHeight="1" x14ac:dyDescent="0.2">
      <c r="A9" s="27" t="s">
        <v>29</v>
      </c>
      <c r="C9" s="28">
        <v>-9.5</v>
      </c>
      <c r="D9" s="21" t="s">
        <v>30</v>
      </c>
    </row>
    <row r="10" spans="1:7" s="21" customFormat="1" ht="12.95" customHeight="1" thickBot="1" x14ac:dyDescent="0.25">
      <c r="C10" s="29" t="s">
        <v>19</v>
      </c>
      <c r="D10" s="29" t="s">
        <v>20</v>
      </c>
    </row>
    <row r="11" spans="1:7" s="21" customFormat="1" ht="12.95" customHeight="1" x14ac:dyDescent="0.2">
      <c r="A11" s="21" t="s">
        <v>15</v>
      </c>
      <c r="C11" s="30">
        <f ca="1">INTERCEPT(INDIRECT($G$11):G992,INDIRECT($F$11):F992)</f>
        <v>-4.1071681453077692E-2</v>
      </c>
      <c r="D11" s="22"/>
      <c r="F11" s="31" t="str">
        <f>"F"&amp;E19</f>
        <v>F21</v>
      </c>
      <c r="G11" s="30" t="str">
        <f>"G"&amp;E19</f>
        <v>G21</v>
      </c>
    </row>
    <row r="12" spans="1:7" s="21" customFormat="1" ht="12.95" customHeight="1" x14ac:dyDescent="0.2">
      <c r="A12" s="21" t="s">
        <v>16</v>
      </c>
      <c r="C12" s="30">
        <f ca="1">SLOPE(INDIRECT($G$11):G992,INDIRECT($F$11):F992)</f>
        <v>-1.6989222380297119E-6</v>
      </c>
      <c r="D12" s="22"/>
    </row>
    <row r="13" spans="1:7" s="21" customFormat="1" ht="12.95" customHeight="1" x14ac:dyDescent="0.2">
      <c r="A13" s="21" t="s">
        <v>18</v>
      </c>
      <c r="C13" s="22" t="s">
        <v>13</v>
      </c>
      <c r="D13" s="32" t="s">
        <v>36</v>
      </c>
      <c r="E13" s="28">
        <v>1</v>
      </c>
    </row>
    <row r="14" spans="1:7" s="21" customFormat="1" ht="12.95" customHeight="1" x14ac:dyDescent="0.2">
      <c r="D14" s="32" t="s">
        <v>31</v>
      </c>
      <c r="E14" s="33">
        <f ca="1">NOW()+15018.5+$C$9/24</f>
        <v>60373.783676620369</v>
      </c>
    </row>
    <row r="15" spans="1:7" s="21" customFormat="1" ht="12.95" customHeight="1" x14ac:dyDescent="0.2">
      <c r="A15" s="34" t="s">
        <v>17</v>
      </c>
      <c r="C15" s="35">
        <f ca="1">(C7+C11)+(C8+C12)*INT(MAX(F21:F3533))</f>
        <v>55980.813417913349</v>
      </c>
      <c r="D15" s="32" t="s">
        <v>37</v>
      </c>
      <c r="E15" s="33">
        <f ca="1">ROUND(2*(E14-$C$7)/$C$8,0)/2+E13</f>
        <v>7966.5</v>
      </c>
    </row>
    <row r="16" spans="1:7" s="21" customFormat="1" ht="12.95" customHeight="1" x14ac:dyDescent="0.2">
      <c r="A16" s="23" t="s">
        <v>4</v>
      </c>
      <c r="C16" s="36">
        <f ca="1">+C8+C12</f>
        <v>0.98838980107776198</v>
      </c>
      <c r="D16" s="32" t="s">
        <v>38</v>
      </c>
      <c r="E16" s="30">
        <f ca="1">ROUND(2*(E14-$C$15)/$C$16,0)/2+E13</f>
        <v>4445.5</v>
      </c>
    </row>
    <row r="17" spans="1:18" s="21" customFormat="1" ht="12.95" customHeight="1" thickBot="1" x14ac:dyDescent="0.25">
      <c r="A17" s="32" t="s">
        <v>28</v>
      </c>
      <c r="C17" s="21">
        <f>COUNT(C21:C2191)</f>
        <v>11</v>
      </c>
      <c r="D17" s="32" t="s">
        <v>32</v>
      </c>
      <c r="E17" s="37">
        <f ca="1">+$C$15+$C$16*E16-15018.5-$C$9/24</f>
        <v>45356.596111937877</v>
      </c>
    </row>
    <row r="18" spans="1:18" s="21" customFormat="1" ht="12.95" customHeight="1" thickTop="1" thickBot="1" x14ac:dyDescent="0.25">
      <c r="A18" s="23" t="s">
        <v>5</v>
      </c>
      <c r="C18" s="38">
        <f ca="1">+C15</f>
        <v>55980.813417913349</v>
      </c>
      <c r="D18" s="39">
        <f ca="1">+C16</f>
        <v>0.98838980107776198</v>
      </c>
      <c r="E18" s="40" t="s">
        <v>33</v>
      </c>
    </row>
    <row r="19" spans="1:18" s="21" customFormat="1" ht="12.95" customHeight="1" thickTop="1" x14ac:dyDescent="0.2">
      <c r="A19" s="41" t="s">
        <v>34</v>
      </c>
      <c r="E19" s="42">
        <v>21</v>
      </c>
    </row>
    <row r="20" spans="1:18" s="21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43" t="s">
        <v>42</v>
      </c>
      <c r="I20" s="43" t="s">
        <v>47</v>
      </c>
      <c r="J20" s="43" t="s">
        <v>93</v>
      </c>
      <c r="K20" s="43" t="s">
        <v>24</v>
      </c>
      <c r="L20" s="43" t="s">
        <v>25</v>
      </c>
      <c r="M20" s="43" t="s">
        <v>26</v>
      </c>
      <c r="N20" s="43" t="s">
        <v>27</v>
      </c>
      <c r="O20" s="43" t="s">
        <v>22</v>
      </c>
      <c r="P20" s="44" t="s">
        <v>21</v>
      </c>
      <c r="Q20" s="29" t="s">
        <v>14</v>
      </c>
      <c r="R20" s="45" t="s">
        <v>35</v>
      </c>
    </row>
    <row r="21" spans="1:18" s="21" customFormat="1" ht="12.95" customHeight="1" x14ac:dyDescent="0.2">
      <c r="A21" s="46" t="s">
        <v>61</v>
      </c>
      <c r="B21" s="47" t="s">
        <v>92</v>
      </c>
      <c r="C21" s="48">
        <v>26391.378000000001</v>
      </c>
      <c r="D21" s="26"/>
      <c r="E21" s="21">
        <f t="shared" ref="E21:E31" si="0">+(C21-C$7)/C$8</f>
        <v>-26416.006208066334</v>
      </c>
      <c r="F21" s="21">
        <f t="shared" ref="F21:F31" si="1">ROUND(2*E21,0)/2</f>
        <v>-26416</v>
      </c>
      <c r="G21" s="21">
        <f t="shared" ref="G21:G31" si="2">+C21-(C$7+F21*C$8)</f>
        <v>-6.1359999963315204E-3</v>
      </c>
      <c r="J21" s="21">
        <f t="shared" ref="J21:J29" si="3">+G21</f>
        <v>-6.1359999963315204E-3</v>
      </c>
      <c r="O21" s="21">
        <f t="shared" ref="O21:O31" ca="1" si="4">+C$11+C$12*$F21</f>
        <v>3.8070483867151811E-3</v>
      </c>
      <c r="Q21" s="49">
        <f t="shared" ref="Q21:Q31" si="5">+C21-15018.5</f>
        <v>11372.878000000001</v>
      </c>
    </row>
    <row r="22" spans="1:18" s="21" customFormat="1" ht="12.95" customHeight="1" x14ac:dyDescent="0.2">
      <c r="A22" s="50" t="s">
        <v>61</v>
      </c>
      <c r="B22" s="47" t="s">
        <v>41</v>
      </c>
      <c r="C22" s="48">
        <v>26770.36</v>
      </c>
      <c r="D22" s="26"/>
      <c r="E22" s="21">
        <f t="shared" si="0"/>
        <v>-26032.573125122988</v>
      </c>
      <c r="F22" s="21">
        <f t="shared" si="1"/>
        <v>-26032.5</v>
      </c>
      <c r="G22" s="21">
        <f t="shared" si="2"/>
        <v>-7.2276249997230479E-2</v>
      </c>
      <c r="J22" s="21">
        <f t="shared" si="3"/>
        <v>-7.2276249997230479E-2</v>
      </c>
      <c r="O22" s="21">
        <f t="shared" ca="1" si="4"/>
        <v>3.155511708430786E-3</v>
      </c>
      <c r="Q22" s="49">
        <f t="shared" si="5"/>
        <v>11751.86</v>
      </c>
    </row>
    <row r="23" spans="1:18" s="21" customFormat="1" ht="12.95" customHeight="1" x14ac:dyDescent="0.2">
      <c r="A23" s="50" t="s">
        <v>61</v>
      </c>
      <c r="B23" s="47" t="s">
        <v>92</v>
      </c>
      <c r="C23" s="48">
        <v>28267.327000000001</v>
      </c>
      <c r="D23" s="26"/>
      <c r="E23" s="21">
        <f t="shared" si="0"/>
        <v>-24518.024487260358</v>
      </c>
      <c r="F23" s="21">
        <f t="shared" si="1"/>
        <v>-24518</v>
      </c>
      <c r="G23" s="21">
        <f t="shared" si="2"/>
        <v>-2.4202999997214647E-2</v>
      </c>
      <c r="J23" s="21">
        <f t="shared" si="3"/>
        <v>-2.4202999997214647E-2</v>
      </c>
      <c r="O23" s="21">
        <f t="shared" ca="1" si="4"/>
        <v>5.8249397893478383E-4</v>
      </c>
      <c r="Q23" s="49">
        <f t="shared" si="5"/>
        <v>13248.827000000001</v>
      </c>
    </row>
    <row r="24" spans="1:18" s="21" customFormat="1" ht="12.95" customHeight="1" x14ac:dyDescent="0.2">
      <c r="A24" s="50" t="s">
        <v>61</v>
      </c>
      <c r="B24" s="47" t="s">
        <v>92</v>
      </c>
      <c r="C24" s="48">
        <v>28494.628000000001</v>
      </c>
      <c r="D24" s="26"/>
      <c r="E24" s="21">
        <f t="shared" si="0"/>
        <v>-24288.053873389235</v>
      </c>
      <c r="F24" s="21">
        <f t="shared" si="1"/>
        <v>-24288</v>
      </c>
      <c r="G24" s="21">
        <f t="shared" si="2"/>
        <v>-5.3247999996528961E-2</v>
      </c>
      <c r="J24" s="21">
        <f t="shared" si="3"/>
        <v>-5.3247999996528961E-2</v>
      </c>
      <c r="O24" s="21">
        <f t="shared" ca="1" si="4"/>
        <v>1.9174186418795258E-4</v>
      </c>
      <c r="Q24" s="49">
        <f t="shared" si="5"/>
        <v>13476.128000000001</v>
      </c>
    </row>
    <row r="25" spans="1:18" s="21" customFormat="1" ht="12.95" customHeight="1" x14ac:dyDescent="0.2">
      <c r="A25" s="50" t="s">
        <v>61</v>
      </c>
      <c r="B25" s="47" t="s">
        <v>92</v>
      </c>
      <c r="C25" s="48">
        <v>28496.595000000001</v>
      </c>
      <c r="D25" s="26"/>
      <c r="E25" s="21">
        <f t="shared" si="0"/>
        <v>-24286.063771289006</v>
      </c>
      <c r="F25" s="21">
        <f t="shared" si="1"/>
        <v>-24286</v>
      </c>
      <c r="G25" s="21">
        <f t="shared" si="2"/>
        <v>-6.3030999997863546E-2</v>
      </c>
      <c r="J25" s="21">
        <f t="shared" si="3"/>
        <v>-6.3030999997863546E-2</v>
      </c>
      <c r="O25" s="21">
        <f t="shared" ca="1" si="4"/>
        <v>1.8834401971189185E-4</v>
      </c>
      <c r="Q25" s="49">
        <f t="shared" si="5"/>
        <v>13478.095000000001</v>
      </c>
    </row>
    <row r="26" spans="1:18" s="21" customFormat="1" ht="12.95" customHeight="1" x14ac:dyDescent="0.2">
      <c r="A26" s="50" t="s">
        <v>61</v>
      </c>
      <c r="B26" s="47" t="s">
        <v>92</v>
      </c>
      <c r="C26" s="48">
        <v>28949.399000000001</v>
      </c>
      <c r="D26" s="26"/>
      <c r="E26" s="21">
        <f t="shared" si="0"/>
        <v>-23827.941660769033</v>
      </c>
      <c r="F26" s="21">
        <f t="shared" si="1"/>
        <v>-23828</v>
      </c>
      <c r="G26" s="21">
        <f t="shared" si="2"/>
        <v>5.7662000002892455E-2</v>
      </c>
      <c r="J26" s="21">
        <f t="shared" si="3"/>
        <v>5.7662000002892455E-2</v>
      </c>
      <c r="O26" s="21">
        <f t="shared" ca="1" si="4"/>
        <v>-5.8976236530571685E-4</v>
      </c>
      <c r="Q26" s="49">
        <f t="shared" si="5"/>
        <v>13930.899000000001</v>
      </c>
    </row>
    <row r="27" spans="1:18" s="21" customFormat="1" ht="12.95" customHeight="1" x14ac:dyDescent="0.2">
      <c r="A27" s="50" t="s">
        <v>61</v>
      </c>
      <c r="B27" s="47" t="s">
        <v>92</v>
      </c>
      <c r="C27" s="48">
        <v>29943.69</v>
      </c>
      <c r="D27" s="26"/>
      <c r="E27" s="21">
        <f t="shared" si="0"/>
        <v>-22821.972872085604</v>
      </c>
      <c r="F27" s="21">
        <f t="shared" si="1"/>
        <v>-22822</v>
      </c>
      <c r="G27" s="21">
        <f t="shared" si="2"/>
        <v>2.6813000000402099E-2</v>
      </c>
      <c r="J27" s="21">
        <f t="shared" si="3"/>
        <v>2.6813000000402099E-2</v>
      </c>
      <c r="O27" s="21">
        <f t="shared" ca="1" si="4"/>
        <v>-2.2988781367636046E-3</v>
      </c>
      <c r="Q27" s="49">
        <f t="shared" si="5"/>
        <v>14925.189999999999</v>
      </c>
    </row>
    <row r="28" spans="1:18" s="21" customFormat="1" ht="12.95" customHeight="1" x14ac:dyDescent="0.2">
      <c r="A28" s="50" t="s">
        <v>61</v>
      </c>
      <c r="B28" s="47" t="s">
        <v>92</v>
      </c>
      <c r="C28" s="48">
        <v>31503.420999999998</v>
      </c>
      <c r="D28" s="26"/>
      <c r="E28" s="21">
        <f t="shared" si="0"/>
        <v>-21243.923081086796</v>
      </c>
      <c r="F28" s="21">
        <f t="shared" si="1"/>
        <v>-21244</v>
      </c>
      <c r="G28" s="21">
        <f t="shared" si="2"/>
        <v>7.6026000002457295E-2</v>
      </c>
      <c r="J28" s="21">
        <f t="shared" si="3"/>
        <v>7.6026000002457295E-2</v>
      </c>
      <c r="O28" s="21">
        <f t="shared" ca="1" si="4"/>
        <v>-4.9797774283744933E-3</v>
      </c>
      <c r="Q28" s="49">
        <f t="shared" si="5"/>
        <v>16484.920999999998</v>
      </c>
    </row>
    <row r="29" spans="1:18" s="21" customFormat="1" ht="12.95" customHeight="1" x14ac:dyDescent="0.2">
      <c r="A29" s="50" t="s">
        <v>61</v>
      </c>
      <c r="B29" s="47" t="s">
        <v>92</v>
      </c>
      <c r="C29" s="48">
        <v>32946.472999999998</v>
      </c>
      <c r="D29" s="26"/>
      <c r="E29" s="21">
        <f t="shared" si="0"/>
        <v>-19783.92266627141</v>
      </c>
      <c r="F29" s="21">
        <f t="shared" si="1"/>
        <v>-19784</v>
      </c>
      <c r="G29" s="21">
        <f t="shared" si="2"/>
        <v>7.643600000301376E-2</v>
      </c>
      <c r="J29" s="21">
        <f t="shared" si="3"/>
        <v>7.643600000301376E-2</v>
      </c>
      <c r="O29" s="21">
        <f t="shared" ca="1" si="4"/>
        <v>-7.4602038958978684E-3</v>
      </c>
      <c r="Q29" s="49">
        <f t="shared" si="5"/>
        <v>17927.972999999998</v>
      </c>
    </row>
    <row r="30" spans="1:18" s="21" customFormat="1" ht="12.95" customHeight="1" x14ac:dyDescent="0.2">
      <c r="A30" s="20" t="s">
        <v>42</v>
      </c>
      <c r="C30" s="26">
        <v>52500.733999999997</v>
      </c>
      <c r="D30" s="26" t="s">
        <v>13</v>
      </c>
      <c r="E30" s="21">
        <f t="shared" si="0"/>
        <v>0</v>
      </c>
      <c r="F30" s="21">
        <f t="shared" si="1"/>
        <v>0</v>
      </c>
      <c r="G30" s="21">
        <f t="shared" si="2"/>
        <v>0</v>
      </c>
      <c r="H30" s="21">
        <f>+G30</f>
        <v>0</v>
      </c>
      <c r="O30" s="21">
        <f t="shared" ca="1" si="4"/>
        <v>-4.1071681453077692E-2</v>
      </c>
      <c r="Q30" s="49">
        <f t="shared" si="5"/>
        <v>37482.233999999997</v>
      </c>
    </row>
    <row r="31" spans="1:18" s="21" customFormat="1" ht="12.95" customHeight="1" x14ac:dyDescent="0.2">
      <c r="A31" s="51" t="s">
        <v>40</v>
      </c>
      <c r="B31" s="52" t="s">
        <v>41</v>
      </c>
      <c r="C31" s="51">
        <v>55980.746899999998</v>
      </c>
      <c r="D31" s="51">
        <v>1.1000000000000001E-3</v>
      </c>
      <c r="E31" s="21">
        <f t="shared" si="0"/>
        <v>3520.8850946209086</v>
      </c>
      <c r="F31" s="21">
        <f t="shared" si="1"/>
        <v>3521</v>
      </c>
      <c r="G31" s="21">
        <f t="shared" si="2"/>
        <v>-0.11357149999821559</v>
      </c>
      <c r="I31" s="21">
        <f>+G31</f>
        <v>-0.11357149999821559</v>
      </c>
      <c r="O31" s="21">
        <f t="shared" ca="1" si="4"/>
        <v>-4.705358665318031E-2</v>
      </c>
      <c r="Q31" s="49">
        <f t="shared" si="5"/>
        <v>40962.246899999998</v>
      </c>
    </row>
    <row r="32" spans="1:18" x14ac:dyDescent="0.2">
      <c r="B32" s="3"/>
      <c r="C32" s="4"/>
      <c r="D32" s="4"/>
      <c r="Q32" s="2"/>
    </row>
    <row r="33" spans="2:17" x14ac:dyDescent="0.2">
      <c r="B33" s="3"/>
      <c r="C33" s="4"/>
      <c r="D33" s="4"/>
      <c r="Q33" s="2"/>
    </row>
    <row r="34" spans="2:17" x14ac:dyDescent="0.2">
      <c r="C34" s="4"/>
      <c r="D34" s="4"/>
    </row>
    <row r="35" spans="2:17" x14ac:dyDescent="0.2">
      <c r="C35" s="4"/>
      <c r="D35" s="4"/>
    </row>
    <row r="36" spans="2:17" x14ac:dyDescent="0.2">
      <c r="C36" s="4"/>
      <c r="D36" s="4"/>
    </row>
    <row r="37" spans="2:17" x14ac:dyDescent="0.2">
      <c r="C37" s="4"/>
      <c r="D37" s="4"/>
    </row>
    <row r="38" spans="2:17" x14ac:dyDescent="0.2">
      <c r="C38" s="4"/>
      <c r="D38" s="4"/>
    </row>
    <row r="39" spans="2:17" x14ac:dyDescent="0.2">
      <c r="C39" s="4"/>
      <c r="D39" s="4"/>
    </row>
    <row r="40" spans="2:17" x14ac:dyDescent="0.2">
      <c r="C40" s="4"/>
      <c r="D40" s="4"/>
    </row>
    <row r="41" spans="2:17" x14ac:dyDescent="0.2">
      <c r="C41" s="4"/>
      <c r="D41" s="4"/>
    </row>
    <row r="42" spans="2:17" x14ac:dyDescent="0.2">
      <c r="C42" s="4"/>
      <c r="D42" s="4"/>
    </row>
    <row r="43" spans="2:17" x14ac:dyDescent="0.2">
      <c r="C43" s="4"/>
      <c r="D43" s="4"/>
    </row>
    <row r="44" spans="2:17" x14ac:dyDescent="0.2">
      <c r="C44" s="4"/>
      <c r="D44" s="4"/>
    </row>
    <row r="45" spans="2:17" x14ac:dyDescent="0.2">
      <c r="C45" s="4"/>
      <c r="D45" s="4"/>
    </row>
    <row r="46" spans="2:17" x14ac:dyDescent="0.2">
      <c r="C46" s="4"/>
      <c r="D46" s="4"/>
    </row>
    <row r="47" spans="2:17" x14ac:dyDescent="0.2">
      <c r="C47" s="4"/>
      <c r="D47" s="4"/>
    </row>
    <row r="48" spans="2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9"/>
  <sheetViews>
    <sheetView workbookViewId="0">
      <selection activeCell="A12" sqref="A12:C20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7" t="s">
        <v>45</v>
      </c>
      <c r="I1" s="8" t="s">
        <v>46</v>
      </c>
      <c r="J1" s="9" t="s">
        <v>47</v>
      </c>
    </row>
    <row r="2" spans="1:16" x14ac:dyDescent="0.2">
      <c r="I2" s="10" t="s">
        <v>48</v>
      </c>
      <c r="J2" s="11" t="s">
        <v>49</v>
      </c>
    </row>
    <row r="3" spans="1:16" x14ac:dyDescent="0.2">
      <c r="A3" s="12" t="s">
        <v>50</v>
      </c>
      <c r="I3" s="10" t="s">
        <v>51</v>
      </c>
      <c r="J3" s="11" t="s">
        <v>52</v>
      </c>
    </row>
    <row r="4" spans="1:16" x14ac:dyDescent="0.2">
      <c r="I4" s="10" t="s">
        <v>53</v>
      </c>
      <c r="J4" s="11" t="s">
        <v>52</v>
      </c>
    </row>
    <row r="5" spans="1:16" ht="13.5" thickBot="1" x14ac:dyDescent="0.25">
      <c r="I5" s="13" t="s">
        <v>54</v>
      </c>
      <c r="J5" s="14" t="s">
        <v>55</v>
      </c>
    </row>
    <row r="10" spans="1:16" ht="13.5" thickBot="1" x14ac:dyDescent="0.25"/>
    <row r="11" spans="1:16" ht="12.75" customHeight="1" thickBot="1" x14ac:dyDescent="0.25">
      <c r="A11" s="4" t="str">
        <f t="shared" ref="A11:A20" si="0">P11</f>
        <v>IBVS 6029 </v>
      </c>
      <c r="B11" s="3" t="str">
        <f t="shared" ref="B11:B20" si="1">IF(H11=INT(H11),"I","II")</f>
        <v>I</v>
      </c>
      <c r="C11" s="4">
        <f t="shared" ref="C11:C20" si="2">1*G11</f>
        <v>55980.746899999998</v>
      </c>
      <c r="D11" s="5" t="str">
        <f t="shared" ref="D11:D20" si="3">VLOOKUP(F11,I$1:J$5,2,FALSE)</f>
        <v>vis</v>
      </c>
      <c r="E11" s="15">
        <f>VLOOKUP(C11,Active!C$21:E$973,3,FALSE)</f>
        <v>3520.8850946209086</v>
      </c>
      <c r="F11" s="3" t="s">
        <v>54</v>
      </c>
      <c r="G11" s="5" t="str">
        <f t="shared" ref="G11:G20" si="4">MID(I11,3,LEN(I11)-3)</f>
        <v>55980.7469</v>
      </c>
      <c r="H11" s="4">
        <f t="shared" ref="H11:H20" si="5">1*K11</f>
        <v>3521</v>
      </c>
      <c r="I11" s="16" t="s">
        <v>86</v>
      </c>
      <c r="J11" s="17" t="s">
        <v>87</v>
      </c>
      <c r="K11" s="16">
        <v>3521</v>
      </c>
      <c r="L11" s="16" t="s">
        <v>88</v>
      </c>
      <c r="M11" s="17" t="s">
        <v>89</v>
      </c>
      <c r="N11" s="17" t="s">
        <v>54</v>
      </c>
      <c r="O11" s="18" t="s">
        <v>90</v>
      </c>
      <c r="P11" s="19" t="s">
        <v>91</v>
      </c>
    </row>
    <row r="12" spans="1:16" ht="12.75" customHeight="1" thickBot="1" x14ac:dyDescent="0.25">
      <c r="A12" s="4" t="str">
        <f t="shared" si="0"/>
        <v> VSS 2.99 </v>
      </c>
      <c r="B12" s="3" t="str">
        <f t="shared" si="1"/>
        <v>II</v>
      </c>
      <c r="C12" s="4">
        <f t="shared" si="2"/>
        <v>26391.378000000001</v>
      </c>
      <c r="D12" s="5" t="str">
        <f t="shared" si="3"/>
        <v>vis</v>
      </c>
      <c r="E12" s="15">
        <f>VLOOKUP(C12,Active!C$21:E$973,3,FALSE)</f>
        <v>-26416.006208066334</v>
      </c>
      <c r="F12" s="3" t="s">
        <v>54</v>
      </c>
      <c r="G12" s="5" t="str">
        <f t="shared" si="4"/>
        <v>26391.378</v>
      </c>
      <c r="H12" s="4">
        <f t="shared" si="5"/>
        <v>-26416.5</v>
      </c>
      <c r="I12" s="16" t="s">
        <v>56</v>
      </c>
      <c r="J12" s="17" t="s">
        <v>57</v>
      </c>
      <c r="K12" s="16">
        <v>-26416.5</v>
      </c>
      <c r="L12" s="16" t="s">
        <v>58</v>
      </c>
      <c r="M12" s="17" t="s">
        <v>59</v>
      </c>
      <c r="N12" s="17"/>
      <c r="O12" s="18" t="s">
        <v>60</v>
      </c>
      <c r="P12" s="18" t="s">
        <v>61</v>
      </c>
    </row>
    <row r="13" spans="1:16" ht="12.75" customHeight="1" thickBot="1" x14ac:dyDescent="0.25">
      <c r="A13" s="4" t="str">
        <f t="shared" si="0"/>
        <v> VSS 2.99 </v>
      </c>
      <c r="B13" s="3" t="str">
        <f t="shared" si="1"/>
        <v>I</v>
      </c>
      <c r="C13" s="4">
        <f t="shared" si="2"/>
        <v>26770.36</v>
      </c>
      <c r="D13" s="5" t="str">
        <f t="shared" si="3"/>
        <v>vis</v>
      </c>
      <c r="E13" s="15">
        <f>VLOOKUP(C13,Active!C$21:E$973,3,FALSE)</f>
        <v>-26032.573125122988</v>
      </c>
      <c r="F13" s="3" t="s">
        <v>54</v>
      </c>
      <c r="G13" s="5" t="str">
        <f t="shared" si="4"/>
        <v>26770.360</v>
      </c>
      <c r="H13" s="4">
        <f t="shared" si="5"/>
        <v>-26033</v>
      </c>
      <c r="I13" s="16" t="s">
        <v>62</v>
      </c>
      <c r="J13" s="17" t="s">
        <v>63</v>
      </c>
      <c r="K13" s="16">
        <v>-26033</v>
      </c>
      <c r="L13" s="16" t="s">
        <v>64</v>
      </c>
      <c r="M13" s="17" t="s">
        <v>59</v>
      </c>
      <c r="N13" s="17"/>
      <c r="O13" s="18" t="s">
        <v>60</v>
      </c>
      <c r="P13" s="18" t="s">
        <v>61</v>
      </c>
    </row>
    <row r="14" spans="1:16" ht="12.75" customHeight="1" thickBot="1" x14ac:dyDescent="0.25">
      <c r="A14" s="4" t="str">
        <f t="shared" si="0"/>
        <v> VSS 2.99 </v>
      </c>
      <c r="B14" s="3" t="str">
        <f t="shared" si="1"/>
        <v>II</v>
      </c>
      <c r="C14" s="4">
        <f t="shared" si="2"/>
        <v>28267.327000000001</v>
      </c>
      <c r="D14" s="5" t="str">
        <f t="shared" si="3"/>
        <v>vis</v>
      </c>
      <c r="E14" s="15">
        <f>VLOOKUP(C14,Active!C$21:E$973,3,FALSE)</f>
        <v>-24518.024487260358</v>
      </c>
      <c r="F14" s="3" t="s">
        <v>54</v>
      </c>
      <c r="G14" s="5" t="str">
        <f t="shared" si="4"/>
        <v>28267.327</v>
      </c>
      <c r="H14" s="4">
        <f t="shared" si="5"/>
        <v>-24518.5</v>
      </c>
      <c r="I14" s="16" t="s">
        <v>65</v>
      </c>
      <c r="J14" s="17" t="s">
        <v>66</v>
      </c>
      <c r="K14" s="16">
        <v>-24518.5</v>
      </c>
      <c r="L14" s="16" t="s">
        <v>67</v>
      </c>
      <c r="M14" s="17" t="s">
        <v>59</v>
      </c>
      <c r="N14" s="17"/>
      <c r="O14" s="18" t="s">
        <v>60</v>
      </c>
      <c r="P14" s="18" t="s">
        <v>61</v>
      </c>
    </row>
    <row r="15" spans="1:16" ht="12.75" customHeight="1" thickBot="1" x14ac:dyDescent="0.25">
      <c r="A15" s="4" t="str">
        <f t="shared" si="0"/>
        <v> VSS 2.99 </v>
      </c>
      <c r="B15" s="3" t="str">
        <f t="shared" si="1"/>
        <v>II</v>
      </c>
      <c r="C15" s="4">
        <f t="shared" si="2"/>
        <v>28494.628000000001</v>
      </c>
      <c r="D15" s="5" t="str">
        <f t="shared" si="3"/>
        <v>vis</v>
      </c>
      <c r="E15" s="15">
        <f>VLOOKUP(C15,Active!C$21:E$973,3,FALSE)</f>
        <v>-24288.053873389235</v>
      </c>
      <c r="F15" s="3" t="s">
        <v>54</v>
      </c>
      <c r="G15" s="5" t="str">
        <f t="shared" si="4"/>
        <v>28494.628</v>
      </c>
      <c r="H15" s="4">
        <f t="shared" si="5"/>
        <v>-24288.5</v>
      </c>
      <c r="I15" s="16" t="s">
        <v>68</v>
      </c>
      <c r="J15" s="17" t="s">
        <v>69</v>
      </c>
      <c r="K15" s="16">
        <v>-24288.5</v>
      </c>
      <c r="L15" s="16" t="s">
        <v>70</v>
      </c>
      <c r="M15" s="17" t="s">
        <v>59</v>
      </c>
      <c r="N15" s="17"/>
      <c r="O15" s="18" t="s">
        <v>60</v>
      </c>
      <c r="P15" s="18" t="s">
        <v>61</v>
      </c>
    </row>
    <row r="16" spans="1:16" ht="12.75" customHeight="1" thickBot="1" x14ac:dyDescent="0.25">
      <c r="A16" s="4" t="str">
        <f t="shared" si="0"/>
        <v> VSS 2.99 </v>
      </c>
      <c r="B16" s="3" t="str">
        <f t="shared" si="1"/>
        <v>II</v>
      </c>
      <c r="C16" s="4">
        <f t="shared" si="2"/>
        <v>28496.595000000001</v>
      </c>
      <c r="D16" s="5" t="str">
        <f t="shared" si="3"/>
        <v>vis</v>
      </c>
      <c r="E16" s="15">
        <f>VLOOKUP(C16,Active!C$21:E$973,3,FALSE)</f>
        <v>-24286.063771289006</v>
      </c>
      <c r="F16" s="3" t="s">
        <v>54</v>
      </c>
      <c r="G16" s="5" t="str">
        <f t="shared" si="4"/>
        <v>28496.595</v>
      </c>
      <c r="H16" s="4">
        <f t="shared" si="5"/>
        <v>-24286.5</v>
      </c>
      <c r="I16" s="16" t="s">
        <v>71</v>
      </c>
      <c r="J16" s="17" t="s">
        <v>72</v>
      </c>
      <c r="K16" s="16">
        <v>-24286.5</v>
      </c>
      <c r="L16" s="16" t="s">
        <v>73</v>
      </c>
      <c r="M16" s="17" t="s">
        <v>59</v>
      </c>
      <c r="N16" s="17"/>
      <c r="O16" s="18" t="s">
        <v>60</v>
      </c>
      <c r="P16" s="18" t="s">
        <v>61</v>
      </c>
    </row>
    <row r="17" spans="1:16" ht="12.75" customHeight="1" thickBot="1" x14ac:dyDescent="0.25">
      <c r="A17" s="4" t="str">
        <f t="shared" si="0"/>
        <v> VSS 2.99 </v>
      </c>
      <c r="B17" s="3" t="str">
        <f t="shared" si="1"/>
        <v>II</v>
      </c>
      <c r="C17" s="4">
        <f t="shared" si="2"/>
        <v>28949.399000000001</v>
      </c>
      <c r="D17" s="5" t="str">
        <f t="shared" si="3"/>
        <v>vis</v>
      </c>
      <c r="E17" s="15">
        <f>VLOOKUP(C17,Active!C$21:E$973,3,FALSE)</f>
        <v>-23827.941660769033</v>
      </c>
      <c r="F17" s="3" t="s">
        <v>54</v>
      </c>
      <c r="G17" s="5" t="str">
        <f t="shared" si="4"/>
        <v>28949.399</v>
      </c>
      <c r="H17" s="4">
        <f t="shared" si="5"/>
        <v>-23828.5</v>
      </c>
      <c r="I17" s="16" t="s">
        <v>74</v>
      </c>
      <c r="J17" s="17" t="s">
        <v>75</v>
      </c>
      <c r="K17" s="16">
        <v>-23828.5</v>
      </c>
      <c r="L17" s="16" t="s">
        <v>76</v>
      </c>
      <c r="M17" s="17" t="s">
        <v>59</v>
      </c>
      <c r="N17" s="17"/>
      <c r="O17" s="18" t="s">
        <v>60</v>
      </c>
      <c r="P17" s="18" t="s">
        <v>61</v>
      </c>
    </row>
    <row r="18" spans="1:16" ht="12.75" customHeight="1" thickBot="1" x14ac:dyDescent="0.25">
      <c r="A18" s="4" t="str">
        <f t="shared" si="0"/>
        <v> VSS 2.99 </v>
      </c>
      <c r="B18" s="3" t="str">
        <f t="shared" si="1"/>
        <v>II</v>
      </c>
      <c r="C18" s="4">
        <f t="shared" si="2"/>
        <v>29943.69</v>
      </c>
      <c r="D18" s="5" t="str">
        <f t="shared" si="3"/>
        <v>vis</v>
      </c>
      <c r="E18" s="15">
        <f>VLOOKUP(C18,Active!C$21:E$973,3,FALSE)</f>
        <v>-22821.972872085604</v>
      </c>
      <c r="F18" s="3" t="s">
        <v>54</v>
      </c>
      <c r="G18" s="5" t="str">
        <f t="shared" si="4"/>
        <v>29943.690</v>
      </c>
      <c r="H18" s="4">
        <f t="shared" si="5"/>
        <v>-22822.5</v>
      </c>
      <c r="I18" s="16" t="s">
        <v>77</v>
      </c>
      <c r="J18" s="17" t="s">
        <v>78</v>
      </c>
      <c r="K18" s="16">
        <v>-22822.5</v>
      </c>
      <c r="L18" s="16" t="s">
        <v>79</v>
      </c>
      <c r="M18" s="17" t="s">
        <v>59</v>
      </c>
      <c r="N18" s="17"/>
      <c r="O18" s="18" t="s">
        <v>60</v>
      </c>
      <c r="P18" s="18" t="s">
        <v>61</v>
      </c>
    </row>
    <row r="19" spans="1:16" ht="12.75" customHeight="1" thickBot="1" x14ac:dyDescent="0.25">
      <c r="A19" s="4" t="str">
        <f t="shared" si="0"/>
        <v> VSS 2.99 </v>
      </c>
      <c r="B19" s="3" t="str">
        <f t="shared" si="1"/>
        <v>II</v>
      </c>
      <c r="C19" s="4">
        <f t="shared" si="2"/>
        <v>31503.420999999998</v>
      </c>
      <c r="D19" s="5" t="str">
        <f t="shared" si="3"/>
        <v>vis</v>
      </c>
      <c r="E19" s="15">
        <f>VLOOKUP(C19,Active!C$21:E$973,3,FALSE)</f>
        <v>-21243.923081086796</v>
      </c>
      <c r="F19" s="3" t="s">
        <v>54</v>
      </c>
      <c r="G19" s="5" t="str">
        <f t="shared" si="4"/>
        <v>31503.421</v>
      </c>
      <c r="H19" s="4">
        <f t="shared" si="5"/>
        <v>-21244.5</v>
      </c>
      <c r="I19" s="16" t="s">
        <v>80</v>
      </c>
      <c r="J19" s="17" t="s">
        <v>81</v>
      </c>
      <c r="K19" s="16">
        <v>-21244.5</v>
      </c>
      <c r="L19" s="16" t="s">
        <v>82</v>
      </c>
      <c r="M19" s="17" t="s">
        <v>59</v>
      </c>
      <c r="N19" s="17"/>
      <c r="O19" s="18" t="s">
        <v>60</v>
      </c>
      <c r="P19" s="18" t="s">
        <v>61</v>
      </c>
    </row>
    <row r="20" spans="1:16" ht="12.75" customHeight="1" thickBot="1" x14ac:dyDescent="0.25">
      <c r="A20" s="4" t="str">
        <f t="shared" si="0"/>
        <v> VSS 2.99 </v>
      </c>
      <c r="B20" s="3" t="str">
        <f t="shared" si="1"/>
        <v>II</v>
      </c>
      <c r="C20" s="4">
        <f t="shared" si="2"/>
        <v>32946.472999999998</v>
      </c>
      <c r="D20" s="5" t="str">
        <f t="shared" si="3"/>
        <v>vis</v>
      </c>
      <c r="E20" s="15">
        <f>VLOOKUP(C20,Active!C$21:E$973,3,FALSE)</f>
        <v>-19783.92266627141</v>
      </c>
      <c r="F20" s="3" t="s">
        <v>54</v>
      </c>
      <c r="G20" s="5" t="str">
        <f t="shared" si="4"/>
        <v>32946.473</v>
      </c>
      <c r="H20" s="4">
        <f t="shared" si="5"/>
        <v>-19784.5</v>
      </c>
      <c r="I20" s="16" t="s">
        <v>83</v>
      </c>
      <c r="J20" s="17" t="s">
        <v>84</v>
      </c>
      <c r="K20" s="16">
        <v>-19784.5</v>
      </c>
      <c r="L20" s="16" t="s">
        <v>85</v>
      </c>
      <c r="M20" s="17" t="s">
        <v>59</v>
      </c>
      <c r="N20" s="17"/>
      <c r="O20" s="18" t="s">
        <v>60</v>
      </c>
      <c r="P20" s="18" t="s">
        <v>61</v>
      </c>
    </row>
    <row r="21" spans="1:16" x14ac:dyDescent="0.2">
      <c r="B21" s="3"/>
      <c r="E21" s="15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</sheetData>
  <phoneticPr fontId="7" type="noConversion"/>
  <hyperlinks>
    <hyperlink ref="P11" r:id="rId1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2024-03-04T05:48:29Z</dcterms:modified>
</cp:coreProperties>
</file>