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D6FC3C1-9F13-411C-A6FB-765AD9A1E1EA}" xr6:coauthVersionLast="47" xr6:coauthVersionMax="47" xr10:uidLastSave="{00000000-0000-0000-0000-000000000000}"/>
  <bookViews>
    <workbookView xWindow="4035" yWindow="675" windowWidth="10215" windowHeight="1471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8" i="1" l="1"/>
  <c r="D9" i="1"/>
  <c r="C9" i="1"/>
  <c r="Q67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46" i="2"/>
  <c r="C46" i="2"/>
  <c r="G45" i="2"/>
  <c r="C45" i="2"/>
  <c r="G44" i="2"/>
  <c r="C44" i="2"/>
  <c r="G43" i="2"/>
  <c r="C43" i="2"/>
  <c r="G61" i="2"/>
  <c r="C61" i="2"/>
  <c r="G60" i="2"/>
  <c r="C60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61" i="2"/>
  <c r="D61" i="2"/>
  <c r="B61" i="2"/>
  <c r="A61" i="2"/>
  <c r="H60" i="2"/>
  <c r="D60" i="2"/>
  <c r="B60" i="2"/>
  <c r="A60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Q71" i="1"/>
  <c r="Q72" i="1"/>
  <c r="F16" i="1"/>
  <c r="C17" i="1"/>
  <c r="Q69" i="1"/>
  <c r="Q70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C8" i="1"/>
  <c r="C7" i="1"/>
  <c r="E26" i="1"/>
  <c r="F26" i="1"/>
  <c r="Q51" i="1"/>
  <c r="E12" i="2"/>
  <c r="E51" i="2"/>
  <c r="E56" i="2"/>
  <c r="E23" i="2"/>
  <c r="E13" i="2"/>
  <c r="E52" i="2"/>
  <c r="E35" i="2"/>
  <c r="E24" i="2"/>
  <c r="E45" i="2"/>
  <c r="E41" i="2"/>
  <c r="E11" i="2"/>
  <c r="E48" i="2"/>
  <c r="E26" i="2"/>
  <c r="E31" i="2"/>
  <c r="E37" i="2"/>
  <c r="E72" i="1"/>
  <c r="F72" i="1"/>
  <c r="E62" i="1"/>
  <c r="G55" i="1"/>
  <c r="I55" i="1"/>
  <c r="E53" i="1"/>
  <c r="F53" i="1"/>
  <c r="G53" i="1"/>
  <c r="I53" i="1"/>
  <c r="E45" i="1"/>
  <c r="E37" i="1"/>
  <c r="E31" i="1"/>
  <c r="F31" i="1"/>
  <c r="G31" i="1"/>
  <c r="I31" i="1"/>
  <c r="G25" i="1"/>
  <c r="I25" i="1"/>
  <c r="E23" i="1"/>
  <c r="F23" i="1"/>
  <c r="G23" i="1"/>
  <c r="I23" i="1"/>
  <c r="E69" i="1"/>
  <c r="F69" i="1"/>
  <c r="G60" i="1"/>
  <c r="I60" i="1"/>
  <c r="E58" i="1"/>
  <c r="F58" i="1"/>
  <c r="E50" i="1"/>
  <c r="F50" i="1"/>
  <c r="G50" i="1"/>
  <c r="I50" i="1"/>
  <c r="E42" i="1"/>
  <c r="F42" i="1"/>
  <c r="G42" i="1"/>
  <c r="I42" i="1"/>
  <c r="E34" i="1"/>
  <c r="F34" i="1"/>
  <c r="G30" i="1"/>
  <c r="I30" i="1"/>
  <c r="E28" i="1"/>
  <c r="F28" i="1"/>
  <c r="E64" i="1"/>
  <c r="F64" i="1"/>
  <c r="G64" i="1"/>
  <c r="J64" i="1"/>
  <c r="G57" i="1"/>
  <c r="I57" i="1"/>
  <c r="E55" i="1"/>
  <c r="F55" i="1"/>
  <c r="G49" i="1"/>
  <c r="I49" i="1"/>
  <c r="E47" i="1"/>
  <c r="F47" i="1"/>
  <c r="G47" i="1"/>
  <c r="I47" i="1"/>
  <c r="E39" i="1"/>
  <c r="F39" i="1"/>
  <c r="G39" i="1"/>
  <c r="I39" i="1"/>
  <c r="E33" i="1"/>
  <c r="F33" i="1"/>
  <c r="G33" i="1"/>
  <c r="I33" i="1"/>
  <c r="G27" i="1"/>
  <c r="I27" i="1"/>
  <c r="E25" i="1"/>
  <c r="F25" i="1"/>
  <c r="E71" i="1"/>
  <c r="F71" i="1"/>
  <c r="G71" i="1"/>
  <c r="K71" i="1"/>
  <c r="E60" i="1"/>
  <c r="F60" i="1"/>
  <c r="E52" i="1"/>
  <c r="F52" i="1"/>
  <c r="G52" i="1"/>
  <c r="I52" i="1"/>
  <c r="G46" i="1"/>
  <c r="I46" i="1"/>
  <c r="E44" i="1"/>
  <c r="F44" i="1"/>
  <c r="G44" i="1"/>
  <c r="I44" i="1"/>
  <c r="E36" i="1"/>
  <c r="F36" i="1"/>
  <c r="G36" i="1"/>
  <c r="I36" i="1"/>
  <c r="E30" i="1"/>
  <c r="F30" i="1"/>
  <c r="E22" i="1"/>
  <c r="F22" i="1"/>
  <c r="G22" i="1"/>
  <c r="I22" i="1"/>
  <c r="G70" i="1"/>
  <c r="K70" i="1"/>
  <c r="E66" i="1"/>
  <c r="F66" i="1"/>
  <c r="G66" i="1"/>
  <c r="J66" i="1"/>
  <c r="E57" i="1"/>
  <c r="F57" i="1"/>
  <c r="E49" i="1"/>
  <c r="F49" i="1"/>
  <c r="G43" i="1"/>
  <c r="I43" i="1"/>
  <c r="E41" i="1"/>
  <c r="F41" i="1"/>
  <c r="G41" i="1"/>
  <c r="I41" i="1"/>
  <c r="G35" i="1"/>
  <c r="I35" i="1"/>
  <c r="E68" i="1"/>
  <c r="F68" i="1"/>
  <c r="G68" i="1"/>
  <c r="K68" i="1"/>
  <c r="E27" i="1"/>
  <c r="F27" i="1"/>
  <c r="E61" i="1"/>
  <c r="F61" i="1"/>
  <c r="G65" i="1"/>
  <c r="J65" i="1"/>
  <c r="E63" i="1"/>
  <c r="F63" i="1"/>
  <c r="G63" i="1"/>
  <c r="J63" i="1"/>
  <c r="G56" i="1"/>
  <c r="I56" i="1"/>
  <c r="E54" i="1"/>
  <c r="E46" i="1"/>
  <c r="F46" i="1"/>
  <c r="E38" i="1"/>
  <c r="F38" i="1"/>
  <c r="G38" i="1"/>
  <c r="I38" i="1"/>
  <c r="G67" i="1"/>
  <c r="K67" i="1"/>
  <c r="E32" i="1"/>
  <c r="F32" i="1"/>
  <c r="G32" i="1"/>
  <c r="I32" i="1"/>
  <c r="G26" i="1"/>
  <c r="I26" i="1"/>
  <c r="E24" i="1"/>
  <c r="F24" i="1"/>
  <c r="G24" i="1"/>
  <c r="I24" i="1"/>
  <c r="G72" i="1"/>
  <c r="K72" i="1"/>
  <c r="E70" i="1"/>
  <c r="F70" i="1"/>
  <c r="E59" i="1"/>
  <c r="F59" i="1"/>
  <c r="G59" i="1"/>
  <c r="I59" i="1"/>
  <c r="E51" i="1"/>
  <c r="F51" i="1"/>
  <c r="G51" i="1"/>
  <c r="H51" i="1"/>
  <c r="E43" i="1"/>
  <c r="F43" i="1"/>
  <c r="E35" i="1"/>
  <c r="F35" i="1"/>
  <c r="E29" i="1"/>
  <c r="E21" i="1"/>
  <c r="G69" i="1"/>
  <c r="K69" i="1"/>
  <c r="E65" i="1"/>
  <c r="F65" i="1"/>
  <c r="G58" i="1"/>
  <c r="I58" i="1"/>
  <c r="E56" i="1"/>
  <c r="F56" i="1"/>
  <c r="E48" i="1"/>
  <c r="F48" i="1"/>
  <c r="G48" i="1"/>
  <c r="I48" i="1"/>
  <c r="E40" i="1"/>
  <c r="F40" i="1"/>
  <c r="G40" i="1"/>
  <c r="I40" i="1"/>
  <c r="G34" i="1"/>
  <c r="E67" i="1"/>
  <c r="F67" i="1"/>
  <c r="G28" i="1"/>
  <c r="I28" i="1"/>
  <c r="E42" i="2"/>
  <c r="E57" i="2"/>
  <c r="E32" i="2"/>
  <c r="F37" i="1"/>
  <c r="G37" i="1"/>
  <c r="E14" i="2"/>
  <c r="E21" i="2"/>
  <c r="E36" i="2"/>
  <c r="E18" i="2"/>
  <c r="E43" i="2"/>
  <c r="E61" i="2"/>
  <c r="F54" i="1"/>
  <c r="G54" i="1"/>
  <c r="I54" i="1"/>
  <c r="E30" i="2"/>
  <c r="E15" i="2"/>
  <c r="E25" i="2"/>
  <c r="E49" i="2"/>
  <c r="E39" i="2"/>
  <c r="E33" i="2"/>
  <c r="F45" i="1"/>
  <c r="G45" i="1"/>
  <c r="I45" i="1"/>
  <c r="E22" i="2"/>
  <c r="E60" i="2"/>
  <c r="E59" i="2"/>
  <c r="E20" i="2"/>
  <c r="E27" i="2"/>
  <c r="E34" i="2"/>
  <c r="E28" i="2"/>
  <c r="I34" i="1"/>
  <c r="F21" i="1"/>
  <c r="G21" i="1"/>
  <c r="I21" i="1"/>
  <c r="E47" i="2"/>
  <c r="F29" i="1"/>
  <c r="G29" i="1"/>
  <c r="I29" i="1"/>
  <c r="E55" i="2"/>
  <c r="E46" i="2"/>
  <c r="E54" i="2"/>
  <c r="E58" i="2"/>
  <c r="E44" i="2"/>
  <c r="E29" i="2"/>
  <c r="E17" i="2"/>
  <c r="E53" i="2"/>
  <c r="E40" i="2"/>
  <c r="E19" i="2"/>
  <c r="E50" i="2"/>
  <c r="F62" i="1"/>
  <c r="G62" i="1"/>
  <c r="J62" i="1"/>
  <c r="E38" i="2"/>
  <c r="E16" i="2"/>
  <c r="I37" i="1"/>
  <c r="C11" i="1"/>
  <c r="C12" i="1"/>
  <c r="O27" i="1" l="1"/>
  <c r="O32" i="1"/>
  <c r="O38" i="1"/>
  <c r="O63" i="1"/>
  <c r="O61" i="1"/>
  <c r="O25" i="1"/>
  <c r="O51" i="1"/>
  <c r="O47" i="1"/>
  <c r="O36" i="1"/>
  <c r="O48" i="1"/>
  <c r="O44" i="1"/>
  <c r="O68" i="1"/>
  <c r="O70" i="1"/>
  <c r="O37" i="1"/>
  <c r="O24" i="1"/>
  <c r="O41" i="1"/>
  <c r="O46" i="1"/>
  <c r="O28" i="1"/>
  <c r="O30" i="1"/>
  <c r="O55" i="1"/>
  <c r="O54" i="1"/>
  <c r="O34" i="1"/>
  <c r="O65" i="1"/>
  <c r="O42" i="1"/>
  <c r="O60" i="1"/>
  <c r="O45" i="1"/>
  <c r="O69" i="1"/>
  <c r="O39" i="1"/>
  <c r="O67" i="1"/>
  <c r="O72" i="1"/>
  <c r="O22" i="1"/>
  <c r="O66" i="1"/>
  <c r="O40" i="1"/>
  <c r="O26" i="1"/>
  <c r="C15" i="1"/>
  <c r="O29" i="1"/>
  <c r="O43" i="1"/>
  <c r="O58" i="1"/>
  <c r="O62" i="1"/>
  <c r="O52" i="1"/>
  <c r="O57" i="1"/>
  <c r="O21" i="1"/>
  <c r="O31" i="1"/>
  <c r="O53" i="1"/>
  <c r="O50" i="1"/>
  <c r="O56" i="1"/>
  <c r="O33" i="1"/>
  <c r="O49" i="1"/>
  <c r="O35" i="1"/>
  <c r="O71" i="1"/>
  <c r="O23" i="1"/>
  <c r="O64" i="1"/>
  <c r="O59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<sst xmlns="http://schemas.openxmlformats.org/spreadsheetml/2006/main" count="576" uniqueCount="266">
  <si>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</si>
  <si>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</si>
  <si>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</si>
  <si>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</si>
  <si>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</si>
  <si>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</si>
  <si>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</si>
  <si>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</si>
  <si>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</si>
  <si>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</si>
  <si>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</si>
  <si>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</si>
  <si>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</si>
  <si>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</si>
  <si>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</si>
  <si>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</si>
  <si>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</si>
  <si>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</si>
  <si>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</si>
  <si>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</si>
  <si>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</si>
  <si>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</si>
  <si>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</si>
  <si>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</si>
  <si>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</si>
  <si>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</si>
  <si>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</si>
  <si>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</si>
  <si>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</si>
  <si>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Bull.3</t>
  </si>
  <si>
    <t>B</t>
  </si>
  <si>
    <t>v</t>
  </si>
  <si>
    <t>BBSAG Bull.15</t>
  </si>
  <si>
    <t>BBSAG Bull.22</t>
  </si>
  <si>
    <t>Diethelm R</t>
  </si>
  <si>
    <t>BBSAG Bull.23</t>
  </si>
  <si>
    <t>BBSAG Bull.28</t>
  </si>
  <si>
    <t>BBSAG Bull.33</t>
  </si>
  <si>
    <t>BBSAG Bull.35</t>
  </si>
  <si>
    <t>BBSAG Bull.37</t>
  </si>
  <si>
    <t>BBSAG Bull.54</t>
  </si>
  <si>
    <t>BBSAG Bull.56</t>
  </si>
  <si>
    <t>BBSAG Bull.60</t>
  </si>
  <si>
    <t>BBSAG Bull.61</t>
  </si>
  <si>
    <t>BBSAG Bull.72</t>
  </si>
  <si>
    <t>BBSAG Bull.77</t>
  </si>
  <si>
    <t>BBSAG Bull.84</t>
  </si>
  <si>
    <t>BBSAG Bull.85</t>
  </si>
  <si>
    <t>BBSAG Bull.88</t>
  </si>
  <si>
    <t>BBSAG Bull.89</t>
  </si>
  <si>
    <t>BBSAG Bull.91</t>
  </si>
  <si>
    <t>BBSAG Bull.92</t>
  </si>
  <si>
    <t>BBSAG Bull.95</t>
  </si>
  <si>
    <t>Peter H</t>
  </si>
  <si>
    <t>BBSAG Bull.97</t>
  </si>
  <si>
    <t>BBSAG Bull.104</t>
  </si>
  <si>
    <t>BBSAG Bull.106</t>
  </si>
  <si>
    <t>BBSAG Bull.112</t>
  </si>
  <si>
    <t>BBSAG Bull.115</t>
  </si>
  <si>
    <t>K.Locher</t>
  </si>
  <si>
    <t>BBSAG 119</t>
  </si>
  <si>
    <t>K</t>
  </si>
  <si>
    <t>IBVS 5543</t>
  </si>
  <si>
    <t>I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</si>
  <si>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</si>
  <si>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</si>
  <si>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</si>
  <si>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</si>
  <si>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</si>
  <si>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</si>
  <si>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AK Ser / GSC 5672-0711</t>
  </si>
  <si>
    <t>EA/SD</t>
  </si>
  <si>
    <t>IBVS 5438</t>
  </si>
  <si>
    <t>Add cycle</t>
  </si>
  <si>
    <t>Old Cycle</t>
  </si>
  <si>
    <t>Start of linear fit &gt;&gt;&gt;&gt;&gt;&gt;&gt;&gt;&gt;&gt;&gt;&gt;&gt;&gt;&gt;&gt;&gt;&gt;&gt;&gt;&gt;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</si>
  <si>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</si>
  <si>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</si>
  <si>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</si>
  <si>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</si>
  <si>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</si>
  <si>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</si>
  <si>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</si>
  <si>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</si>
  <si>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</si>
  <si>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</si>
  <si>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</si>
  <si>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</si>
  <si>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</si>
  <si>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2423586.47 </t>
  </si>
  <si>
    <t> 15.06.1923 23:16 </t>
  </si>
  <si>
    <t> 0.15 </t>
  </si>
  <si>
    <t>P </t>
  </si>
  <si>
    <t> P.Shayn </t>
  </si>
  <si>
    <t> IODE 4.3.8 </t>
  </si>
  <si>
    <t>2423588.44 </t>
  </si>
  <si>
    <t> 17.06.1923 22:33 </t>
  </si>
  <si>
    <t> 0.20 </t>
  </si>
  <si>
    <t>2424705.35 </t>
  </si>
  <si>
    <t> 08.07.1926 20:24 </t>
  </si>
  <si>
    <t> 0.09 </t>
  </si>
  <si>
    <t>2426866.38 </t>
  </si>
  <si>
    <t> 07.06.1932 21:07 </t>
  </si>
  <si>
    <t> 0.14 </t>
  </si>
  <si>
    <t>2426916.36 </t>
  </si>
  <si>
    <t> 27.07.1932 20:38 </t>
  </si>
  <si>
    <t> 0.13 </t>
  </si>
  <si>
    <t>2431288.27 </t>
  </si>
  <si>
    <t> 16.07.1944 18:28 </t>
  </si>
  <si>
    <t>V </t>
  </si>
  <si>
    <t> W.Zessewitsch </t>
  </si>
  <si>
    <t>2431290.19 </t>
  </si>
  <si>
    <t> 18.07.1944 16:33 </t>
  </si>
  <si>
    <t>2431313.25 </t>
  </si>
  <si>
    <t> 10.08.1944 18:00 </t>
  </si>
  <si>
    <t> 0.08 </t>
  </si>
  <si>
    <t>2431315.21 </t>
  </si>
  <si>
    <t> 12.08.1944 17:02 </t>
  </si>
  <si>
    <t> 0.12 </t>
  </si>
  <si>
    <t>2431340.17 </t>
  </si>
  <si>
    <t> 06.09.1944 16:04 </t>
  </si>
  <si>
    <t>2431342.12 </t>
  </si>
  <si>
    <t> 08.09.1944 14:52 </t>
  </si>
  <si>
    <t> 0.11 </t>
  </si>
  <si>
    <t>2433418.472 </t>
  </si>
  <si>
    <t> 16.05.1950 23:19 </t>
  </si>
  <si>
    <t> 0.077 </t>
  </si>
  <si>
    <t> A.Szczepanowska </t>
  </si>
  <si>
    <t> AAC 5.77 </t>
  </si>
  <si>
    <t>2436348.472 </t>
  </si>
  <si>
    <t> 24.05.1958 23:19 </t>
  </si>
  <si>
    <t> 0.065 </t>
  </si>
  <si>
    <t> AA 9.47 </t>
  </si>
  <si>
    <t>2441487.479 </t>
  </si>
  <si>
    <t> 18.06.1972 23:29 </t>
  </si>
  <si>
    <t> 0.015 </t>
  </si>
  <si>
    <t> K.Locher </t>
  </si>
  <si>
    <t> BBS 3 </t>
  </si>
  <si>
    <t>2442183.453 </t>
  </si>
  <si>
    <t> 15.05.1974 22:52 </t>
  </si>
  <si>
    <t> BBS 15 </t>
  </si>
  <si>
    <t>2442552.573 </t>
  </si>
  <si>
    <t> 20.05.1975 01:45 </t>
  </si>
  <si>
    <t> 0.000 </t>
  </si>
  <si>
    <t> BBS 22 </t>
  </si>
  <si>
    <t>2442606.412 </t>
  </si>
  <si>
    <t> 12.07.1975 21:53 </t>
  </si>
  <si>
    <t> 0.007 </t>
  </si>
  <si>
    <t> R.Diethelm </t>
  </si>
  <si>
    <t> BBS 23 </t>
  </si>
  <si>
    <t>2442629.477 </t>
  </si>
  <si>
    <t> 04.08.1975 23:26 </t>
  </si>
  <si>
    <t> 0.001 </t>
  </si>
  <si>
    <t>2442631.400 </t>
  </si>
  <si>
    <t> 06.08.1975 21:36 </t>
  </si>
  <si>
    <t>2442900.562 </t>
  </si>
  <si>
    <t> 02.05.1976 01:29 </t>
  </si>
  <si>
    <t> 0.002 </t>
  </si>
  <si>
    <t> BBS 28 </t>
  </si>
  <si>
    <t>2442950.551 </t>
  </si>
  <si>
    <t> 21.06.1976 01:13 </t>
  </si>
  <si>
    <t> 0.004 </t>
  </si>
  <si>
    <t>2443275.467 </t>
  </si>
  <si>
    <t> 11.05.1977 23:12 </t>
  </si>
  <si>
    <t> BBS 33 </t>
  </si>
  <si>
    <t>2443402.346 </t>
  </si>
  <si>
    <t> 15.09.1977 20:18 </t>
  </si>
  <si>
    <t> -0.007 </t>
  </si>
  <si>
    <t> BBS 35 </t>
  </si>
  <si>
    <t>2443671.510 </t>
  </si>
  <si>
    <t> 12.06.1978 00:14 </t>
  </si>
  <si>
    <t> -0.004 </t>
  </si>
  <si>
    <t> BBS 37 </t>
  </si>
  <si>
    <t>2444711.627 </t>
  </si>
  <si>
    <t> 17.04.1981 03:02 </t>
  </si>
  <si>
    <t> BBS 54 </t>
  </si>
  <si>
    <t>2444842.362 </t>
  </si>
  <si>
    <t> 25.08.1981 20:41 </t>
  </si>
  <si>
    <t> BBS 56 </t>
  </si>
  <si>
    <t>2445061.533 </t>
  </si>
  <si>
    <t> 02.04.1982 00:47 </t>
  </si>
  <si>
    <t> BBS 60 </t>
  </si>
  <si>
    <t>2445111.534 </t>
  </si>
  <si>
    <t> 22.05.1982 00:48 </t>
  </si>
  <si>
    <t>2445138.445 </t>
  </si>
  <si>
    <t> 17.06.1982 22:40 </t>
  </si>
  <si>
    <t> BBS 61 </t>
  </si>
  <si>
    <t>2445830.573 </t>
  </si>
  <si>
    <t> 10.05.1984 01:45 </t>
  </si>
  <si>
    <t> BBS 72 </t>
  </si>
  <si>
    <t>2446255.462 </t>
  </si>
  <si>
    <t> 08.07.1985 23:05 </t>
  </si>
  <si>
    <t> BBS 77 </t>
  </si>
  <si>
    <t>2446974.512 </t>
  </si>
  <si>
    <t> 28.06.1987 00:17 </t>
  </si>
  <si>
    <t> 0.005 </t>
  </si>
  <si>
    <t> BBS 84 </t>
  </si>
  <si>
    <t>2447028.348 </t>
  </si>
  <si>
    <t> 20.08.1987 20:21 </t>
  </si>
  <si>
    <t> 0.009 </t>
  </si>
  <si>
    <t> BBS 85 </t>
  </si>
  <si>
    <t>2447322.499 </t>
  </si>
  <si>
    <t> 09.06.1988 23:58 </t>
  </si>
  <si>
    <t> BBS 88 </t>
  </si>
  <si>
    <t>2447401.324 </t>
  </si>
  <si>
    <t> 27.08.1988 19:46 </t>
  </si>
  <si>
    <t> BBS 89 </t>
  </si>
  <si>
    <t>2447591.666 </t>
  </si>
  <si>
    <t> 06.03.1989 03:59 </t>
  </si>
  <si>
    <t> 0.011 </t>
  </si>
  <si>
    <t> BBS 91 </t>
  </si>
  <si>
    <t>2447747.387 </t>
  </si>
  <si>
    <t> 08.08.1989 21:17 </t>
  </si>
  <si>
    <t> 0.003 </t>
  </si>
  <si>
    <t> BBS 92 </t>
  </si>
  <si>
    <t>2448016.551 </t>
  </si>
  <si>
    <t> 05.05.1990 01:13 </t>
  </si>
  <si>
    <t> 0.006 </t>
  </si>
  <si>
    <t> BBS 95 </t>
  </si>
  <si>
    <t>2448068.471 </t>
  </si>
  <si>
    <t> 25.06.1990 23:18 </t>
  </si>
  <si>
    <t> 0.016 </t>
  </si>
  <si>
    <t> H.Peter </t>
  </si>
  <si>
    <t>2448362.599 </t>
  </si>
  <si>
    <t> 16.04.1991 02:22 </t>
  </si>
  <si>
    <t> -0.011 </t>
  </si>
  <si>
    <t> BBS 97 </t>
  </si>
  <si>
    <t>2449133.568 </t>
  </si>
  <si>
    <t> 26.05.1993 01:37 </t>
  </si>
  <si>
    <t> BBS 104 </t>
  </si>
  <si>
    <t>2449479.633 </t>
  </si>
  <si>
    <t> 07.05.1994 03:11 </t>
  </si>
  <si>
    <t> BBS 106 </t>
  </si>
  <si>
    <t>2450252.522 </t>
  </si>
  <si>
    <t> 18.06.1996 00:31 </t>
  </si>
  <si>
    <t> BBS 112 </t>
  </si>
  <si>
    <t>2450598.587 </t>
  </si>
  <si>
    <t> 30.05.1997 02:05 </t>
  </si>
  <si>
    <t> 0.017 </t>
  </si>
  <si>
    <t> BBS 115 </t>
  </si>
  <si>
    <t>2451077.314 </t>
  </si>
  <si>
    <t> 20.09.1998 19:32 </t>
  </si>
  <si>
    <t> 0.021 </t>
  </si>
  <si>
    <t> BBS 119 </t>
  </si>
  <si>
    <t>2451742.516 </t>
  </si>
  <si>
    <t> 17.07.2000 00:23 </t>
  </si>
  <si>
    <t> BBS 123 </t>
  </si>
  <si>
    <t>2452465.423 </t>
  </si>
  <si>
    <t> 09.07.2002 22:09 </t>
  </si>
  <si>
    <t> 0.028 </t>
  </si>
  <si>
    <t> BBS 128 </t>
  </si>
  <si>
    <t>2452813.409 </t>
  </si>
  <si>
    <t> 22.06.2003 21:48 </t>
  </si>
  <si>
    <t> 0.027 </t>
  </si>
  <si>
    <t> BBS 129 </t>
  </si>
  <si>
    <t>2453080.646 </t>
  </si>
  <si>
    <t> 16.03.2004 03:30 </t>
  </si>
  <si>
    <t> 0.025 </t>
  </si>
  <si>
    <t> BBS 130 </t>
  </si>
  <si>
    <t>2453530.524 </t>
  </si>
  <si>
    <t> 09.06.2005 00:34 </t>
  </si>
  <si>
    <t> 0.019 </t>
  </si>
  <si>
    <t>OEJV 0003 </t>
  </si>
  <si>
    <t>2453557.450 </t>
  </si>
  <si>
    <t> 05.07.2005 22:48 </t>
  </si>
  <si>
    <t> 0.029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</si>
</sst>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5">
    <xf numFmtId="0" fontId="0" fillId="0" borderId="0" xfId="0" applyAlignment="1"/>
    <xf numFmtId="14" fontId="0" fillId="0" borderId="0" xfId="0" applyNumberForma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Ser - O-C Diagr.</a:t>
            </a:r>
          </a:p>
        </c:rich>
      </c:tx>
      <c:layout>
        <c:manualLayout>
          <c:xMode val="edge"/>
          <c:yMode val="edge"/>
          <c:x val="0.3450417561441183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582652277824241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-11791</c:v>
                </c:pt>
                <c:pt idx="1">
                  <c:v>-11790</c:v>
                </c:pt>
                <c:pt idx="2">
                  <c:v>-11209</c:v>
                </c:pt>
                <c:pt idx="3">
                  <c:v>-10085</c:v>
                </c:pt>
                <c:pt idx="4">
                  <c:v>-10059</c:v>
                </c:pt>
                <c:pt idx="5">
                  <c:v>-7785</c:v>
                </c:pt>
                <c:pt idx="6">
                  <c:v>-7784</c:v>
                </c:pt>
                <c:pt idx="7">
                  <c:v>-7772</c:v>
                </c:pt>
                <c:pt idx="8">
                  <c:v>-7771</c:v>
                </c:pt>
                <c:pt idx="9">
                  <c:v>-7758</c:v>
                </c:pt>
                <c:pt idx="10">
                  <c:v>-7757</c:v>
                </c:pt>
                <c:pt idx="11">
                  <c:v>-6677</c:v>
                </c:pt>
                <c:pt idx="12">
                  <c:v>-5153</c:v>
                </c:pt>
                <c:pt idx="13">
                  <c:v>-2480</c:v>
                </c:pt>
                <c:pt idx="14">
                  <c:v>-2118</c:v>
                </c:pt>
                <c:pt idx="15">
                  <c:v>-1926</c:v>
                </c:pt>
                <c:pt idx="16">
                  <c:v>-1898</c:v>
                </c:pt>
                <c:pt idx="17">
                  <c:v>-1886</c:v>
                </c:pt>
                <c:pt idx="18">
                  <c:v>-1885</c:v>
                </c:pt>
                <c:pt idx="19">
                  <c:v>-1745</c:v>
                </c:pt>
                <c:pt idx="20">
                  <c:v>-1719</c:v>
                </c:pt>
                <c:pt idx="21">
                  <c:v>-1550</c:v>
                </c:pt>
                <c:pt idx="22">
                  <c:v>-1484</c:v>
                </c:pt>
                <c:pt idx="23">
                  <c:v>-1344</c:v>
                </c:pt>
                <c:pt idx="24">
                  <c:v>-803</c:v>
                </c:pt>
                <c:pt idx="25">
                  <c:v>-735</c:v>
                </c:pt>
                <c:pt idx="26">
                  <c:v>-621</c:v>
                </c:pt>
                <c:pt idx="27">
                  <c:v>-595</c:v>
                </c:pt>
                <c:pt idx="28">
                  <c:v>-581</c:v>
                </c:pt>
                <c:pt idx="29">
                  <c:v>-221</c:v>
                </c:pt>
                <c:pt idx="30">
                  <c:v>0</c:v>
                </c:pt>
                <c:pt idx="31">
                  <c:v>0</c:v>
                </c:pt>
                <c:pt idx="32">
                  <c:v>374</c:v>
                </c:pt>
                <c:pt idx="33">
                  <c:v>402</c:v>
                </c:pt>
                <c:pt idx="34">
                  <c:v>555</c:v>
                </c:pt>
                <c:pt idx="35">
                  <c:v>596</c:v>
                </c:pt>
                <c:pt idx="36">
                  <c:v>695</c:v>
                </c:pt>
                <c:pt idx="37">
                  <c:v>776</c:v>
                </c:pt>
                <c:pt idx="38">
                  <c:v>916</c:v>
                </c:pt>
                <c:pt idx="39">
                  <c:v>943</c:v>
                </c:pt>
                <c:pt idx="40">
                  <c:v>1096</c:v>
                </c:pt>
                <c:pt idx="41">
                  <c:v>1497</c:v>
                </c:pt>
                <c:pt idx="42">
                  <c:v>1677</c:v>
                </c:pt>
                <c:pt idx="43">
                  <c:v>2079</c:v>
                </c:pt>
                <c:pt idx="44">
                  <c:v>2259</c:v>
                </c:pt>
                <c:pt idx="45">
                  <c:v>2508</c:v>
                </c:pt>
                <c:pt idx="46">
                  <c:v>2854</c:v>
                </c:pt>
                <c:pt idx="47">
                  <c:v>3230</c:v>
                </c:pt>
                <c:pt idx="48">
                  <c:v>3411</c:v>
                </c:pt>
                <c:pt idx="49">
                  <c:v>3550</c:v>
                </c:pt>
                <c:pt idx="50">
                  <c:v>3784</c:v>
                </c:pt>
                <c:pt idx="51">
                  <c:v>3798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EF-44B6-8DD0-C481BCA391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-11791</c:v>
                </c:pt>
                <c:pt idx="1">
                  <c:v>-11790</c:v>
                </c:pt>
                <c:pt idx="2">
                  <c:v>-11209</c:v>
                </c:pt>
                <c:pt idx="3">
                  <c:v>-10085</c:v>
                </c:pt>
                <c:pt idx="4">
                  <c:v>-10059</c:v>
                </c:pt>
                <c:pt idx="5">
                  <c:v>-7785</c:v>
                </c:pt>
                <c:pt idx="6">
                  <c:v>-7784</c:v>
                </c:pt>
                <c:pt idx="7">
                  <c:v>-7772</c:v>
                </c:pt>
                <c:pt idx="8">
                  <c:v>-7771</c:v>
                </c:pt>
                <c:pt idx="9">
                  <c:v>-7758</c:v>
                </c:pt>
                <c:pt idx="10">
                  <c:v>-7757</c:v>
                </c:pt>
                <c:pt idx="11">
                  <c:v>-6677</c:v>
                </c:pt>
                <c:pt idx="12">
                  <c:v>-5153</c:v>
                </c:pt>
                <c:pt idx="13">
                  <c:v>-2480</c:v>
                </c:pt>
                <c:pt idx="14">
                  <c:v>-2118</c:v>
                </c:pt>
                <c:pt idx="15">
                  <c:v>-1926</c:v>
                </c:pt>
                <c:pt idx="16">
                  <c:v>-1898</c:v>
                </c:pt>
                <c:pt idx="17">
                  <c:v>-1886</c:v>
                </c:pt>
                <c:pt idx="18">
                  <c:v>-1885</c:v>
                </c:pt>
                <c:pt idx="19">
                  <c:v>-1745</c:v>
                </c:pt>
                <c:pt idx="20">
                  <c:v>-1719</c:v>
                </c:pt>
                <c:pt idx="21">
                  <c:v>-1550</c:v>
                </c:pt>
                <c:pt idx="22">
                  <c:v>-1484</c:v>
                </c:pt>
                <c:pt idx="23">
                  <c:v>-1344</c:v>
                </c:pt>
                <c:pt idx="24">
                  <c:v>-803</c:v>
                </c:pt>
                <c:pt idx="25">
                  <c:v>-735</c:v>
                </c:pt>
                <c:pt idx="26">
                  <c:v>-621</c:v>
                </c:pt>
                <c:pt idx="27">
                  <c:v>-595</c:v>
                </c:pt>
                <c:pt idx="28">
                  <c:v>-581</c:v>
                </c:pt>
                <c:pt idx="29">
                  <c:v>-221</c:v>
                </c:pt>
                <c:pt idx="30">
                  <c:v>0</c:v>
                </c:pt>
                <c:pt idx="31">
                  <c:v>0</c:v>
                </c:pt>
                <c:pt idx="32">
                  <c:v>374</c:v>
                </c:pt>
                <c:pt idx="33">
                  <c:v>402</c:v>
                </c:pt>
                <c:pt idx="34">
                  <c:v>555</c:v>
                </c:pt>
                <c:pt idx="35">
                  <c:v>596</c:v>
                </c:pt>
                <c:pt idx="36">
                  <c:v>695</c:v>
                </c:pt>
                <c:pt idx="37">
                  <c:v>776</c:v>
                </c:pt>
                <c:pt idx="38">
                  <c:v>916</c:v>
                </c:pt>
                <c:pt idx="39">
                  <c:v>943</c:v>
                </c:pt>
                <c:pt idx="40">
                  <c:v>1096</c:v>
                </c:pt>
                <c:pt idx="41">
                  <c:v>1497</c:v>
                </c:pt>
                <c:pt idx="42">
                  <c:v>1677</c:v>
                </c:pt>
                <c:pt idx="43">
                  <c:v>2079</c:v>
                </c:pt>
                <c:pt idx="44">
                  <c:v>2259</c:v>
                </c:pt>
                <c:pt idx="45">
                  <c:v>2508</c:v>
                </c:pt>
                <c:pt idx="46">
                  <c:v>2854</c:v>
                </c:pt>
                <c:pt idx="47">
                  <c:v>3230</c:v>
                </c:pt>
                <c:pt idx="48">
                  <c:v>3411</c:v>
                </c:pt>
                <c:pt idx="49">
                  <c:v>3550</c:v>
                </c:pt>
                <c:pt idx="50">
                  <c:v>3784</c:v>
                </c:pt>
                <c:pt idx="51">
                  <c:v>3798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0.14877999999953317</c:v>
                </c:pt>
                <c:pt idx="1">
                  <c:v>0.19619999999849824</c:v>
                </c:pt>
                <c:pt idx="2">
                  <c:v>8.721999999761465E-2</c:v>
                </c:pt>
                <c:pt idx="3">
                  <c:v>0.13730000000214204</c:v>
                </c:pt>
                <c:pt idx="4">
                  <c:v>0.13021999999909895</c:v>
                </c:pt>
                <c:pt idx="5">
                  <c:v>9.330000000045402E-2</c:v>
                </c:pt>
                <c:pt idx="6">
                  <c:v>9.0719999996508704E-2</c:v>
                </c:pt>
                <c:pt idx="7">
                  <c:v>7.9760000000533182E-2</c:v>
                </c:pt>
                <c:pt idx="8">
                  <c:v>0.11718000000109896</c:v>
                </c:pt>
                <c:pt idx="9">
                  <c:v>8.3639999997103587E-2</c:v>
                </c:pt>
                <c:pt idx="10">
                  <c:v>0.11105999999927008</c:v>
                </c:pt>
                <c:pt idx="11">
                  <c:v>7.6659999998810235E-2</c:v>
                </c:pt>
                <c:pt idx="12">
                  <c:v>6.4740000001620501E-2</c:v>
                </c:pt>
                <c:pt idx="13">
                  <c:v>1.5399999996589031E-2</c:v>
                </c:pt>
                <c:pt idx="14">
                  <c:v>1.5440000002854504E-2</c:v>
                </c:pt>
                <c:pt idx="15">
                  <c:v>7.9999997979030013E-5</c:v>
                </c:pt>
                <c:pt idx="16">
                  <c:v>6.8399999945540912E-3</c:v>
                </c:pt>
                <c:pt idx="17">
                  <c:v>8.7999999959720299E-4</c:v>
                </c:pt>
                <c:pt idx="18">
                  <c:v>1.3000000035390258E-3</c:v>
                </c:pt>
                <c:pt idx="19">
                  <c:v>2.0999999978812411E-3</c:v>
                </c:pt>
                <c:pt idx="20">
                  <c:v>4.0200000003096648E-3</c:v>
                </c:pt>
                <c:pt idx="21">
                  <c:v>3.9999999935389496E-3</c:v>
                </c:pt>
                <c:pt idx="22">
                  <c:v>-7.2800000052666292E-3</c:v>
                </c:pt>
                <c:pt idx="23">
                  <c:v>-4.4799999959650449E-3</c:v>
                </c:pt>
                <c:pt idx="24">
                  <c:v>-3.2599999976810068E-3</c:v>
                </c:pt>
                <c:pt idx="25">
                  <c:v>-3.7000000011175871E-3</c:v>
                </c:pt>
                <c:pt idx="26">
                  <c:v>-6.8199999950593337E-3</c:v>
                </c:pt>
                <c:pt idx="27">
                  <c:v>7.100000002537854E-3</c:v>
                </c:pt>
                <c:pt idx="28">
                  <c:v>1.9800000009126961E-3</c:v>
                </c:pt>
                <c:pt idx="29">
                  <c:v>1.1799999992945231E-3</c:v>
                </c:pt>
                <c:pt idx="31">
                  <c:v>0</c:v>
                </c:pt>
                <c:pt idx="32">
                  <c:v>5.0800000026356429E-3</c:v>
                </c:pt>
                <c:pt idx="33">
                  <c:v>8.8399999949615449E-3</c:v>
                </c:pt>
                <c:pt idx="34">
                  <c:v>5.1000000021304004E-3</c:v>
                </c:pt>
                <c:pt idx="35">
                  <c:v>4.3200000000069849E-3</c:v>
                </c:pt>
                <c:pt idx="36">
                  <c:v>1.0900000001129229E-2</c:v>
                </c:pt>
                <c:pt idx="37">
                  <c:v>2.9200000062701292E-3</c:v>
                </c:pt>
                <c:pt idx="38">
                  <c:v>5.7200000010197982E-3</c:v>
                </c:pt>
                <c:pt idx="39">
                  <c:v>1.6060000001743902E-2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EF-44B6-8DD0-C481BCA391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Active!$D$21:$D$1286</c:f>
                <c:numCache>
                  <c:formatCode>General</c:formatCode>
                  <c:ptCount val="1266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plus>
            <c:minus>
              <c:numRef>
                <c:f>Active!$D$21:$D$1286</c:f>
                <c:numCache>
                  <c:formatCode>General</c:formatCode>
                  <c:ptCount val="1266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-11791</c:v>
                </c:pt>
                <c:pt idx="1">
                  <c:v>-11790</c:v>
                </c:pt>
                <c:pt idx="2">
                  <c:v>-11209</c:v>
                </c:pt>
                <c:pt idx="3">
                  <c:v>-10085</c:v>
                </c:pt>
                <c:pt idx="4">
                  <c:v>-10059</c:v>
                </c:pt>
                <c:pt idx="5">
                  <c:v>-7785</c:v>
                </c:pt>
                <c:pt idx="6">
                  <c:v>-7784</c:v>
                </c:pt>
                <c:pt idx="7">
                  <c:v>-7772</c:v>
                </c:pt>
                <c:pt idx="8">
                  <c:v>-7771</c:v>
                </c:pt>
                <c:pt idx="9">
                  <c:v>-7758</c:v>
                </c:pt>
                <c:pt idx="10">
                  <c:v>-7757</c:v>
                </c:pt>
                <c:pt idx="11">
                  <c:v>-6677</c:v>
                </c:pt>
                <c:pt idx="12">
                  <c:v>-5153</c:v>
                </c:pt>
                <c:pt idx="13">
                  <c:v>-2480</c:v>
                </c:pt>
                <c:pt idx="14">
                  <c:v>-2118</c:v>
                </c:pt>
                <c:pt idx="15">
                  <c:v>-1926</c:v>
                </c:pt>
                <c:pt idx="16">
                  <c:v>-1898</c:v>
                </c:pt>
                <c:pt idx="17">
                  <c:v>-1886</c:v>
                </c:pt>
                <c:pt idx="18">
                  <c:v>-1885</c:v>
                </c:pt>
                <c:pt idx="19">
                  <c:v>-1745</c:v>
                </c:pt>
                <c:pt idx="20">
                  <c:v>-1719</c:v>
                </c:pt>
                <c:pt idx="21">
                  <c:v>-1550</c:v>
                </c:pt>
                <c:pt idx="22">
                  <c:v>-1484</c:v>
                </c:pt>
                <c:pt idx="23">
                  <c:v>-1344</c:v>
                </c:pt>
                <c:pt idx="24">
                  <c:v>-803</c:v>
                </c:pt>
                <c:pt idx="25">
                  <c:v>-735</c:v>
                </c:pt>
                <c:pt idx="26">
                  <c:v>-621</c:v>
                </c:pt>
                <c:pt idx="27">
                  <c:v>-595</c:v>
                </c:pt>
                <c:pt idx="28">
                  <c:v>-581</c:v>
                </c:pt>
                <c:pt idx="29">
                  <c:v>-221</c:v>
                </c:pt>
                <c:pt idx="30">
                  <c:v>0</c:v>
                </c:pt>
                <c:pt idx="31">
                  <c:v>0</c:v>
                </c:pt>
                <c:pt idx="32">
                  <c:v>374</c:v>
                </c:pt>
                <c:pt idx="33">
                  <c:v>402</c:v>
                </c:pt>
                <c:pt idx="34">
                  <c:v>555</c:v>
                </c:pt>
                <c:pt idx="35">
                  <c:v>596</c:v>
                </c:pt>
                <c:pt idx="36">
                  <c:v>695</c:v>
                </c:pt>
                <c:pt idx="37">
                  <c:v>776</c:v>
                </c:pt>
                <c:pt idx="38">
                  <c:v>916</c:v>
                </c:pt>
                <c:pt idx="39">
                  <c:v>943</c:v>
                </c:pt>
                <c:pt idx="40">
                  <c:v>1096</c:v>
                </c:pt>
                <c:pt idx="41">
                  <c:v>1497</c:v>
                </c:pt>
                <c:pt idx="42">
                  <c:v>1677</c:v>
                </c:pt>
                <c:pt idx="43">
                  <c:v>2079</c:v>
                </c:pt>
                <c:pt idx="44">
                  <c:v>2259</c:v>
                </c:pt>
                <c:pt idx="45">
                  <c:v>2508</c:v>
                </c:pt>
                <c:pt idx="46">
                  <c:v>2854</c:v>
                </c:pt>
                <c:pt idx="47">
                  <c:v>3230</c:v>
                </c:pt>
                <c:pt idx="48">
                  <c:v>3411</c:v>
                </c:pt>
                <c:pt idx="49">
                  <c:v>3550</c:v>
                </c:pt>
                <c:pt idx="50">
                  <c:v>3784</c:v>
                </c:pt>
                <c:pt idx="51">
                  <c:v>3798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0">
                  <c:v>-1.0679999999410938E-2</c:v>
                </c:pt>
                <c:pt idx="41">
                  <c:v>3.7400000001071021E-3</c:v>
                </c:pt>
                <c:pt idx="42">
                  <c:v>4.3399999995017424E-3</c:v>
                </c:pt>
                <c:pt idx="43">
                  <c:v>1.6179999998712447E-2</c:v>
                </c:pt>
                <c:pt idx="44">
                  <c:v>1.6779999998107087E-2</c:v>
                </c:pt>
                <c:pt idx="45">
                  <c:v>2.1359999998821877E-2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EF-44B6-8DD0-C481BCA391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-11791</c:v>
                </c:pt>
                <c:pt idx="1">
                  <c:v>-11790</c:v>
                </c:pt>
                <c:pt idx="2">
                  <c:v>-11209</c:v>
                </c:pt>
                <c:pt idx="3">
                  <c:v>-10085</c:v>
                </c:pt>
                <c:pt idx="4">
                  <c:v>-10059</c:v>
                </c:pt>
                <c:pt idx="5">
                  <c:v>-7785</c:v>
                </c:pt>
                <c:pt idx="6">
                  <c:v>-7784</c:v>
                </c:pt>
                <c:pt idx="7">
                  <c:v>-7772</c:v>
                </c:pt>
                <c:pt idx="8">
                  <c:v>-7771</c:v>
                </c:pt>
                <c:pt idx="9">
                  <c:v>-7758</c:v>
                </c:pt>
                <c:pt idx="10">
                  <c:v>-7757</c:v>
                </c:pt>
                <c:pt idx="11">
                  <c:v>-6677</c:v>
                </c:pt>
                <c:pt idx="12">
                  <c:v>-5153</c:v>
                </c:pt>
                <c:pt idx="13">
                  <c:v>-2480</c:v>
                </c:pt>
                <c:pt idx="14">
                  <c:v>-2118</c:v>
                </c:pt>
                <c:pt idx="15">
                  <c:v>-1926</c:v>
                </c:pt>
                <c:pt idx="16">
                  <c:v>-1898</c:v>
                </c:pt>
                <c:pt idx="17">
                  <c:v>-1886</c:v>
                </c:pt>
                <c:pt idx="18">
                  <c:v>-1885</c:v>
                </c:pt>
                <c:pt idx="19">
                  <c:v>-1745</c:v>
                </c:pt>
                <c:pt idx="20">
                  <c:v>-1719</c:v>
                </c:pt>
                <c:pt idx="21">
                  <c:v>-1550</c:v>
                </c:pt>
                <c:pt idx="22">
                  <c:v>-1484</c:v>
                </c:pt>
                <c:pt idx="23">
                  <c:v>-1344</c:v>
                </c:pt>
                <c:pt idx="24">
                  <c:v>-803</c:v>
                </c:pt>
                <c:pt idx="25">
                  <c:v>-735</c:v>
                </c:pt>
                <c:pt idx="26">
                  <c:v>-621</c:v>
                </c:pt>
                <c:pt idx="27">
                  <c:v>-595</c:v>
                </c:pt>
                <c:pt idx="28">
                  <c:v>-581</c:v>
                </c:pt>
                <c:pt idx="29">
                  <c:v>-221</c:v>
                </c:pt>
                <c:pt idx="30">
                  <c:v>0</c:v>
                </c:pt>
                <c:pt idx="31">
                  <c:v>0</c:v>
                </c:pt>
                <c:pt idx="32">
                  <c:v>374</c:v>
                </c:pt>
                <c:pt idx="33">
                  <c:v>402</c:v>
                </c:pt>
                <c:pt idx="34">
                  <c:v>555</c:v>
                </c:pt>
                <c:pt idx="35">
                  <c:v>596</c:v>
                </c:pt>
                <c:pt idx="36">
                  <c:v>695</c:v>
                </c:pt>
                <c:pt idx="37">
                  <c:v>776</c:v>
                </c:pt>
                <c:pt idx="38">
                  <c:v>916</c:v>
                </c:pt>
                <c:pt idx="39">
                  <c:v>943</c:v>
                </c:pt>
                <c:pt idx="40">
                  <c:v>1096</c:v>
                </c:pt>
                <c:pt idx="41">
                  <c:v>1497</c:v>
                </c:pt>
                <c:pt idx="42">
                  <c:v>1677</c:v>
                </c:pt>
                <c:pt idx="43">
                  <c:v>2079</c:v>
                </c:pt>
                <c:pt idx="44">
                  <c:v>2259</c:v>
                </c:pt>
                <c:pt idx="45">
                  <c:v>2508</c:v>
                </c:pt>
                <c:pt idx="46">
                  <c:v>2854</c:v>
                </c:pt>
                <c:pt idx="47">
                  <c:v>3230</c:v>
                </c:pt>
                <c:pt idx="48">
                  <c:v>3411</c:v>
                </c:pt>
                <c:pt idx="49">
                  <c:v>3550</c:v>
                </c:pt>
                <c:pt idx="50">
                  <c:v>3784</c:v>
                </c:pt>
                <c:pt idx="51">
                  <c:v>3798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6">
                  <c:v>1.0680000006686896E-2</c:v>
                </c:pt>
                <c:pt idx="47">
                  <c:v>2.7600000001257285E-2</c:v>
                </c:pt>
                <c:pt idx="48">
                  <c:v>2.6620000004186295E-2</c:v>
                </c:pt>
                <c:pt idx="49">
                  <c:v>2.5000000001455192E-2</c:v>
                </c:pt>
                <c:pt idx="50">
                  <c:v>1.9280000000435393E-2</c:v>
                </c:pt>
                <c:pt idx="51">
                  <c:v>2.9159999998228159E-2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EF-44B6-8DD0-C481BCA391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-11791</c:v>
                </c:pt>
                <c:pt idx="1">
                  <c:v>-11790</c:v>
                </c:pt>
                <c:pt idx="2">
                  <c:v>-11209</c:v>
                </c:pt>
                <c:pt idx="3">
                  <c:v>-10085</c:v>
                </c:pt>
                <c:pt idx="4">
                  <c:v>-10059</c:v>
                </c:pt>
                <c:pt idx="5">
                  <c:v>-7785</c:v>
                </c:pt>
                <c:pt idx="6">
                  <c:v>-7784</c:v>
                </c:pt>
                <c:pt idx="7">
                  <c:v>-7772</c:v>
                </c:pt>
                <c:pt idx="8">
                  <c:v>-7771</c:v>
                </c:pt>
                <c:pt idx="9">
                  <c:v>-7758</c:v>
                </c:pt>
                <c:pt idx="10">
                  <c:v>-7757</c:v>
                </c:pt>
                <c:pt idx="11">
                  <c:v>-6677</c:v>
                </c:pt>
                <c:pt idx="12">
                  <c:v>-5153</c:v>
                </c:pt>
                <c:pt idx="13">
                  <c:v>-2480</c:v>
                </c:pt>
                <c:pt idx="14">
                  <c:v>-2118</c:v>
                </c:pt>
                <c:pt idx="15">
                  <c:v>-1926</c:v>
                </c:pt>
                <c:pt idx="16">
                  <c:v>-1898</c:v>
                </c:pt>
                <c:pt idx="17">
                  <c:v>-1886</c:v>
                </c:pt>
                <c:pt idx="18">
                  <c:v>-1885</c:v>
                </c:pt>
                <c:pt idx="19">
                  <c:v>-1745</c:v>
                </c:pt>
                <c:pt idx="20">
                  <c:v>-1719</c:v>
                </c:pt>
                <c:pt idx="21">
                  <c:v>-1550</c:v>
                </c:pt>
                <c:pt idx="22">
                  <c:v>-1484</c:v>
                </c:pt>
                <c:pt idx="23">
                  <c:v>-1344</c:v>
                </c:pt>
                <c:pt idx="24">
                  <c:v>-803</c:v>
                </c:pt>
                <c:pt idx="25">
                  <c:v>-735</c:v>
                </c:pt>
                <c:pt idx="26">
                  <c:v>-621</c:v>
                </c:pt>
                <c:pt idx="27">
                  <c:v>-595</c:v>
                </c:pt>
                <c:pt idx="28">
                  <c:v>-581</c:v>
                </c:pt>
                <c:pt idx="29">
                  <c:v>-221</c:v>
                </c:pt>
                <c:pt idx="30">
                  <c:v>0</c:v>
                </c:pt>
                <c:pt idx="31">
                  <c:v>0</c:v>
                </c:pt>
                <c:pt idx="32">
                  <c:v>374</c:v>
                </c:pt>
                <c:pt idx="33">
                  <c:v>402</c:v>
                </c:pt>
                <c:pt idx="34">
                  <c:v>555</c:v>
                </c:pt>
                <c:pt idx="35">
                  <c:v>596</c:v>
                </c:pt>
                <c:pt idx="36">
                  <c:v>695</c:v>
                </c:pt>
                <c:pt idx="37">
                  <c:v>776</c:v>
                </c:pt>
                <c:pt idx="38">
                  <c:v>916</c:v>
                </c:pt>
                <c:pt idx="39">
                  <c:v>943</c:v>
                </c:pt>
                <c:pt idx="40">
                  <c:v>1096</c:v>
                </c:pt>
                <c:pt idx="41">
                  <c:v>1497</c:v>
                </c:pt>
                <c:pt idx="42">
                  <c:v>1677</c:v>
                </c:pt>
                <c:pt idx="43">
                  <c:v>2079</c:v>
                </c:pt>
                <c:pt idx="44">
                  <c:v>2259</c:v>
                </c:pt>
                <c:pt idx="45">
                  <c:v>2508</c:v>
                </c:pt>
                <c:pt idx="46">
                  <c:v>2854</c:v>
                </c:pt>
                <c:pt idx="47">
                  <c:v>3230</c:v>
                </c:pt>
                <c:pt idx="48">
                  <c:v>3411</c:v>
                </c:pt>
                <c:pt idx="49">
                  <c:v>3550</c:v>
                </c:pt>
                <c:pt idx="50">
                  <c:v>3784</c:v>
                </c:pt>
                <c:pt idx="51">
                  <c:v>3798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EF-44B6-8DD0-C481BCA391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-11791</c:v>
                </c:pt>
                <c:pt idx="1">
                  <c:v>-11790</c:v>
                </c:pt>
                <c:pt idx="2">
                  <c:v>-11209</c:v>
                </c:pt>
                <c:pt idx="3">
                  <c:v>-10085</c:v>
                </c:pt>
                <c:pt idx="4">
                  <c:v>-10059</c:v>
                </c:pt>
                <c:pt idx="5">
                  <c:v>-7785</c:v>
                </c:pt>
                <c:pt idx="6">
                  <c:v>-7784</c:v>
                </c:pt>
                <c:pt idx="7">
                  <c:v>-7772</c:v>
                </c:pt>
                <c:pt idx="8">
                  <c:v>-7771</c:v>
                </c:pt>
                <c:pt idx="9">
                  <c:v>-7758</c:v>
                </c:pt>
                <c:pt idx="10">
                  <c:v>-7757</c:v>
                </c:pt>
                <c:pt idx="11">
                  <c:v>-6677</c:v>
                </c:pt>
                <c:pt idx="12">
                  <c:v>-5153</c:v>
                </c:pt>
                <c:pt idx="13">
                  <c:v>-2480</c:v>
                </c:pt>
                <c:pt idx="14">
                  <c:v>-2118</c:v>
                </c:pt>
                <c:pt idx="15">
                  <c:v>-1926</c:v>
                </c:pt>
                <c:pt idx="16">
                  <c:v>-1898</c:v>
                </c:pt>
                <c:pt idx="17">
                  <c:v>-1886</c:v>
                </c:pt>
                <c:pt idx="18">
                  <c:v>-1885</c:v>
                </c:pt>
                <c:pt idx="19">
                  <c:v>-1745</c:v>
                </c:pt>
                <c:pt idx="20">
                  <c:v>-1719</c:v>
                </c:pt>
                <c:pt idx="21">
                  <c:v>-1550</c:v>
                </c:pt>
                <c:pt idx="22">
                  <c:v>-1484</c:v>
                </c:pt>
                <c:pt idx="23">
                  <c:v>-1344</c:v>
                </c:pt>
                <c:pt idx="24">
                  <c:v>-803</c:v>
                </c:pt>
                <c:pt idx="25">
                  <c:v>-735</c:v>
                </c:pt>
                <c:pt idx="26">
                  <c:v>-621</c:v>
                </c:pt>
                <c:pt idx="27">
                  <c:v>-595</c:v>
                </c:pt>
                <c:pt idx="28">
                  <c:v>-581</c:v>
                </c:pt>
                <c:pt idx="29">
                  <c:v>-221</c:v>
                </c:pt>
                <c:pt idx="30">
                  <c:v>0</c:v>
                </c:pt>
                <c:pt idx="31">
                  <c:v>0</c:v>
                </c:pt>
                <c:pt idx="32">
                  <c:v>374</c:v>
                </c:pt>
                <c:pt idx="33">
                  <c:v>402</c:v>
                </c:pt>
                <c:pt idx="34">
                  <c:v>555</c:v>
                </c:pt>
                <c:pt idx="35">
                  <c:v>596</c:v>
                </c:pt>
                <c:pt idx="36">
                  <c:v>695</c:v>
                </c:pt>
                <c:pt idx="37">
                  <c:v>776</c:v>
                </c:pt>
                <c:pt idx="38">
                  <c:v>916</c:v>
                </c:pt>
                <c:pt idx="39">
                  <c:v>943</c:v>
                </c:pt>
                <c:pt idx="40">
                  <c:v>1096</c:v>
                </c:pt>
                <c:pt idx="41">
                  <c:v>1497</c:v>
                </c:pt>
                <c:pt idx="42">
                  <c:v>1677</c:v>
                </c:pt>
                <c:pt idx="43">
                  <c:v>2079</c:v>
                </c:pt>
                <c:pt idx="44">
                  <c:v>2259</c:v>
                </c:pt>
                <c:pt idx="45">
                  <c:v>2508</c:v>
                </c:pt>
                <c:pt idx="46">
                  <c:v>2854</c:v>
                </c:pt>
                <c:pt idx="47">
                  <c:v>3230</c:v>
                </c:pt>
                <c:pt idx="48">
                  <c:v>3411</c:v>
                </c:pt>
                <c:pt idx="49">
                  <c:v>3550</c:v>
                </c:pt>
                <c:pt idx="50">
                  <c:v>3784</c:v>
                </c:pt>
                <c:pt idx="51">
                  <c:v>3798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EF-44B6-8DD0-C481BCA391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0">
                    <c:v>0</c:v>
                  </c:pt>
                  <c:pt idx="40">
                    <c:v>5.0000000000000001E-3</c:v>
                  </c:pt>
                  <c:pt idx="41">
                    <c:v>3.0000000000000001E-3</c:v>
                  </c:pt>
                  <c:pt idx="43">
                    <c:v>4.0000000000000001E-3</c:v>
                  </c:pt>
                  <c:pt idx="44">
                    <c:v>8.9999999999999993E-3</c:v>
                  </c:pt>
                  <c:pt idx="45">
                    <c:v>5.0000000000000001E-3</c:v>
                  </c:pt>
                  <c:pt idx="48">
                    <c:v>3.0000000000000001E-3</c:v>
                  </c:pt>
                  <c:pt idx="49">
                    <c:v>3.0000000000000001E-3</c:v>
                  </c:pt>
                  <c:pt idx="50">
                    <c:v>2E-3</c:v>
                  </c:pt>
                  <c:pt idx="5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-11791</c:v>
                </c:pt>
                <c:pt idx="1">
                  <c:v>-11790</c:v>
                </c:pt>
                <c:pt idx="2">
                  <c:v>-11209</c:v>
                </c:pt>
                <c:pt idx="3">
                  <c:v>-10085</c:v>
                </c:pt>
                <c:pt idx="4">
                  <c:v>-10059</c:v>
                </c:pt>
                <c:pt idx="5">
                  <c:v>-7785</c:v>
                </c:pt>
                <c:pt idx="6">
                  <c:v>-7784</c:v>
                </c:pt>
                <c:pt idx="7">
                  <c:v>-7772</c:v>
                </c:pt>
                <c:pt idx="8">
                  <c:v>-7771</c:v>
                </c:pt>
                <c:pt idx="9">
                  <c:v>-7758</c:v>
                </c:pt>
                <c:pt idx="10">
                  <c:v>-7757</c:v>
                </c:pt>
                <c:pt idx="11">
                  <c:v>-6677</c:v>
                </c:pt>
                <c:pt idx="12">
                  <c:v>-5153</c:v>
                </c:pt>
                <c:pt idx="13">
                  <c:v>-2480</c:v>
                </c:pt>
                <c:pt idx="14">
                  <c:v>-2118</c:v>
                </c:pt>
                <c:pt idx="15">
                  <c:v>-1926</c:v>
                </c:pt>
                <c:pt idx="16">
                  <c:v>-1898</c:v>
                </c:pt>
                <c:pt idx="17">
                  <c:v>-1886</c:v>
                </c:pt>
                <c:pt idx="18">
                  <c:v>-1885</c:v>
                </c:pt>
                <c:pt idx="19">
                  <c:v>-1745</c:v>
                </c:pt>
                <c:pt idx="20">
                  <c:v>-1719</c:v>
                </c:pt>
                <c:pt idx="21">
                  <c:v>-1550</c:v>
                </c:pt>
                <c:pt idx="22">
                  <c:v>-1484</c:v>
                </c:pt>
                <c:pt idx="23">
                  <c:v>-1344</c:v>
                </c:pt>
                <c:pt idx="24">
                  <c:v>-803</c:v>
                </c:pt>
                <c:pt idx="25">
                  <c:v>-735</c:v>
                </c:pt>
                <c:pt idx="26">
                  <c:v>-621</c:v>
                </c:pt>
                <c:pt idx="27">
                  <c:v>-595</c:v>
                </c:pt>
                <c:pt idx="28">
                  <c:v>-581</c:v>
                </c:pt>
                <c:pt idx="29">
                  <c:v>-221</c:v>
                </c:pt>
                <c:pt idx="30">
                  <c:v>0</c:v>
                </c:pt>
                <c:pt idx="31">
                  <c:v>0</c:v>
                </c:pt>
                <c:pt idx="32">
                  <c:v>374</c:v>
                </c:pt>
                <c:pt idx="33">
                  <c:v>402</c:v>
                </c:pt>
                <c:pt idx="34">
                  <c:v>555</c:v>
                </c:pt>
                <c:pt idx="35">
                  <c:v>596</c:v>
                </c:pt>
                <c:pt idx="36">
                  <c:v>695</c:v>
                </c:pt>
                <c:pt idx="37">
                  <c:v>776</c:v>
                </c:pt>
                <c:pt idx="38">
                  <c:v>916</c:v>
                </c:pt>
                <c:pt idx="39">
                  <c:v>943</c:v>
                </c:pt>
                <c:pt idx="40">
                  <c:v>1096</c:v>
                </c:pt>
                <c:pt idx="41">
                  <c:v>1497</c:v>
                </c:pt>
                <c:pt idx="42">
                  <c:v>1677</c:v>
                </c:pt>
                <c:pt idx="43">
                  <c:v>2079</c:v>
                </c:pt>
                <c:pt idx="44">
                  <c:v>2259</c:v>
                </c:pt>
                <c:pt idx="45">
                  <c:v>2508</c:v>
                </c:pt>
                <c:pt idx="46">
                  <c:v>2854</c:v>
                </c:pt>
                <c:pt idx="47">
                  <c:v>3230</c:v>
                </c:pt>
                <c:pt idx="48">
                  <c:v>3411</c:v>
                </c:pt>
                <c:pt idx="49">
                  <c:v>3550</c:v>
                </c:pt>
                <c:pt idx="50">
                  <c:v>3784</c:v>
                </c:pt>
                <c:pt idx="51">
                  <c:v>3798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EF-44B6-8DD0-C481BCA391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-11791</c:v>
                </c:pt>
                <c:pt idx="1">
                  <c:v>-11790</c:v>
                </c:pt>
                <c:pt idx="2">
                  <c:v>-11209</c:v>
                </c:pt>
                <c:pt idx="3">
                  <c:v>-10085</c:v>
                </c:pt>
                <c:pt idx="4">
                  <c:v>-10059</c:v>
                </c:pt>
                <c:pt idx="5">
                  <c:v>-7785</c:v>
                </c:pt>
                <c:pt idx="6">
                  <c:v>-7784</c:v>
                </c:pt>
                <c:pt idx="7">
                  <c:v>-7772</c:v>
                </c:pt>
                <c:pt idx="8">
                  <c:v>-7771</c:v>
                </c:pt>
                <c:pt idx="9">
                  <c:v>-7758</c:v>
                </c:pt>
                <c:pt idx="10">
                  <c:v>-7757</c:v>
                </c:pt>
                <c:pt idx="11">
                  <c:v>-6677</c:v>
                </c:pt>
                <c:pt idx="12">
                  <c:v>-5153</c:v>
                </c:pt>
                <c:pt idx="13">
                  <c:v>-2480</c:v>
                </c:pt>
                <c:pt idx="14">
                  <c:v>-2118</c:v>
                </c:pt>
                <c:pt idx="15">
                  <c:v>-1926</c:v>
                </c:pt>
                <c:pt idx="16">
                  <c:v>-1898</c:v>
                </c:pt>
                <c:pt idx="17">
                  <c:v>-1886</c:v>
                </c:pt>
                <c:pt idx="18">
                  <c:v>-1885</c:v>
                </c:pt>
                <c:pt idx="19">
                  <c:v>-1745</c:v>
                </c:pt>
                <c:pt idx="20">
                  <c:v>-1719</c:v>
                </c:pt>
                <c:pt idx="21">
                  <c:v>-1550</c:v>
                </c:pt>
                <c:pt idx="22">
                  <c:v>-1484</c:v>
                </c:pt>
                <c:pt idx="23">
                  <c:v>-1344</c:v>
                </c:pt>
                <c:pt idx="24">
                  <c:v>-803</c:v>
                </c:pt>
                <c:pt idx="25">
                  <c:v>-735</c:v>
                </c:pt>
                <c:pt idx="26">
                  <c:v>-621</c:v>
                </c:pt>
                <c:pt idx="27">
                  <c:v>-595</c:v>
                </c:pt>
                <c:pt idx="28">
                  <c:v>-581</c:v>
                </c:pt>
                <c:pt idx="29">
                  <c:v>-221</c:v>
                </c:pt>
                <c:pt idx="30">
                  <c:v>0</c:v>
                </c:pt>
                <c:pt idx="31">
                  <c:v>0</c:v>
                </c:pt>
                <c:pt idx="32">
                  <c:v>374</c:v>
                </c:pt>
                <c:pt idx="33">
                  <c:v>402</c:v>
                </c:pt>
                <c:pt idx="34">
                  <c:v>555</c:v>
                </c:pt>
                <c:pt idx="35">
                  <c:v>596</c:v>
                </c:pt>
                <c:pt idx="36">
                  <c:v>695</c:v>
                </c:pt>
                <c:pt idx="37">
                  <c:v>776</c:v>
                </c:pt>
                <c:pt idx="38">
                  <c:v>916</c:v>
                </c:pt>
                <c:pt idx="39">
                  <c:v>943</c:v>
                </c:pt>
                <c:pt idx="40">
                  <c:v>1096</c:v>
                </c:pt>
                <c:pt idx="41">
                  <c:v>1497</c:v>
                </c:pt>
                <c:pt idx="42">
                  <c:v>1677</c:v>
                </c:pt>
                <c:pt idx="43">
                  <c:v>2079</c:v>
                </c:pt>
                <c:pt idx="44">
                  <c:v>2259</c:v>
                </c:pt>
                <c:pt idx="45">
                  <c:v>2508</c:v>
                </c:pt>
                <c:pt idx="46">
                  <c:v>2854</c:v>
                </c:pt>
                <c:pt idx="47">
                  <c:v>3230</c:v>
                </c:pt>
                <c:pt idx="48">
                  <c:v>3411</c:v>
                </c:pt>
                <c:pt idx="49">
                  <c:v>3550</c:v>
                </c:pt>
                <c:pt idx="50">
                  <c:v>3784</c:v>
                </c:pt>
                <c:pt idx="51">
                  <c:v>3798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-3.6560061864491886E-2</c:v>
                </c:pt>
                <c:pt idx="1">
                  <c:v>-3.6556404504773612E-2</c:v>
                </c:pt>
                <c:pt idx="2">
                  <c:v>-3.4431478508455071E-2</c:v>
                </c:pt>
                <c:pt idx="3">
                  <c:v>-3.0320606185112488E-2</c:v>
                </c:pt>
                <c:pt idx="4">
                  <c:v>-3.0225514832437302E-2</c:v>
                </c:pt>
                <c:pt idx="5">
                  <c:v>-2.1908678833076956E-2</c:v>
                </c:pt>
                <c:pt idx="6">
                  <c:v>-2.1905021473358675E-2</c:v>
                </c:pt>
                <c:pt idx="7">
                  <c:v>-2.1861133156739362E-2</c:v>
                </c:pt>
                <c:pt idx="8">
                  <c:v>-2.1857475797021082E-2</c:v>
                </c:pt>
                <c:pt idx="9">
                  <c:v>-2.1809930120683496E-2</c:v>
                </c:pt>
                <c:pt idx="10">
                  <c:v>-2.1806272760965216E-2</c:v>
                </c:pt>
                <c:pt idx="11">
                  <c:v>-1.7856324265226792E-2</c:v>
                </c:pt>
                <c:pt idx="12">
                  <c:v>-1.2282508054573685E-2</c:v>
                </c:pt>
                <c:pt idx="13">
                  <c:v>-2.5063855276210856E-3</c:v>
                </c:pt>
                <c:pt idx="14">
                  <c:v>-1.1824213096050572E-3</c:v>
                </c:pt>
                <c:pt idx="15">
                  <c:v>-4.8020824369600455E-4</c:v>
                </c:pt>
                <c:pt idx="16">
                  <c:v>-3.7780217158426763E-4</c:v>
                </c:pt>
                <c:pt idx="17">
                  <c:v>-3.3391385496495205E-4</c:v>
                </c:pt>
                <c:pt idx="18">
                  <c:v>-3.3025649524667539E-4</c:v>
                </c:pt>
                <c:pt idx="19">
                  <c:v>1.817738653120092E-4</c:v>
                </c:pt>
                <c:pt idx="20">
                  <c:v>2.7686521798719367E-4</c:v>
                </c:pt>
                <c:pt idx="21">
                  <c:v>8.9495901037589098E-4</c:v>
                </c:pt>
                <c:pt idx="22">
                  <c:v>1.1363447517821279E-3</c:v>
                </c:pt>
                <c:pt idx="23">
                  <c:v>1.6483751123408125E-3</c:v>
                </c:pt>
                <c:pt idx="24">
                  <c:v>3.6270067199283009E-3</c:v>
                </c:pt>
                <c:pt idx="25">
                  <c:v>3.8757071807710907E-3</c:v>
                </c:pt>
                <c:pt idx="26">
                  <c:v>4.2926461886545909E-3</c:v>
                </c:pt>
                <c:pt idx="27">
                  <c:v>4.3877375413297753E-3</c:v>
                </c:pt>
                <c:pt idx="28">
                  <c:v>4.4389405773856434E-3</c:v>
                </c:pt>
                <c:pt idx="29">
                  <c:v>5.7555900759651184E-3</c:v>
                </c:pt>
                <c:pt idx="30">
                  <c:v>6.5638665737041847E-3</c:v>
                </c:pt>
                <c:pt idx="31">
                  <c:v>6.5638665737041847E-3</c:v>
                </c:pt>
                <c:pt idx="32">
                  <c:v>7.9317191083395286E-3</c:v>
                </c:pt>
                <c:pt idx="33">
                  <c:v>8.0341251804512646E-3</c:v>
                </c:pt>
                <c:pt idx="34">
                  <c:v>8.5937012173475415E-3</c:v>
                </c:pt>
                <c:pt idx="35">
                  <c:v>8.7436529657968706E-3</c:v>
                </c:pt>
                <c:pt idx="36">
                  <c:v>9.1057315779062252E-3</c:v>
                </c:pt>
                <c:pt idx="37">
                  <c:v>9.4019777150866068E-3</c:v>
                </c:pt>
                <c:pt idx="38">
                  <c:v>9.9140080756452923E-3</c:v>
                </c:pt>
                <c:pt idx="39">
                  <c:v>1.0012756788038753E-2</c:v>
                </c:pt>
                <c:pt idx="40">
                  <c:v>1.057233282493503E-2</c:v>
                </c:pt>
                <c:pt idx="41">
                  <c:v>1.2038934071963834E-2</c:v>
                </c:pt>
                <c:pt idx="42">
                  <c:v>1.2697258821253572E-2</c:v>
                </c:pt>
                <c:pt idx="43">
                  <c:v>1.416751742800065E-2</c:v>
                </c:pt>
                <c:pt idx="44">
                  <c:v>1.4825842177290388E-2</c:v>
                </c:pt>
                <c:pt idx="45">
                  <c:v>1.5736524747141191E-2</c:v>
                </c:pt>
                <c:pt idx="46">
                  <c:v>1.7001971209664797E-2</c:v>
                </c:pt>
                <c:pt idx="47">
                  <c:v>1.8377138463736693E-2</c:v>
                </c:pt>
                <c:pt idx="48">
                  <c:v>1.9039120572744705E-2</c:v>
                </c:pt>
                <c:pt idx="49">
                  <c:v>1.9547493573585116E-2</c:v>
                </c:pt>
                <c:pt idx="50">
                  <c:v>2.0403315747661771E-2</c:v>
                </c:pt>
                <c:pt idx="51">
                  <c:v>2.0454518783717644E-2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EF-44B6-8DD0-C481BCA39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455968"/>
        <c:axId val="1"/>
      </c:scatterChart>
      <c:valAx>
        <c:axId val="852455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455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2000129214617399"/>
          <c:w val="0.9752076961454199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18</xdr:col>
      <xdr:colOff>400050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05BADD-7A64-8B9B-8B4D-2E072CBFC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var.astro.cz/oejv/issues/oejv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2"/>
  <sheetViews>
    <sheetView tabSelected="1" workbookViewId="0">
      <pane xSplit="14" ySplit="22" topLeftCell="O6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30" customFormat="1" ht="20.25" x14ac:dyDescent="0.2">
      <c r="A1" s="54" t="s">
        <v>70</v>
      </c>
    </row>
    <row r="2" spans="1:6" s="30" customFormat="1" ht="12.95" customHeight="1" x14ac:dyDescent="0.2">
      <c r="A2" s="30" t="s">
        <v>24</v>
      </c>
      <c r="B2" s="7" t="s">
        <v>71</v>
      </c>
    </row>
    <row r="3" spans="1:6" s="30" customFormat="1" ht="12.95" customHeight="1" x14ac:dyDescent="0.2"/>
    <row r="4" spans="1:6" s="30" customFormat="1" ht="12.95" customHeight="1" thickTop="1" thickBot="1" x14ac:dyDescent="0.25">
      <c r="A4" s="31" t="s">
        <v>0</v>
      </c>
      <c r="C4" s="32">
        <v>46255.462</v>
      </c>
      <c r="D4" s="33">
        <v>1.92258</v>
      </c>
    </row>
    <row r="5" spans="1:6" s="30" customFormat="1" ht="12.95" customHeight="1" thickTop="1" x14ac:dyDescent="0.2">
      <c r="A5" s="34" t="s">
        <v>64</v>
      </c>
      <c r="C5" s="35">
        <v>-9.5</v>
      </c>
      <c r="D5" s="30" t="s">
        <v>65</v>
      </c>
    </row>
    <row r="6" spans="1:6" s="30" customFormat="1" ht="12.95" customHeight="1" x14ac:dyDescent="0.2">
      <c r="A6" s="31" t="s">
        <v>1</v>
      </c>
    </row>
    <row r="7" spans="1:6" s="30" customFormat="1" ht="12.95" customHeight="1" x14ac:dyDescent="0.2">
      <c r="A7" s="30" t="s">
        <v>2</v>
      </c>
      <c r="C7" s="30">
        <f>+C4</f>
        <v>46255.462</v>
      </c>
    </row>
    <row r="8" spans="1:6" s="30" customFormat="1" ht="12.95" customHeight="1" x14ac:dyDescent="0.2">
      <c r="A8" s="30" t="s">
        <v>3</v>
      </c>
      <c r="C8" s="30">
        <f>+D4</f>
        <v>1.92258</v>
      </c>
    </row>
    <row r="9" spans="1:6" s="30" customFormat="1" ht="12.95" customHeight="1" x14ac:dyDescent="0.2">
      <c r="A9" s="36" t="s">
        <v>75</v>
      </c>
      <c r="B9" s="37">
        <v>34</v>
      </c>
      <c r="C9" s="38" t="str">
        <f>"F"&amp;B9</f>
        <v>F34</v>
      </c>
      <c r="D9" s="39" t="str">
        <f>"G"&amp;B9</f>
        <v>G34</v>
      </c>
    </row>
    <row r="10" spans="1:6" s="30" customFormat="1" ht="12.95" customHeight="1" thickBot="1" x14ac:dyDescent="0.25">
      <c r="C10" s="40" t="s">
        <v>20</v>
      </c>
      <c r="D10" s="40" t="s">
        <v>21</v>
      </c>
    </row>
    <row r="11" spans="1:6" s="30" customFormat="1" ht="12.95" customHeight="1" x14ac:dyDescent="0.2">
      <c r="A11" s="30" t="s">
        <v>16</v>
      </c>
      <c r="C11" s="39">
        <f ca="1">INTERCEPT(INDIRECT($D$9):G992,INDIRECT($C$9):F992)</f>
        <v>6.5638665737041847E-3</v>
      </c>
      <c r="D11" s="41"/>
    </row>
    <row r="12" spans="1:6" s="30" customFormat="1" ht="12.95" customHeight="1" x14ac:dyDescent="0.2">
      <c r="A12" s="30" t="s">
        <v>17</v>
      </c>
      <c r="C12" s="39">
        <f ca="1">SLOPE(INDIRECT($D$9):G992,INDIRECT($C$9):F992)</f>
        <v>3.6573597182763184E-6</v>
      </c>
      <c r="D12" s="41"/>
    </row>
    <row r="13" spans="1:6" s="30" customFormat="1" ht="12.95" customHeight="1" x14ac:dyDescent="0.2">
      <c r="A13" s="30" t="s">
        <v>19</v>
      </c>
      <c r="C13" s="41" t="s">
        <v>14</v>
      </c>
    </row>
    <row r="14" spans="1:6" s="30" customFormat="1" ht="12.95" customHeight="1" x14ac:dyDescent="0.2"/>
    <row r="15" spans="1:6" s="30" customFormat="1" ht="12.95" customHeight="1" x14ac:dyDescent="0.2">
      <c r="A15" s="42" t="s">
        <v>18</v>
      </c>
      <c r="C15" s="43">
        <f ca="1">(C7+C11)+(C8+C12)*INT(MAX(F21:F3533))</f>
        <v>53557.441294518787</v>
      </c>
      <c r="E15" s="44" t="s">
        <v>73</v>
      </c>
      <c r="F15" s="35">
        <v>1</v>
      </c>
    </row>
    <row r="16" spans="1:6" s="30" customFormat="1" ht="12.95" customHeight="1" x14ac:dyDescent="0.2">
      <c r="A16" s="31" t="s">
        <v>4</v>
      </c>
      <c r="C16" s="45">
        <f ca="1">+C8+C12</f>
        <v>1.9225836573597181</v>
      </c>
      <c r="E16" s="44" t="s">
        <v>66</v>
      </c>
      <c r="F16" s="46">
        <f ca="1">NOW()+15018.5+$C$5/24</f>
        <v>60375.738945023142</v>
      </c>
    </row>
    <row r="17" spans="1:17" s="30" customFormat="1" ht="12.95" customHeight="1" thickBot="1" x14ac:dyDescent="0.25">
      <c r="A17" s="44" t="s">
        <v>68</v>
      </c>
      <c r="C17" s="30">
        <f>COUNT(C21:C2191)</f>
        <v>52</v>
      </c>
      <c r="E17" s="44" t="s">
        <v>74</v>
      </c>
      <c r="F17" s="46">
        <f ca="1">ROUND(2*(F16-$C$7)/$C$8,0)/2+F15</f>
        <v>7345.5</v>
      </c>
    </row>
    <row r="18" spans="1:17" s="30" customFormat="1" ht="12.95" customHeight="1" thickTop="1" thickBot="1" x14ac:dyDescent="0.25">
      <c r="A18" s="31" t="s">
        <v>5</v>
      </c>
      <c r="C18" s="32">
        <f ca="1">+C15</f>
        <v>53557.441294518787</v>
      </c>
      <c r="D18" s="33">
        <f ca="1">+C16</f>
        <v>1.9225836573597181</v>
      </c>
      <c r="E18" s="44" t="s">
        <v>67</v>
      </c>
      <c r="F18" s="39">
        <f ca="1">ROUND(2*(F16-$C$15)/$C$16,0)/2+F15</f>
        <v>3547.5</v>
      </c>
    </row>
    <row r="19" spans="1:17" s="30" customFormat="1" ht="12.95" customHeight="1" thickTop="1" x14ac:dyDescent="0.2">
      <c r="E19" s="44" t="s">
        <v>69</v>
      </c>
      <c r="F19" s="47">
        <f ca="1">+$C$15+$C$16*F18-15018.5-$C$5/24</f>
        <v>45359.70265233572</v>
      </c>
    </row>
    <row r="20" spans="1:17" s="30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13</v>
      </c>
      <c r="E20" s="40" t="s">
        <v>9</v>
      </c>
      <c r="F20" s="40" t="s">
        <v>10</v>
      </c>
      <c r="G20" s="40" t="s">
        <v>11</v>
      </c>
      <c r="H20" s="48" t="s">
        <v>12</v>
      </c>
      <c r="I20" s="48" t="s">
        <v>87</v>
      </c>
      <c r="J20" s="48" t="s">
        <v>81</v>
      </c>
      <c r="K20" s="48" t="s">
        <v>79</v>
      </c>
      <c r="L20" s="48" t="s">
        <v>25</v>
      </c>
      <c r="M20" s="48" t="s">
        <v>26</v>
      </c>
      <c r="N20" s="48" t="s">
        <v>27</v>
      </c>
      <c r="O20" s="48" t="s">
        <v>23</v>
      </c>
      <c r="P20" s="49" t="s">
        <v>22</v>
      </c>
      <c r="Q20" s="40" t="s">
        <v>15</v>
      </c>
    </row>
    <row r="21" spans="1:17" s="30" customFormat="1" ht="12.95" customHeight="1" x14ac:dyDescent="0.2">
      <c r="A21" s="50" t="s">
        <v>94</v>
      </c>
      <c r="B21" s="51" t="s">
        <v>63</v>
      </c>
      <c r="C21" s="52">
        <v>23586.47</v>
      </c>
      <c r="D21" s="2"/>
      <c r="E21" s="30">
        <f t="shared" ref="E21:E52" si="0">+(C21-C$7)/C$8</f>
        <v>-11790.922614403562</v>
      </c>
      <c r="F21" s="30">
        <f t="shared" ref="F21:F52" si="1">ROUND(2*E21,0)/2</f>
        <v>-11791</v>
      </c>
      <c r="G21" s="30">
        <f t="shared" ref="G21:G60" si="2">+C21-(C$7+F21*C$8)</f>
        <v>0.14877999999953317</v>
      </c>
      <c r="I21" s="30">
        <f t="shared" ref="I21:I33" si="3">+G21</f>
        <v>0.14877999999953317</v>
      </c>
      <c r="O21" s="30">
        <f t="shared" ref="O21:O52" ca="1" si="4">+C$11+C$12*$F21</f>
        <v>-3.6560061864491886E-2</v>
      </c>
      <c r="Q21" s="53">
        <f t="shared" ref="Q21:Q52" si="5">+C21-15018.5</f>
        <v>8567.9700000000012</v>
      </c>
    </row>
    <row r="22" spans="1:17" s="30" customFormat="1" ht="12.95" customHeight="1" x14ac:dyDescent="0.2">
      <c r="A22" s="50" t="s">
        <v>94</v>
      </c>
      <c r="B22" s="51" t="s">
        <v>63</v>
      </c>
      <c r="C22" s="52">
        <v>23588.44</v>
      </c>
      <c r="D22" s="2"/>
      <c r="E22" s="30">
        <f t="shared" si="0"/>
        <v>-11789.897949630185</v>
      </c>
      <c r="F22" s="30">
        <f t="shared" si="1"/>
        <v>-11790</v>
      </c>
      <c r="G22" s="30">
        <f t="shared" si="2"/>
        <v>0.19619999999849824</v>
      </c>
      <c r="I22" s="30">
        <f t="shared" si="3"/>
        <v>0.19619999999849824</v>
      </c>
      <c r="O22" s="30">
        <f t="shared" ca="1" si="4"/>
        <v>-3.6556404504773612E-2</v>
      </c>
      <c r="Q22" s="53">
        <f t="shared" si="5"/>
        <v>8569.9399999999987</v>
      </c>
    </row>
    <row r="23" spans="1:17" s="30" customFormat="1" ht="12.95" customHeight="1" x14ac:dyDescent="0.2">
      <c r="A23" s="50" t="s">
        <v>94</v>
      </c>
      <c r="B23" s="51" t="s">
        <v>63</v>
      </c>
      <c r="C23" s="52">
        <v>24705.35</v>
      </c>
      <c r="D23" s="2"/>
      <c r="E23" s="30">
        <f t="shared" si="0"/>
        <v>-11208.954633877394</v>
      </c>
      <c r="F23" s="30">
        <f t="shared" si="1"/>
        <v>-11209</v>
      </c>
      <c r="G23" s="30">
        <f t="shared" si="2"/>
        <v>8.721999999761465E-2</v>
      </c>
      <c r="I23" s="30">
        <f t="shared" si="3"/>
        <v>8.721999999761465E-2</v>
      </c>
      <c r="O23" s="30">
        <f t="shared" ca="1" si="4"/>
        <v>-3.4431478508455071E-2</v>
      </c>
      <c r="Q23" s="53">
        <f t="shared" si="5"/>
        <v>9686.8499999999985</v>
      </c>
    </row>
    <row r="24" spans="1:17" s="30" customFormat="1" ht="12.95" customHeight="1" x14ac:dyDescent="0.2">
      <c r="A24" s="50" t="s">
        <v>94</v>
      </c>
      <c r="B24" s="51" t="s">
        <v>63</v>
      </c>
      <c r="C24" s="52">
        <v>26866.38</v>
      </c>
      <c r="D24" s="2"/>
      <c r="E24" s="30">
        <f t="shared" si="0"/>
        <v>-10084.928585546504</v>
      </c>
      <c r="F24" s="30">
        <f t="shared" si="1"/>
        <v>-10085</v>
      </c>
      <c r="G24" s="30">
        <f t="shared" si="2"/>
        <v>0.13730000000214204</v>
      </c>
      <c r="I24" s="30">
        <f t="shared" si="3"/>
        <v>0.13730000000214204</v>
      </c>
      <c r="O24" s="30">
        <f t="shared" ca="1" si="4"/>
        <v>-3.0320606185112488E-2</v>
      </c>
      <c r="Q24" s="53">
        <f t="shared" si="5"/>
        <v>11847.880000000001</v>
      </c>
    </row>
    <row r="25" spans="1:17" s="30" customFormat="1" ht="12.95" customHeight="1" x14ac:dyDescent="0.2">
      <c r="A25" s="50" t="s">
        <v>94</v>
      </c>
      <c r="B25" s="51" t="s">
        <v>63</v>
      </c>
      <c r="C25" s="52">
        <v>26916.36</v>
      </c>
      <c r="D25" s="2"/>
      <c r="E25" s="30">
        <f t="shared" si="0"/>
        <v>-10058.932268098077</v>
      </c>
      <c r="F25" s="30">
        <f t="shared" si="1"/>
        <v>-10059</v>
      </c>
      <c r="G25" s="30">
        <f t="shared" si="2"/>
        <v>0.13021999999909895</v>
      </c>
      <c r="I25" s="30">
        <f t="shared" si="3"/>
        <v>0.13021999999909895</v>
      </c>
      <c r="O25" s="30">
        <f t="shared" ca="1" si="4"/>
        <v>-3.0225514832437302E-2</v>
      </c>
      <c r="Q25" s="53">
        <f t="shared" si="5"/>
        <v>11897.86</v>
      </c>
    </row>
    <row r="26" spans="1:17" s="30" customFormat="1" ht="12.95" customHeight="1" x14ac:dyDescent="0.2">
      <c r="A26" s="50" t="s">
        <v>94</v>
      </c>
      <c r="B26" s="51" t="s">
        <v>63</v>
      </c>
      <c r="C26" s="52">
        <v>31288.27</v>
      </c>
      <c r="D26" s="2"/>
      <c r="E26" s="30">
        <f t="shared" si="0"/>
        <v>-7784.9514714602246</v>
      </c>
      <c r="F26" s="30">
        <f t="shared" si="1"/>
        <v>-7785</v>
      </c>
      <c r="G26" s="30">
        <f t="shared" si="2"/>
        <v>9.330000000045402E-2</v>
      </c>
      <c r="I26" s="30">
        <f t="shared" si="3"/>
        <v>9.330000000045402E-2</v>
      </c>
      <c r="O26" s="30">
        <f t="shared" ca="1" si="4"/>
        <v>-2.1908678833076956E-2</v>
      </c>
      <c r="Q26" s="53">
        <f t="shared" si="5"/>
        <v>16269.77</v>
      </c>
    </row>
    <row r="27" spans="1:17" x14ac:dyDescent="0.2">
      <c r="A27" s="27" t="s">
        <v>94</v>
      </c>
      <c r="B27" s="29" t="s">
        <v>63</v>
      </c>
      <c r="C27" s="28">
        <v>31290.19</v>
      </c>
      <c r="D27" s="6"/>
      <c r="E27">
        <f t="shared" si="0"/>
        <v>-7783.9528134069851</v>
      </c>
      <c r="F27">
        <f t="shared" si="1"/>
        <v>-7784</v>
      </c>
      <c r="G27">
        <f t="shared" si="2"/>
        <v>9.0719999996508704E-2</v>
      </c>
      <c r="I27">
        <f t="shared" si="3"/>
        <v>9.0719999996508704E-2</v>
      </c>
      <c r="O27">
        <f t="shared" ca="1" si="4"/>
        <v>-2.1905021473358675E-2</v>
      </c>
      <c r="Q27" s="1">
        <f t="shared" si="5"/>
        <v>16271.689999999999</v>
      </c>
    </row>
    <row r="28" spans="1:17" x14ac:dyDescent="0.2">
      <c r="A28" s="27" t="s">
        <v>94</v>
      </c>
      <c r="B28" s="29" t="s">
        <v>63</v>
      </c>
      <c r="C28" s="28">
        <v>31313.25</v>
      </c>
      <c r="D28" s="6"/>
      <c r="E28">
        <f t="shared" si="0"/>
        <v>-7771.9585140800382</v>
      </c>
      <c r="F28">
        <f t="shared" si="1"/>
        <v>-7772</v>
      </c>
      <c r="G28">
        <f t="shared" si="2"/>
        <v>7.9760000000533182E-2</v>
      </c>
      <c r="I28">
        <f t="shared" si="3"/>
        <v>7.9760000000533182E-2</v>
      </c>
      <c r="O28">
        <f t="shared" ca="1" si="4"/>
        <v>-2.1861133156739362E-2</v>
      </c>
      <c r="Q28" s="1">
        <f t="shared" si="5"/>
        <v>16294.75</v>
      </c>
    </row>
    <row r="29" spans="1:17" x14ac:dyDescent="0.2">
      <c r="A29" s="27" t="s">
        <v>94</v>
      </c>
      <c r="B29" s="29" t="s">
        <v>63</v>
      </c>
      <c r="C29" s="28">
        <v>31315.21</v>
      </c>
      <c r="D29" s="6"/>
      <c r="E29">
        <f t="shared" si="0"/>
        <v>-7770.9390506506888</v>
      </c>
      <c r="F29">
        <f t="shared" si="1"/>
        <v>-7771</v>
      </c>
      <c r="G29">
        <f t="shared" si="2"/>
        <v>0.11718000000109896</v>
      </c>
      <c r="I29">
        <f t="shared" si="3"/>
        <v>0.11718000000109896</v>
      </c>
      <c r="O29">
        <f t="shared" ca="1" si="4"/>
        <v>-2.1857475797021082E-2</v>
      </c>
      <c r="Q29" s="1">
        <f t="shared" si="5"/>
        <v>16296.71</v>
      </c>
    </row>
    <row r="30" spans="1:17" x14ac:dyDescent="0.2">
      <c r="A30" s="27" t="s">
        <v>94</v>
      </c>
      <c r="B30" s="29" t="s">
        <v>63</v>
      </c>
      <c r="C30" s="28">
        <v>31340.17</v>
      </c>
      <c r="D30" s="6"/>
      <c r="E30">
        <f t="shared" si="0"/>
        <v>-7757.9564959585568</v>
      </c>
      <c r="F30">
        <f t="shared" si="1"/>
        <v>-7758</v>
      </c>
      <c r="G30">
        <f t="shared" si="2"/>
        <v>8.3639999997103587E-2</v>
      </c>
      <c r="I30">
        <f t="shared" si="3"/>
        <v>8.3639999997103587E-2</v>
      </c>
      <c r="O30">
        <f t="shared" ca="1" si="4"/>
        <v>-2.1809930120683496E-2</v>
      </c>
      <c r="Q30" s="1">
        <f t="shared" si="5"/>
        <v>16321.669999999998</v>
      </c>
    </row>
    <row r="31" spans="1:17" x14ac:dyDescent="0.2">
      <c r="A31" s="27" t="s">
        <v>94</v>
      </c>
      <c r="B31" s="29" t="s">
        <v>63</v>
      </c>
      <c r="C31" s="28">
        <v>31342.12</v>
      </c>
      <c r="D31" s="6"/>
      <c r="E31">
        <f t="shared" si="0"/>
        <v>-7756.9422338732329</v>
      </c>
      <c r="F31">
        <f t="shared" si="1"/>
        <v>-7757</v>
      </c>
      <c r="G31">
        <f t="shared" si="2"/>
        <v>0.11105999999927008</v>
      </c>
      <c r="I31">
        <f t="shared" si="3"/>
        <v>0.11105999999927008</v>
      </c>
      <c r="O31">
        <f t="shared" ca="1" si="4"/>
        <v>-2.1806272760965216E-2</v>
      </c>
      <c r="Q31" s="1">
        <f t="shared" si="5"/>
        <v>16323.619999999999</v>
      </c>
    </row>
    <row r="32" spans="1:17" x14ac:dyDescent="0.2">
      <c r="A32" s="27" t="s">
        <v>128</v>
      </c>
      <c r="B32" s="29" t="s">
        <v>63</v>
      </c>
      <c r="C32" s="28">
        <v>33418.472000000002</v>
      </c>
      <c r="D32" s="6"/>
      <c r="E32">
        <f t="shared" si="0"/>
        <v>-6676.9601264966859</v>
      </c>
      <c r="F32">
        <f t="shared" si="1"/>
        <v>-6677</v>
      </c>
      <c r="G32">
        <f t="shared" si="2"/>
        <v>7.6659999998810235E-2</v>
      </c>
      <c r="I32">
        <f t="shared" si="3"/>
        <v>7.6659999998810235E-2</v>
      </c>
      <c r="O32">
        <f t="shared" ca="1" si="4"/>
        <v>-1.7856324265226792E-2</v>
      </c>
      <c r="Q32" s="1">
        <f t="shared" si="5"/>
        <v>18399.972000000002</v>
      </c>
    </row>
    <row r="33" spans="1:32" x14ac:dyDescent="0.2">
      <c r="A33" s="27" t="s">
        <v>132</v>
      </c>
      <c r="B33" s="29" t="s">
        <v>63</v>
      </c>
      <c r="C33" s="28">
        <v>36348.472000000002</v>
      </c>
      <c r="D33" s="6"/>
      <c r="E33">
        <f t="shared" si="0"/>
        <v>-5152.9663264987666</v>
      </c>
      <c r="F33">
        <f t="shared" si="1"/>
        <v>-5153</v>
      </c>
      <c r="G33">
        <f t="shared" si="2"/>
        <v>6.4740000001620501E-2</v>
      </c>
      <c r="I33">
        <f t="shared" si="3"/>
        <v>6.4740000001620501E-2</v>
      </c>
      <c r="O33">
        <f t="shared" ca="1" si="4"/>
        <v>-1.2282508054573685E-2</v>
      </c>
      <c r="Q33" s="1">
        <f t="shared" si="5"/>
        <v>21329.972000000002</v>
      </c>
    </row>
    <row r="34" spans="1:32" x14ac:dyDescent="0.2">
      <c r="A34" t="s">
        <v>29</v>
      </c>
      <c r="C34" s="6">
        <v>41487.478999999999</v>
      </c>
      <c r="D34" s="6"/>
      <c r="E34">
        <f t="shared" si="0"/>
        <v>-2479.9919899301981</v>
      </c>
      <c r="F34">
        <f t="shared" si="1"/>
        <v>-2480</v>
      </c>
      <c r="G34">
        <f t="shared" si="2"/>
        <v>1.5399999996589031E-2</v>
      </c>
      <c r="I34">
        <f t="shared" ref="I34:I50" si="6">+G34</f>
        <v>1.5399999996589031E-2</v>
      </c>
      <c r="O34">
        <f t="shared" ca="1" si="4"/>
        <v>-2.5063855276210856E-3</v>
      </c>
      <c r="Q34" s="1">
        <f t="shared" si="5"/>
        <v>26468.978999999999</v>
      </c>
      <c r="AB34">
        <v>9</v>
      </c>
      <c r="AD34" t="s">
        <v>28</v>
      </c>
      <c r="AF34" t="s">
        <v>30</v>
      </c>
    </row>
    <row r="35" spans="1:32" x14ac:dyDescent="0.2">
      <c r="A35" t="s">
        <v>32</v>
      </c>
      <c r="C35" s="6">
        <v>42183.453000000001</v>
      </c>
      <c r="D35" s="6"/>
      <c r="E35">
        <f t="shared" si="0"/>
        <v>-2117.991969124821</v>
      </c>
      <c r="F35">
        <f t="shared" si="1"/>
        <v>-2118</v>
      </c>
      <c r="G35">
        <f t="shared" si="2"/>
        <v>1.5440000002854504E-2</v>
      </c>
      <c r="I35">
        <f t="shared" si="6"/>
        <v>1.5440000002854504E-2</v>
      </c>
      <c r="O35">
        <f t="shared" ca="1" si="4"/>
        <v>-1.1824213096050572E-3</v>
      </c>
      <c r="Q35" s="1">
        <f t="shared" si="5"/>
        <v>27164.953000000001</v>
      </c>
      <c r="AA35" t="s">
        <v>31</v>
      </c>
      <c r="AB35">
        <v>7</v>
      </c>
      <c r="AD35" t="s">
        <v>28</v>
      </c>
      <c r="AF35" t="s">
        <v>30</v>
      </c>
    </row>
    <row r="36" spans="1:32" x14ac:dyDescent="0.2">
      <c r="A36" t="s">
        <v>33</v>
      </c>
      <c r="C36" s="6">
        <v>42552.572999999997</v>
      </c>
      <c r="D36" s="6"/>
      <c r="E36">
        <f t="shared" si="0"/>
        <v>-1925.9999583892493</v>
      </c>
      <c r="F36">
        <f t="shared" si="1"/>
        <v>-1926</v>
      </c>
      <c r="G36">
        <f t="shared" si="2"/>
        <v>7.9999997979030013E-5</v>
      </c>
      <c r="I36">
        <f t="shared" si="6"/>
        <v>7.9999997979030013E-5</v>
      </c>
      <c r="O36">
        <f t="shared" ca="1" si="4"/>
        <v>-4.8020824369600455E-4</v>
      </c>
      <c r="Q36" s="1">
        <f t="shared" si="5"/>
        <v>27534.072999999997</v>
      </c>
      <c r="AA36" t="s">
        <v>31</v>
      </c>
      <c r="AB36">
        <v>6</v>
      </c>
      <c r="AD36" t="s">
        <v>28</v>
      </c>
      <c r="AF36" t="s">
        <v>30</v>
      </c>
    </row>
    <row r="37" spans="1:32" x14ac:dyDescent="0.2">
      <c r="A37" t="s">
        <v>35</v>
      </c>
      <c r="C37" s="6">
        <v>42606.411999999997</v>
      </c>
      <c r="D37" s="6"/>
      <c r="E37">
        <f t="shared" si="0"/>
        <v>-1897.9964422806868</v>
      </c>
      <c r="F37">
        <f t="shared" si="1"/>
        <v>-1898</v>
      </c>
      <c r="G37">
        <f t="shared" si="2"/>
        <v>6.8399999945540912E-3</v>
      </c>
      <c r="I37">
        <f t="shared" si="6"/>
        <v>6.8399999945540912E-3</v>
      </c>
      <c r="O37">
        <f t="shared" ca="1" si="4"/>
        <v>-3.7780217158426763E-4</v>
      </c>
      <c r="Q37" s="1">
        <f t="shared" si="5"/>
        <v>27587.911999999997</v>
      </c>
      <c r="AA37" t="s">
        <v>31</v>
      </c>
      <c r="AB37">
        <v>7</v>
      </c>
      <c r="AD37" t="s">
        <v>34</v>
      </c>
      <c r="AF37" t="s">
        <v>30</v>
      </c>
    </row>
    <row r="38" spans="1:32" x14ac:dyDescent="0.2">
      <c r="A38" t="s">
        <v>35</v>
      </c>
      <c r="C38" s="6">
        <v>42629.476999999999</v>
      </c>
      <c r="D38" s="6"/>
      <c r="E38">
        <f t="shared" si="0"/>
        <v>-1885.999542281726</v>
      </c>
      <c r="F38">
        <f t="shared" si="1"/>
        <v>-1886</v>
      </c>
      <c r="G38">
        <f t="shared" si="2"/>
        <v>8.7999999959720299E-4</v>
      </c>
      <c r="I38">
        <f t="shared" si="6"/>
        <v>8.7999999959720299E-4</v>
      </c>
      <c r="O38">
        <f t="shared" ca="1" si="4"/>
        <v>-3.3391385496495205E-4</v>
      </c>
      <c r="Q38" s="1">
        <f t="shared" si="5"/>
        <v>27610.976999999999</v>
      </c>
      <c r="AA38" t="s">
        <v>31</v>
      </c>
      <c r="AB38">
        <v>7</v>
      </c>
      <c r="AD38" t="s">
        <v>28</v>
      </c>
      <c r="AF38" t="s">
        <v>30</v>
      </c>
    </row>
    <row r="39" spans="1:32" x14ac:dyDescent="0.2">
      <c r="A39" t="s">
        <v>35</v>
      </c>
      <c r="C39" s="6">
        <v>42631.4</v>
      </c>
      <c r="D39" s="6"/>
      <c r="E39">
        <f t="shared" si="0"/>
        <v>-1884.9993238252755</v>
      </c>
      <c r="F39">
        <f t="shared" si="1"/>
        <v>-1885</v>
      </c>
      <c r="G39">
        <f t="shared" si="2"/>
        <v>1.3000000035390258E-3</v>
      </c>
      <c r="I39">
        <f t="shared" si="6"/>
        <v>1.3000000035390258E-3</v>
      </c>
      <c r="O39">
        <f t="shared" ca="1" si="4"/>
        <v>-3.3025649524667539E-4</v>
      </c>
      <c r="Q39" s="1">
        <f t="shared" si="5"/>
        <v>27612.9</v>
      </c>
      <c r="AA39" t="s">
        <v>31</v>
      </c>
      <c r="AB39">
        <v>9</v>
      </c>
      <c r="AD39" t="s">
        <v>28</v>
      </c>
      <c r="AF39" t="s">
        <v>30</v>
      </c>
    </row>
    <row r="40" spans="1:32" x14ac:dyDescent="0.2">
      <c r="A40" t="s">
        <v>36</v>
      </c>
      <c r="C40" s="6">
        <v>42900.561999999998</v>
      </c>
      <c r="D40" s="6"/>
      <c r="E40">
        <f t="shared" si="0"/>
        <v>-1744.9989077177552</v>
      </c>
      <c r="F40">
        <f t="shared" si="1"/>
        <v>-1745</v>
      </c>
      <c r="G40">
        <f t="shared" si="2"/>
        <v>2.0999999978812411E-3</v>
      </c>
      <c r="I40">
        <f t="shared" si="6"/>
        <v>2.0999999978812411E-3</v>
      </c>
      <c r="O40">
        <f t="shared" ca="1" si="4"/>
        <v>1.817738653120092E-4</v>
      </c>
      <c r="Q40" s="1">
        <f t="shared" si="5"/>
        <v>27882.061999999998</v>
      </c>
      <c r="AB40">
        <v>7</v>
      </c>
      <c r="AD40" t="s">
        <v>28</v>
      </c>
      <c r="AF40" t="s">
        <v>30</v>
      </c>
    </row>
    <row r="41" spans="1:32" x14ac:dyDescent="0.2">
      <c r="A41" t="s">
        <v>36</v>
      </c>
      <c r="C41" s="6">
        <v>42950.550999999999</v>
      </c>
      <c r="D41" s="6"/>
      <c r="E41">
        <f t="shared" si="0"/>
        <v>-1718.997909059701</v>
      </c>
      <c r="F41">
        <f t="shared" si="1"/>
        <v>-1719</v>
      </c>
      <c r="G41">
        <f t="shared" si="2"/>
        <v>4.0200000003096648E-3</v>
      </c>
      <c r="I41">
        <f t="shared" si="6"/>
        <v>4.0200000003096648E-3</v>
      </c>
      <c r="O41">
        <f t="shared" ca="1" si="4"/>
        <v>2.7686521798719367E-4</v>
      </c>
      <c r="Q41" s="1">
        <f t="shared" si="5"/>
        <v>27932.050999999999</v>
      </c>
      <c r="AB41">
        <v>10</v>
      </c>
      <c r="AD41" t="s">
        <v>28</v>
      </c>
      <c r="AF41" t="s">
        <v>30</v>
      </c>
    </row>
    <row r="42" spans="1:32" x14ac:dyDescent="0.2">
      <c r="A42" t="s">
        <v>37</v>
      </c>
      <c r="C42" s="6">
        <v>43275.466999999997</v>
      </c>
      <c r="D42" s="6"/>
      <c r="E42">
        <f t="shared" si="0"/>
        <v>-1549.9979194623904</v>
      </c>
      <c r="F42">
        <f t="shared" si="1"/>
        <v>-1550</v>
      </c>
      <c r="G42">
        <f t="shared" si="2"/>
        <v>3.9999999935389496E-3</v>
      </c>
      <c r="I42">
        <f t="shared" si="6"/>
        <v>3.9999999935389496E-3</v>
      </c>
      <c r="O42">
        <f t="shared" ca="1" si="4"/>
        <v>8.9495901037589098E-4</v>
      </c>
      <c r="Q42" s="1">
        <f t="shared" si="5"/>
        <v>28256.966999999997</v>
      </c>
      <c r="AA42" t="s">
        <v>31</v>
      </c>
      <c r="AB42">
        <v>7</v>
      </c>
      <c r="AD42" t="s">
        <v>28</v>
      </c>
      <c r="AF42" t="s">
        <v>30</v>
      </c>
    </row>
    <row r="43" spans="1:32" x14ac:dyDescent="0.2">
      <c r="A43" t="s">
        <v>38</v>
      </c>
      <c r="C43" s="6">
        <v>43402.345999999998</v>
      </c>
      <c r="D43" s="6"/>
      <c r="E43">
        <f t="shared" si="0"/>
        <v>-1484.0037865784529</v>
      </c>
      <c r="F43">
        <f t="shared" si="1"/>
        <v>-1484</v>
      </c>
      <c r="G43">
        <f t="shared" si="2"/>
        <v>-7.2800000052666292E-3</v>
      </c>
      <c r="I43">
        <f t="shared" si="6"/>
        <v>-7.2800000052666292E-3</v>
      </c>
      <c r="O43">
        <f t="shared" ca="1" si="4"/>
        <v>1.1363447517821279E-3</v>
      </c>
      <c r="Q43" s="1">
        <f t="shared" si="5"/>
        <v>28383.845999999998</v>
      </c>
      <c r="AA43" t="s">
        <v>31</v>
      </c>
      <c r="AB43">
        <v>6</v>
      </c>
      <c r="AD43" t="s">
        <v>28</v>
      </c>
      <c r="AF43" t="s">
        <v>30</v>
      </c>
    </row>
    <row r="44" spans="1:32" x14ac:dyDescent="0.2">
      <c r="A44" t="s">
        <v>39</v>
      </c>
      <c r="C44" s="6">
        <v>43671.51</v>
      </c>
      <c r="D44" s="6"/>
      <c r="E44">
        <f t="shared" si="0"/>
        <v>-1344.0023302021229</v>
      </c>
      <c r="F44">
        <f t="shared" si="1"/>
        <v>-1344</v>
      </c>
      <c r="G44">
        <f t="shared" si="2"/>
        <v>-4.4799999959650449E-3</v>
      </c>
      <c r="I44">
        <f t="shared" si="6"/>
        <v>-4.4799999959650449E-3</v>
      </c>
      <c r="O44">
        <f t="shared" ca="1" si="4"/>
        <v>1.6483751123408125E-3</v>
      </c>
      <c r="Q44" s="1">
        <f t="shared" si="5"/>
        <v>28653.010000000002</v>
      </c>
      <c r="AA44" t="s">
        <v>31</v>
      </c>
      <c r="AB44">
        <v>7</v>
      </c>
      <c r="AD44" t="s">
        <v>28</v>
      </c>
      <c r="AF44" t="s">
        <v>30</v>
      </c>
    </row>
    <row r="45" spans="1:32" x14ac:dyDescent="0.2">
      <c r="A45" t="s">
        <v>40</v>
      </c>
      <c r="C45" s="6">
        <v>44711.627</v>
      </c>
      <c r="D45" s="6"/>
      <c r="E45">
        <f t="shared" si="0"/>
        <v>-803.00169563815246</v>
      </c>
      <c r="F45">
        <f t="shared" si="1"/>
        <v>-803</v>
      </c>
      <c r="G45">
        <f t="shared" si="2"/>
        <v>-3.2599999976810068E-3</v>
      </c>
      <c r="I45">
        <f t="shared" si="6"/>
        <v>-3.2599999976810068E-3</v>
      </c>
      <c r="O45">
        <f t="shared" ca="1" si="4"/>
        <v>3.6270067199283009E-3</v>
      </c>
      <c r="Q45" s="1">
        <f t="shared" si="5"/>
        <v>29693.127</v>
      </c>
      <c r="AA45" t="s">
        <v>31</v>
      </c>
      <c r="AB45">
        <v>6</v>
      </c>
      <c r="AD45" t="s">
        <v>28</v>
      </c>
      <c r="AF45" t="s">
        <v>30</v>
      </c>
    </row>
    <row r="46" spans="1:32" x14ac:dyDescent="0.2">
      <c r="A46" t="s">
        <v>41</v>
      </c>
      <c r="C46" s="6">
        <v>44842.362000000001</v>
      </c>
      <c r="D46" s="6"/>
      <c r="E46">
        <f t="shared" si="0"/>
        <v>-735.00192449728934</v>
      </c>
      <c r="F46">
        <f t="shared" si="1"/>
        <v>-735</v>
      </c>
      <c r="G46">
        <f t="shared" si="2"/>
        <v>-3.7000000011175871E-3</v>
      </c>
      <c r="I46">
        <f t="shared" si="6"/>
        <v>-3.7000000011175871E-3</v>
      </c>
      <c r="O46">
        <f t="shared" ca="1" si="4"/>
        <v>3.8757071807710907E-3</v>
      </c>
      <c r="Q46" s="1">
        <f t="shared" si="5"/>
        <v>29823.862000000001</v>
      </c>
      <c r="AA46" t="s">
        <v>31</v>
      </c>
      <c r="AB46">
        <v>6</v>
      </c>
      <c r="AD46" t="s">
        <v>28</v>
      </c>
      <c r="AF46" t="s">
        <v>30</v>
      </c>
    </row>
    <row r="47" spans="1:32" x14ac:dyDescent="0.2">
      <c r="A47" t="s">
        <v>42</v>
      </c>
      <c r="C47" s="6">
        <v>45061.533000000003</v>
      </c>
      <c r="D47" s="6"/>
      <c r="E47">
        <f t="shared" si="0"/>
        <v>-621.0035473166248</v>
      </c>
      <c r="F47">
        <f t="shared" si="1"/>
        <v>-621</v>
      </c>
      <c r="G47">
        <f t="shared" si="2"/>
        <v>-6.8199999950593337E-3</v>
      </c>
      <c r="I47">
        <f t="shared" si="6"/>
        <v>-6.8199999950593337E-3</v>
      </c>
      <c r="O47">
        <f t="shared" ca="1" si="4"/>
        <v>4.2926461886545909E-3</v>
      </c>
      <c r="Q47" s="1">
        <f t="shared" si="5"/>
        <v>30043.033000000003</v>
      </c>
      <c r="AA47" t="s">
        <v>31</v>
      </c>
      <c r="AB47">
        <v>7</v>
      </c>
      <c r="AD47" t="s">
        <v>28</v>
      </c>
      <c r="AF47" t="s">
        <v>30</v>
      </c>
    </row>
    <row r="48" spans="1:32" x14ac:dyDescent="0.2">
      <c r="A48" t="s">
        <v>42</v>
      </c>
      <c r="C48" s="6">
        <v>45111.534</v>
      </c>
      <c r="D48" s="6"/>
      <c r="E48">
        <f t="shared" si="0"/>
        <v>-594.99630704574054</v>
      </c>
      <c r="F48">
        <f t="shared" si="1"/>
        <v>-595</v>
      </c>
      <c r="G48">
        <f t="shared" si="2"/>
        <v>7.100000002537854E-3</v>
      </c>
      <c r="I48">
        <f t="shared" si="6"/>
        <v>7.100000002537854E-3</v>
      </c>
      <c r="O48">
        <f t="shared" ca="1" si="4"/>
        <v>4.3877375413297753E-3</v>
      </c>
      <c r="Q48" s="1">
        <f t="shared" si="5"/>
        <v>30093.034</v>
      </c>
      <c r="AA48" t="s">
        <v>31</v>
      </c>
      <c r="AB48">
        <v>8</v>
      </c>
      <c r="AD48" t="s">
        <v>28</v>
      </c>
      <c r="AF48" t="s">
        <v>30</v>
      </c>
    </row>
    <row r="49" spans="1:32" x14ac:dyDescent="0.2">
      <c r="A49" t="s">
        <v>43</v>
      </c>
      <c r="C49" s="6">
        <v>45138.445</v>
      </c>
      <c r="D49" s="6"/>
      <c r="E49">
        <f t="shared" si="0"/>
        <v>-580.99897013388249</v>
      </c>
      <c r="F49">
        <f t="shared" si="1"/>
        <v>-581</v>
      </c>
      <c r="G49">
        <f t="shared" si="2"/>
        <v>1.9800000009126961E-3</v>
      </c>
      <c r="I49">
        <f t="shared" si="6"/>
        <v>1.9800000009126961E-3</v>
      </c>
      <c r="O49">
        <f t="shared" ca="1" si="4"/>
        <v>4.4389405773856434E-3</v>
      </c>
      <c r="Q49" s="1">
        <f t="shared" si="5"/>
        <v>30119.945</v>
      </c>
      <c r="AA49" t="s">
        <v>31</v>
      </c>
      <c r="AB49">
        <v>7</v>
      </c>
      <c r="AD49" t="s">
        <v>28</v>
      </c>
      <c r="AF49" t="s">
        <v>30</v>
      </c>
    </row>
    <row r="50" spans="1:32" x14ac:dyDescent="0.2">
      <c r="A50" t="s">
        <v>44</v>
      </c>
      <c r="C50" s="6">
        <v>45830.572999999997</v>
      </c>
      <c r="D50" s="6"/>
      <c r="E50">
        <f t="shared" si="0"/>
        <v>-220.99938624140626</v>
      </c>
      <c r="F50">
        <f t="shared" si="1"/>
        <v>-221</v>
      </c>
      <c r="G50">
        <f t="shared" si="2"/>
        <v>1.1799999992945231E-3</v>
      </c>
      <c r="I50">
        <f t="shared" si="6"/>
        <v>1.1799999992945231E-3</v>
      </c>
      <c r="O50">
        <f t="shared" ca="1" si="4"/>
        <v>5.7555900759651184E-3</v>
      </c>
      <c r="Q50" s="1">
        <f t="shared" si="5"/>
        <v>30812.072999999997</v>
      </c>
      <c r="AA50" t="s">
        <v>31</v>
      </c>
      <c r="AB50">
        <v>7</v>
      </c>
      <c r="AD50" t="s">
        <v>28</v>
      </c>
      <c r="AF50" t="s">
        <v>30</v>
      </c>
    </row>
    <row r="51" spans="1:32" x14ac:dyDescent="0.2">
      <c r="A51" t="s">
        <v>12</v>
      </c>
      <c r="C51" s="6">
        <v>46255.462</v>
      </c>
      <c r="D51" s="6" t="s">
        <v>14</v>
      </c>
      <c r="E51">
        <f t="shared" si="0"/>
        <v>0</v>
      </c>
      <c r="F51">
        <f t="shared" si="1"/>
        <v>0</v>
      </c>
      <c r="G51">
        <f t="shared" si="2"/>
        <v>0</v>
      </c>
      <c r="H51">
        <f>+G51</f>
        <v>0</v>
      </c>
      <c r="O51">
        <f t="shared" ca="1" si="4"/>
        <v>6.5638665737041847E-3</v>
      </c>
      <c r="Q51" s="1">
        <f t="shared" si="5"/>
        <v>31236.962</v>
      </c>
    </row>
    <row r="52" spans="1:32" x14ac:dyDescent="0.2">
      <c r="A52" t="s">
        <v>45</v>
      </c>
      <c r="C52" s="6">
        <v>46255.462</v>
      </c>
      <c r="D52" s="6"/>
      <c r="E52">
        <f t="shared" si="0"/>
        <v>0</v>
      </c>
      <c r="F52">
        <f t="shared" si="1"/>
        <v>0</v>
      </c>
      <c r="G52">
        <f t="shared" si="2"/>
        <v>0</v>
      </c>
      <c r="I52">
        <f t="shared" ref="I52:I60" si="7">+G52</f>
        <v>0</v>
      </c>
      <c r="O52">
        <f t="shared" ca="1" si="4"/>
        <v>6.5638665737041847E-3</v>
      </c>
      <c r="Q52" s="1">
        <f t="shared" si="5"/>
        <v>31236.962</v>
      </c>
      <c r="AA52" t="s">
        <v>31</v>
      </c>
      <c r="AB52">
        <v>7</v>
      </c>
      <c r="AD52" t="s">
        <v>28</v>
      </c>
      <c r="AF52" t="s">
        <v>30</v>
      </c>
    </row>
    <row r="53" spans="1:32" x14ac:dyDescent="0.2">
      <c r="A53" t="s">
        <v>46</v>
      </c>
      <c r="C53" s="6">
        <v>46974.512000000002</v>
      </c>
      <c r="D53" s="6"/>
      <c r="E53">
        <f t="shared" ref="E53:E72" si="8">+(C53-C$7)/C$8</f>
        <v>374.0026422827674</v>
      </c>
      <c r="F53">
        <f t="shared" ref="F53:F72" si="9">ROUND(2*E53,0)/2</f>
        <v>374</v>
      </c>
      <c r="G53">
        <f t="shared" si="2"/>
        <v>5.0800000026356429E-3</v>
      </c>
      <c r="I53">
        <f t="shared" si="7"/>
        <v>5.0800000026356429E-3</v>
      </c>
      <c r="O53">
        <f t="shared" ref="O53:O72" ca="1" si="10">+C$11+C$12*$F53</f>
        <v>7.9317191083395286E-3</v>
      </c>
      <c r="Q53" s="1">
        <f t="shared" ref="Q53:Q72" si="11">+C53-15018.5</f>
        <v>31956.012000000002</v>
      </c>
      <c r="AA53" t="s">
        <v>31</v>
      </c>
      <c r="AB53">
        <v>7</v>
      </c>
      <c r="AD53" t="s">
        <v>28</v>
      </c>
      <c r="AF53" t="s">
        <v>30</v>
      </c>
    </row>
    <row r="54" spans="1:32" x14ac:dyDescent="0.2">
      <c r="A54" t="s">
        <v>47</v>
      </c>
      <c r="C54" s="6">
        <v>47028.347999999998</v>
      </c>
      <c r="D54" s="6"/>
      <c r="E54">
        <f t="shared" si="8"/>
        <v>402.00459798811943</v>
      </c>
      <c r="F54">
        <f t="shared" si="9"/>
        <v>402</v>
      </c>
      <c r="G54">
        <f t="shared" si="2"/>
        <v>8.8399999949615449E-3</v>
      </c>
      <c r="I54">
        <f t="shared" si="7"/>
        <v>8.8399999949615449E-3</v>
      </c>
      <c r="O54">
        <f t="shared" ca="1" si="10"/>
        <v>8.0341251804512646E-3</v>
      </c>
      <c r="Q54" s="1">
        <f t="shared" si="11"/>
        <v>32009.847999999998</v>
      </c>
      <c r="AA54" t="s">
        <v>31</v>
      </c>
      <c r="AB54">
        <v>6</v>
      </c>
      <c r="AD54" t="s">
        <v>28</v>
      </c>
      <c r="AF54" t="s">
        <v>30</v>
      </c>
    </row>
    <row r="55" spans="1:32" x14ac:dyDescent="0.2">
      <c r="A55" t="s">
        <v>48</v>
      </c>
      <c r="C55" s="6">
        <v>47322.499000000003</v>
      </c>
      <c r="D55" s="6"/>
      <c r="E55">
        <f t="shared" si="8"/>
        <v>555.00265268545593</v>
      </c>
      <c r="F55">
        <f t="shared" si="9"/>
        <v>555</v>
      </c>
      <c r="G55">
        <f t="shared" si="2"/>
        <v>5.1000000021304004E-3</v>
      </c>
      <c r="I55">
        <f t="shared" si="7"/>
        <v>5.1000000021304004E-3</v>
      </c>
      <c r="O55">
        <f t="shared" ca="1" si="10"/>
        <v>8.5937012173475415E-3</v>
      </c>
      <c r="Q55" s="1">
        <f t="shared" si="11"/>
        <v>32303.999000000003</v>
      </c>
      <c r="AA55" t="s">
        <v>31</v>
      </c>
      <c r="AB55">
        <v>7</v>
      </c>
      <c r="AD55" t="s">
        <v>28</v>
      </c>
      <c r="AF55" t="s">
        <v>30</v>
      </c>
    </row>
    <row r="56" spans="1:32" x14ac:dyDescent="0.2">
      <c r="A56" t="s">
        <v>49</v>
      </c>
      <c r="C56" s="6">
        <v>47401.324000000001</v>
      </c>
      <c r="D56" s="6"/>
      <c r="E56">
        <f t="shared" si="8"/>
        <v>596.00224698062027</v>
      </c>
      <c r="F56">
        <f t="shared" si="9"/>
        <v>596</v>
      </c>
      <c r="G56">
        <f t="shared" si="2"/>
        <v>4.3200000000069849E-3</v>
      </c>
      <c r="I56">
        <f t="shared" si="7"/>
        <v>4.3200000000069849E-3</v>
      </c>
      <c r="O56">
        <f t="shared" ca="1" si="10"/>
        <v>8.7436529657968706E-3</v>
      </c>
      <c r="Q56" s="1">
        <f t="shared" si="11"/>
        <v>32382.824000000001</v>
      </c>
      <c r="AA56" t="s">
        <v>31</v>
      </c>
      <c r="AB56">
        <v>8</v>
      </c>
      <c r="AD56" t="s">
        <v>28</v>
      </c>
      <c r="AF56" t="s">
        <v>30</v>
      </c>
    </row>
    <row r="57" spans="1:32" x14ac:dyDescent="0.2">
      <c r="A57" t="s">
        <v>50</v>
      </c>
      <c r="C57" s="6">
        <v>47591.665999999997</v>
      </c>
      <c r="D57" s="6"/>
      <c r="E57">
        <f t="shared" si="8"/>
        <v>695.00566946498873</v>
      </c>
      <c r="F57">
        <f t="shared" si="9"/>
        <v>695</v>
      </c>
      <c r="G57">
        <f t="shared" si="2"/>
        <v>1.0900000001129229E-2</v>
      </c>
      <c r="I57">
        <f t="shared" si="7"/>
        <v>1.0900000001129229E-2</v>
      </c>
      <c r="O57">
        <f t="shared" ca="1" si="10"/>
        <v>9.1057315779062252E-3</v>
      </c>
      <c r="Q57" s="1">
        <f t="shared" si="11"/>
        <v>32573.165999999997</v>
      </c>
      <c r="AA57" t="s">
        <v>31</v>
      </c>
      <c r="AB57">
        <v>5</v>
      </c>
      <c r="AD57" t="s">
        <v>28</v>
      </c>
      <c r="AF57" t="s">
        <v>30</v>
      </c>
    </row>
    <row r="58" spans="1:32" x14ac:dyDescent="0.2">
      <c r="A58" t="s">
        <v>51</v>
      </c>
      <c r="C58" s="6">
        <v>47747.387000000002</v>
      </c>
      <c r="D58" s="6"/>
      <c r="E58">
        <f t="shared" si="8"/>
        <v>776.00151879245755</v>
      </c>
      <c r="F58">
        <f t="shared" si="9"/>
        <v>776</v>
      </c>
      <c r="G58">
        <f t="shared" si="2"/>
        <v>2.9200000062701292E-3</v>
      </c>
      <c r="I58">
        <f t="shared" si="7"/>
        <v>2.9200000062701292E-3</v>
      </c>
      <c r="O58">
        <f t="shared" ca="1" si="10"/>
        <v>9.4019777150866068E-3</v>
      </c>
      <c r="Q58" s="1">
        <f t="shared" si="11"/>
        <v>32728.887000000002</v>
      </c>
      <c r="AA58" t="s">
        <v>31</v>
      </c>
      <c r="AB58">
        <v>7</v>
      </c>
      <c r="AD58" t="s">
        <v>28</v>
      </c>
      <c r="AF58" t="s">
        <v>30</v>
      </c>
    </row>
    <row r="59" spans="1:32" x14ac:dyDescent="0.2">
      <c r="A59" t="s">
        <v>52</v>
      </c>
      <c r="C59" s="6">
        <v>48016.550999999999</v>
      </c>
      <c r="D59" s="6"/>
      <c r="E59">
        <f t="shared" si="8"/>
        <v>916.00297516878356</v>
      </c>
      <c r="F59">
        <f t="shared" si="9"/>
        <v>916</v>
      </c>
      <c r="G59">
        <f t="shared" si="2"/>
        <v>5.7200000010197982E-3</v>
      </c>
      <c r="I59">
        <f t="shared" si="7"/>
        <v>5.7200000010197982E-3</v>
      </c>
      <c r="O59">
        <f t="shared" ca="1" si="10"/>
        <v>9.9140080756452923E-3</v>
      </c>
      <c r="Q59" s="1">
        <f t="shared" si="11"/>
        <v>32998.050999999999</v>
      </c>
      <c r="AA59" t="s">
        <v>31</v>
      </c>
      <c r="AB59">
        <v>7</v>
      </c>
      <c r="AD59" t="s">
        <v>28</v>
      </c>
      <c r="AF59" t="s">
        <v>30</v>
      </c>
    </row>
    <row r="60" spans="1:32" x14ac:dyDescent="0.2">
      <c r="A60" t="s">
        <v>52</v>
      </c>
      <c r="C60" s="6">
        <v>48068.470999999998</v>
      </c>
      <c r="D60" s="6"/>
      <c r="E60">
        <f t="shared" si="8"/>
        <v>943.00835335850695</v>
      </c>
      <c r="F60">
        <f t="shared" si="9"/>
        <v>943</v>
      </c>
      <c r="G60">
        <f t="shared" si="2"/>
        <v>1.6060000001743902E-2</v>
      </c>
      <c r="I60">
        <f t="shared" si="7"/>
        <v>1.6060000001743902E-2</v>
      </c>
      <c r="O60">
        <f t="shared" ca="1" si="10"/>
        <v>1.0012756788038753E-2</v>
      </c>
      <c r="Q60" s="1">
        <f t="shared" si="11"/>
        <v>33049.970999999998</v>
      </c>
      <c r="AA60" t="s">
        <v>31</v>
      </c>
      <c r="AB60">
        <v>11</v>
      </c>
      <c r="AD60" t="s">
        <v>53</v>
      </c>
      <c r="AF60" t="s">
        <v>30</v>
      </c>
    </row>
    <row r="61" spans="1:32" x14ac:dyDescent="0.2">
      <c r="A61" t="s">
        <v>54</v>
      </c>
      <c r="C61" s="6">
        <v>48362.599000000002</v>
      </c>
      <c r="D61" s="6">
        <v>5.0000000000000001E-3</v>
      </c>
      <c r="E61">
        <f t="shared" si="8"/>
        <v>1095.9944449645802</v>
      </c>
      <c r="F61">
        <f t="shared" si="9"/>
        <v>1096</v>
      </c>
      <c r="J61" s="10">
        <v>-1.0679999999410938E-2</v>
      </c>
      <c r="O61">
        <f t="shared" ca="1" si="10"/>
        <v>1.057233282493503E-2</v>
      </c>
      <c r="Q61" s="1">
        <f t="shared" si="11"/>
        <v>33344.099000000002</v>
      </c>
      <c r="AA61" t="s">
        <v>31</v>
      </c>
      <c r="AB61">
        <v>6</v>
      </c>
      <c r="AD61" t="s">
        <v>28</v>
      </c>
      <c r="AF61" t="s">
        <v>30</v>
      </c>
    </row>
    <row r="62" spans="1:32" x14ac:dyDescent="0.2">
      <c r="A62" t="s">
        <v>55</v>
      </c>
      <c r="C62" s="6">
        <v>49133.567999999999</v>
      </c>
      <c r="D62" s="6">
        <v>3.0000000000000001E-3</v>
      </c>
      <c r="E62">
        <f t="shared" si="8"/>
        <v>1497.0019453026662</v>
      </c>
      <c r="F62">
        <f t="shared" si="9"/>
        <v>1497</v>
      </c>
      <c r="G62">
        <f t="shared" ref="G62:G72" si="12">+C62-(C$7+F62*C$8)</f>
        <v>3.7400000001071021E-3</v>
      </c>
      <c r="J62">
        <f>+G62</f>
        <v>3.7400000001071021E-3</v>
      </c>
      <c r="O62">
        <f t="shared" ca="1" si="10"/>
        <v>1.2038934071963834E-2</v>
      </c>
      <c r="Q62" s="1">
        <f t="shared" si="11"/>
        <v>34115.067999999999</v>
      </c>
      <c r="AA62" t="s">
        <v>31</v>
      </c>
      <c r="AB62">
        <v>6</v>
      </c>
      <c r="AD62" t="s">
        <v>28</v>
      </c>
      <c r="AF62" t="s">
        <v>30</v>
      </c>
    </row>
    <row r="63" spans="1:32" x14ac:dyDescent="0.2">
      <c r="A63" t="s">
        <v>56</v>
      </c>
      <c r="C63" s="6">
        <v>49479.633000000002</v>
      </c>
      <c r="D63" s="6"/>
      <c r="E63">
        <f t="shared" si="8"/>
        <v>1677.0022573833089</v>
      </c>
      <c r="F63">
        <f t="shared" si="9"/>
        <v>1677</v>
      </c>
      <c r="G63">
        <f t="shared" si="12"/>
        <v>4.3399999995017424E-3</v>
      </c>
      <c r="J63">
        <f>+G63</f>
        <v>4.3399999995017424E-3</v>
      </c>
      <c r="O63">
        <f t="shared" ca="1" si="10"/>
        <v>1.2697258821253572E-2</v>
      </c>
      <c r="Q63" s="1">
        <f t="shared" si="11"/>
        <v>34461.133000000002</v>
      </c>
      <c r="AA63" t="s">
        <v>31</v>
      </c>
      <c r="AB63">
        <v>8</v>
      </c>
      <c r="AD63" t="s">
        <v>28</v>
      </c>
      <c r="AF63" t="s">
        <v>30</v>
      </c>
    </row>
    <row r="64" spans="1:32" x14ac:dyDescent="0.2">
      <c r="A64" t="s">
        <v>57</v>
      </c>
      <c r="C64" s="6">
        <v>50252.521999999997</v>
      </c>
      <c r="D64" s="6">
        <v>4.0000000000000001E-3</v>
      </c>
      <c r="E64">
        <f t="shared" si="8"/>
        <v>2079.0084157746351</v>
      </c>
      <c r="F64">
        <f t="shared" si="9"/>
        <v>2079</v>
      </c>
      <c r="G64">
        <f t="shared" si="12"/>
        <v>1.6179999998712447E-2</v>
      </c>
      <c r="J64">
        <f>+G64</f>
        <v>1.6179999998712447E-2</v>
      </c>
      <c r="O64">
        <f t="shared" ca="1" si="10"/>
        <v>1.416751742800065E-2</v>
      </c>
      <c r="Q64" s="1">
        <f t="shared" si="11"/>
        <v>35234.021999999997</v>
      </c>
      <c r="AA64" t="s">
        <v>31</v>
      </c>
      <c r="AB64">
        <v>8</v>
      </c>
      <c r="AD64" t="s">
        <v>28</v>
      </c>
      <c r="AF64" t="s">
        <v>30</v>
      </c>
    </row>
    <row r="65" spans="1:32" x14ac:dyDescent="0.2">
      <c r="A65" t="s">
        <v>58</v>
      </c>
      <c r="C65" s="6">
        <v>50598.587</v>
      </c>
      <c r="D65" s="6">
        <v>8.9999999999999993E-3</v>
      </c>
      <c r="E65">
        <f t="shared" si="8"/>
        <v>2259.0087278552778</v>
      </c>
      <c r="F65">
        <f t="shared" si="9"/>
        <v>2259</v>
      </c>
      <c r="G65">
        <f t="shared" si="12"/>
        <v>1.6779999998107087E-2</v>
      </c>
      <c r="J65">
        <f>+G65</f>
        <v>1.6779999998107087E-2</v>
      </c>
      <c r="O65">
        <f t="shared" ca="1" si="10"/>
        <v>1.4825842177290388E-2</v>
      </c>
      <c r="Q65" s="1">
        <f t="shared" si="11"/>
        <v>35580.087</v>
      </c>
      <c r="AA65" t="s">
        <v>31</v>
      </c>
      <c r="AB65">
        <v>7</v>
      </c>
      <c r="AD65" t="s">
        <v>28</v>
      </c>
      <c r="AF65" t="s">
        <v>30</v>
      </c>
    </row>
    <row r="66" spans="1:32" x14ac:dyDescent="0.2">
      <c r="A66" t="s">
        <v>60</v>
      </c>
      <c r="C66" s="6">
        <v>51077.313999999998</v>
      </c>
      <c r="D66" s="6">
        <v>5.0000000000000001E-3</v>
      </c>
      <c r="E66">
        <f t="shared" si="8"/>
        <v>2508.0111100708418</v>
      </c>
      <c r="F66">
        <f t="shared" si="9"/>
        <v>2508</v>
      </c>
      <c r="G66">
        <f t="shared" si="12"/>
        <v>2.1359999998821877E-2</v>
      </c>
      <c r="J66">
        <f>+G66</f>
        <v>2.1359999998821877E-2</v>
      </c>
      <c r="O66">
        <f t="shared" ca="1" si="10"/>
        <v>1.5736524747141191E-2</v>
      </c>
      <c r="Q66" s="1">
        <f t="shared" si="11"/>
        <v>36058.813999999998</v>
      </c>
      <c r="AA66" t="s">
        <v>31</v>
      </c>
      <c r="AB66">
        <v>5</v>
      </c>
      <c r="AD66" t="s">
        <v>59</v>
      </c>
      <c r="AF66" t="s">
        <v>61</v>
      </c>
    </row>
    <row r="67" spans="1:32" x14ac:dyDescent="0.2">
      <c r="A67" s="27" t="s">
        <v>246</v>
      </c>
      <c r="B67" s="29" t="s">
        <v>63</v>
      </c>
      <c r="C67" s="28">
        <v>51742.516000000003</v>
      </c>
      <c r="D67" s="6"/>
      <c r="E67">
        <f t="shared" si="8"/>
        <v>2854.0055550354232</v>
      </c>
      <c r="F67">
        <f t="shared" si="9"/>
        <v>2854</v>
      </c>
      <c r="G67">
        <f t="shared" si="12"/>
        <v>1.0680000006686896E-2</v>
      </c>
      <c r="K67">
        <f t="shared" ref="K67:K72" si="13">+G67</f>
        <v>1.0680000006686896E-2</v>
      </c>
      <c r="O67">
        <f t="shared" ca="1" si="10"/>
        <v>1.7001971209664797E-2</v>
      </c>
      <c r="Q67" s="1">
        <f t="shared" si="11"/>
        <v>36724.016000000003</v>
      </c>
    </row>
    <row r="68" spans="1:32" x14ac:dyDescent="0.2">
      <c r="A68" s="27" t="s">
        <v>250</v>
      </c>
      <c r="B68" s="29" t="s">
        <v>63</v>
      </c>
      <c r="C68" s="28">
        <v>52465.423000000003</v>
      </c>
      <c r="D68" s="6"/>
      <c r="E68">
        <f t="shared" si="8"/>
        <v>3230.0143557095171</v>
      </c>
      <c r="F68">
        <f t="shared" si="9"/>
        <v>3230</v>
      </c>
      <c r="G68">
        <f t="shared" si="12"/>
        <v>2.7600000001257285E-2</v>
      </c>
      <c r="K68">
        <f t="shared" si="13"/>
        <v>2.7600000001257285E-2</v>
      </c>
      <c r="O68">
        <f t="shared" ca="1" si="10"/>
        <v>1.8377138463736693E-2</v>
      </c>
      <c r="Q68" s="1">
        <f t="shared" si="11"/>
        <v>37446.923000000003</v>
      </c>
    </row>
    <row r="69" spans="1:32" x14ac:dyDescent="0.2">
      <c r="A69" s="8" t="s">
        <v>72</v>
      </c>
      <c r="B69" s="9" t="s">
        <v>63</v>
      </c>
      <c r="C69" s="8">
        <v>52813.409</v>
      </c>
      <c r="D69" s="8">
        <v>3.0000000000000001E-3</v>
      </c>
      <c r="E69">
        <f t="shared" si="8"/>
        <v>3411.0138459778009</v>
      </c>
      <c r="F69">
        <f t="shared" si="9"/>
        <v>3411</v>
      </c>
      <c r="G69">
        <f t="shared" si="12"/>
        <v>2.6620000004186295E-2</v>
      </c>
      <c r="K69">
        <f t="shared" si="13"/>
        <v>2.6620000004186295E-2</v>
      </c>
      <c r="O69">
        <f t="shared" ca="1" si="10"/>
        <v>1.9039120572744705E-2</v>
      </c>
      <c r="Q69" s="1">
        <f t="shared" si="11"/>
        <v>37794.909</v>
      </c>
    </row>
    <row r="70" spans="1:32" x14ac:dyDescent="0.2">
      <c r="A70" s="2" t="s">
        <v>62</v>
      </c>
      <c r="B70" s="3" t="s">
        <v>63</v>
      </c>
      <c r="C70" s="2">
        <v>53080.646000000001</v>
      </c>
      <c r="D70" s="2">
        <v>3.0000000000000001E-3</v>
      </c>
      <c r="E70">
        <f t="shared" si="8"/>
        <v>3550.013003360069</v>
      </c>
      <c r="F70">
        <f t="shared" si="9"/>
        <v>3550</v>
      </c>
      <c r="G70">
        <f t="shared" si="12"/>
        <v>2.5000000001455192E-2</v>
      </c>
      <c r="K70">
        <f t="shared" si="13"/>
        <v>2.5000000001455192E-2</v>
      </c>
      <c r="O70">
        <f t="shared" ca="1" si="10"/>
        <v>1.9547493573585116E-2</v>
      </c>
      <c r="Q70" s="1">
        <f t="shared" si="11"/>
        <v>38062.146000000001</v>
      </c>
    </row>
    <row r="71" spans="1:32" x14ac:dyDescent="0.2">
      <c r="A71" s="11" t="s">
        <v>76</v>
      </c>
      <c r="B71" s="12" t="s">
        <v>63</v>
      </c>
      <c r="C71" s="11">
        <v>53530.523999999998</v>
      </c>
      <c r="D71" s="11">
        <v>2E-3</v>
      </c>
      <c r="E71">
        <f t="shared" si="8"/>
        <v>3784.0100281912837</v>
      </c>
      <c r="F71">
        <f t="shared" si="9"/>
        <v>3784</v>
      </c>
      <c r="G71">
        <f t="shared" si="12"/>
        <v>1.9280000000435393E-2</v>
      </c>
      <c r="K71">
        <f t="shared" si="13"/>
        <v>1.9280000000435393E-2</v>
      </c>
      <c r="O71">
        <f t="shared" ca="1" si="10"/>
        <v>2.0403315747661771E-2</v>
      </c>
      <c r="Q71" s="1">
        <f t="shared" si="11"/>
        <v>38512.023999999998</v>
      </c>
    </row>
    <row r="72" spans="1:32" x14ac:dyDescent="0.2">
      <c r="A72" s="11" t="s">
        <v>76</v>
      </c>
      <c r="B72" s="12" t="s">
        <v>63</v>
      </c>
      <c r="C72" s="11">
        <v>53557.45</v>
      </c>
      <c r="D72" s="11">
        <v>2E-3</v>
      </c>
      <c r="E72">
        <f t="shared" si="8"/>
        <v>3798.0151671191825</v>
      </c>
      <c r="F72">
        <f t="shared" si="9"/>
        <v>3798</v>
      </c>
      <c r="G72">
        <f t="shared" si="12"/>
        <v>2.9159999998228159E-2</v>
      </c>
      <c r="K72">
        <f t="shared" si="13"/>
        <v>2.9159999998228159E-2</v>
      </c>
      <c r="O72">
        <f t="shared" ca="1" si="10"/>
        <v>2.0454518783717644E-2</v>
      </c>
      <c r="Q72" s="1">
        <f t="shared" si="11"/>
        <v>38538.949999999997</v>
      </c>
    </row>
    <row r="73" spans="1:32" x14ac:dyDescent="0.2">
      <c r="B73" s="5"/>
      <c r="C73" s="6"/>
      <c r="D73" s="6"/>
    </row>
    <row r="74" spans="1:32" x14ac:dyDescent="0.2">
      <c r="B74" s="5"/>
      <c r="C74" s="6"/>
      <c r="D74" s="6"/>
    </row>
    <row r="75" spans="1:32" x14ac:dyDescent="0.2">
      <c r="B75" s="5"/>
      <c r="C75" s="6"/>
      <c r="D75" s="6"/>
    </row>
    <row r="76" spans="1:32" x14ac:dyDescent="0.2">
      <c r="B76" s="5"/>
      <c r="C76" s="6"/>
      <c r="D76" s="6"/>
    </row>
    <row r="77" spans="1:32" x14ac:dyDescent="0.2">
      <c r="C77" s="6"/>
      <c r="D77" s="6"/>
    </row>
    <row r="78" spans="1:32" x14ac:dyDescent="0.2">
      <c r="C78" s="6"/>
      <c r="D78" s="6"/>
    </row>
    <row r="79" spans="1:32" x14ac:dyDescent="0.2">
      <c r="C79" s="6"/>
      <c r="D79" s="6"/>
    </row>
    <row r="80" spans="1:32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81"/>
  <sheetViews>
    <sheetView topLeftCell="A25" workbookViewId="0">
      <selection activeCell="A47" sqref="A47:C61"/>
    </sheetView>
  </sheetViews>
  <sheetFormatPr defaultRowHeight="12.75" x14ac:dyDescent="0.2"/>
  <cols>
    <col min="1" max="1" width="19.7109375" style="14" customWidth="1"/>
    <col min="2" max="2" width="4.42578125" style="4" customWidth="1"/>
    <col min="3" max="3" width="12.7109375" style="14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14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3" t="s">
        <v>77</v>
      </c>
      <c r="I1" s="15" t="s">
        <v>78</v>
      </c>
      <c r="J1" s="16" t="s">
        <v>79</v>
      </c>
    </row>
    <row r="2" spans="1:16" x14ac:dyDescent="0.2">
      <c r="I2" s="17" t="s">
        <v>80</v>
      </c>
      <c r="J2" s="18" t="s">
        <v>81</v>
      </c>
    </row>
    <row r="3" spans="1:16" x14ac:dyDescent="0.2">
      <c r="A3" s="19" t="s">
        <v>82</v>
      </c>
      <c r="I3" s="17" t="s">
        <v>83</v>
      </c>
      <c r="J3" s="18" t="s">
        <v>84</v>
      </c>
    </row>
    <row r="4" spans="1:16" x14ac:dyDescent="0.2">
      <c r="I4" s="17" t="s">
        <v>85</v>
      </c>
      <c r="J4" s="18" t="s">
        <v>84</v>
      </c>
    </row>
    <row r="5" spans="1:16" ht="13.5" thickBot="1" x14ac:dyDescent="0.25">
      <c r="I5" s="20" t="s">
        <v>86</v>
      </c>
      <c r="J5" s="21" t="s">
        <v>87</v>
      </c>
    </row>
    <row r="10" spans="1:16" ht="13.5" thickBot="1" x14ac:dyDescent="0.25"/>
    <row r="11" spans="1:16" ht="12.75" customHeight="1" thickBot="1" x14ac:dyDescent="0.25">
      <c r="A11" s="14" t="str">
        <f t="shared" ref="A11:A42" si="0">P11</f>
        <v> BBS 3 </v>
      </c>
      <c r="B11" s="5" t="str">
        <f t="shared" ref="B11:B42" si="1">IF(H11=INT(H11),"I","II")</f>
        <v>I</v>
      </c>
      <c r="C11" s="14">
        <f t="shared" ref="C11:C42" si="2">1*G11</f>
        <v>41487.478999999999</v>
      </c>
      <c r="D11" s="4" t="str">
        <f t="shared" ref="D11:D42" si="3">VLOOKUP(F11,I$1:J$5,2,FALSE)</f>
        <v>vis</v>
      </c>
      <c r="E11" s="22">
        <f>VLOOKUP(C11,Active!C$21:E$973,3,FALSE)</f>
        <v>-2479.9919899301981</v>
      </c>
      <c r="F11" s="5" t="s">
        <v>86</v>
      </c>
      <c r="G11" s="4" t="str">
        <f t="shared" ref="G11:G42" si="4">MID(I11,3,LEN(I11)-3)</f>
        <v>41487.479</v>
      </c>
      <c r="H11" s="14">
        <f t="shared" ref="H11:H42" si="5">1*K11</f>
        <v>-2480</v>
      </c>
      <c r="I11" s="23" t="s">
        <v>133</v>
      </c>
      <c r="J11" s="24" t="s">
        <v>134</v>
      </c>
      <c r="K11" s="23">
        <v>-2480</v>
      </c>
      <c r="L11" s="23" t="s">
        <v>135</v>
      </c>
      <c r="M11" s="24" t="s">
        <v>109</v>
      </c>
      <c r="N11" s="24"/>
      <c r="O11" s="25" t="s">
        <v>136</v>
      </c>
      <c r="P11" s="25" t="s">
        <v>137</v>
      </c>
    </row>
    <row r="12" spans="1:16" ht="12.75" customHeight="1" thickBot="1" x14ac:dyDescent="0.25">
      <c r="A12" s="14" t="str">
        <f t="shared" si="0"/>
        <v> BBS 15 </v>
      </c>
      <c r="B12" s="5" t="str">
        <f t="shared" si="1"/>
        <v>I</v>
      </c>
      <c r="C12" s="14">
        <f t="shared" si="2"/>
        <v>42183.453000000001</v>
      </c>
      <c r="D12" s="4" t="str">
        <f t="shared" si="3"/>
        <v>vis</v>
      </c>
      <c r="E12" s="22">
        <f>VLOOKUP(C12,Active!C$21:E$973,3,FALSE)</f>
        <v>-2117.991969124821</v>
      </c>
      <c r="F12" s="5" t="s">
        <v>86</v>
      </c>
      <c r="G12" s="4" t="str">
        <f t="shared" si="4"/>
        <v>42183.453</v>
      </c>
      <c r="H12" s="14">
        <f t="shared" si="5"/>
        <v>-2118</v>
      </c>
      <c r="I12" s="23" t="s">
        <v>138</v>
      </c>
      <c r="J12" s="24" t="s">
        <v>139</v>
      </c>
      <c r="K12" s="23">
        <v>-2118</v>
      </c>
      <c r="L12" s="23" t="s">
        <v>135</v>
      </c>
      <c r="M12" s="24" t="s">
        <v>109</v>
      </c>
      <c r="N12" s="24"/>
      <c r="O12" s="25" t="s">
        <v>136</v>
      </c>
      <c r="P12" s="25" t="s">
        <v>140</v>
      </c>
    </row>
    <row r="13" spans="1:16" ht="12.75" customHeight="1" thickBot="1" x14ac:dyDescent="0.25">
      <c r="A13" s="14" t="str">
        <f t="shared" si="0"/>
        <v> BBS 22 </v>
      </c>
      <c r="B13" s="5" t="str">
        <f t="shared" si="1"/>
        <v>I</v>
      </c>
      <c r="C13" s="14">
        <f t="shared" si="2"/>
        <v>42552.572999999997</v>
      </c>
      <c r="D13" s="4" t="str">
        <f t="shared" si="3"/>
        <v>vis</v>
      </c>
      <c r="E13" s="22">
        <f>VLOOKUP(C13,Active!C$21:E$973,3,FALSE)</f>
        <v>-1925.9999583892493</v>
      </c>
      <c r="F13" s="5" t="s">
        <v>86</v>
      </c>
      <c r="G13" s="4" t="str">
        <f t="shared" si="4"/>
        <v>42552.573</v>
      </c>
      <c r="H13" s="14">
        <f t="shared" si="5"/>
        <v>-1926</v>
      </c>
      <c r="I13" s="23" t="s">
        <v>141</v>
      </c>
      <c r="J13" s="24" t="s">
        <v>142</v>
      </c>
      <c r="K13" s="23">
        <v>-1926</v>
      </c>
      <c r="L13" s="23" t="s">
        <v>143</v>
      </c>
      <c r="M13" s="24" t="s">
        <v>109</v>
      </c>
      <c r="N13" s="24"/>
      <c r="O13" s="25" t="s">
        <v>136</v>
      </c>
      <c r="P13" s="25" t="s">
        <v>144</v>
      </c>
    </row>
    <row r="14" spans="1:16" ht="12.75" customHeight="1" thickBot="1" x14ac:dyDescent="0.25">
      <c r="A14" s="14" t="str">
        <f t="shared" si="0"/>
        <v> BBS 23 </v>
      </c>
      <c r="B14" s="5" t="str">
        <f t="shared" si="1"/>
        <v>I</v>
      </c>
      <c r="C14" s="14">
        <f t="shared" si="2"/>
        <v>42606.411999999997</v>
      </c>
      <c r="D14" s="4" t="str">
        <f t="shared" si="3"/>
        <v>vis</v>
      </c>
      <c r="E14" s="22">
        <f>VLOOKUP(C14,Active!C$21:E$973,3,FALSE)</f>
        <v>-1897.9964422806868</v>
      </c>
      <c r="F14" s="5" t="s">
        <v>86</v>
      </c>
      <c r="G14" s="4" t="str">
        <f t="shared" si="4"/>
        <v>42606.412</v>
      </c>
      <c r="H14" s="14">
        <f t="shared" si="5"/>
        <v>-1898</v>
      </c>
      <c r="I14" s="23" t="s">
        <v>145</v>
      </c>
      <c r="J14" s="24" t="s">
        <v>146</v>
      </c>
      <c r="K14" s="23">
        <v>-1898</v>
      </c>
      <c r="L14" s="23" t="s">
        <v>147</v>
      </c>
      <c r="M14" s="24" t="s">
        <v>109</v>
      </c>
      <c r="N14" s="24"/>
      <c r="O14" s="25" t="s">
        <v>148</v>
      </c>
      <c r="P14" s="25" t="s">
        <v>149</v>
      </c>
    </row>
    <row r="15" spans="1:16" ht="12.75" customHeight="1" thickBot="1" x14ac:dyDescent="0.25">
      <c r="A15" s="14" t="str">
        <f t="shared" si="0"/>
        <v> BBS 23 </v>
      </c>
      <c r="B15" s="5" t="str">
        <f t="shared" si="1"/>
        <v>I</v>
      </c>
      <c r="C15" s="14">
        <f t="shared" si="2"/>
        <v>42629.476999999999</v>
      </c>
      <c r="D15" s="4" t="str">
        <f t="shared" si="3"/>
        <v>vis</v>
      </c>
      <c r="E15" s="22">
        <f>VLOOKUP(C15,Active!C$21:E$973,3,FALSE)</f>
        <v>-1885.999542281726</v>
      </c>
      <c r="F15" s="5" t="s">
        <v>86</v>
      </c>
      <c r="G15" s="4" t="str">
        <f t="shared" si="4"/>
        <v>42629.477</v>
      </c>
      <c r="H15" s="14">
        <f t="shared" si="5"/>
        <v>-1886</v>
      </c>
      <c r="I15" s="23" t="s">
        <v>150</v>
      </c>
      <c r="J15" s="24" t="s">
        <v>151</v>
      </c>
      <c r="K15" s="23">
        <v>-1886</v>
      </c>
      <c r="L15" s="23" t="s">
        <v>152</v>
      </c>
      <c r="M15" s="24" t="s">
        <v>109</v>
      </c>
      <c r="N15" s="24"/>
      <c r="O15" s="25" t="s">
        <v>136</v>
      </c>
      <c r="P15" s="25" t="s">
        <v>149</v>
      </c>
    </row>
    <row r="16" spans="1:16" ht="12.75" customHeight="1" thickBot="1" x14ac:dyDescent="0.25">
      <c r="A16" s="14" t="str">
        <f t="shared" si="0"/>
        <v> BBS 23 </v>
      </c>
      <c r="B16" s="5" t="str">
        <f t="shared" si="1"/>
        <v>I</v>
      </c>
      <c r="C16" s="14">
        <f t="shared" si="2"/>
        <v>42631.4</v>
      </c>
      <c r="D16" s="4" t="str">
        <f t="shared" si="3"/>
        <v>vis</v>
      </c>
      <c r="E16" s="22">
        <f>VLOOKUP(C16,Active!C$21:E$973,3,FALSE)</f>
        <v>-1884.9993238252755</v>
      </c>
      <c r="F16" s="5" t="s">
        <v>86</v>
      </c>
      <c r="G16" s="4" t="str">
        <f t="shared" si="4"/>
        <v>42631.400</v>
      </c>
      <c r="H16" s="14">
        <f t="shared" si="5"/>
        <v>-1885</v>
      </c>
      <c r="I16" s="23" t="s">
        <v>153</v>
      </c>
      <c r="J16" s="24" t="s">
        <v>154</v>
      </c>
      <c r="K16" s="23">
        <v>-1885</v>
      </c>
      <c r="L16" s="23" t="s">
        <v>152</v>
      </c>
      <c r="M16" s="24" t="s">
        <v>109</v>
      </c>
      <c r="N16" s="24"/>
      <c r="O16" s="25" t="s">
        <v>136</v>
      </c>
      <c r="P16" s="25" t="s">
        <v>149</v>
      </c>
    </row>
    <row r="17" spans="1:16" ht="12.75" customHeight="1" thickBot="1" x14ac:dyDescent="0.25">
      <c r="A17" s="14" t="str">
        <f t="shared" si="0"/>
        <v> BBS 28 </v>
      </c>
      <c r="B17" s="5" t="str">
        <f t="shared" si="1"/>
        <v>I</v>
      </c>
      <c r="C17" s="14">
        <f t="shared" si="2"/>
        <v>42900.561999999998</v>
      </c>
      <c r="D17" s="4" t="str">
        <f t="shared" si="3"/>
        <v>vis</v>
      </c>
      <c r="E17" s="22">
        <f>VLOOKUP(C17,Active!C$21:E$973,3,FALSE)</f>
        <v>-1744.9989077177552</v>
      </c>
      <c r="F17" s="5" t="s">
        <v>86</v>
      </c>
      <c r="G17" s="4" t="str">
        <f t="shared" si="4"/>
        <v>42900.562</v>
      </c>
      <c r="H17" s="14">
        <f t="shared" si="5"/>
        <v>-1745</v>
      </c>
      <c r="I17" s="23" t="s">
        <v>155</v>
      </c>
      <c r="J17" s="24" t="s">
        <v>156</v>
      </c>
      <c r="K17" s="23">
        <v>-1745</v>
      </c>
      <c r="L17" s="23" t="s">
        <v>157</v>
      </c>
      <c r="M17" s="24" t="s">
        <v>109</v>
      </c>
      <c r="N17" s="24"/>
      <c r="O17" s="25" t="s">
        <v>136</v>
      </c>
      <c r="P17" s="25" t="s">
        <v>158</v>
      </c>
    </row>
    <row r="18" spans="1:16" ht="12.75" customHeight="1" thickBot="1" x14ac:dyDescent="0.25">
      <c r="A18" s="14" t="str">
        <f t="shared" si="0"/>
        <v> BBS 28 </v>
      </c>
      <c r="B18" s="5" t="str">
        <f t="shared" si="1"/>
        <v>I</v>
      </c>
      <c r="C18" s="14">
        <f t="shared" si="2"/>
        <v>42950.550999999999</v>
      </c>
      <c r="D18" s="4" t="str">
        <f t="shared" si="3"/>
        <v>vis</v>
      </c>
      <c r="E18" s="22">
        <f>VLOOKUP(C18,Active!C$21:E$973,3,FALSE)</f>
        <v>-1718.997909059701</v>
      </c>
      <c r="F18" s="5" t="s">
        <v>86</v>
      </c>
      <c r="G18" s="4" t="str">
        <f t="shared" si="4"/>
        <v>42950.551</v>
      </c>
      <c r="H18" s="14">
        <f t="shared" si="5"/>
        <v>-1719</v>
      </c>
      <c r="I18" s="23" t="s">
        <v>159</v>
      </c>
      <c r="J18" s="24" t="s">
        <v>160</v>
      </c>
      <c r="K18" s="23">
        <v>-1719</v>
      </c>
      <c r="L18" s="23" t="s">
        <v>161</v>
      </c>
      <c r="M18" s="24" t="s">
        <v>109</v>
      </c>
      <c r="N18" s="24"/>
      <c r="O18" s="25" t="s">
        <v>136</v>
      </c>
      <c r="P18" s="25" t="s">
        <v>158</v>
      </c>
    </row>
    <row r="19" spans="1:16" ht="12.75" customHeight="1" thickBot="1" x14ac:dyDescent="0.25">
      <c r="A19" s="14" t="str">
        <f t="shared" si="0"/>
        <v> BBS 33 </v>
      </c>
      <c r="B19" s="5" t="str">
        <f t="shared" si="1"/>
        <v>I</v>
      </c>
      <c r="C19" s="14">
        <f t="shared" si="2"/>
        <v>43275.466999999997</v>
      </c>
      <c r="D19" s="4" t="str">
        <f t="shared" si="3"/>
        <v>vis</v>
      </c>
      <c r="E19" s="22">
        <f>VLOOKUP(C19,Active!C$21:E$973,3,FALSE)</f>
        <v>-1549.9979194623904</v>
      </c>
      <c r="F19" s="5" t="s">
        <v>86</v>
      </c>
      <c r="G19" s="4" t="str">
        <f t="shared" si="4"/>
        <v>43275.467</v>
      </c>
      <c r="H19" s="14">
        <f t="shared" si="5"/>
        <v>-1550</v>
      </c>
      <c r="I19" s="23" t="s">
        <v>162</v>
      </c>
      <c r="J19" s="24" t="s">
        <v>163</v>
      </c>
      <c r="K19" s="23">
        <v>-1550</v>
      </c>
      <c r="L19" s="23" t="s">
        <v>161</v>
      </c>
      <c r="M19" s="24" t="s">
        <v>109</v>
      </c>
      <c r="N19" s="24"/>
      <c r="O19" s="25" t="s">
        <v>136</v>
      </c>
      <c r="P19" s="25" t="s">
        <v>164</v>
      </c>
    </row>
    <row r="20" spans="1:16" ht="12.75" customHeight="1" thickBot="1" x14ac:dyDescent="0.25">
      <c r="A20" s="14" t="str">
        <f t="shared" si="0"/>
        <v> BBS 35 </v>
      </c>
      <c r="B20" s="5" t="str">
        <f t="shared" si="1"/>
        <v>I</v>
      </c>
      <c r="C20" s="14">
        <f t="shared" si="2"/>
        <v>43402.345999999998</v>
      </c>
      <c r="D20" s="4" t="str">
        <f t="shared" si="3"/>
        <v>vis</v>
      </c>
      <c r="E20" s="22">
        <f>VLOOKUP(C20,Active!C$21:E$973,3,FALSE)</f>
        <v>-1484.0037865784529</v>
      </c>
      <c r="F20" s="5" t="s">
        <v>86</v>
      </c>
      <c r="G20" s="4" t="str">
        <f t="shared" si="4"/>
        <v>43402.346</v>
      </c>
      <c r="H20" s="14">
        <f t="shared" si="5"/>
        <v>-1484</v>
      </c>
      <c r="I20" s="23" t="s">
        <v>165</v>
      </c>
      <c r="J20" s="24" t="s">
        <v>166</v>
      </c>
      <c r="K20" s="23">
        <v>-1484</v>
      </c>
      <c r="L20" s="23" t="s">
        <v>167</v>
      </c>
      <c r="M20" s="24" t="s">
        <v>109</v>
      </c>
      <c r="N20" s="24"/>
      <c r="O20" s="25" t="s">
        <v>136</v>
      </c>
      <c r="P20" s="25" t="s">
        <v>168</v>
      </c>
    </row>
    <row r="21" spans="1:16" ht="12.75" customHeight="1" thickBot="1" x14ac:dyDescent="0.25">
      <c r="A21" s="14" t="str">
        <f t="shared" si="0"/>
        <v> BBS 37 </v>
      </c>
      <c r="B21" s="5" t="str">
        <f t="shared" si="1"/>
        <v>I</v>
      </c>
      <c r="C21" s="14">
        <f t="shared" si="2"/>
        <v>43671.51</v>
      </c>
      <c r="D21" s="4" t="str">
        <f t="shared" si="3"/>
        <v>vis</v>
      </c>
      <c r="E21" s="22">
        <f>VLOOKUP(C21,Active!C$21:E$973,3,FALSE)</f>
        <v>-1344.0023302021229</v>
      </c>
      <c r="F21" s="5" t="s">
        <v>86</v>
      </c>
      <c r="G21" s="4" t="str">
        <f t="shared" si="4"/>
        <v>43671.510</v>
      </c>
      <c r="H21" s="14">
        <f t="shared" si="5"/>
        <v>-1344</v>
      </c>
      <c r="I21" s="23" t="s">
        <v>169</v>
      </c>
      <c r="J21" s="24" t="s">
        <v>170</v>
      </c>
      <c r="K21" s="23">
        <v>-1344</v>
      </c>
      <c r="L21" s="23" t="s">
        <v>171</v>
      </c>
      <c r="M21" s="24" t="s">
        <v>109</v>
      </c>
      <c r="N21" s="24"/>
      <c r="O21" s="25" t="s">
        <v>136</v>
      </c>
      <c r="P21" s="25" t="s">
        <v>172</v>
      </c>
    </row>
    <row r="22" spans="1:16" ht="12.75" customHeight="1" thickBot="1" x14ac:dyDescent="0.25">
      <c r="A22" s="14" t="str">
        <f t="shared" si="0"/>
        <v> BBS 54 </v>
      </c>
      <c r="B22" s="5" t="str">
        <f t="shared" si="1"/>
        <v>I</v>
      </c>
      <c r="C22" s="14">
        <f t="shared" si="2"/>
        <v>44711.627</v>
      </c>
      <c r="D22" s="4" t="str">
        <f t="shared" si="3"/>
        <v>vis</v>
      </c>
      <c r="E22" s="22">
        <f>VLOOKUP(C22,Active!C$21:E$973,3,FALSE)</f>
        <v>-803.00169563815246</v>
      </c>
      <c r="F22" s="5" t="s">
        <v>86</v>
      </c>
      <c r="G22" s="4" t="str">
        <f t="shared" si="4"/>
        <v>44711.627</v>
      </c>
      <c r="H22" s="14">
        <f t="shared" si="5"/>
        <v>-803</v>
      </c>
      <c r="I22" s="23" t="s">
        <v>173</v>
      </c>
      <c r="J22" s="24" t="s">
        <v>174</v>
      </c>
      <c r="K22" s="23">
        <v>-803</v>
      </c>
      <c r="L22" s="23" t="s">
        <v>88</v>
      </c>
      <c r="M22" s="24" t="s">
        <v>109</v>
      </c>
      <c r="N22" s="24"/>
      <c r="O22" s="25" t="s">
        <v>136</v>
      </c>
      <c r="P22" s="25" t="s">
        <v>175</v>
      </c>
    </row>
    <row r="23" spans="1:16" ht="12.75" customHeight="1" thickBot="1" x14ac:dyDescent="0.25">
      <c r="A23" s="14" t="str">
        <f t="shared" si="0"/>
        <v> BBS 56 </v>
      </c>
      <c r="B23" s="5" t="str">
        <f t="shared" si="1"/>
        <v>I</v>
      </c>
      <c r="C23" s="14">
        <f t="shared" si="2"/>
        <v>44842.362000000001</v>
      </c>
      <c r="D23" s="4" t="str">
        <f t="shared" si="3"/>
        <v>vis</v>
      </c>
      <c r="E23" s="22">
        <f>VLOOKUP(C23,Active!C$21:E$973,3,FALSE)</f>
        <v>-735.00192449728934</v>
      </c>
      <c r="F23" s="5" t="s">
        <v>86</v>
      </c>
      <c r="G23" s="4" t="str">
        <f t="shared" si="4"/>
        <v>44842.362</v>
      </c>
      <c r="H23" s="14">
        <f t="shared" si="5"/>
        <v>-735</v>
      </c>
      <c r="I23" s="23" t="s">
        <v>176</v>
      </c>
      <c r="J23" s="24" t="s">
        <v>177</v>
      </c>
      <c r="K23" s="23">
        <v>-735</v>
      </c>
      <c r="L23" s="23" t="s">
        <v>171</v>
      </c>
      <c r="M23" s="24" t="s">
        <v>109</v>
      </c>
      <c r="N23" s="24"/>
      <c r="O23" s="25" t="s">
        <v>136</v>
      </c>
      <c r="P23" s="25" t="s">
        <v>178</v>
      </c>
    </row>
    <row r="24" spans="1:16" ht="12.75" customHeight="1" thickBot="1" x14ac:dyDescent="0.25">
      <c r="A24" s="14" t="str">
        <f t="shared" si="0"/>
        <v> BBS 60 </v>
      </c>
      <c r="B24" s="5" t="str">
        <f t="shared" si="1"/>
        <v>I</v>
      </c>
      <c r="C24" s="14">
        <f t="shared" si="2"/>
        <v>45061.533000000003</v>
      </c>
      <c r="D24" s="4" t="str">
        <f t="shared" si="3"/>
        <v>vis</v>
      </c>
      <c r="E24" s="22">
        <f>VLOOKUP(C24,Active!C$21:E$973,3,FALSE)</f>
        <v>-621.0035473166248</v>
      </c>
      <c r="F24" s="5" t="s">
        <v>86</v>
      </c>
      <c r="G24" s="4" t="str">
        <f t="shared" si="4"/>
        <v>45061.533</v>
      </c>
      <c r="H24" s="14">
        <f t="shared" si="5"/>
        <v>-621</v>
      </c>
      <c r="I24" s="23" t="s">
        <v>179</v>
      </c>
      <c r="J24" s="24" t="s">
        <v>180</v>
      </c>
      <c r="K24" s="23">
        <v>-621</v>
      </c>
      <c r="L24" s="23" t="s">
        <v>167</v>
      </c>
      <c r="M24" s="24" t="s">
        <v>109</v>
      </c>
      <c r="N24" s="24"/>
      <c r="O24" s="25" t="s">
        <v>136</v>
      </c>
      <c r="P24" s="25" t="s">
        <v>181</v>
      </c>
    </row>
    <row r="25" spans="1:16" ht="12.75" customHeight="1" thickBot="1" x14ac:dyDescent="0.25">
      <c r="A25" s="14" t="str">
        <f t="shared" si="0"/>
        <v> BBS 60 </v>
      </c>
      <c r="B25" s="5" t="str">
        <f t="shared" si="1"/>
        <v>I</v>
      </c>
      <c r="C25" s="14">
        <f t="shared" si="2"/>
        <v>45111.534</v>
      </c>
      <c r="D25" s="4" t="str">
        <f t="shared" si="3"/>
        <v>vis</v>
      </c>
      <c r="E25" s="22">
        <f>VLOOKUP(C25,Active!C$21:E$973,3,FALSE)</f>
        <v>-594.99630704574054</v>
      </c>
      <c r="F25" s="5" t="s">
        <v>86</v>
      </c>
      <c r="G25" s="4" t="str">
        <f t="shared" si="4"/>
        <v>45111.534</v>
      </c>
      <c r="H25" s="14">
        <f t="shared" si="5"/>
        <v>-595</v>
      </c>
      <c r="I25" s="23" t="s">
        <v>182</v>
      </c>
      <c r="J25" s="24" t="s">
        <v>183</v>
      </c>
      <c r="K25" s="23">
        <v>-595</v>
      </c>
      <c r="L25" s="23" t="s">
        <v>147</v>
      </c>
      <c r="M25" s="24" t="s">
        <v>109</v>
      </c>
      <c r="N25" s="24"/>
      <c r="O25" s="25" t="s">
        <v>136</v>
      </c>
      <c r="P25" s="25" t="s">
        <v>181</v>
      </c>
    </row>
    <row r="26" spans="1:16" ht="12.75" customHeight="1" thickBot="1" x14ac:dyDescent="0.25">
      <c r="A26" s="14" t="str">
        <f t="shared" si="0"/>
        <v> BBS 61 </v>
      </c>
      <c r="B26" s="5" t="str">
        <f t="shared" si="1"/>
        <v>I</v>
      </c>
      <c r="C26" s="14">
        <f t="shared" si="2"/>
        <v>45138.445</v>
      </c>
      <c r="D26" s="4" t="str">
        <f t="shared" si="3"/>
        <v>vis</v>
      </c>
      <c r="E26" s="22">
        <f>VLOOKUP(C26,Active!C$21:E$973,3,FALSE)</f>
        <v>-580.99897013388249</v>
      </c>
      <c r="F26" s="5" t="s">
        <v>86</v>
      </c>
      <c r="G26" s="4" t="str">
        <f t="shared" si="4"/>
        <v>45138.445</v>
      </c>
      <c r="H26" s="14">
        <f t="shared" si="5"/>
        <v>-581</v>
      </c>
      <c r="I26" s="23" t="s">
        <v>184</v>
      </c>
      <c r="J26" s="24" t="s">
        <v>185</v>
      </c>
      <c r="K26" s="23">
        <v>-581</v>
      </c>
      <c r="L26" s="23" t="s">
        <v>157</v>
      </c>
      <c r="M26" s="24" t="s">
        <v>109</v>
      </c>
      <c r="N26" s="24"/>
      <c r="O26" s="25" t="s">
        <v>136</v>
      </c>
      <c r="P26" s="25" t="s">
        <v>186</v>
      </c>
    </row>
    <row r="27" spans="1:16" ht="12.75" customHeight="1" thickBot="1" x14ac:dyDescent="0.25">
      <c r="A27" s="14" t="str">
        <f t="shared" si="0"/>
        <v> BBS 72 </v>
      </c>
      <c r="B27" s="5" t="str">
        <f t="shared" si="1"/>
        <v>I</v>
      </c>
      <c r="C27" s="14">
        <f t="shared" si="2"/>
        <v>45830.572999999997</v>
      </c>
      <c r="D27" s="4" t="str">
        <f t="shared" si="3"/>
        <v>vis</v>
      </c>
      <c r="E27" s="22">
        <f>VLOOKUP(C27,Active!C$21:E$973,3,FALSE)</f>
        <v>-220.99938624140626</v>
      </c>
      <c r="F27" s="5" t="s">
        <v>86</v>
      </c>
      <c r="G27" s="4" t="str">
        <f t="shared" si="4"/>
        <v>45830.573</v>
      </c>
      <c r="H27" s="14">
        <f t="shared" si="5"/>
        <v>-221</v>
      </c>
      <c r="I27" s="23" t="s">
        <v>187</v>
      </c>
      <c r="J27" s="24" t="s">
        <v>188</v>
      </c>
      <c r="K27" s="23">
        <v>-221</v>
      </c>
      <c r="L27" s="23" t="s">
        <v>152</v>
      </c>
      <c r="M27" s="24" t="s">
        <v>109</v>
      </c>
      <c r="N27" s="24"/>
      <c r="O27" s="25" t="s">
        <v>136</v>
      </c>
      <c r="P27" s="25" t="s">
        <v>189</v>
      </c>
    </row>
    <row r="28" spans="1:16" ht="12.75" customHeight="1" thickBot="1" x14ac:dyDescent="0.25">
      <c r="A28" s="14" t="str">
        <f t="shared" si="0"/>
        <v> BBS 77 </v>
      </c>
      <c r="B28" s="5" t="str">
        <f t="shared" si="1"/>
        <v>I</v>
      </c>
      <c r="C28" s="14">
        <f t="shared" si="2"/>
        <v>46255.462</v>
      </c>
      <c r="D28" s="4" t="str">
        <f t="shared" si="3"/>
        <v>vis</v>
      </c>
      <c r="E28" s="22">
        <f>VLOOKUP(C28,Active!C$21:E$973,3,FALSE)</f>
        <v>0</v>
      </c>
      <c r="F28" s="5" t="s">
        <v>86</v>
      </c>
      <c r="G28" s="4" t="str">
        <f t="shared" si="4"/>
        <v>46255.462</v>
      </c>
      <c r="H28" s="14">
        <f t="shared" si="5"/>
        <v>0</v>
      </c>
      <c r="I28" s="23" t="s">
        <v>190</v>
      </c>
      <c r="J28" s="24" t="s">
        <v>191</v>
      </c>
      <c r="K28" s="23">
        <v>0</v>
      </c>
      <c r="L28" s="23" t="s">
        <v>143</v>
      </c>
      <c r="M28" s="24" t="s">
        <v>109</v>
      </c>
      <c r="N28" s="24"/>
      <c r="O28" s="25" t="s">
        <v>136</v>
      </c>
      <c r="P28" s="25" t="s">
        <v>192</v>
      </c>
    </row>
    <row r="29" spans="1:16" ht="12.75" customHeight="1" thickBot="1" x14ac:dyDescent="0.25">
      <c r="A29" s="14" t="str">
        <f t="shared" si="0"/>
        <v> BBS 84 </v>
      </c>
      <c r="B29" s="5" t="str">
        <f t="shared" si="1"/>
        <v>I</v>
      </c>
      <c r="C29" s="14">
        <f t="shared" si="2"/>
        <v>46974.512000000002</v>
      </c>
      <c r="D29" s="4" t="str">
        <f t="shared" si="3"/>
        <v>vis</v>
      </c>
      <c r="E29" s="22">
        <f>VLOOKUP(C29,Active!C$21:E$973,3,FALSE)</f>
        <v>374.0026422827674</v>
      </c>
      <c r="F29" s="5" t="s">
        <v>86</v>
      </c>
      <c r="G29" s="4" t="str">
        <f t="shared" si="4"/>
        <v>46974.512</v>
      </c>
      <c r="H29" s="14">
        <f t="shared" si="5"/>
        <v>374</v>
      </c>
      <c r="I29" s="23" t="s">
        <v>193</v>
      </c>
      <c r="J29" s="24" t="s">
        <v>194</v>
      </c>
      <c r="K29" s="23">
        <v>374</v>
      </c>
      <c r="L29" s="23" t="s">
        <v>195</v>
      </c>
      <c r="M29" s="24" t="s">
        <v>109</v>
      </c>
      <c r="N29" s="24"/>
      <c r="O29" s="25" t="s">
        <v>136</v>
      </c>
      <c r="P29" s="25" t="s">
        <v>196</v>
      </c>
    </row>
    <row r="30" spans="1:16" ht="12.75" customHeight="1" thickBot="1" x14ac:dyDescent="0.25">
      <c r="A30" s="14" t="str">
        <f t="shared" si="0"/>
        <v> BBS 85 </v>
      </c>
      <c r="B30" s="5" t="str">
        <f t="shared" si="1"/>
        <v>I</v>
      </c>
      <c r="C30" s="14">
        <f t="shared" si="2"/>
        <v>47028.347999999998</v>
      </c>
      <c r="D30" s="4" t="str">
        <f t="shared" si="3"/>
        <v>vis</v>
      </c>
      <c r="E30" s="22">
        <f>VLOOKUP(C30,Active!C$21:E$973,3,FALSE)</f>
        <v>402.00459798811943</v>
      </c>
      <c r="F30" s="5" t="s">
        <v>86</v>
      </c>
      <c r="G30" s="4" t="str">
        <f t="shared" si="4"/>
        <v>47028.348</v>
      </c>
      <c r="H30" s="14">
        <f t="shared" si="5"/>
        <v>402</v>
      </c>
      <c r="I30" s="23" t="s">
        <v>197</v>
      </c>
      <c r="J30" s="24" t="s">
        <v>198</v>
      </c>
      <c r="K30" s="23">
        <v>402</v>
      </c>
      <c r="L30" s="23" t="s">
        <v>199</v>
      </c>
      <c r="M30" s="24" t="s">
        <v>109</v>
      </c>
      <c r="N30" s="24"/>
      <c r="O30" s="25" t="s">
        <v>136</v>
      </c>
      <c r="P30" s="25" t="s">
        <v>200</v>
      </c>
    </row>
    <row r="31" spans="1:16" ht="12.75" customHeight="1" thickBot="1" x14ac:dyDescent="0.25">
      <c r="A31" s="14" t="str">
        <f t="shared" si="0"/>
        <v> BBS 88 </v>
      </c>
      <c r="B31" s="5" t="str">
        <f t="shared" si="1"/>
        <v>I</v>
      </c>
      <c r="C31" s="14">
        <f t="shared" si="2"/>
        <v>47322.499000000003</v>
      </c>
      <c r="D31" s="4" t="str">
        <f t="shared" si="3"/>
        <v>vis</v>
      </c>
      <c r="E31" s="22">
        <f>VLOOKUP(C31,Active!C$21:E$973,3,FALSE)</f>
        <v>555.00265268545593</v>
      </c>
      <c r="F31" s="5" t="s">
        <v>86</v>
      </c>
      <c r="G31" s="4" t="str">
        <f t="shared" si="4"/>
        <v>47322.499</v>
      </c>
      <c r="H31" s="14">
        <f t="shared" si="5"/>
        <v>555</v>
      </c>
      <c r="I31" s="23" t="s">
        <v>201</v>
      </c>
      <c r="J31" s="24" t="s">
        <v>202</v>
      </c>
      <c r="K31" s="23">
        <v>555</v>
      </c>
      <c r="L31" s="23" t="s">
        <v>195</v>
      </c>
      <c r="M31" s="24" t="s">
        <v>109</v>
      </c>
      <c r="N31" s="24"/>
      <c r="O31" s="25" t="s">
        <v>136</v>
      </c>
      <c r="P31" s="25" t="s">
        <v>203</v>
      </c>
    </row>
    <row r="32" spans="1:16" ht="12.75" customHeight="1" thickBot="1" x14ac:dyDescent="0.25">
      <c r="A32" s="14" t="str">
        <f t="shared" si="0"/>
        <v> BBS 89 </v>
      </c>
      <c r="B32" s="5" t="str">
        <f t="shared" si="1"/>
        <v>I</v>
      </c>
      <c r="C32" s="14">
        <f t="shared" si="2"/>
        <v>47401.324000000001</v>
      </c>
      <c r="D32" s="4" t="str">
        <f t="shared" si="3"/>
        <v>vis</v>
      </c>
      <c r="E32" s="22">
        <f>VLOOKUP(C32,Active!C$21:E$973,3,FALSE)</f>
        <v>596.00224698062027</v>
      </c>
      <c r="F32" s="5" t="s">
        <v>86</v>
      </c>
      <c r="G32" s="4" t="str">
        <f t="shared" si="4"/>
        <v>47401.324</v>
      </c>
      <c r="H32" s="14">
        <f t="shared" si="5"/>
        <v>596</v>
      </c>
      <c r="I32" s="23" t="s">
        <v>204</v>
      </c>
      <c r="J32" s="24" t="s">
        <v>205</v>
      </c>
      <c r="K32" s="23">
        <v>596</v>
      </c>
      <c r="L32" s="23" t="s">
        <v>161</v>
      </c>
      <c r="M32" s="24" t="s">
        <v>109</v>
      </c>
      <c r="N32" s="24"/>
      <c r="O32" s="25" t="s">
        <v>136</v>
      </c>
      <c r="P32" s="25" t="s">
        <v>206</v>
      </c>
    </row>
    <row r="33" spans="1:16" ht="12.75" customHeight="1" thickBot="1" x14ac:dyDescent="0.25">
      <c r="A33" s="14" t="str">
        <f t="shared" si="0"/>
        <v> BBS 91 </v>
      </c>
      <c r="B33" s="5" t="str">
        <f t="shared" si="1"/>
        <v>I</v>
      </c>
      <c r="C33" s="14">
        <f t="shared" si="2"/>
        <v>47591.665999999997</v>
      </c>
      <c r="D33" s="4" t="str">
        <f t="shared" si="3"/>
        <v>vis</v>
      </c>
      <c r="E33" s="22">
        <f>VLOOKUP(C33,Active!C$21:E$973,3,FALSE)</f>
        <v>695.00566946498873</v>
      </c>
      <c r="F33" s="5" t="s">
        <v>86</v>
      </c>
      <c r="G33" s="4" t="str">
        <f t="shared" si="4"/>
        <v>47591.666</v>
      </c>
      <c r="H33" s="14">
        <f t="shared" si="5"/>
        <v>695</v>
      </c>
      <c r="I33" s="23" t="s">
        <v>207</v>
      </c>
      <c r="J33" s="24" t="s">
        <v>208</v>
      </c>
      <c r="K33" s="23">
        <v>695</v>
      </c>
      <c r="L33" s="23" t="s">
        <v>209</v>
      </c>
      <c r="M33" s="24" t="s">
        <v>109</v>
      </c>
      <c r="N33" s="24"/>
      <c r="O33" s="25" t="s">
        <v>136</v>
      </c>
      <c r="P33" s="25" t="s">
        <v>210</v>
      </c>
    </row>
    <row r="34" spans="1:16" ht="12.75" customHeight="1" thickBot="1" x14ac:dyDescent="0.25">
      <c r="A34" s="14" t="str">
        <f t="shared" si="0"/>
        <v> BBS 92 </v>
      </c>
      <c r="B34" s="5" t="str">
        <f t="shared" si="1"/>
        <v>I</v>
      </c>
      <c r="C34" s="14">
        <f t="shared" si="2"/>
        <v>47747.387000000002</v>
      </c>
      <c r="D34" s="4" t="str">
        <f t="shared" si="3"/>
        <v>vis</v>
      </c>
      <c r="E34" s="22">
        <f>VLOOKUP(C34,Active!C$21:E$973,3,FALSE)</f>
        <v>776.00151879245755</v>
      </c>
      <c r="F34" s="5" t="s">
        <v>86</v>
      </c>
      <c r="G34" s="4" t="str">
        <f t="shared" si="4"/>
        <v>47747.387</v>
      </c>
      <c r="H34" s="14">
        <f t="shared" si="5"/>
        <v>776</v>
      </c>
      <c r="I34" s="23" t="s">
        <v>211</v>
      </c>
      <c r="J34" s="24" t="s">
        <v>212</v>
      </c>
      <c r="K34" s="23">
        <v>776</v>
      </c>
      <c r="L34" s="23" t="s">
        <v>213</v>
      </c>
      <c r="M34" s="24" t="s">
        <v>109</v>
      </c>
      <c r="N34" s="24"/>
      <c r="O34" s="25" t="s">
        <v>136</v>
      </c>
      <c r="P34" s="25" t="s">
        <v>214</v>
      </c>
    </row>
    <row r="35" spans="1:16" ht="12.75" customHeight="1" thickBot="1" x14ac:dyDescent="0.25">
      <c r="A35" s="14" t="str">
        <f t="shared" si="0"/>
        <v> BBS 95 </v>
      </c>
      <c r="B35" s="5" t="str">
        <f t="shared" si="1"/>
        <v>I</v>
      </c>
      <c r="C35" s="14">
        <f t="shared" si="2"/>
        <v>48016.550999999999</v>
      </c>
      <c r="D35" s="4" t="str">
        <f t="shared" si="3"/>
        <v>vis</v>
      </c>
      <c r="E35" s="22">
        <f>VLOOKUP(C35,Active!C$21:E$973,3,FALSE)</f>
        <v>916.00297516878356</v>
      </c>
      <c r="F35" s="5" t="s">
        <v>86</v>
      </c>
      <c r="G35" s="4" t="str">
        <f t="shared" si="4"/>
        <v>48016.551</v>
      </c>
      <c r="H35" s="14">
        <f t="shared" si="5"/>
        <v>916</v>
      </c>
      <c r="I35" s="23" t="s">
        <v>215</v>
      </c>
      <c r="J35" s="24" t="s">
        <v>216</v>
      </c>
      <c r="K35" s="23">
        <v>916</v>
      </c>
      <c r="L35" s="23" t="s">
        <v>217</v>
      </c>
      <c r="M35" s="24" t="s">
        <v>109</v>
      </c>
      <c r="N35" s="24"/>
      <c r="O35" s="25" t="s">
        <v>136</v>
      </c>
      <c r="P35" s="25" t="s">
        <v>218</v>
      </c>
    </row>
    <row r="36" spans="1:16" ht="12.75" customHeight="1" thickBot="1" x14ac:dyDescent="0.25">
      <c r="A36" s="14" t="str">
        <f t="shared" si="0"/>
        <v> BBS 95 </v>
      </c>
      <c r="B36" s="5" t="str">
        <f t="shared" si="1"/>
        <v>I</v>
      </c>
      <c r="C36" s="14">
        <f t="shared" si="2"/>
        <v>48068.470999999998</v>
      </c>
      <c r="D36" s="4" t="str">
        <f t="shared" si="3"/>
        <v>vis</v>
      </c>
      <c r="E36" s="22">
        <f>VLOOKUP(C36,Active!C$21:E$973,3,FALSE)</f>
        <v>943.00835335850695</v>
      </c>
      <c r="F36" s="5" t="s">
        <v>86</v>
      </c>
      <c r="G36" s="4" t="str">
        <f t="shared" si="4"/>
        <v>48068.471</v>
      </c>
      <c r="H36" s="14">
        <f t="shared" si="5"/>
        <v>943</v>
      </c>
      <c r="I36" s="23" t="s">
        <v>219</v>
      </c>
      <c r="J36" s="24" t="s">
        <v>220</v>
      </c>
      <c r="K36" s="23">
        <v>943</v>
      </c>
      <c r="L36" s="23" t="s">
        <v>221</v>
      </c>
      <c r="M36" s="24" t="s">
        <v>109</v>
      </c>
      <c r="N36" s="24"/>
      <c r="O36" s="25" t="s">
        <v>222</v>
      </c>
      <c r="P36" s="25" t="s">
        <v>218</v>
      </c>
    </row>
    <row r="37" spans="1:16" ht="12.75" customHeight="1" thickBot="1" x14ac:dyDescent="0.25">
      <c r="A37" s="14" t="str">
        <f t="shared" si="0"/>
        <v> BBS 97 </v>
      </c>
      <c r="B37" s="5" t="str">
        <f t="shared" si="1"/>
        <v>I</v>
      </c>
      <c r="C37" s="14">
        <f t="shared" si="2"/>
        <v>48362.599000000002</v>
      </c>
      <c r="D37" s="4" t="str">
        <f t="shared" si="3"/>
        <v>vis</v>
      </c>
      <c r="E37" s="22">
        <f>VLOOKUP(C37,Active!C$21:E$973,3,FALSE)</f>
        <v>1095.9944449645802</v>
      </c>
      <c r="F37" s="5" t="s">
        <v>86</v>
      </c>
      <c r="G37" s="4" t="str">
        <f t="shared" si="4"/>
        <v>48362.599</v>
      </c>
      <c r="H37" s="14">
        <f t="shared" si="5"/>
        <v>1096</v>
      </c>
      <c r="I37" s="23" t="s">
        <v>223</v>
      </c>
      <c r="J37" s="24" t="s">
        <v>224</v>
      </c>
      <c r="K37" s="23">
        <v>1096</v>
      </c>
      <c r="L37" s="23" t="s">
        <v>225</v>
      </c>
      <c r="M37" s="24" t="s">
        <v>109</v>
      </c>
      <c r="N37" s="24"/>
      <c r="O37" s="25" t="s">
        <v>136</v>
      </c>
      <c r="P37" s="25" t="s">
        <v>226</v>
      </c>
    </row>
    <row r="38" spans="1:16" ht="12.75" customHeight="1" thickBot="1" x14ac:dyDescent="0.25">
      <c r="A38" s="14" t="str">
        <f t="shared" si="0"/>
        <v> BBS 104 </v>
      </c>
      <c r="B38" s="5" t="str">
        <f t="shared" si="1"/>
        <v>I</v>
      </c>
      <c r="C38" s="14">
        <f t="shared" si="2"/>
        <v>49133.567999999999</v>
      </c>
      <c r="D38" s="4" t="str">
        <f t="shared" si="3"/>
        <v>vis</v>
      </c>
      <c r="E38" s="22">
        <f>VLOOKUP(C38,Active!C$21:E$973,3,FALSE)</f>
        <v>1497.0019453026662</v>
      </c>
      <c r="F38" s="5" t="s">
        <v>86</v>
      </c>
      <c r="G38" s="4" t="str">
        <f t="shared" si="4"/>
        <v>49133.568</v>
      </c>
      <c r="H38" s="14">
        <f t="shared" si="5"/>
        <v>1497</v>
      </c>
      <c r="I38" s="23" t="s">
        <v>227</v>
      </c>
      <c r="J38" s="24" t="s">
        <v>228</v>
      </c>
      <c r="K38" s="23">
        <v>1497</v>
      </c>
      <c r="L38" s="23" t="s">
        <v>161</v>
      </c>
      <c r="M38" s="24" t="s">
        <v>109</v>
      </c>
      <c r="N38" s="24"/>
      <c r="O38" s="25" t="s">
        <v>136</v>
      </c>
      <c r="P38" s="25" t="s">
        <v>229</v>
      </c>
    </row>
    <row r="39" spans="1:16" ht="12.75" customHeight="1" thickBot="1" x14ac:dyDescent="0.25">
      <c r="A39" s="14" t="str">
        <f t="shared" si="0"/>
        <v> BBS 106 </v>
      </c>
      <c r="B39" s="5" t="str">
        <f t="shared" si="1"/>
        <v>I</v>
      </c>
      <c r="C39" s="14">
        <f t="shared" si="2"/>
        <v>49479.633000000002</v>
      </c>
      <c r="D39" s="4" t="str">
        <f t="shared" si="3"/>
        <v>vis</v>
      </c>
      <c r="E39" s="22">
        <f>VLOOKUP(C39,Active!C$21:E$973,3,FALSE)</f>
        <v>1677.0022573833089</v>
      </c>
      <c r="F39" s="5" t="s">
        <v>86</v>
      </c>
      <c r="G39" s="4" t="str">
        <f t="shared" si="4"/>
        <v>49479.633</v>
      </c>
      <c r="H39" s="14">
        <f t="shared" si="5"/>
        <v>1677</v>
      </c>
      <c r="I39" s="23" t="s">
        <v>230</v>
      </c>
      <c r="J39" s="24" t="s">
        <v>231</v>
      </c>
      <c r="K39" s="23">
        <v>1677</v>
      </c>
      <c r="L39" s="23" t="s">
        <v>161</v>
      </c>
      <c r="M39" s="24" t="s">
        <v>109</v>
      </c>
      <c r="N39" s="24"/>
      <c r="O39" s="25" t="s">
        <v>136</v>
      </c>
      <c r="P39" s="25" t="s">
        <v>232</v>
      </c>
    </row>
    <row r="40" spans="1:16" ht="12.75" customHeight="1" thickBot="1" x14ac:dyDescent="0.25">
      <c r="A40" s="14" t="str">
        <f t="shared" si="0"/>
        <v> BBS 112 </v>
      </c>
      <c r="B40" s="5" t="str">
        <f t="shared" si="1"/>
        <v>I</v>
      </c>
      <c r="C40" s="14">
        <f t="shared" si="2"/>
        <v>50252.521999999997</v>
      </c>
      <c r="D40" s="4" t="str">
        <f t="shared" si="3"/>
        <v>vis</v>
      </c>
      <c r="E40" s="22">
        <f>VLOOKUP(C40,Active!C$21:E$973,3,FALSE)</f>
        <v>2079.0084157746351</v>
      </c>
      <c r="F40" s="5" t="s">
        <v>86</v>
      </c>
      <c r="G40" s="4" t="str">
        <f t="shared" si="4"/>
        <v>50252.522</v>
      </c>
      <c r="H40" s="14">
        <f t="shared" si="5"/>
        <v>2079</v>
      </c>
      <c r="I40" s="23" t="s">
        <v>233</v>
      </c>
      <c r="J40" s="24" t="s">
        <v>234</v>
      </c>
      <c r="K40" s="23">
        <v>2079</v>
      </c>
      <c r="L40" s="23" t="s">
        <v>221</v>
      </c>
      <c r="M40" s="24" t="s">
        <v>109</v>
      </c>
      <c r="N40" s="24"/>
      <c r="O40" s="25" t="s">
        <v>136</v>
      </c>
      <c r="P40" s="25" t="s">
        <v>235</v>
      </c>
    </row>
    <row r="41" spans="1:16" ht="12.75" customHeight="1" thickBot="1" x14ac:dyDescent="0.25">
      <c r="A41" s="14" t="str">
        <f t="shared" si="0"/>
        <v> BBS 115 </v>
      </c>
      <c r="B41" s="5" t="str">
        <f t="shared" si="1"/>
        <v>I</v>
      </c>
      <c r="C41" s="14">
        <f t="shared" si="2"/>
        <v>50598.587</v>
      </c>
      <c r="D41" s="4" t="str">
        <f t="shared" si="3"/>
        <v>vis</v>
      </c>
      <c r="E41" s="22">
        <f>VLOOKUP(C41,Active!C$21:E$973,3,FALSE)</f>
        <v>2259.0087278552778</v>
      </c>
      <c r="F41" s="5" t="s">
        <v>86</v>
      </c>
      <c r="G41" s="4" t="str">
        <f t="shared" si="4"/>
        <v>50598.587</v>
      </c>
      <c r="H41" s="14">
        <f t="shared" si="5"/>
        <v>2259</v>
      </c>
      <c r="I41" s="23" t="s">
        <v>236</v>
      </c>
      <c r="J41" s="24" t="s">
        <v>237</v>
      </c>
      <c r="K41" s="23">
        <v>2259</v>
      </c>
      <c r="L41" s="23" t="s">
        <v>238</v>
      </c>
      <c r="M41" s="24" t="s">
        <v>109</v>
      </c>
      <c r="N41" s="24"/>
      <c r="O41" s="25" t="s">
        <v>136</v>
      </c>
      <c r="P41" s="25" t="s">
        <v>239</v>
      </c>
    </row>
    <row r="42" spans="1:16" ht="12.75" customHeight="1" thickBot="1" x14ac:dyDescent="0.25">
      <c r="A42" s="14" t="str">
        <f t="shared" si="0"/>
        <v> BBS 119 </v>
      </c>
      <c r="B42" s="5" t="str">
        <f t="shared" si="1"/>
        <v>I</v>
      </c>
      <c r="C42" s="14">
        <f t="shared" si="2"/>
        <v>51077.313999999998</v>
      </c>
      <c r="D42" s="4" t="str">
        <f t="shared" si="3"/>
        <v>vis</v>
      </c>
      <c r="E42" s="22">
        <f>VLOOKUP(C42,Active!C$21:E$973,3,FALSE)</f>
        <v>2508.0111100708418</v>
      </c>
      <c r="F42" s="5" t="s">
        <v>86</v>
      </c>
      <c r="G42" s="4" t="str">
        <f t="shared" si="4"/>
        <v>51077.314</v>
      </c>
      <c r="H42" s="14">
        <f t="shared" si="5"/>
        <v>2508</v>
      </c>
      <c r="I42" s="23" t="s">
        <v>240</v>
      </c>
      <c r="J42" s="24" t="s">
        <v>241</v>
      </c>
      <c r="K42" s="23">
        <v>2508</v>
      </c>
      <c r="L42" s="23" t="s">
        <v>242</v>
      </c>
      <c r="M42" s="24" t="s">
        <v>109</v>
      </c>
      <c r="N42" s="24"/>
      <c r="O42" s="25" t="s">
        <v>136</v>
      </c>
      <c r="P42" s="25" t="s">
        <v>243</v>
      </c>
    </row>
    <row r="43" spans="1:16" ht="12.75" customHeight="1" thickBot="1" x14ac:dyDescent="0.25">
      <c r="A43" s="14" t="str">
        <f t="shared" ref="A43:A61" si="6">P43</f>
        <v> BBS 129 </v>
      </c>
      <c r="B43" s="5" t="str">
        <f t="shared" ref="B43:B61" si="7">IF(H43=INT(H43),"I","II")</f>
        <v>I</v>
      </c>
      <c r="C43" s="14">
        <f t="shared" ref="C43:C61" si="8">1*G43</f>
        <v>52813.409</v>
      </c>
      <c r="D43" s="4" t="str">
        <f t="shared" ref="D43:D61" si="9">VLOOKUP(F43,I$1:J$5,2,FALSE)</f>
        <v>vis</v>
      </c>
      <c r="E43" s="22">
        <f>VLOOKUP(C43,Active!C$21:E$973,3,FALSE)</f>
        <v>3411.0138459778009</v>
      </c>
      <c r="F43" s="5" t="s">
        <v>86</v>
      </c>
      <c r="G43" s="4" t="str">
        <f t="shared" ref="G43:G61" si="10">MID(I43,3,LEN(I43)-3)</f>
        <v>52813.409</v>
      </c>
      <c r="H43" s="14">
        <f t="shared" ref="H43:H61" si="11">1*K43</f>
        <v>3411</v>
      </c>
      <c r="I43" s="23" t="s">
        <v>251</v>
      </c>
      <c r="J43" s="24" t="s">
        <v>252</v>
      </c>
      <c r="K43" s="23">
        <v>3411</v>
      </c>
      <c r="L43" s="23" t="s">
        <v>253</v>
      </c>
      <c r="M43" s="24" t="s">
        <v>109</v>
      </c>
      <c r="N43" s="24"/>
      <c r="O43" s="25" t="s">
        <v>136</v>
      </c>
      <c r="P43" s="25" t="s">
        <v>254</v>
      </c>
    </row>
    <row r="44" spans="1:16" ht="12.75" customHeight="1" thickBot="1" x14ac:dyDescent="0.25">
      <c r="A44" s="14" t="str">
        <f t="shared" si="6"/>
        <v> BBS 130 </v>
      </c>
      <c r="B44" s="5" t="str">
        <f t="shared" si="7"/>
        <v>I</v>
      </c>
      <c r="C44" s="14">
        <f t="shared" si="8"/>
        <v>53080.646000000001</v>
      </c>
      <c r="D44" s="4" t="str">
        <f t="shared" si="9"/>
        <v>vis</v>
      </c>
      <c r="E44" s="22">
        <f>VLOOKUP(C44,Active!C$21:E$973,3,FALSE)</f>
        <v>3550.013003360069</v>
      </c>
      <c r="F44" s="5" t="s">
        <v>86</v>
      </c>
      <c r="G44" s="4" t="str">
        <f t="shared" si="10"/>
        <v>53080.646</v>
      </c>
      <c r="H44" s="14">
        <f t="shared" si="11"/>
        <v>3550</v>
      </c>
      <c r="I44" s="23" t="s">
        <v>255</v>
      </c>
      <c r="J44" s="24" t="s">
        <v>256</v>
      </c>
      <c r="K44" s="23">
        <v>3550</v>
      </c>
      <c r="L44" s="23" t="s">
        <v>257</v>
      </c>
      <c r="M44" s="24" t="s">
        <v>109</v>
      </c>
      <c r="N44" s="24"/>
      <c r="O44" s="25" t="s">
        <v>136</v>
      </c>
      <c r="P44" s="25" t="s">
        <v>258</v>
      </c>
    </row>
    <row r="45" spans="1:16" ht="12.75" customHeight="1" thickBot="1" x14ac:dyDescent="0.25">
      <c r="A45" s="14" t="str">
        <f t="shared" si="6"/>
        <v>OEJV 0003 </v>
      </c>
      <c r="B45" s="5" t="str">
        <f t="shared" si="7"/>
        <v>I</v>
      </c>
      <c r="C45" s="14">
        <f t="shared" si="8"/>
        <v>53530.523999999998</v>
      </c>
      <c r="D45" s="4" t="str">
        <f t="shared" si="9"/>
        <v>vis</v>
      </c>
      <c r="E45" s="22">
        <f>VLOOKUP(C45,Active!C$21:E$973,3,FALSE)</f>
        <v>3784.0100281912837</v>
      </c>
      <c r="F45" s="5" t="s">
        <v>86</v>
      </c>
      <c r="G45" s="4" t="str">
        <f t="shared" si="10"/>
        <v>53530.524</v>
      </c>
      <c r="H45" s="14">
        <f t="shared" si="11"/>
        <v>3784</v>
      </c>
      <c r="I45" s="23" t="s">
        <v>259</v>
      </c>
      <c r="J45" s="24" t="s">
        <v>260</v>
      </c>
      <c r="K45" s="23">
        <v>3784</v>
      </c>
      <c r="L45" s="23" t="s">
        <v>261</v>
      </c>
      <c r="M45" s="24" t="s">
        <v>109</v>
      </c>
      <c r="N45" s="24"/>
      <c r="O45" s="25" t="s">
        <v>136</v>
      </c>
      <c r="P45" s="26" t="s">
        <v>262</v>
      </c>
    </row>
    <row r="46" spans="1:16" ht="12.75" customHeight="1" thickBot="1" x14ac:dyDescent="0.25">
      <c r="A46" s="14" t="str">
        <f t="shared" si="6"/>
        <v>OEJV 0003 </v>
      </c>
      <c r="B46" s="5" t="str">
        <f t="shared" si="7"/>
        <v>I</v>
      </c>
      <c r="C46" s="14">
        <f t="shared" si="8"/>
        <v>53557.45</v>
      </c>
      <c r="D46" s="4" t="str">
        <f t="shared" si="9"/>
        <v>vis</v>
      </c>
      <c r="E46" s="22">
        <f>VLOOKUP(C46,Active!C$21:E$973,3,FALSE)</f>
        <v>3798.0151671191825</v>
      </c>
      <c r="F46" s="5" t="s">
        <v>86</v>
      </c>
      <c r="G46" s="4" t="str">
        <f t="shared" si="10"/>
        <v>53557.450</v>
      </c>
      <c r="H46" s="14">
        <f t="shared" si="11"/>
        <v>3798</v>
      </c>
      <c r="I46" s="23" t="s">
        <v>263</v>
      </c>
      <c r="J46" s="24" t="s">
        <v>264</v>
      </c>
      <c r="K46" s="23">
        <v>3798</v>
      </c>
      <c r="L46" s="23" t="s">
        <v>265</v>
      </c>
      <c r="M46" s="24" t="s">
        <v>109</v>
      </c>
      <c r="N46" s="24"/>
      <c r="O46" s="25" t="s">
        <v>136</v>
      </c>
      <c r="P46" s="26" t="s">
        <v>262</v>
      </c>
    </row>
    <row r="47" spans="1:16" ht="12.75" customHeight="1" thickBot="1" x14ac:dyDescent="0.25">
      <c r="A47" s="14" t="str">
        <f t="shared" si="6"/>
        <v> IODE 4.3.8 </v>
      </c>
      <c r="B47" s="5" t="str">
        <f t="shared" si="7"/>
        <v>I</v>
      </c>
      <c r="C47" s="14">
        <f t="shared" si="8"/>
        <v>23586.47</v>
      </c>
      <c r="D47" s="4" t="str">
        <f t="shared" si="9"/>
        <v>vis</v>
      </c>
      <c r="E47" s="22">
        <f>VLOOKUP(C47,Active!C$21:E$973,3,FALSE)</f>
        <v>-11790.922614403562</v>
      </c>
      <c r="F47" s="5" t="s">
        <v>86</v>
      </c>
      <c r="G47" s="4" t="str">
        <f t="shared" si="10"/>
        <v>23586.47</v>
      </c>
      <c r="H47" s="14">
        <f t="shared" si="11"/>
        <v>-11791</v>
      </c>
      <c r="I47" s="23" t="s">
        <v>89</v>
      </c>
      <c r="J47" s="24" t="s">
        <v>90</v>
      </c>
      <c r="K47" s="23">
        <v>-11791</v>
      </c>
      <c r="L47" s="23" t="s">
        <v>91</v>
      </c>
      <c r="M47" s="24" t="s">
        <v>92</v>
      </c>
      <c r="N47" s="24"/>
      <c r="O47" s="25" t="s">
        <v>93</v>
      </c>
      <c r="P47" s="25" t="s">
        <v>94</v>
      </c>
    </row>
    <row r="48" spans="1:16" ht="12.75" customHeight="1" thickBot="1" x14ac:dyDescent="0.25">
      <c r="A48" s="14" t="str">
        <f t="shared" si="6"/>
        <v> IODE 4.3.8 </v>
      </c>
      <c r="B48" s="5" t="str">
        <f t="shared" si="7"/>
        <v>I</v>
      </c>
      <c r="C48" s="14">
        <f t="shared" si="8"/>
        <v>23588.44</v>
      </c>
      <c r="D48" s="4" t="str">
        <f t="shared" si="9"/>
        <v>vis</v>
      </c>
      <c r="E48" s="22">
        <f>VLOOKUP(C48,Active!C$21:E$973,3,FALSE)</f>
        <v>-11789.897949630185</v>
      </c>
      <c r="F48" s="5" t="s">
        <v>86</v>
      </c>
      <c r="G48" s="4" t="str">
        <f t="shared" si="10"/>
        <v>23588.44</v>
      </c>
      <c r="H48" s="14">
        <f t="shared" si="11"/>
        <v>-11790</v>
      </c>
      <c r="I48" s="23" t="s">
        <v>95</v>
      </c>
      <c r="J48" s="24" t="s">
        <v>96</v>
      </c>
      <c r="K48" s="23">
        <v>-11790</v>
      </c>
      <c r="L48" s="23" t="s">
        <v>97</v>
      </c>
      <c r="M48" s="24" t="s">
        <v>92</v>
      </c>
      <c r="N48" s="24"/>
      <c r="O48" s="25" t="s">
        <v>93</v>
      </c>
      <c r="P48" s="25" t="s">
        <v>94</v>
      </c>
    </row>
    <row r="49" spans="1:16" ht="12.75" customHeight="1" thickBot="1" x14ac:dyDescent="0.25">
      <c r="A49" s="14" t="str">
        <f t="shared" si="6"/>
        <v> IODE 4.3.8 </v>
      </c>
      <c r="B49" s="5" t="str">
        <f t="shared" si="7"/>
        <v>I</v>
      </c>
      <c r="C49" s="14">
        <f t="shared" si="8"/>
        <v>24705.35</v>
      </c>
      <c r="D49" s="4" t="str">
        <f t="shared" si="9"/>
        <v>vis</v>
      </c>
      <c r="E49" s="22">
        <f>VLOOKUP(C49,Active!C$21:E$973,3,FALSE)</f>
        <v>-11208.954633877394</v>
      </c>
      <c r="F49" s="5" t="s">
        <v>86</v>
      </c>
      <c r="G49" s="4" t="str">
        <f t="shared" si="10"/>
        <v>24705.35</v>
      </c>
      <c r="H49" s="14">
        <f t="shared" si="11"/>
        <v>-11209</v>
      </c>
      <c r="I49" s="23" t="s">
        <v>98</v>
      </c>
      <c r="J49" s="24" t="s">
        <v>99</v>
      </c>
      <c r="K49" s="23">
        <v>-11209</v>
      </c>
      <c r="L49" s="23" t="s">
        <v>100</v>
      </c>
      <c r="M49" s="24" t="s">
        <v>92</v>
      </c>
      <c r="N49" s="24"/>
      <c r="O49" s="25" t="s">
        <v>93</v>
      </c>
      <c r="P49" s="25" t="s">
        <v>94</v>
      </c>
    </row>
    <row r="50" spans="1:16" ht="12.75" customHeight="1" thickBot="1" x14ac:dyDescent="0.25">
      <c r="A50" s="14" t="str">
        <f t="shared" si="6"/>
        <v> IODE 4.3.8 </v>
      </c>
      <c r="B50" s="5" t="str">
        <f t="shared" si="7"/>
        <v>I</v>
      </c>
      <c r="C50" s="14">
        <f t="shared" si="8"/>
        <v>26866.38</v>
      </c>
      <c r="D50" s="4" t="str">
        <f t="shared" si="9"/>
        <v>vis</v>
      </c>
      <c r="E50" s="22">
        <f>VLOOKUP(C50,Active!C$21:E$973,3,FALSE)</f>
        <v>-10084.928585546504</v>
      </c>
      <c r="F50" s="5" t="s">
        <v>86</v>
      </c>
      <c r="G50" s="4" t="str">
        <f t="shared" si="10"/>
        <v>26866.38</v>
      </c>
      <c r="H50" s="14">
        <f t="shared" si="11"/>
        <v>-10085</v>
      </c>
      <c r="I50" s="23" t="s">
        <v>101</v>
      </c>
      <c r="J50" s="24" t="s">
        <v>102</v>
      </c>
      <c r="K50" s="23">
        <v>-10085</v>
      </c>
      <c r="L50" s="23" t="s">
        <v>103</v>
      </c>
      <c r="M50" s="24" t="s">
        <v>92</v>
      </c>
      <c r="N50" s="24"/>
      <c r="O50" s="25" t="s">
        <v>93</v>
      </c>
      <c r="P50" s="25" t="s">
        <v>94</v>
      </c>
    </row>
    <row r="51" spans="1:16" ht="12.75" customHeight="1" thickBot="1" x14ac:dyDescent="0.25">
      <c r="A51" s="14" t="str">
        <f t="shared" si="6"/>
        <v> IODE 4.3.8 </v>
      </c>
      <c r="B51" s="5" t="str">
        <f t="shared" si="7"/>
        <v>I</v>
      </c>
      <c r="C51" s="14">
        <f t="shared" si="8"/>
        <v>26916.36</v>
      </c>
      <c r="D51" s="4" t="str">
        <f t="shared" si="9"/>
        <v>vis</v>
      </c>
      <c r="E51" s="22">
        <f>VLOOKUP(C51,Active!C$21:E$973,3,FALSE)</f>
        <v>-10058.932268098077</v>
      </c>
      <c r="F51" s="5" t="s">
        <v>86</v>
      </c>
      <c r="G51" s="4" t="str">
        <f t="shared" si="10"/>
        <v>26916.36</v>
      </c>
      <c r="H51" s="14">
        <f t="shared" si="11"/>
        <v>-10059</v>
      </c>
      <c r="I51" s="23" t="s">
        <v>104</v>
      </c>
      <c r="J51" s="24" t="s">
        <v>105</v>
      </c>
      <c r="K51" s="23">
        <v>-10059</v>
      </c>
      <c r="L51" s="23" t="s">
        <v>106</v>
      </c>
      <c r="M51" s="24" t="s">
        <v>92</v>
      </c>
      <c r="N51" s="24"/>
      <c r="O51" s="25" t="s">
        <v>93</v>
      </c>
      <c r="P51" s="25" t="s">
        <v>94</v>
      </c>
    </row>
    <row r="52" spans="1:16" ht="12.75" customHeight="1" thickBot="1" x14ac:dyDescent="0.25">
      <c r="A52" s="14" t="str">
        <f t="shared" si="6"/>
        <v> IODE 4.3.8 </v>
      </c>
      <c r="B52" s="5" t="str">
        <f t="shared" si="7"/>
        <v>I</v>
      </c>
      <c r="C52" s="14">
        <f t="shared" si="8"/>
        <v>31288.27</v>
      </c>
      <c r="D52" s="4" t="str">
        <f t="shared" si="9"/>
        <v>vis</v>
      </c>
      <c r="E52" s="22">
        <f>VLOOKUP(C52,Active!C$21:E$973,3,FALSE)</f>
        <v>-7784.9514714602246</v>
      </c>
      <c r="F52" s="5" t="s">
        <v>86</v>
      </c>
      <c r="G52" s="4" t="str">
        <f t="shared" si="10"/>
        <v>31288.27</v>
      </c>
      <c r="H52" s="14">
        <f t="shared" si="11"/>
        <v>-7785</v>
      </c>
      <c r="I52" s="23" t="s">
        <v>107</v>
      </c>
      <c r="J52" s="24" t="s">
        <v>108</v>
      </c>
      <c r="K52" s="23">
        <v>-7785</v>
      </c>
      <c r="L52" s="23" t="s">
        <v>100</v>
      </c>
      <c r="M52" s="24" t="s">
        <v>109</v>
      </c>
      <c r="N52" s="24"/>
      <c r="O52" s="25" t="s">
        <v>110</v>
      </c>
      <c r="P52" s="25" t="s">
        <v>94</v>
      </c>
    </row>
    <row r="53" spans="1:16" ht="12.75" customHeight="1" thickBot="1" x14ac:dyDescent="0.25">
      <c r="A53" s="14" t="str">
        <f t="shared" si="6"/>
        <v> IODE 4.3.8 </v>
      </c>
      <c r="B53" s="5" t="str">
        <f t="shared" si="7"/>
        <v>I</v>
      </c>
      <c r="C53" s="14">
        <f t="shared" si="8"/>
        <v>31290.19</v>
      </c>
      <c r="D53" s="4" t="str">
        <f t="shared" si="9"/>
        <v>vis</v>
      </c>
      <c r="E53" s="22">
        <f>VLOOKUP(C53,Active!C$21:E$973,3,FALSE)</f>
        <v>-7783.9528134069851</v>
      </c>
      <c r="F53" s="5" t="s">
        <v>86</v>
      </c>
      <c r="G53" s="4" t="str">
        <f t="shared" si="10"/>
        <v>31290.19</v>
      </c>
      <c r="H53" s="14">
        <f t="shared" si="11"/>
        <v>-7784</v>
      </c>
      <c r="I53" s="23" t="s">
        <v>111</v>
      </c>
      <c r="J53" s="24" t="s">
        <v>112</v>
      </c>
      <c r="K53" s="23">
        <v>-7784</v>
      </c>
      <c r="L53" s="23" t="s">
        <v>100</v>
      </c>
      <c r="M53" s="24" t="s">
        <v>109</v>
      </c>
      <c r="N53" s="24"/>
      <c r="O53" s="25" t="s">
        <v>110</v>
      </c>
      <c r="P53" s="25" t="s">
        <v>94</v>
      </c>
    </row>
    <row r="54" spans="1:16" ht="12.75" customHeight="1" thickBot="1" x14ac:dyDescent="0.25">
      <c r="A54" s="14" t="str">
        <f t="shared" si="6"/>
        <v> IODE 4.3.8 </v>
      </c>
      <c r="B54" s="5" t="str">
        <f t="shared" si="7"/>
        <v>I</v>
      </c>
      <c r="C54" s="14">
        <f t="shared" si="8"/>
        <v>31313.25</v>
      </c>
      <c r="D54" s="4" t="str">
        <f t="shared" si="9"/>
        <v>vis</v>
      </c>
      <c r="E54" s="22">
        <f>VLOOKUP(C54,Active!C$21:E$973,3,FALSE)</f>
        <v>-7771.9585140800382</v>
      </c>
      <c r="F54" s="5" t="s">
        <v>86</v>
      </c>
      <c r="G54" s="4" t="str">
        <f t="shared" si="10"/>
        <v>31313.25</v>
      </c>
      <c r="H54" s="14">
        <f t="shared" si="11"/>
        <v>-7772</v>
      </c>
      <c r="I54" s="23" t="s">
        <v>113</v>
      </c>
      <c r="J54" s="24" t="s">
        <v>114</v>
      </c>
      <c r="K54" s="23">
        <v>-7772</v>
      </c>
      <c r="L54" s="23" t="s">
        <v>115</v>
      </c>
      <c r="M54" s="24" t="s">
        <v>109</v>
      </c>
      <c r="N54" s="24"/>
      <c r="O54" s="25" t="s">
        <v>110</v>
      </c>
      <c r="P54" s="25" t="s">
        <v>94</v>
      </c>
    </row>
    <row r="55" spans="1:16" ht="12.75" customHeight="1" thickBot="1" x14ac:dyDescent="0.25">
      <c r="A55" s="14" t="str">
        <f t="shared" si="6"/>
        <v> IODE 4.3.8 </v>
      </c>
      <c r="B55" s="5" t="str">
        <f t="shared" si="7"/>
        <v>I</v>
      </c>
      <c r="C55" s="14">
        <f t="shared" si="8"/>
        <v>31315.21</v>
      </c>
      <c r="D55" s="4" t="str">
        <f t="shared" si="9"/>
        <v>vis</v>
      </c>
      <c r="E55" s="22">
        <f>VLOOKUP(C55,Active!C$21:E$973,3,FALSE)</f>
        <v>-7770.9390506506888</v>
      </c>
      <c r="F55" s="5" t="s">
        <v>86</v>
      </c>
      <c r="G55" s="4" t="str">
        <f t="shared" si="10"/>
        <v>31315.21</v>
      </c>
      <c r="H55" s="14">
        <f t="shared" si="11"/>
        <v>-7771</v>
      </c>
      <c r="I55" s="23" t="s">
        <v>116</v>
      </c>
      <c r="J55" s="24" t="s">
        <v>117</v>
      </c>
      <c r="K55" s="23">
        <v>-7771</v>
      </c>
      <c r="L55" s="23" t="s">
        <v>118</v>
      </c>
      <c r="M55" s="24" t="s">
        <v>109</v>
      </c>
      <c r="N55" s="24"/>
      <c r="O55" s="25" t="s">
        <v>110</v>
      </c>
      <c r="P55" s="25" t="s">
        <v>94</v>
      </c>
    </row>
    <row r="56" spans="1:16" ht="12.75" customHeight="1" thickBot="1" x14ac:dyDescent="0.25">
      <c r="A56" s="14" t="str">
        <f t="shared" si="6"/>
        <v> IODE 4.3.8 </v>
      </c>
      <c r="B56" s="5" t="str">
        <f t="shared" si="7"/>
        <v>I</v>
      </c>
      <c r="C56" s="14">
        <f t="shared" si="8"/>
        <v>31340.17</v>
      </c>
      <c r="D56" s="4" t="str">
        <f t="shared" si="9"/>
        <v>vis</v>
      </c>
      <c r="E56" s="22">
        <f>VLOOKUP(C56,Active!C$21:E$973,3,FALSE)</f>
        <v>-7757.9564959585568</v>
      </c>
      <c r="F56" s="5" t="s">
        <v>86</v>
      </c>
      <c r="G56" s="4" t="str">
        <f t="shared" si="10"/>
        <v>31340.17</v>
      </c>
      <c r="H56" s="14">
        <f t="shared" si="11"/>
        <v>-7758</v>
      </c>
      <c r="I56" s="23" t="s">
        <v>119</v>
      </c>
      <c r="J56" s="24" t="s">
        <v>120</v>
      </c>
      <c r="K56" s="23">
        <v>-7758</v>
      </c>
      <c r="L56" s="23" t="s">
        <v>115</v>
      </c>
      <c r="M56" s="24" t="s">
        <v>109</v>
      </c>
      <c r="N56" s="24"/>
      <c r="O56" s="25" t="s">
        <v>110</v>
      </c>
      <c r="P56" s="25" t="s">
        <v>94</v>
      </c>
    </row>
    <row r="57" spans="1:16" ht="12.75" customHeight="1" thickBot="1" x14ac:dyDescent="0.25">
      <c r="A57" s="14" t="str">
        <f t="shared" si="6"/>
        <v> IODE 4.3.8 </v>
      </c>
      <c r="B57" s="5" t="str">
        <f t="shared" si="7"/>
        <v>I</v>
      </c>
      <c r="C57" s="14">
        <f t="shared" si="8"/>
        <v>31342.12</v>
      </c>
      <c r="D57" s="4" t="str">
        <f t="shared" si="9"/>
        <v>vis</v>
      </c>
      <c r="E57" s="22">
        <f>VLOOKUP(C57,Active!C$21:E$973,3,FALSE)</f>
        <v>-7756.9422338732329</v>
      </c>
      <c r="F57" s="5" t="s">
        <v>86</v>
      </c>
      <c r="G57" s="4" t="str">
        <f t="shared" si="10"/>
        <v>31342.12</v>
      </c>
      <c r="H57" s="14">
        <f t="shared" si="11"/>
        <v>-7757</v>
      </c>
      <c r="I57" s="23" t="s">
        <v>121</v>
      </c>
      <c r="J57" s="24" t="s">
        <v>122</v>
      </c>
      <c r="K57" s="23">
        <v>-7757</v>
      </c>
      <c r="L57" s="23" t="s">
        <v>123</v>
      </c>
      <c r="M57" s="24" t="s">
        <v>109</v>
      </c>
      <c r="N57" s="24"/>
      <c r="O57" s="25" t="s">
        <v>110</v>
      </c>
      <c r="P57" s="25" t="s">
        <v>94</v>
      </c>
    </row>
    <row r="58" spans="1:16" ht="12.75" customHeight="1" thickBot="1" x14ac:dyDescent="0.25">
      <c r="A58" s="14" t="str">
        <f t="shared" si="6"/>
        <v> AAC 5.77 </v>
      </c>
      <c r="B58" s="5" t="str">
        <f t="shared" si="7"/>
        <v>I</v>
      </c>
      <c r="C58" s="14">
        <f t="shared" si="8"/>
        <v>33418.472000000002</v>
      </c>
      <c r="D58" s="4" t="str">
        <f t="shared" si="9"/>
        <v>vis</v>
      </c>
      <c r="E58" s="22">
        <f>VLOOKUP(C58,Active!C$21:E$973,3,FALSE)</f>
        <v>-6676.9601264966859</v>
      </c>
      <c r="F58" s="5" t="s">
        <v>86</v>
      </c>
      <c r="G58" s="4" t="str">
        <f t="shared" si="10"/>
        <v>33418.472</v>
      </c>
      <c r="H58" s="14">
        <f t="shared" si="11"/>
        <v>-6677</v>
      </c>
      <c r="I58" s="23" t="s">
        <v>124</v>
      </c>
      <c r="J58" s="24" t="s">
        <v>125</v>
      </c>
      <c r="K58" s="23">
        <v>-6677</v>
      </c>
      <c r="L58" s="23" t="s">
        <v>126</v>
      </c>
      <c r="M58" s="24" t="s">
        <v>109</v>
      </c>
      <c r="N58" s="24"/>
      <c r="O58" s="25" t="s">
        <v>127</v>
      </c>
      <c r="P58" s="25" t="s">
        <v>128</v>
      </c>
    </row>
    <row r="59" spans="1:16" ht="12.75" customHeight="1" thickBot="1" x14ac:dyDescent="0.25">
      <c r="A59" s="14" t="str">
        <f t="shared" si="6"/>
        <v> AA 9.47 </v>
      </c>
      <c r="B59" s="5" t="str">
        <f t="shared" si="7"/>
        <v>I</v>
      </c>
      <c r="C59" s="14">
        <f t="shared" si="8"/>
        <v>36348.472000000002</v>
      </c>
      <c r="D59" s="4" t="str">
        <f t="shared" si="9"/>
        <v>vis</v>
      </c>
      <c r="E59" s="22">
        <f>VLOOKUP(C59,Active!C$21:E$973,3,FALSE)</f>
        <v>-5152.9663264987666</v>
      </c>
      <c r="F59" s="5" t="s">
        <v>86</v>
      </c>
      <c r="G59" s="4" t="str">
        <f t="shared" si="10"/>
        <v>36348.472</v>
      </c>
      <c r="H59" s="14">
        <f t="shared" si="11"/>
        <v>-5153</v>
      </c>
      <c r="I59" s="23" t="s">
        <v>129</v>
      </c>
      <c r="J59" s="24" t="s">
        <v>130</v>
      </c>
      <c r="K59" s="23">
        <v>-5153</v>
      </c>
      <c r="L59" s="23" t="s">
        <v>131</v>
      </c>
      <c r="M59" s="24" t="s">
        <v>109</v>
      </c>
      <c r="N59" s="24"/>
      <c r="O59" s="25" t="s">
        <v>127</v>
      </c>
      <c r="P59" s="25" t="s">
        <v>132</v>
      </c>
    </row>
    <row r="60" spans="1:16" ht="12.75" customHeight="1" thickBot="1" x14ac:dyDescent="0.25">
      <c r="A60" s="14" t="str">
        <f t="shared" si="6"/>
        <v> BBS 123 </v>
      </c>
      <c r="B60" s="5" t="str">
        <f t="shared" si="7"/>
        <v>I</v>
      </c>
      <c r="C60" s="14">
        <f t="shared" si="8"/>
        <v>51742.516000000003</v>
      </c>
      <c r="D60" s="4" t="str">
        <f t="shared" si="9"/>
        <v>vis</v>
      </c>
      <c r="E60" s="22">
        <f>VLOOKUP(C60,Active!C$21:E$973,3,FALSE)</f>
        <v>2854.0055550354232</v>
      </c>
      <c r="F60" s="5" t="s">
        <v>86</v>
      </c>
      <c r="G60" s="4" t="str">
        <f t="shared" si="10"/>
        <v>51742.516</v>
      </c>
      <c r="H60" s="14">
        <f t="shared" si="11"/>
        <v>2854</v>
      </c>
      <c r="I60" s="23" t="s">
        <v>244</v>
      </c>
      <c r="J60" s="24" t="s">
        <v>245</v>
      </c>
      <c r="K60" s="23">
        <v>2854</v>
      </c>
      <c r="L60" s="23" t="s">
        <v>209</v>
      </c>
      <c r="M60" s="24" t="s">
        <v>109</v>
      </c>
      <c r="N60" s="24"/>
      <c r="O60" s="25" t="s">
        <v>136</v>
      </c>
      <c r="P60" s="25" t="s">
        <v>246</v>
      </c>
    </row>
    <row r="61" spans="1:16" ht="12.75" customHeight="1" thickBot="1" x14ac:dyDescent="0.25">
      <c r="A61" s="14" t="str">
        <f t="shared" si="6"/>
        <v> BBS 128 </v>
      </c>
      <c r="B61" s="5" t="str">
        <f t="shared" si="7"/>
        <v>I</v>
      </c>
      <c r="C61" s="14">
        <f t="shared" si="8"/>
        <v>52465.423000000003</v>
      </c>
      <c r="D61" s="4" t="str">
        <f t="shared" si="9"/>
        <v>vis</v>
      </c>
      <c r="E61" s="22">
        <f>VLOOKUP(C61,Active!C$21:E$973,3,FALSE)</f>
        <v>3230.0143557095171</v>
      </c>
      <c r="F61" s="5" t="s">
        <v>86</v>
      </c>
      <c r="G61" s="4" t="str">
        <f t="shared" si="10"/>
        <v>52465.423</v>
      </c>
      <c r="H61" s="14">
        <f t="shared" si="11"/>
        <v>3230</v>
      </c>
      <c r="I61" s="23" t="s">
        <v>247</v>
      </c>
      <c r="J61" s="24" t="s">
        <v>248</v>
      </c>
      <c r="K61" s="23">
        <v>3230</v>
      </c>
      <c r="L61" s="23" t="s">
        <v>249</v>
      </c>
      <c r="M61" s="24" t="s">
        <v>109</v>
      </c>
      <c r="N61" s="24"/>
      <c r="O61" s="25" t="s">
        <v>136</v>
      </c>
      <c r="P61" s="25" t="s">
        <v>250</v>
      </c>
    </row>
    <row r="62" spans="1:16" x14ac:dyDescent="0.2">
      <c r="B62" s="5"/>
      <c r="E62" s="22"/>
      <c r="F62" s="5"/>
    </row>
    <row r="63" spans="1:16" x14ac:dyDescent="0.2">
      <c r="B63" s="5"/>
      <c r="E63" s="22"/>
      <c r="F63" s="5"/>
    </row>
    <row r="64" spans="1:16" x14ac:dyDescent="0.2">
      <c r="B64" s="5"/>
      <c r="E64" s="22"/>
      <c r="F64" s="5"/>
    </row>
    <row r="65" spans="2:6" x14ac:dyDescent="0.2">
      <c r="B65" s="5"/>
      <c r="E65" s="22"/>
      <c r="F65" s="5"/>
    </row>
    <row r="66" spans="2:6" x14ac:dyDescent="0.2">
      <c r="B66" s="5"/>
      <c r="E66" s="22"/>
      <c r="F66" s="5"/>
    </row>
    <row r="67" spans="2:6" x14ac:dyDescent="0.2">
      <c r="B67" s="5"/>
      <c r="E67" s="22"/>
      <c r="F67" s="5"/>
    </row>
    <row r="68" spans="2:6" x14ac:dyDescent="0.2">
      <c r="B68" s="5"/>
      <c r="E68" s="22"/>
      <c r="F68" s="5"/>
    </row>
    <row r="69" spans="2:6" x14ac:dyDescent="0.2">
      <c r="B69" s="5"/>
      <c r="E69" s="22"/>
      <c r="F69" s="5"/>
    </row>
    <row r="70" spans="2:6" x14ac:dyDescent="0.2">
      <c r="B70" s="5"/>
      <c r="E70" s="22"/>
      <c r="F70" s="5"/>
    </row>
    <row r="71" spans="2:6" x14ac:dyDescent="0.2">
      <c r="B71" s="5"/>
      <c r="E71" s="22"/>
      <c r="F71" s="5"/>
    </row>
    <row r="72" spans="2:6" x14ac:dyDescent="0.2">
      <c r="B72" s="5"/>
      <c r="E72" s="22"/>
      <c r="F72" s="5"/>
    </row>
    <row r="73" spans="2:6" x14ac:dyDescent="0.2">
      <c r="B73" s="5"/>
      <c r="E73" s="22"/>
      <c r="F73" s="5"/>
    </row>
    <row r="74" spans="2:6" x14ac:dyDescent="0.2">
      <c r="B74" s="5"/>
      <c r="E74" s="22"/>
      <c r="F74" s="5"/>
    </row>
    <row r="75" spans="2:6" x14ac:dyDescent="0.2">
      <c r="B75" s="5"/>
      <c r="E75" s="22"/>
      <c r="F75" s="5"/>
    </row>
    <row r="76" spans="2:6" x14ac:dyDescent="0.2">
      <c r="B76" s="5"/>
      <c r="E76" s="22"/>
      <c r="F76" s="5"/>
    </row>
    <row r="77" spans="2:6" x14ac:dyDescent="0.2">
      <c r="B77" s="5"/>
      <c r="E77" s="22"/>
      <c r="F77" s="5"/>
    </row>
    <row r="78" spans="2:6" x14ac:dyDescent="0.2">
      <c r="B78" s="5"/>
      <c r="E78" s="22"/>
      <c r="F78" s="5"/>
    </row>
    <row r="79" spans="2:6" x14ac:dyDescent="0.2">
      <c r="B79" s="5"/>
      <c r="E79" s="22"/>
      <c r="F79" s="5"/>
    </row>
    <row r="80" spans="2:6" x14ac:dyDescent="0.2">
      <c r="B80" s="5"/>
      <c r="E80" s="22"/>
      <c r="F80" s="5"/>
    </row>
    <row r="81" spans="2:6" x14ac:dyDescent="0.2">
      <c r="B81" s="5"/>
      <c r="E81" s="22"/>
      <c r="F81" s="5"/>
    </row>
    <row r="82" spans="2:6" x14ac:dyDescent="0.2">
      <c r="B82" s="5"/>
      <c r="E82" s="22"/>
      <c r="F82" s="5"/>
    </row>
    <row r="83" spans="2:6" x14ac:dyDescent="0.2">
      <c r="B83" s="5"/>
      <c r="E83" s="22"/>
      <c r="F83" s="5"/>
    </row>
    <row r="84" spans="2:6" x14ac:dyDescent="0.2">
      <c r="B84" s="5"/>
      <c r="E84" s="22"/>
      <c r="F84" s="5"/>
    </row>
    <row r="85" spans="2:6" x14ac:dyDescent="0.2">
      <c r="B85" s="5"/>
      <c r="E85" s="22"/>
      <c r="F85" s="5"/>
    </row>
    <row r="86" spans="2:6" x14ac:dyDescent="0.2">
      <c r="B86" s="5"/>
      <c r="E86" s="22"/>
      <c r="F86" s="5"/>
    </row>
    <row r="87" spans="2:6" x14ac:dyDescent="0.2">
      <c r="B87" s="5"/>
      <c r="E87" s="22"/>
      <c r="F87" s="5"/>
    </row>
    <row r="88" spans="2:6" x14ac:dyDescent="0.2">
      <c r="B88" s="5"/>
      <c r="E88" s="22"/>
      <c r="F88" s="5"/>
    </row>
    <row r="89" spans="2:6" x14ac:dyDescent="0.2">
      <c r="B89" s="5"/>
      <c r="E89" s="22"/>
      <c r="F89" s="5"/>
    </row>
    <row r="90" spans="2:6" x14ac:dyDescent="0.2">
      <c r="B90" s="5"/>
      <c r="E90" s="22"/>
      <c r="F90" s="5"/>
    </row>
    <row r="91" spans="2:6" x14ac:dyDescent="0.2">
      <c r="B91" s="5"/>
      <c r="E91" s="22"/>
      <c r="F91" s="5"/>
    </row>
    <row r="92" spans="2:6" x14ac:dyDescent="0.2">
      <c r="B92" s="5"/>
      <c r="E92" s="22"/>
      <c r="F92" s="5"/>
    </row>
    <row r="93" spans="2:6" x14ac:dyDescent="0.2">
      <c r="B93" s="5"/>
      <c r="E93" s="22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</sheetData>
  <phoneticPr fontId="8" type="noConversion"/>
  <hyperlinks>
    <hyperlink ref="P45" r:id="rId1" display="http://var.astro.cz/oejv/issues/oejv0003.pdf" xr:uid="{00000000-0004-0000-0100-000000000000}"/>
    <hyperlink ref="P46" r:id="rId2" display="http://var.astro.cz/oejv/issues/oejv0003.pdf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2024-03-06T04:44:04Z</dcterms:modified>
</cp:coreProperties>
</file>