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66E2661-45A1-4BFE-8DDA-5B7E38BE09F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42" i="2" l="1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F11" i="1"/>
  <c r="Q52" i="1"/>
  <c r="Q47" i="1"/>
  <c r="G11" i="1"/>
  <c r="E14" i="1"/>
  <c r="E15" i="1" s="1"/>
  <c r="C17" i="1"/>
  <c r="Q50" i="1"/>
  <c r="Q51" i="1"/>
  <c r="Q49" i="1"/>
  <c r="C7" i="1"/>
  <c r="E52" i="1"/>
  <c r="F52" i="1"/>
  <c r="C8" i="1"/>
  <c r="Q21" i="1"/>
  <c r="Q22" i="1"/>
  <c r="Q23" i="1"/>
  <c r="Q24" i="1"/>
  <c r="Q25" i="1"/>
  <c r="Q26" i="1"/>
  <c r="Q27" i="1"/>
  <c r="Q28" i="1"/>
  <c r="Q29" i="1"/>
  <c r="Q30" i="1"/>
  <c r="Q31" i="1"/>
  <c r="Q39" i="1"/>
  <c r="Q41" i="1"/>
  <c r="Q42" i="1"/>
  <c r="Q46" i="1"/>
  <c r="Q48" i="1"/>
  <c r="Q32" i="1"/>
  <c r="Q33" i="1"/>
  <c r="Q34" i="1"/>
  <c r="Q35" i="1"/>
  <c r="Q36" i="1"/>
  <c r="Q38" i="1"/>
  <c r="Q40" i="1"/>
  <c r="Q43" i="1"/>
  <c r="Q44" i="1"/>
  <c r="Q45" i="1"/>
  <c r="Q37" i="1"/>
  <c r="E33" i="2"/>
  <c r="E11" i="2"/>
  <c r="E35" i="2"/>
  <c r="E29" i="2"/>
  <c r="E42" i="2"/>
  <c r="E27" i="2"/>
  <c r="E34" i="2"/>
  <c r="E41" i="2"/>
  <c r="E36" i="2"/>
  <c r="E19" i="2"/>
  <c r="E37" i="2"/>
  <c r="E26" i="2"/>
  <c r="E39" i="2"/>
  <c r="E40" i="2"/>
  <c r="E22" i="2"/>
  <c r="E44" i="1"/>
  <c r="F44" i="1"/>
  <c r="E31" i="1"/>
  <c r="F31" i="1"/>
  <c r="E23" i="1"/>
  <c r="F23" i="1"/>
  <c r="G23" i="1"/>
  <c r="I23" i="1"/>
  <c r="G46" i="1"/>
  <c r="K46" i="1"/>
  <c r="E36" i="1"/>
  <c r="F36" i="1"/>
  <c r="E28" i="1"/>
  <c r="F28" i="1"/>
  <c r="E50" i="1"/>
  <c r="F50" i="1"/>
  <c r="G43" i="1"/>
  <c r="I43" i="1"/>
  <c r="E41" i="1"/>
  <c r="F41" i="1"/>
  <c r="G41" i="1"/>
  <c r="I41" i="1"/>
  <c r="E33" i="1"/>
  <c r="F33" i="1"/>
  <c r="G27" i="1"/>
  <c r="I27" i="1"/>
  <c r="E22" i="1"/>
  <c r="F22" i="1"/>
  <c r="G22" i="1"/>
  <c r="I22" i="1"/>
  <c r="G45" i="1"/>
  <c r="J45" i="1"/>
  <c r="E43" i="1"/>
  <c r="F43" i="1"/>
  <c r="E47" i="1"/>
  <c r="F47" i="1"/>
  <c r="G47" i="1"/>
  <c r="K47" i="1"/>
  <c r="G33" i="1"/>
  <c r="I33" i="1"/>
  <c r="E25" i="1"/>
  <c r="F25" i="1"/>
  <c r="G25" i="1"/>
  <c r="I25" i="1"/>
  <c r="G49" i="1"/>
  <c r="K49" i="1"/>
  <c r="E46" i="1"/>
  <c r="F46" i="1"/>
  <c r="E27" i="1"/>
  <c r="F27" i="1"/>
  <c r="E40" i="1"/>
  <c r="F40" i="1"/>
  <c r="G40" i="1"/>
  <c r="I40" i="1"/>
  <c r="E38" i="1"/>
  <c r="F38" i="1"/>
  <c r="G38" i="1"/>
  <c r="I38" i="1"/>
  <c r="E30" i="1"/>
  <c r="F30" i="1"/>
  <c r="G30" i="1"/>
  <c r="I30" i="1"/>
  <c r="E35" i="1"/>
  <c r="F35" i="1"/>
  <c r="G35" i="1"/>
  <c r="I35" i="1"/>
  <c r="G29" i="1"/>
  <c r="I29" i="1"/>
  <c r="E49" i="1"/>
  <c r="F49" i="1"/>
  <c r="E32" i="1"/>
  <c r="F32" i="1"/>
  <c r="G32" i="1"/>
  <c r="I32" i="1"/>
  <c r="E24" i="1"/>
  <c r="F24" i="1"/>
  <c r="G24" i="1"/>
  <c r="I24" i="1"/>
  <c r="G48" i="1"/>
  <c r="K48" i="1"/>
  <c r="E45" i="1"/>
  <c r="F45" i="1"/>
  <c r="E37" i="1"/>
  <c r="F37" i="1"/>
  <c r="G37" i="1"/>
  <c r="H37" i="1"/>
  <c r="G52" i="1"/>
  <c r="K52" i="1"/>
  <c r="E51" i="1"/>
  <c r="F51" i="1"/>
  <c r="G51" i="1"/>
  <c r="K51" i="1"/>
  <c r="G44" i="1"/>
  <c r="I44" i="1"/>
  <c r="G36" i="1"/>
  <c r="I36" i="1"/>
  <c r="G31" i="1"/>
  <c r="I31" i="1"/>
  <c r="E29" i="1"/>
  <c r="F29" i="1"/>
  <c r="E21" i="1"/>
  <c r="F21" i="1"/>
  <c r="G21" i="1"/>
  <c r="E42" i="1"/>
  <c r="F42" i="1"/>
  <c r="G42" i="1"/>
  <c r="I42" i="1"/>
  <c r="E34" i="1"/>
  <c r="F34" i="1"/>
  <c r="G34" i="1"/>
  <c r="I34" i="1"/>
  <c r="G28" i="1"/>
  <c r="I28" i="1"/>
  <c r="E26" i="1"/>
  <c r="F26" i="1"/>
  <c r="G26" i="1"/>
  <c r="I26" i="1"/>
  <c r="G50" i="1"/>
  <c r="K50" i="1"/>
  <c r="E48" i="1"/>
  <c r="F48" i="1"/>
  <c r="E39" i="1"/>
  <c r="F39" i="1"/>
  <c r="G39" i="1"/>
  <c r="I39" i="1"/>
  <c r="I21" i="1"/>
  <c r="E20" i="2"/>
  <c r="E21" i="2"/>
  <c r="E28" i="2"/>
  <c r="E16" i="2"/>
  <c r="E15" i="2"/>
  <c r="E14" i="2"/>
  <c r="E23" i="2"/>
  <c r="E18" i="2"/>
  <c r="E13" i="2"/>
  <c r="E30" i="2"/>
  <c r="E24" i="2"/>
  <c r="E32" i="2"/>
  <c r="E38" i="2"/>
  <c r="E17" i="2"/>
  <c r="E25" i="2"/>
  <c r="E31" i="2"/>
  <c r="E12" i="2"/>
  <c r="C12" i="1"/>
  <c r="C11" i="1"/>
  <c r="O27" i="1" l="1"/>
  <c r="O42" i="1"/>
  <c r="O31" i="1"/>
  <c r="O52" i="1"/>
  <c r="O25" i="1"/>
  <c r="O35" i="1"/>
  <c r="O46" i="1"/>
  <c r="O24" i="1"/>
  <c r="O29" i="1"/>
  <c r="O45" i="1"/>
  <c r="O40" i="1"/>
  <c r="O28" i="1"/>
  <c r="O32" i="1"/>
  <c r="O38" i="1"/>
  <c r="O47" i="1"/>
  <c r="O48" i="1"/>
  <c r="O43" i="1"/>
  <c r="O44" i="1"/>
  <c r="O33" i="1"/>
  <c r="O22" i="1"/>
  <c r="O51" i="1"/>
  <c r="O37" i="1"/>
  <c r="O49" i="1"/>
  <c r="C15" i="1"/>
  <c r="O26" i="1"/>
  <c r="O23" i="1"/>
  <c r="O36" i="1"/>
  <c r="O50" i="1"/>
  <c r="O30" i="1"/>
  <c r="O34" i="1"/>
  <c r="O21" i="1"/>
  <c r="O41" i="1"/>
  <c r="O39" i="1"/>
  <c r="C16" i="1"/>
  <c r="D18" i="1" s="1"/>
  <c r="E16" i="1" l="1"/>
  <c r="E17" i="1" s="1"/>
  <c r="C18" i="1"/>
</calcChain>
</file>

<file path=xl/sharedStrings.xml><?xml version="1.0" encoding="utf-8"?>
<sst xmlns="http://schemas.openxmlformats.org/spreadsheetml/2006/main" count="349" uniqueCount="211">
  <si>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</si>
  <si>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</si>
  <si>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</si>
  <si>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</si>
  <si>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</si>
  <si>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</si>
  <si>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</si>
  <si>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</si>
  <si>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</si>
  <si>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</si>
  <si>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</si>
  <si>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</si>
  <si>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</si>
  <si>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</si>
  <si>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</si>
  <si>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</si>
  <si>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</si>
  <si>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</si>
  <si>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</si>
  <si>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</si>
  <si>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</si>
  <si>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</si>
  <si>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</si>
  <si>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</si>
  <si>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</si>
  <si>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</si>
  <si>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</si>
  <si>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</si>
  <si>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</si>
  <si>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Bull.29</t>
  </si>
  <si>
    <t>B</t>
  </si>
  <si>
    <t>BBSAG Bull.36</t>
  </si>
  <si>
    <t>BBSAG Bull.39</t>
  </si>
  <si>
    <t>BBSAG Bull.40</t>
  </si>
  <si>
    <t>BBSAG Bull.57</t>
  </si>
  <si>
    <t>BBSAG Bull.70</t>
  </si>
  <si>
    <t>BBSAG Bull.81</t>
  </si>
  <si>
    <t>BBSAG Bull.86</t>
  </si>
  <si>
    <t>BBSAG Bull.92</t>
  </si>
  <si>
    <t>BBSAG Bull.114</t>
  </si>
  <si>
    <t>Relationship is hugely uncertain.</t>
  </si>
  <si>
    <t>W.Zessewitsch AC 212.16</t>
  </si>
  <si>
    <t>V.V.Ziplakov PZ 17.456</t>
  </si>
  <si>
    <t>J.Borovicka BRNO 27</t>
  </si>
  <si>
    <t>A.Slatinsky BRNO 28</t>
  </si>
  <si>
    <t>V.Wagner BRNO 28</t>
  </si>
  <si>
    <t>IBVS 5543</t>
  </si>
  <si>
    <t>I</t>
  </si>
  <si>
    <t>04h 15m 45s  +30°40'08"</t>
  </si>
  <si>
    <t># of data points:</t>
  </si>
  <si>
    <t>EA/SD</t>
  </si>
  <si>
    <t>BN Tau / GSC 02371-01645</t>
  </si>
  <si>
    <t>IBVS 5690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</si>
  <si>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</si>
  <si>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</si>
  <si>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</si>
  <si>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</si>
  <si>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</si>
  <si>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</si>
  <si>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5761</t>
  </si>
  <si>
    <t>Start of linear fit &gt;&gt;&gt;&gt;&gt;&gt;&gt;&gt;&gt;&gt;&gt;&gt;&gt;&gt;&gt;&gt;&gt;&gt;&gt;&gt;&gt;</t>
  </si>
  <si>
    <t>IBVS 5874</t>
  </si>
  <si>
    <t>IBVS 5894</t>
  </si>
  <si>
    <t>Add cycle</t>
  </si>
  <si>
    <t>Old Cycle</t>
  </si>
  <si>
    <t>IBVS 6011</t>
  </si>
  <si>
    <t>OEJV 0003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</si>
  <si>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</si>
  <si>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</si>
  <si>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</si>
  <si>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</si>
  <si>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</si>
  <si>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</si>
  <si>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</si>
  <si>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</si>
  <si>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</si>
  <si>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</si>
  <si>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</si>
  <si>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2417233.183 </t>
  </si>
  <si>
    <t> 22.01.1906 16:23 </t>
  </si>
  <si>
    <t> 0.265 </t>
  </si>
  <si>
    <t>P </t>
  </si>
  <si>
    <t> W.Zessewitsch </t>
  </si>
  <si>
    <t> AC 212.16 </t>
  </si>
  <si>
    <t>2418733.249 </t>
  </si>
  <si>
    <t> 02.03.1910 17:58 </t>
  </si>
  <si>
    <t> 0.705 </t>
  </si>
  <si>
    <t>2419090.241 </t>
  </si>
  <si>
    <t> 22.02.1911 17:47 </t>
  </si>
  <si>
    <t> 0.339 </t>
  </si>
  <si>
    <t> V.V.Ziplakov </t>
  </si>
  <si>
    <t> PZ 17.456 </t>
  </si>
  <si>
    <t>2435077.479 </t>
  </si>
  <si>
    <t> 30.11.1954 23:29 </t>
  </si>
  <si>
    <t> 0.068 </t>
  </si>
  <si>
    <t>2435077.500 </t>
  </si>
  <si>
    <t> 01.12.1954 00:00 </t>
  </si>
  <si>
    <t> 0.089 </t>
  </si>
  <si>
    <t>2435460.370 </t>
  </si>
  <si>
    <t> 18.12.1955 20:52 </t>
  </si>
  <si>
    <t> 0.075 </t>
  </si>
  <si>
    <t>2436549.376 </t>
  </si>
  <si>
    <t> 11.12.1958 21:01 </t>
  </si>
  <si>
    <t> -0.009 </t>
  </si>
  <si>
    <t>2436579.358 </t>
  </si>
  <si>
    <t> 10.01.1959 20:35 </t>
  </si>
  <si>
    <t> 0.193 </t>
  </si>
  <si>
    <t>2438404.290 </t>
  </si>
  <si>
    <t> 09.01.1964 18:57 </t>
  </si>
  <si>
    <t> 0.048 </t>
  </si>
  <si>
    <t>2438740.275 </t>
  </si>
  <si>
    <t> 10.12.1964 18:36 </t>
  </si>
  <si>
    <t> -0.054 </t>
  </si>
  <si>
    <t>2438821.298 </t>
  </si>
  <si>
    <t> 01.03.1965 19:09 </t>
  </si>
  <si>
    <t> 0.138 </t>
  </si>
  <si>
    <t>2443011.606 </t>
  </si>
  <si>
    <t> 21.08.1976 02:32 </t>
  </si>
  <si>
    <t> -0.000 </t>
  </si>
  <si>
    <t>V </t>
  </si>
  <si>
    <t> K.Locher </t>
  </si>
  <si>
    <t> BBS 29 </t>
  </si>
  <si>
    <t>2443492.326 </t>
  </si>
  <si>
    <t> 14.12.1977 19:49 </t>
  </si>
  <si>
    <t> -0.011 </t>
  </si>
  <si>
    <t> BBS 36 </t>
  </si>
  <si>
    <t>2443764.618 </t>
  </si>
  <si>
    <t> 13.09.1978 02:49 </t>
  </si>
  <si>
    <t> 0.008 </t>
  </si>
  <si>
    <t> BBS 39 </t>
  </si>
  <si>
    <t>2443828.436 </t>
  </si>
  <si>
    <t> 15.11.1978 22:27 </t>
  </si>
  <si>
    <t> 0.012 </t>
  </si>
  <si>
    <t> BBS 40 </t>
  </si>
  <si>
    <t>2444883.491 </t>
  </si>
  <si>
    <t> 05.10.1981 23:47 </t>
  </si>
  <si>
    <t> 0.011 </t>
  </si>
  <si>
    <t> BBS 57 </t>
  </si>
  <si>
    <t>2445236.584 </t>
  </si>
  <si>
    <t> 24.09.1982 02:00 </t>
  </si>
  <si>
    <t> 0.000 </t>
  </si>
  <si>
    <t> BBS 62 </t>
  </si>
  <si>
    <t>2445670.505 </t>
  </si>
  <si>
    <t> 02.12.1983 00:07 </t>
  </si>
  <si>
    <t> -0.014 </t>
  </si>
  <si>
    <t> BBS 70 </t>
  </si>
  <si>
    <t>2446406.506 </t>
  </si>
  <si>
    <t> 07.12.1985 00:08 </t>
  </si>
  <si>
    <t> 0.001 </t>
  </si>
  <si>
    <t> J.Borovicka </t>
  </si>
  <si>
    <t> BRNO 27 </t>
  </si>
  <si>
    <t>2446674.511 </t>
  </si>
  <si>
    <t> 01.09.1986 00:15 </t>
  </si>
  <si>
    <t> -0.013 </t>
  </si>
  <si>
    <t> BBS 81 </t>
  </si>
  <si>
    <t>2446708.545 </t>
  </si>
  <si>
    <t> 05.10.1986 01:04 </t>
  </si>
  <si>
    <t> A.Slatinsky </t>
  </si>
  <si>
    <t> BRNO 28 </t>
  </si>
  <si>
    <t>2446708.553 </t>
  </si>
  <si>
    <t> 05.10.1986 01:16 </t>
  </si>
  <si>
    <t> -0.005 </t>
  </si>
  <si>
    <t> V.Wagner </t>
  </si>
  <si>
    <t>2447125.465 </t>
  </si>
  <si>
    <t> 25.11.1987 23:09 </t>
  </si>
  <si>
    <t> -0.010 </t>
  </si>
  <si>
    <t> BBS 86 </t>
  </si>
  <si>
    <t>2447797.640 </t>
  </si>
  <si>
    <t> 28.09.1989 03:21 </t>
  </si>
  <si>
    <t> BBS 92 </t>
  </si>
  <si>
    <t>2450486.342 </t>
  </si>
  <si>
    <t> 06.02.1997 20:12 </t>
  </si>
  <si>
    <t> BBS 114 </t>
  </si>
  <si>
    <t>2453030.372 </t>
  </si>
  <si>
    <t> 25.01.2004 20:55 </t>
  </si>
  <si>
    <t> -0.016 </t>
  </si>
  <si>
    <t> BBS 130 </t>
  </si>
  <si>
    <t>2453302.638 </t>
  </si>
  <si>
    <t> 24.10.2004 03:18 </t>
  </si>
  <si>
    <t> -0.023 </t>
  </si>
  <si>
    <t>OEJV 0003 </t>
  </si>
  <si>
    <t>2453306.8512 </t>
  </si>
  <si>
    <t> 28.10.2004 08:25 </t>
  </si>
  <si>
    <t> -0.0640 </t>
  </si>
  <si>
    <t>E </t>
  </si>
  <si>
    <t>?</t>
  </si>
  <si>
    <t> T.Krajci </t>
  </si>
  <si>
    <t>IBVS 5690 </t>
  </si>
  <si>
    <t>2454055.5954 </t>
  </si>
  <si>
    <t> 16.11.2006 02:17 </t>
  </si>
  <si>
    <t> -0.0696 </t>
  </si>
  <si>
    <t>C </t>
  </si>
  <si>
    <t>-I</t>
  </si>
  <si>
    <t> F.Agerer </t>
  </si>
  <si>
    <t>BAVM 183 </t>
  </si>
  <si>
    <t>2454455.4936 </t>
  </si>
  <si>
    <t> 20.12.2007 23:50 </t>
  </si>
  <si>
    <t>2167</t>
  </si>
  <si>
    <t> -0.0718 </t>
  </si>
  <si>
    <t>BAVM 201 </t>
  </si>
  <si>
    <t>2454842.6242 </t>
  </si>
  <si>
    <t> 11.01.2009 02:58 </t>
  </si>
  <si>
    <t>2258</t>
  </si>
  <si>
    <t> -0.0789 </t>
  </si>
  <si>
    <t> R.Diethelm </t>
  </si>
  <si>
    <t>IBVS 5894 </t>
  </si>
  <si>
    <t>2455867.8955 </t>
  </si>
  <si>
    <t> 02.11.2011 09:29 </t>
  </si>
  <si>
    <t>2499</t>
  </si>
  <si>
    <t> -0.0842 </t>
  </si>
  <si>
    <t>IBVS 6011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</si>
</sst>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59">
    <xf numFmtId="0" fontId="0" fillId="0" borderId="0" xfId="0" applyAlignment="1"/>
    <xf numFmtId="14" fontId="0" fillId="0" borderId="0" xfId="0" applyNumberFormat="1" applyAlignment="1"/>
    <xf numFmtId="0" fontId="9" fillId="0" borderId="0" xfId="0" applyFont="1" applyAlignment="1"/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176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1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1" fillId="2" borderId="12" xfId="7" applyFill="1" applyBorder="1" applyAlignment="1" applyProtection="1">
      <alignment horizontal="right" vertical="top" wrapText="1"/>
    </xf>
    <xf numFmtId="0" fontId="5" fillId="0" borderId="5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76" fontId="5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Tau - O-C Diagr.</a:t>
            </a:r>
          </a:p>
        </c:rich>
      </c:tx>
      <c:layout>
        <c:manualLayout>
          <c:xMode val="edge"/>
          <c:yMode val="edge"/>
          <c:x val="0.3536125664900252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1902534887542"/>
          <c:y val="0.14814859468012961"/>
          <c:w val="0.79277640132671523"/>
          <c:h val="0.6574093888930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-6582.5</c:v>
                </c:pt>
                <c:pt idx="1">
                  <c:v>-6230</c:v>
                </c:pt>
                <c:pt idx="2">
                  <c:v>-6146</c:v>
                </c:pt>
                <c:pt idx="3">
                  <c:v>-2388</c:v>
                </c:pt>
                <c:pt idx="4">
                  <c:v>-2388</c:v>
                </c:pt>
                <c:pt idx="5">
                  <c:v>-2298</c:v>
                </c:pt>
                <c:pt idx="6">
                  <c:v>-2042</c:v>
                </c:pt>
                <c:pt idx="7">
                  <c:v>-2035</c:v>
                </c:pt>
                <c:pt idx="8">
                  <c:v>-1606</c:v>
                </c:pt>
                <c:pt idx="9">
                  <c:v>-1527</c:v>
                </c:pt>
                <c:pt idx="10">
                  <c:v>-1508</c:v>
                </c:pt>
                <c:pt idx="11">
                  <c:v>-523</c:v>
                </c:pt>
                <c:pt idx="12">
                  <c:v>-410</c:v>
                </c:pt>
                <c:pt idx="13">
                  <c:v>-346</c:v>
                </c:pt>
                <c:pt idx="14">
                  <c:v>-331</c:v>
                </c:pt>
                <c:pt idx="15">
                  <c:v>-83</c:v>
                </c:pt>
                <c:pt idx="16">
                  <c:v>0</c:v>
                </c:pt>
                <c:pt idx="17">
                  <c:v>102</c:v>
                </c:pt>
                <c:pt idx="18">
                  <c:v>275</c:v>
                </c:pt>
                <c:pt idx="19">
                  <c:v>338</c:v>
                </c:pt>
                <c:pt idx="20">
                  <c:v>346</c:v>
                </c:pt>
                <c:pt idx="21">
                  <c:v>346</c:v>
                </c:pt>
                <c:pt idx="22">
                  <c:v>444</c:v>
                </c:pt>
                <c:pt idx="23">
                  <c:v>602</c:v>
                </c:pt>
                <c:pt idx="24">
                  <c:v>1234</c:v>
                </c:pt>
                <c:pt idx="25">
                  <c:v>1832</c:v>
                </c:pt>
                <c:pt idx="26">
                  <c:v>1896</c:v>
                </c:pt>
                <c:pt idx="27">
                  <c:v>1897</c:v>
                </c:pt>
                <c:pt idx="28">
                  <c:v>2073</c:v>
                </c:pt>
                <c:pt idx="29">
                  <c:v>2167</c:v>
                </c:pt>
                <c:pt idx="30">
                  <c:v>2258</c:v>
                </c:pt>
                <c:pt idx="31">
                  <c:v>2499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D9-49A2-9D3A-1CF36146059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16">
                    <c:v>0</c:v>
                  </c:pt>
                  <c:pt idx="24">
                    <c:v>3.0000000000000001E-3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1.1999999999999999E-3</c:v>
                  </c:pt>
                  <c:pt idx="30">
                    <c:v>5.0000000000000001E-4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16">
                    <c:v>0</c:v>
                  </c:pt>
                  <c:pt idx="24">
                    <c:v>3.0000000000000001E-3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1.1999999999999999E-3</c:v>
                  </c:pt>
                  <c:pt idx="30">
                    <c:v>5.0000000000000001E-4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-6582.5</c:v>
                </c:pt>
                <c:pt idx="1">
                  <c:v>-6230</c:v>
                </c:pt>
                <c:pt idx="2">
                  <c:v>-6146</c:v>
                </c:pt>
                <c:pt idx="3">
                  <c:v>-2388</c:v>
                </c:pt>
                <c:pt idx="4">
                  <c:v>-2388</c:v>
                </c:pt>
                <c:pt idx="5">
                  <c:v>-2298</c:v>
                </c:pt>
                <c:pt idx="6">
                  <c:v>-2042</c:v>
                </c:pt>
                <c:pt idx="7">
                  <c:v>-2035</c:v>
                </c:pt>
                <c:pt idx="8">
                  <c:v>-1606</c:v>
                </c:pt>
                <c:pt idx="9">
                  <c:v>-1527</c:v>
                </c:pt>
                <c:pt idx="10">
                  <c:v>-1508</c:v>
                </c:pt>
                <c:pt idx="11">
                  <c:v>-523</c:v>
                </c:pt>
                <c:pt idx="12">
                  <c:v>-410</c:v>
                </c:pt>
                <c:pt idx="13">
                  <c:v>-346</c:v>
                </c:pt>
                <c:pt idx="14">
                  <c:v>-331</c:v>
                </c:pt>
                <c:pt idx="15">
                  <c:v>-83</c:v>
                </c:pt>
                <c:pt idx="16">
                  <c:v>0</c:v>
                </c:pt>
                <c:pt idx="17">
                  <c:v>102</c:v>
                </c:pt>
                <c:pt idx="18">
                  <c:v>275</c:v>
                </c:pt>
                <c:pt idx="19">
                  <c:v>338</c:v>
                </c:pt>
                <c:pt idx="20">
                  <c:v>346</c:v>
                </c:pt>
                <c:pt idx="21">
                  <c:v>346</c:v>
                </c:pt>
                <c:pt idx="22">
                  <c:v>444</c:v>
                </c:pt>
                <c:pt idx="23">
                  <c:v>602</c:v>
                </c:pt>
                <c:pt idx="24">
                  <c:v>1234</c:v>
                </c:pt>
                <c:pt idx="25">
                  <c:v>1832</c:v>
                </c:pt>
                <c:pt idx="26">
                  <c:v>1896</c:v>
                </c:pt>
                <c:pt idx="27">
                  <c:v>1897</c:v>
                </c:pt>
                <c:pt idx="28">
                  <c:v>2073</c:v>
                </c:pt>
                <c:pt idx="29">
                  <c:v>2167</c:v>
                </c:pt>
                <c:pt idx="30">
                  <c:v>2258</c:v>
                </c:pt>
                <c:pt idx="31">
                  <c:v>2499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0.26545000000260188</c:v>
                </c:pt>
                <c:pt idx="1">
                  <c:v>0.7047999999995227</c:v>
                </c:pt>
                <c:pt idx="2">
                  <c:v>0.33896000000095228</c:v>
                </c:pt>
                <c:pt idx="3">
                  <c:v>6.7879999995057005E-2</c:v>
                </c:pt>
                <c:pt idx="4">
                  <c:v>8.887999999569729E-2</c:v>
                </c:pt>
                <c:pt idx="5">
                  <c:v>7.5479999999515712E-2</c:v>
                </c:pt>
                <c:pt idx="6">
                  <c:v>-9.0800000034505501E-3</c:v>
                </c:pt>
                <c:pt idx="7">
                  <c:v>0.1930999999967753</c:v>
                </c:pt>
                <c:pt idx="8">
                  <c:v>4.7559999999066349E-2</c:v>
                </c:pt>
                <c:pt idx="9">
                  <c:v>-5.3980000004230533E-2</c:v>
                </c:pt>
                <c:pt idx="10">
                  <c:v>0.1380799999969895</c:v>
                </c:pt>
                <c:pt idx="11">
                  <c:v>-1.9999999494757503E-5</c:v>
                </c:pt>
                <c:pt idx="12">
                  <c:v>-1.1400000003050081E-2</c:v>
                </c:pt>
                <c:pt idx="13">
                  <c:v>7.9600000026402995E-3</c:v>
                </c:pt>
                <c:pt idx="14">
                  <c:v>1.2060000000928994E-2</c:v>
                </c:pt>
                <c:pt idx="15">
                  <c:v>1.0580000001937151E-2</c:v>
                </c:pt>
                <c:pt idx="17">
                  <c:v>-1.3520000007702038E-2</c:v>
                </c:pt>
                <c:pt idx="18">
                  <c:v>5.0000000192085281E-4</c:v>
                </c:pt>
                <c:pt idx="19">
                  <c:v>-1.2880000002041925E-2</c:v>
                </c:pt>
                <c:pt idx="20">
                  <c:v>-1.2960000007296912E-2</c:v>
                </c:pt>
                <c:pt idx="21">
                  <c:v>-4.9600000056670979E-3</c:v>
                </c:pt>
                <c:pt idx="22">
                  <c:v>-1.0440000005473848E-2</c:v>
                </c:pt>
                <c:pt idx="23">
                  <c:v>-8.5200000030454248E-3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D9-49A2-9D3A-1CF36146059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16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-6582.5</c:v>
                </c:pt>
                <c:pt idx="1">
                  <c:v>-6230</c:v>
                </c:pt>
                <c:pt idx="2">
                  <c:v>-6146</c:v>
                </c:pt>
                <c:pt idx="3">
                  <c:v>-2388</c:v>
                </c:pt>
                <c:pt idx="4">
                  <c:v>-2388</c:v>
                </c:pt>
                <c:pt idx="5">
                  <c:v>-2298</c:v>
                </c:pt>
                <c:pt idx="6">
                  <c:v>-2042</c:v>
                </c:pt>
                <c:pt idx="7">
                  <c:v>-2035</c:v>
                </c:pt>
                <c:pt idx="8">
                  <c:v>-1606</c:v>
                </c:pt>
                <c:pt idx="9">
                  <c:v>-1527</c:v>
                </c:pt>
                <c:pt idx="10">
                  <c:v>-1508</c:v>
                </c:pt>
                <c:pt idx="11">
                  <c:v>-523</c:v>
                </c:pt>
                <c:pt idx="12">
                  <c:v>-410</c:v>
                </c:pt>
                <c:pt idx="13">
                  <c:v>-346</c:v>
                </c:pt>
                <c:pt idx="14">
                  <c:v>-331</c:v>
                </c:pt>
                <c:pt idx="15">
                  <c:v>-83</c:v>
                </c:pt>
                <c:pt idx="16">
                  <c:v>0</c:v>
                </c:pt>
                <c:pt idx="17">
                  <c:v>102</c:v>
                </c:pt>
                <c:pt idx="18">
                  <c:v>275</c:v>
                </c:pt>
                <c:pt idx="19">
                  <c:v>338</c:v>
                </c:pt>
                <c:pt idx="20">
                  <c:v>346</c:v>
                </c:pt>
                <c:pt idx="21">
                  <c:v>346</c:v>
                </c:pt>
                <c:pt idx="22">
                  <c:v>444</c:v>
                </c:pt>
                <c:pt idx="23">
                  <c:v>602</c:v>
                </c:pt>
                <c:pt idx="24">
                  <c:v>1234</c:v>
                </c:pt>
                <c:pt idx="25">
                  <c:v>1832</c:v>
                </c:pt>
                <c:pt idx="26">
                  <c:v>1896</c:v>
                </c:pt>
                <c:pt idx="27">
                  <c:v>1897</c:v>
                </c:pt>
                <c:pt idx="28">
                  <c:v>2073</c:v>
                </c:pt>
                <c:pt idx="29">
                  <c:v>2167</c:v>
                </c:pt>
                <c:pt idx="30">
                  <c:v>2258</c:v>
                </c:pt>
                <c:pt idx="31">
                  <c:v>2499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24">
                  <c:v>1.159999992523808E-3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D9-49A2-9D3A-1CF36146059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16">
                    <c:v>0</c:v>
                  </c:pt>
                  <c:pt idx="24">
                    <c:v>3.0000000000000001E-3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1.1999999999999999E-3</c:v>
                  </c:pt>
                  <c:pt idx="30">
                    <c:v>5.0000000000000001E-4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16">
                    <c:v>0</c:v>
                  </c:pt>
                  <c:pt idx="24">
                    <c:v>3.0000000000000001E-3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1.1999999999999999E-3</c:v>
                  </c:pt>
                  <c:pt idx="30">
                    <c:v>5.0000000000000001E-4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-6582.5</c:v>
                </c:pt>
                <c:pt idx="1">
                  <c:v>-6230</c:v>
                </c:pt>
                <c:pt idx="2">
                  <c:v>-6146</c:v>
                </c:pt>
                <c:pt idx="3">
                  <c:v>-2388</c:v>
                </c:pt>
                <c:pt idx="4">
                  <c:v>-2388</c:v>
                </c:pt>
                <c:pt idx="5">
                  <c:v>-2298</c:v>
                </c:pt>
                <c:pt idx="6">
                  <c:v>-2042</c:v>
                </c:pt>
                <c:pt idx="7">
                  <c:v>-2035</c:v>
                </c:pt>
                <c:pt idx="8">
                  <c:v>-1606</c:v>
                </c:pt>
                <c:pt idx="9">
                  <c:v>-1527</c:v>
                </c:pt>
                <c:pt idx="10">
                  <c:v>-1508</c:v>
                </c:pt>
                <c:pt idx="11">
                  <c:v>-523</c:v>
                </c:pt>
                <c:pt idx="12">
                  <c:v>-410</c:v>
                </c:pt>
                <c:pt idx="13">
                  <c:v>-346</c:v>
                </c:pt>
                <c:pt idx="14">
                  <c:v>-331</c:v>
                </c:pt>
                <c:pt idx="15">
                  <c:v>-83</c:v>
                </c:pt>
                <c:pt idx="16">
                  <c:v>0</c:v>
                </c:pt>
                <c:pt idx="17">
                  <c:v>102</c:v>
                </c:pt>
                <c:pt idx="18">
                  <c:v>275</c:v>
                </c:pt>
                <c:pt idx="19">
                  <c:v>338</c:v>
                </c:pt>
                <c:pt idx="20">
                  <c:v>346</c:v>
                </c:pt>
                <c:pt idx="21">
                  <c:v>346</c:v>
                </c:pt>
                <c:pt idx="22">
                  <c:v>444</c:v>
                </c:pt>
                <c:pt idx="23">
                  <c:v>602</c:v>
                </c:pt>
                <c:pt idx="24">
                  <c:v>1234</c:v>
                </c:pt>
                <c:pt idx="25">
                  <c:v>1832</c:v>
                </c:pt>
                <c:pt idx="26">
                  <c:v>1896</c:v>
                </c:pt>
                <c:pt idx="27">
                  <c:v>1897</c:v>
                </c:pt>
                <c:pt idx="28">
                  <c:v>2073</c:v>
                </c:pt>
                <c:pt idx="29">
                  <c:v>2167</c:v>
                </c:pt>
                <c:pt idx="30">
                  <c:v>2258</c:v>
                </c:pt>
                <c:pt idx="31">
                  <c:v>2499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25">
                  <c:v>-1.6320000002451707E-2</c:v>
                </c:pt>
                <c:pt idx="26">
                  <c:v>-2.2960000002058223E-2</c:v>
                </c:pt>
                <c:pt idx="27">
                  <c:v>-6.4020000005257316E-2</c:v>
                </c:pt>
                <c:pt idx="28">
                  <c:v>-6.9580000003043097E-2</c:v>
                </c:pt>
                <c:pt idx="29">
                  <c:v>-7.181999999738764E-2</c:v>
                </c:pt>
                <c:pt idx="30">
                  <c:v>-7.8880000008211937E-2</c:v>
                </c:pt>
                <c:pt idx="31">
                  <c:v>-8.4240000003774185E-2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D9-49A2-9D3A-1CF36146059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16">
                    <c:v>0</c:v>
                  </c:pt>
                  <c:pt idx="24">
                    <c:v>3.0000000000000001E-3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1.1999999999999999E-3</c:v>
                  </c:pt>
                  <c:pt idx="30">
                    <c:v>5.0000000000000001E-4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16">
                    <c:v>0</c:v>
                  </c:pt>
                  <c:pt idx="24">
                    <c:v>3.0000000000000001E-3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1.1999999999999999E-3</c:v>
                  </c:pt>
                  <c:pt idx="30">
                    <c:v>5.0000000000000001E-4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-6582.5</c:v>
                </c:pt>
                <c:pt idx="1">
                  <c:v>-6230</c:v>
                </c:pt>
                <c:pt idx="2">
                  <c:v>-6146</c:v>
                </c:pt>
                <c:pt idx="3">
                  <c:v>-2388</c:v>
                </c:pt>
                <c:pt idx="4">
                  <c:v>-2388</c:v>
                </c:pt>
                <c:pt idx="5">
                  <c:v>-2298</c:v>
                </c:pt>
                <c:pt idx="6">
                  <c:v>-2042</c:v>
                </c:pt>
                <c:pt idx="7">
                  <c:v>-2035</c:v>
                </c:pt>
                <c:pt idx="8">
                  <c:v>-1606</c:v>
                </c:pt>
                <c:pt idx="9">
                  <c:v>-1527</c:v>
                </c:pt>
                <c:pt idx="10">
                  <c:v>-1508</c:v>
                </c:pt>
                <c:pt idx="11">
                  <c:v>-523</c:v>
                </c:pt>
                <c:pt idx="12">
                  <c:v>-410</c:v>
                </c:pt>
                <c:pt idx="13">
                  <c:v>-346</c:v>
                </c:pt>
                <c:pt idx="14">
                  <c:v>-331</c:v>
                </c:pt>
                <c:pt idx="15">
                  <c:v>-83</c:v>
                </c:pt>
                <c:pt idx="16">
                  <c:v>0</c:v>
                </c:pt>
                <c:pt idx="17">
                  <c:v>102</c:v>
                </c:pt>
                <c:pt idx="18">
                  <c:v>275</c:v>
                </c:pt>
                <c:pt idx="19">
                  <c:v>338</c:v>
                </c:pt>
                <c:pt idx="20">
                  <c:v>346</c:v>
                </c:pt>
                <c:pt idx="21">
                  <c:v>346</c:v>
                </c:pt>
                <c:pt idx="22">
                  <c:v>444</c:v>
                </c:pt>
                <c:pt idx="23">
                  <c:v>602</c:v>
                </c:pt>
                <c:pt idx="24">
                  <c:v>1234</c:v>
                </c:pt>
                <c:pt idx="25">
                  <c:v>1832</c:v>
                </c:pt>
                <c:pt idx="26">
                  <c:v>1896</c:v>
                </c:pt>
                <c:pt idx="27">
                  <c:v>1897</c:v>
                </c:pt>
                <c:pt idx="28">
                  <c:v>2073</c:v>
                </c:pt>
                <c:pt idx="29">
                  <c:v>2167</c:v>
                </c:pt>
                <c:pt idx="30">
                  <c:v>2258</c:v>
                </c:pt>
                <c:pt idx="31">
                  <c:v>2499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D9-49A2-9D3A-1CF36146059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16">
                    <c:v>0</c:v>
                  </c:pt>
                  <c:pt idx="24">
                    <c:v>3.0000000000000001E-3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1.1999999999999999E-3</c:v>
                  </c:pt>
                  <c:pt idx="30">
                    <c:v>5.0000000000000001E-4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16">
                    <c:v>0</c:v>
                  </c:pt>
                  <c:pt idx="24">
                    <c:v>3.0000000000000001E-3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1.1999999999999999E-3</c:v>
                  </c:pt>
                  <c:pt idx="30">
                    <c:v>5.0000000000000001E-4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-6582.5</c:v>
                </c:pt>
                <c:pt idx="1">
                  <c:v>-6230</c:v>
                </c:pt>
                <c:pt idx="2">
                  <c:v>-6146</c:v>
                </c:pt>
                <c:pt idx="3">
                  <c:v>-2388</c:v>
                </c:pt>
                <c:pt idx="4">
                  <c:v>-2388</c:v>
                </c:pt>
                <c:pt idx="5">
                  <c:v>-2298</c:v>
                </c:pt>
                <c:pt idx="6">
                  <c:v>-2042</c:v>
                </c:pt>
                <c:pt idx="7">
                  <c:v>-2035</c:v>
                </c:pt>
                <c:pt idx="8">
                  <c:v>-1606</c:v>
                </c:pt>
                <c:pt idx="9">
                  <c:v>-1527</c:v>
                </c:pt>
                <c:pt idx="10">
                  <c:v>-1508</c:v>
                </c:pt>
                <c:pt idx="11">
                  <c:v>-523</c:v>
                </c:pt>
                <c:pt idx="12">
                  <c:v>-410</c:v>
                </c:pt>
                <c:pt idx="13">
                  <c:v>-346</c:v>
                </c:pt>
                <c:pt idx="14">
                  <c:v>-331</c:v>
                </c:pt>
                <c:pt idx="15">
                  <c:v>-83</c:v>
                </c:pt>
                <c:pt idx="16">
                  <c:v>0</c:v>
                </c:pt>
                <c:pt idx="17">
                  <c:v>102</c:v>
                </c:pt>
                <c:pt idx="18">
                  <c:v>275</c:v>
                </c:pt>
                <c:pt idx="19">
                  <c:v>338</c:v>
                </c:pt>
                <c:pt idx="20">
                  <c:v>346</c:v>
                </c:pt>
                <c:pt idx="21">
                  <c:v>346</c:v>
                </c:pt>
                <c:pt idx="22">
                  <c:v>444</c:v>
                </c:pt>
                <c:pt idx="23">
                  <c:v>602</c:v>
                </c:pt>
                <c:pt idx="24">
                  <c:v>1234</c:v>
                </c:pt>
                <c:pt idx="25">
                  <c:v>1832</c:v>
                </c:pt>
                <c:pt idx="26">
                  <c:v>1896</c:v>
                </c:pt>
                <c:pt idx="27">
                  <c:v>1897</c:v>
                </c:pt>
                <c:pt idx="28">
                  <c:v>2073</c:v>
                </c:pt>
                <c:pt idx="29">
                  <c:v>2167</c:v>
                </c:pt>
                <c:pt idx="30">
                  <c:v>2258</c:v>
                </c:pt>
                <c:pt idx="31">
                  <c:v>2499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D9-49A2-9D3A-1CF36146059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16">
                    <c:v>0</c:v>
                  </c:pt>
                  <c:pt idx="24">
                    <c:v>3.0000000000000001E-3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1.1999999999999999E-3</c:v>
                  </c:pt>
                  <c:pt idx="30">
                    <c:v>5.0000000000000001E-4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16">
                    <c:v>0</c:v>
                  </c:pt>
                  <c:pt idx="24">
                    <c:v>3.0000000000000001E-3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1.1999999999999999E-3</c:v>
                  </c:pt>
                  <c:pt idx="30">
                    <c:v>5.0000000000000001E-4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-6582.5</c:v>
                </c:pt>
                <c:pt idx="1">
                  <c:v>-6230</c:v>
                </c:pt>
                <c:pt idx="2">
                  <c:v>-6146</c:v>
                </c:pt>
                <c:pt idx="3">
                  <c:v>-2388</c:v>
                </c:pt>
                <c:pt idx="4">
                  <c:v>-2388</c:v>
                </c:pt>
                <c:pt idx="5">
                  <c:v>-2298</c:v>
                </c:pt>
                <c:pt idx="6">
                  <c:v>-2042</c:v>
                </c:pt>
                <c:pt idx="7">
                  <c:v>-2035</c:v>
                </c:pt>
                <c:pt idx="8">
                  <c:v>-1606</c:v>
                </c:pt>
                <c:pt idx="9">
                  <c:v>-1527</c:v>
                </c:pt>
                <c:pt idx="10">
                  <c:v>-1508</c:v>
                </c:pt>
                <c:pt idx="11">
                  <c:v>-523</c:v>
                </c:pt>
                <c:pt idx="12">
                  <c:v>-410</c:v>
                </c:pt>
                <c:pt idx="13">
                  <c:v>-346</c:v>
                </c:pt>
                <c:pt idx="14">
                  <c:v>-331</c:v>
                </c:pt>
                <c:pt idx="15">
                  <c:v>-83</c:v>
                </c:pt>
                <c:pt idx="16">
                  <c:v>0</c:v>
                </c:pt>
                <c:pt idx="17">
                  <c:v>102</c:v>
                </c:pt>
                <c:pt idx="18">
                  <c:v>275</c:v>
                </c:pt>
                <c:pt idx="19">
                  <c:v>338</c:v>
                </c:pt>
                <c:pt idx="20">
                  <c:v>346</c:v>
                </c:pt>
                <c:pt idx="21">
                  <c:v>346</c:v>
                </c:pt>
                <c:pt idx="22">
                  <c:v>444</c:v>
                </c:pt>
                <c:pt idx="23">
                  <c:v>602</c:v>
                </c:pt>
                <c:pt idx="24">
                  <c:v>1234</c:v>
                </c:pt>
                <c:pt idx="25">
                  <c:v>1832</c:v>
                </c:pt>
                <c:pt idx="26">
                  <c:v>1896</c:v>
                </c:pt>
                <c:pt idx="27">
                  <c:v>1897</c:v>
                </c:pt>
                <c:pt idx="28">
                  <c:v>2073</c:v>
                </c:pt>
                <c:pt idx="29">
                  <c:v>2167</c:v>
                </c:pt>
                <c:pt idx="30">
                  <c:v>2258</c:v>
                </c:pt>
                <c:pt idx="31">
                  <c:v>2499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D9-49A2-9D3A-1CF36146059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-6582.5</c:v>
                </c:pt>
                <c:pt idx="1">
                  <c:v>-6230</c:v>
                </c:pt>
                <c:pt idx="2">
                  <c:v>-6146</c:v>
                </c:pt>
                <c:pt idx="3">
                  <c:v>-2388</c:v>
                </c:pt>
                <c:pt idx="4">
                  <c:v>-2388</c:v>
                </c:pt>
                <c:pt idx="5">
                  <c:v>-2298</c:v>
                </c:pt>
                <c:pt idx="6">
                  <c:v>-2042</c:v>
                </c:pt>
                <c:pt idx="7">
                  <c:v>-2035</c:v>
                </c:pt>
                <c:pt idx="8">
                  <c:v>-1606</c:v>
                </c:pt>
                <c:pt idx="9">
                  <c:v>-1527</c:v>
                </c:pt>
                <c:pt idx="10">
                  <c:v>-1508</c:v>
                </c:pt>
                <c:pt idx="11">
                  <c:v>-523</c:v>
                </c:pt>
                <c:pt idx="12">
                  <c:v>-410</c:v>
                </c:pt>
                <c:pt idx="13">
                  <c:v>-346</c:v>
                </c:pt>
                <c:pt idx="14">
                  <c:v>-331</c:v>
                </c:pt>
                <c:pt idx="15">
                  <c:v>-83</c:v>
                </c:pt>
                <c:pt idx="16">
                  <c:v>0</c:v>
                </c:pt>
                <c:pt idx="17">
                  <c:v>102</c:v>
                </c:pt>
                <c:pt idx="18">
                  <c:v>275</c:v>
                </c:pt>
                <c:pt idx="19">
                  <c:v>338</c:v>
                </c:pt>
                <c:pt idx="20">
                  <c:v>346</c:v>
                </c:pt>
                <c:pt idx="21">
                  <c:v>346</c:v>
                </c:pt>
                <c:pt idx="22">
                  <c:v>444</c:v>
                </c:pt>
                <c:pt idx="23">
                  <c:v>602</c:v>
                </c:pt>
                <c:pt idx="24">
                  <c:v>1234</c:v>
                </c:pt>
                <c:pt idx="25">
                  <c:v>1832</c:v>
                </c:pt>
                <c:pt idx="26">
                  <c:v>1896</c:v>
                </c:pt>
                <c:pt idx="27">
                  <c:v>1897</c:v>
                </c:pt>
                <c:pt idx="28">
                  <c:v>2073</c:v>
                </c:pt>
                <c:pt idx="29">
                  <c:v>2167</c:v>
                </c:pt>
                <c:pt idx="30">
                  <c:v>2258</c:v>
                </c:pt>
                <c:pt idx="31">
                  <c:v>2499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0.36731532844645531</c:v>
                </c:pt>
                <c:pt idx="1">
                  <c:v>0.34836836210054134</c:v>
                </c:pt>
                <c:pt idx="2">
                  <c:v>0.34385334033300441</c:v>
                </c:pt>
                <c:pt idx="3">
                  <c:v>0.14185986649486368</c:v>
                </c:pt>
                <c:pt idx="4">
                  <c:v>0.14185986649486368</c:v>
                </c:pt>
                <c:pt idx="5">
                  <c:v>0.13702234317250267</c:v>
                </c:pt>
                <c:pt idx="6">
                  <c:v>0.12326227683334245</c:v>
                </c:pt>
                <c:pt idx="7">
                  <c:v>0.12288602501938103</c:v>
                </c:pt>
                <c:pt idx="8">
                  <c:v>9.9827163849460249E-2</c:v>
                </c:pt>
                <c:pt idx="9">
                  <c:v>9.5580893377610027E-2</c:v>
                </c:pt>
                <c:pt idx="10">
                  <c:v>9.4559638454000478E-2</c:v>
                </c:pt>
                <c:pt idx="11">
                  <c:v>4.1615633203716113E-2</c:v>
                </c:pt>
                <c:pt idx="12">
                  <c:v>3.5541853921196173E-2</c:v>
                </c:pt>
                <c:pt idx="13">
                  <c:v>3.2101837336406126E-2</c:v>
                </c:pt>
                <c:pt idx="14">
                  <c:v>3.1295583449345958E-2</c:v>
                </c:pt>
                <c:pt idx="15">
                  <c:v>1.7965519183284512E-2</c:v>
                </c:pt>
                <c:pt idx="16">
                  <c:v>1.3504247674884916E-2</c:v>
                </c:pt>
                <c:pt idx="17">
                  <c:v>8.0217212428757741E-3</c:v>
                </c:pt>
                <c:pt idx="18">
                  <c:v>-1.2770735878848312E-3</c:v>
                </c:pt>
                <c:pt idx="19">
                  <c:v>-4.6633399135375363E-3</c:v>
                </c:pt>
                <c:pt idx="20">
                  <c:v>-5.0933419866362947E-3</c:v>
                </c:pt>
                <c:pt idx="21">
                  <c:v>-5.0933419866362947E-3</c:v>
                </c:pt>
                <c:pt idx="22">
                  <c:v>-1.0360867382096059E-2</c:v>
                </c:pt>
                <c:pt idx="23">
                  <c:v>-1.8853408325796496E-2</c:v>
                </c:pt>
                <c:pt idx="24">
                  <c:v>-5.2823572100598244E-2</c:v>
                </c:pt>
                <c:pt idx="25">
                  <c:v>-8.4966227064730282E-2</c:v>
                </c:pt>
                <c:pt idx="26">
                  <c:v>-8.8406243649520322E-2</c:v>
                </c:pt>
                <c:pt idx="27">
                  <c:v>-8.8459993908657664E-2</c:v>
                </c:pt>
                <c:pt idx="28">
                  <c:v>-9.7920039516830315E-2</c:v>
                </c:pt>
                <c:pt idx="29">
                  <c:v>-0.10297256387574069</c:v>
                </c:pt>
                <c:pt idx="30">
                  <c:v>-0.10786383745723904</c:v>
                </c:pt>
                <c:pt idx="31">
                  <c:v>-0.12081764990933908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3D9-49A2-9D3A-1CF361460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557448"/>
        <c:axId val="1"/>
      </c:scatterChart>
      <c:valAx>
        <c:axId val="777557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01180603375152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133079847908745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7557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8441064638783272E-2"/>
          <c:y val="0.91975600272188196"/>
          <c:w val="0.92395517100286417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Tau - O-C Diagr.</a:t>
            </a:r>
          </a:p>
        </c:rich>
      </c:tx>
      <c:layout>
        <c:manualLayout>
          <c:xMode val="edge"/>
          <c:yMode val="edge"/>
          <c:x val="0.3548387096774193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90512333965844"/>
          <c:y val="0.14769252958613219"/>
          <c:w val="0.79316888045540801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-6582.5</c:v>
                </c:pt>
                <c:pt idx="1">
                  <c:v>-6230</c:v>
                </c:pt>
                <c:pt idx="2">
                  <c:v>-6146</c:v>
                </c:pt>
                <c:pt idx="3">
                  <c:v>-2388</c:v>
                </c:pt>
                <c:pt idx="4">
                  <c:v>-2388</c:v>
                </c:pt>
                <c:pt idx="5">
                  <c:v>-2298</c:v>
                </c:pt>
                <c:pt idx="6">
                  <c:v>-2042</c:v>
                </c:pt>
                <c:pt idx="7">
                  <c:v>-2035</c:v>
                </c:pt>
                <c:pt idx="8">
                  <c:v>-1606</c:v>
                </c:pt>
                <c:pt idx="9">
                  <c:v>-1527</c:v>
                </c:pt>
                <c:pt idx="10">
                  <c:v>-1508</c:v>
                </c:pt>
                <c:pt idx="11">
                  <c:v>-523</c:v>
                </c:pt>
                <c:pt idx="12">
                  <c:v>-410</c:v>
                </c:pt>
                <c:pt idx="13">
                  <c:v>-346</c:v>
                </c:pt>
                <c:pt idx="14">
                  <c:v>-331</c:v>
                </c:pt>
                <c:pt idx="15">
                  <c:v>-83</c:v>
                </c:pt>
                <c:pt idx="16">
                  <c:v>0</c:v>
                </c:pt>
                <c:pt idx="17">
                  <c:v>102</c:v>
                </c:pt>
                <c:pt idx="18">
                  <c:v>275</c:v>
                </c:pt>
                <c:pt idx="19">
                  <c:v>338</c:v>
                </c:pt>
                <c:pt idx="20">
                  <c:v>346</c:v>
                </c:pt>
                <c:pt idx="21">
                  <c:v>346</c:v>
                </c:pt>
                <c:pt idx="22">
                  <c:v>444</c:v>
                </c:pt>
                <c:pt idx="23">
                  <c:v>602</c:v>
                </c:pt>
                <c:pt idx="24">
                  <c:v>1234</c:v>
                </c:pt>
                <c:pt idx="25">
                  <c:v>1832</c:v>
                </c:pt>
                <c:pt idx="26">
                  <c:v>1896</c:v>
                </c:pt>
                <c:pt idx="27">
                  <c:v>1897</c:v>
                </c:pt>
                <c:pt idx="28">
                  <c:v>2073</c:v>
                </c:pt>
                <c:pt idx="29">
                  <c:v>2167</c:v>
                </c:pt>
                <c:pt idx="30">
                  <c:v>2258</c:v>
                </c:pt>
                <c:pt idx="31">
                  <c:v>2499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1A-4799-B088-CF052CAC334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16">
                    <c:v>0</c:v>
                  </c:pt>
                  <c:pt idx="24">
                    <c:v>3.0000000000000001E-3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1.1999999999999999E-3</c:v>
                  </c:pt>
                  <c:pt idx="30">
                    <c:v>5.0000000000000001E-4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16">
                    <c:v>0</c:v>
                  </c:pt>
                  <c:pt idx="24">
                    <c:v>3.0000000000000001E-3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1.1999999999999999E-3</c:v>
                  </c:pt>
                  <c:pt idx="30">
                    <c:v>5.0000000000000001E-4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-6582.5</c:v>
                </c:pt>
                <c:pt idx="1">
                  <c:v>-6230</c:v>
                </c:pt>
                <c:pt idx="2">
                  <c:v>-6146</c:v>
                </c:pt>
                <c:pt idx="3">
                  <c:v>-2388</c:v>
                </c:pt>
                <c:pt idx="4">
                  <c:v>-2388</c:v>
                </c:pt>
                <c:pt idx="5">
                  <c:v>-2298</c:v>
                </c:pt>
                <c:pt idx="6">
                  <c:v>-2042</c:v>
                </c:pt>
                <c:pt idx="7">
                  <c:v>-2035</c:v>
                </c:pt>
                <c:pt idx="8">
                  <c:v>-1606</c:v>
                </c:pt>
                <c:pt idx="9">
                  <c:v>-1527</c:v>
                </c:pt>
                <c:pt idx="10">
                  <c:v>-1508</c:v>
                </c:pt>
                <c:pt idx="11">
                  <c:v>-523</c:v>
                </c:pt>
                <c:pt idx="12">
                  <c:v>-410</c:v>
                </c:pt>
                <c:pt idx="13">
                  <c:v>-346</c:v>
                </c:pt>
                <c:pt idx="14">
                  <c:v>-331</c:v>
                </c:pt>
                <c:pt idx="15">
                  <c:v>-83</c:v>
                </c:pt>
                <c:pt idx="16">
                  <c:v>0</c:v>
                </c:pt>
                <c:pt idx="17">
                  <c:v>102</c:v>
                </c:pt>
                <c:pt idx="18">
                  <c:v>275</c:v>
                </c:pt>
                <c:pt idx="19">
                  <c:v>338</c:v>
                </c:pt>
                <c:pt idx="20">
                  <c:v>346</c:v>
                </c:pt>
                <c:pt idx="21">
                  <c:v>346</c:v>
                </c:pt>
                <c:pt idx="22">
                  <c:v>444</c:v>
                </c:pt>
                <c:pt idx="23">
                  <c:v>602</c:v>
                </c:pt>
                <c:pt idx="24">
                  <c:v>1234</c:v>
                </c:pt>
                <c:pt idx="25">
                  <c:v>1832</c:v>
                </c:pt>
                <c:pt idx="26">
                  <c:v>1896</c:v>
                </c:pt>
                <c:pt idx="27">
                  <c:v>1897</c:v>
                </c:pt>
                <c:pt idx="28">
                  <c:v>2073</c:v>
                </c:pt>
                <c:pt idx="29">
                  <c:v>2167</c:v>
                </c:pt>
                <c:pt idx="30">
                  <c:v>2258</c:v>
                </c:pt>
                <c:pt idx="31">
                  <c:v>2499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0.26545000000260188</c:v>
                </c:pt>
                <c:pt idx="1">
                  <c:v>0.7047999999995227</c:v>
                </c:pt>
                <c:pt idx="2">
                  <c:v>0.33896000000095228</c:v>
                </c:pt>
                <c:pt idx="3">
                  <c:v>6.7879999995057005E-2</c:v>
                </c:pt>
                <c:pt idx="4">
                  <c:v>8.887999999569729E-2</c:v>
                </c:pt>
                <c:pt idx="5">
                  <c:v>7.5479999999515712E-2</c:v>
                </c:pt>
                <c:pt idx="6">
                  <c:v>-9.0800000034505501E-3</c:v>
                </c:pt>
                <c:pt idx="7">
                  <c:v>0.1930999999967753</c:v>
                </c:pt>
                <c:pt idx="8">
                  <c:v>4.7559999999066349E-2</c:v>
                </c:pt>
                <c:pt idx="9">
                  <c:v>-5.3980000004230533E-2</c:v>
                </c:pt>
                <c:pt idx="10">
                  <c:v>0.1380799999969895</c:v>
                </c:pt>
                <c:pt idx="11">
                  <c:v>-1.9999999494757503E-5</c:v>
                </c:pt>
                <c:pt idx="12">
                  <c:v>-1.1400000003050081E-2</c:v>
                </c:pt>
                <c:pt idx="13">
                  <c:v>7.9600000026402995E-3</c:v>
                </c:pt>
                <c:pt idx="14">
                  <c:v>1.2060000000928994E-2</c:v>
                </c:pt>
                <c:pt idx="15">
                  <c:v>1.0580000001937151E-2</c:v>
                </c:pt>
                <c:pt idx="17">
                  <c:v>-1.3520000007702038E-2</c:v>
                </c:pt>
                <c:pt idx="18">
                  <c:v>5.0000000192085281E-4</c:v>
                </c:pt>
                <c:pt idx="19">
                  <c:v>-1.2880000002041925E-2</c:v>
                </c:pt>
                <c:pt idx="20">
                  <c:v>-1.2960000007296912E-2</c:v>
                </c:pt>
                <c:pt idx="21">
                  <c:v>-4.9600000056670979E-3</c:v>
                </c:pt>
                <c:pt idx="22">
                  <c:v>-1.0440000005473848E-2</c:v>
                </c:pt>
                <c:pt idx="23">
                  <c:v>-8.5200000030454248E-3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1A-4799-B088-CF052CAC334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16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-6582.5</c:v>
                </c:pt>
                <c:pt idx="1">
                  <c:v>-6230</c:v>
                </c:pt>
                <c:pt idx="2">
                  <c:v>-6146</c:v>
                </c:pt>
                <c:pt idx="3">
                  <c:v>-2388</c:v>
                </c:pt>
                <c:pt idx="4">
                  <c:v>-2388</c:v>
                </c:pt>
                <c:pt idx="5">
                  <c:v>-2298</c:v>
                </c:pt>
                <c:pt idx="6">
                  <c:v>-2042</c:v>
                </c:pt>
                <c:pt idx="7">
                  <c:v>-2035</c:v>
                </c:pt>
                <c:pt idx="8">
                  <c:v>-1606</c:v>
                </c:pt>
                <c:pt idx="9">
                  <c:v>-1527</c:v>
                </c:pt>
                <c:pt idx="10">
                  <c:v>-1508</c:v>
                </c:pt>
                <c:pt idx="11">
                  <c:v>-523</c:v>
                </c:pt>
                <c:pt idx="12">
                  <c:v>-410</c:v>
                </c:pt>
                <c:pt idx="13">
                  <c:v>-346</c:v>
                </c:pt>
                <c:pt idx="14">
                  <c:v>-331</c:v>
                </c:pt>
                <c:pt idx="15">
                  <c:v>-83</c:v>
                </c:pt>
                <c:pt idx="16">
                  <c:v>0</c:v>
                </c:pt>
                <c:pt idx="17">
                  <c:v>102</c:v>
                </c:pt>
                <c:pt idx="18">
                  <c:v>275</c:v>
                </c:pt>
                <c:pt idx="19">
                  <c:v>338</c:v>
                </c:pt>
                <c:pt idx="20">
                  <c:v>346</c:v>
                </c:pt>
                <c:pt idx="21">
                  <c:v>346</c:v>
                </c:pt>
                <c:pt idx="22">
                  <c:v>444</c:v>
                </c:pt>
                <c:pt idx="23">
                  <c:v>602</c:v>
                </c:pt>
                <c:pt idx="24">
                  <c:v>1234</c:v>
                </c:pt>
                <c:pt idx="25">
                  <c:v>1832</c:v>
                </c:pt>
                <c:pt idx="26">
                  <c:v>1896</c:v>
                </c:pt>
                <c:pt idx="27">
                  <c:v>1897</c:v>
                </c:pt>
                <c:pt idx="28">
                  <c:v>2073</c:v>
                </c:pt>
                <c:pt idx="29">
                  <c:v>2167</c:v>
                </c:pt>
                <c:pt idx="30">
                  <c:v>2258</c:v>
                </c:pt>
                <c:pt idx="31">
                  <c:v>2499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24">
                  <c:v>1.159999992523808E-3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1A-4799-B088-CF052CAC334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16">
                    <c:v>0</c:v>
                  </c:pt>
                  <c:pt idx="24">
                    <c:v>3.0000000000000001E-3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1.1999999999999999E-3</c:v>
                  </c:pt>
                  <c:pt idx="30">
                    <c:v>5.0000000000000001E-4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16">
                    <c:v>0</c:v>
                  </c:pt>
                  <c:pt idx="24">
                    <c:v>3.0000000000000001E-3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1.1999999999999999E-3</c:v>
                  </c:pt>
                  <c:pt idx="30">
                    <c:v>5.0000000000000001E-4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-6582.5</c:v>
                </c:pt>
                <c:pt idx="1">
                  <c:v>-6230</c:v>
                </c:pt>
                <c:pt idx="2">
                  <c:v>-6146</c:v>
                </c:pt>
                <c:pt idx="3">
                  <c:v>-2388</c:v>
                </c:pt>
                <c:pt idx="4">
                  <c:v>-2388</c:v>
                </c:pt>
                <c:pt idx="5">
                  <c:v>-2298</c:v>
                </c:pt>
                <c:pt idx="6">
                  <c:v>-2042</c:v>
                </c:pt>
                <c:pt idx="7">
                  <c:v>-2035</c:v>
                </c:pt>
                <c:pt idx="8">
                  <c:v>-1606</c:v>
                </c:pt>
                <c:pt idx="9">
                  <c:v>-1527</c:v>
                </c:pt>
                <c:pt idx="10">
                  <c:v>-1508</c:v>
                </c:pt>
                <c:pt idx="11">
                  <c:v>-523</c:v>
                </c:pt>
                <c:pt idx="12">
                  <c:v>-410</c:v>
                </c:pt>
                <c:pt idx="13">
                  <c:v>-346</c:v>
                </c:pt>
                <c:pt idx="14">
                  <c:v>-331</c:v>
                </c:pt>
                <c:pt idx="15">
                  <c:v>-83</c:v>
                </c:pt>
                <c:pt idx="16">
                  <c:v>0</c:v>
                </c:pt>
                <c:pt idx="17">
                  <c:v>102</c:v>
                </c:pt>
                <c:pt idx="18">
                  <c:v>275</c:v>
                </c:pt>
                <c:pt idx="19">
                  <c:v>338</c:v>
                </c:pt>
                <c:pt idx="20">
                  <c:v>346</c:v>
                </c:pt>
                <c:pt idx="21">
                  <c:v>346</c:v>
                </c:pt>
                <c:pt idx="22">
                  <c:v>444</c:v>
                </c:pt>
                <c:pt idx="23">
                  <c:v>602</c:v>
                </c:pt>
                <c:pt idx="24">
                  <c:v>1234</c:v>
                </c:pt>
                <c:pt idx="25">
                  <c:v>1832</c:v>
                </c:pt>
                <c:pt idx="26">
                  <c:v>1896</c:v>
                </c:pt>
                <c:pt idx="27">
                  <c:v>1897</c:v>
                </c:pt>
                <c:pt idx="28">
                  <c:v>2073</c:v>
                </c:pt>
                <c:pt idx="29">
                  <c:v>2167</c:v>
                </c:pt>
                <c:pt idx="30">
                  <c:v>2258</c:v>
                </c:pt>
                <c:pt idx="31">
                  <c:v>2499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25">
                  <c:v>-1.6320000002451707E-2</c:v>
                </c:pt>
                <c:pt idx="26">
                  <c:v>-2.2960000002058223E-2</c:v>
                </c:pt>
                <c:pt idx="27">
                  <c:v>-6.4020000005257316E-2</c:v>
                </c:pt>
                <c:pt idx="28">
                  <c:v>-6.9580000003043097E-2</c:v>
                </c:pt>
                <c:pt idx="29">
                  <c:v>-7.181999999738764E-2</c:v>
                </c:pt>
                <c:pt idx="30">
                  <c:v>-7.8880000008211937E-2</c:v>
                </c:pt>
                <c:pt idx="31">
                  <c:v>-8.4240000003774185E-2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1A-4799-B088-CF052CAC334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16">
                    <c:v>0</c:v>
                  </c:pt>
                  <c:pt idx="24">
                    <c:v>3.0000000000000001E-3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1.1999999999999999E-3</c:v>
                  </c:pt>
                  <c:pt idx="30">
                    <c:v>5.0000000000000001E-4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16">
                    <c:v>0</c:v>
                  </c:pt>
                  <c:pt idx="24">
                    <c:v>3.0000000000000001E-3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1.1999999999999999E-3</c:v>
                  </c:pt>
                  <c:pt idx="30">
                    <c:v>5.0000000000000001E-4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-6582.5</c:v>
                </c:pt>
                <c:pt idx="1">
                  <c:v>-6230</c:v>
                </c:pt>
                <c:pt idx="2">
                  <c:v>-6146</c:v>
                </c:pt>
                <c:pt idx="3">
                  <c:v>-2388</c:v>
                </c:pt>
                <c:pt idx="4">
                  <c:v>-2388</c:v>
                </c:pt>
                <c:pt idx="5">
                  <c:v>-2298</c:v>
                </c:pt>
                <c:pt idx="6">
                  <c:v>-2042</c:v>
                </c:pt>
                <c:pt idx="7">
                  <c:v>-2035</c:v>
                </c:pt>
                <c:pt idx="8">
                  <c:v>-1606</c:v>
                </c:pt>
                <c:pt idx="9">
                  <c:v>-1527</c:v>
                </c:pt>
                <c:pt idx="10">
                  <c:v>-1508</c:v>
                </c:pt>
                <c:pt idx="11">
                  <c:v>-523</c:v>
                </c:pt>
                <c:pt idx="12">
                  <c:v>-410</c:v>
                </c:pt>
                <c:pt idx="13">
                  <c:v>-346</c:v>
                </c:pt>
                <c:pt idx="14">
                  <c:v>-331</c:v>
                </c:pt>
                <c:pt idx="15">
                  <c:v>-83</c:v>
                </c:pt>
                <c:pt idx="16">
                  <c:v>0</c:v>
                </c:pt>
                <c:pt idx="17">
                  <c:v>102</c:v>
                </c:pt>
                <c:pt idx="18">
                  <c:v>275</c:v>
                </c:pt>
                <c:pt idx="19">
                  <c:v>338</c:v>
                </c:pt>
                <c:pt idx="20">
                  <c:v>346</c:v>
                </c:pt>
                <c:pt idx="21">
                  <c:v>346</c:v>
                </c:pt>
                <c:pt idx="22">
                  <c:v>444</c:v>
                </c:pt>
                <c:pt idx="23">
                  <c:v>602</c:v>
                </c:pt>
                <c:pt idx="24">
                  <c:v>1234</c:v>
                </c:pt>
                <c:pt idx="25">
                  <c:v>1832</c:v>
                </c:pt>
                <c:pt idx="26">
                  <c:v>1896</c:v>
                </c:pt>
                <c:pt idx="27">
                  <c:v>1897</c:v>
                </c:pt>
                <c:pt idx="28">
                  <c:v>2073</c:v>
                </c:pt>
                <c:pt idx="29">
                  <c:v>2167</c:v>
                </c:pt>
                <c:pt idx="30">
                  <c:v>2258</c:v>
                </c:pt>
                <c:pt idx="31">
                  <c:v>2499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1A-4799-B088-CF052CAC334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16">
                    <c:v>0</c:v>
                  </c:pt>
                  <c:pt idx="24">
                    <c:v>3.0000000000000001E-3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1.1999999999999999E-3</c:v>
                  </c:pt>
                  <c:pt idx="30">
                    <c:v>5.0000000000000001E-4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16">
                    <c:v>0</c:v>
                  </c:pt>
                  <c:pt idx="24">
                    <c:v>3.0000000000000001E-3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1.1999999999999999E-3</c:v>
                  </c:pt>
                  <c:pt idx="30">
                    <c:v>5.0000000000000001E-4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-6582.5</c:v>
                </c:pt>
                <c:pt idx="1">
                  <c:v>-6230</c:v>
                </c:pt>
                <c:pt idx="2">
                  <c:v>-6146</c:v>
                </c:pt>
                <c:pt idx="3">
                  <c:v>-2388</c:v>
                </c:pt>
                <c:pt idx="4">
                  <c:v>-2388</c:v>
                </c:pt>
                <c:pt idx="5">
                  <c:v>-2298</c:v>
                </c:pt>
                <c:pt idx="6">
                  <c:v>-2042</c:v>
                </c:pt>
                <c:pt idx="7">
                  <c:v>-2035</c:v>
                </c:pt>
                <c:pt idx="8">
                  <c:v>-1606</c:v>
                </c:pt>
                <c:pt idx="9">
                  <c:v>-1527</c:v>
                </c:pt>
                <c:pt idx="10">
                  <c:v>-1508</c:v>
                </c:pt>
                <c:pt idx="11">
                  <c:v>-523</c:v>
                </c:pt>
                <c:pt idx="12">
                  <c:v>-410</c:v>
                </c:pt>
                <c:pt idx="13">
                  <c:v>-346</c:v>
                </c:pt>
                <c:pt idx="14">
                  <c:v>-331</c:v>
                </c:pt>
                <c:pt idx="15">
                  <c:v>-83</c:v>
                </c:pt>
                <c:pt idx="16">
                  <c:v>0</c:v>
                </c:pt>
                <c:pt idx="17">
                  <c:v>102</c:v>
                </c:pt>
                <c:pt idx="18">
                  <c:v>275</c:v>
                </c:pt>
                <c:pt idx="19">
                  <c:v>338</c:v>
                </c:pt>
                <c:pt idx="20">
                  <c:v>346</c:v>
                </c:pt>
                <c:pt idx="21">
                  <c:v>346</c:v>
                </c:pt>
                <c:pt idx="22">
                  <c:v>444</c:v>
                </c:pt>
                <c:pt idx="23">
                  <c:v>602</c:v>
                </c:pt>
                <c:pt idx="24">
                  <c:v>1234</c:v>
                </c:pt>
                <c:pt idx="25">
                  <c:v>1832</c:v>
                </c:pt>
                <c:pt idx="26">
                  <c:v>1896</c:v>
                </c:pt>
                <c:pt idx="27">
                  <c:v>1897</c:v>
                </c:pt>
                <c:pt idx="28">
                  <c:v>2073</c:v>
                </c:pt>
                <c:pt idx="29">
                  <c:v>2167</c:v>
                </c:pt>
                <c:pt idx="30">
                  <c:v>2258</c:v>
                </c:pt>
                <c:pt idx="31">
                  <c:v>2499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1A-4799-B088-CF052CAC334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16">
                    <c:v>0</c:v>
                  </c:pt>
                  <c:pt idx="24">
                    <c:v>3.0000000000000001E-3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1.1999999999999999E-3</c:v>
                  </c:pt>
                  <c:pt idx="30">
                    <c:v>5.0000000000000001E-4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16">
                    <c:v>0</c:v>
                  </c:pt>
                  <c:pt idx="24">
                    <c:v>3.0000000000000001E-3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1.1999999999999999E-3</c:v>
                  </c:pt>
                  <c:pt idx="30">
                    <c:v>5.0000000000000001E-4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-6582.5</c:v>
                </c:pt>
                <c:pt idx="1">
                  <c:v>-6230</c:v>
                </c:pt>
                <c:pt idx="2">
                  <c:v>-6146</c:v>
                </c:pt>
                <c:pt idx="3">
                  <c:v>-2388</c:v>
                </c:pt>
                <c:pt idx="4">
                  <c:v>-2388</c:v>
                </c:pt>
                <c:pt idx="5">
                  <c:v>-2298</c:v>
                </c:pt>
                <c:pt idx="6">
                  <c:v>-2042</c:v>
                </c:pt>
                <c:pt idx="7">
                  <c:v>-2035</c:v>
                </c:pt>
                <c:pt idx="8">
                  <c:v>-1606</c:v>
                </c:pt>
                <c:pt idx="9">
                  <c:v>-1527</c:v>
                </c:pt>
                <c:pt idx="10">
                  <c:v>-1508</c:v>
                </c:pt>
                <c:pt idx="11">
                  <c:v>-523</c:v>
                </c:pt>
                <c:pt idx="12">
                  <c:v>-410</c:v>
                </c:pt>
                <c:pt idx="13">
                  <c:v>-346</c:v>
                </c:pt>
                <c:pt idx="14">
                  <c:v>-331</c:v>
                </c:pt>
                <c:pt idx="15">
                  <c:v>-83</c:v>
                </c:pt>
                <c:pt idx="16">
                  <c:v>0</c:v>
                </c:pt>
                <c:pt idx="17">
                  <c:v>102</c:v>
                </c:pt>
                <c:pt idx="18">
                  <c:v>275</c:v>
                </c:pt>
                <c:pt idx="19">
                  <c:v>338</c:v>
                </c:pt>
                <c:pt idx="20">
                  <c:v>346</c:v>
                </c:pt>
                <c:pt idx="21">
                  <c:v>346</c:v>
                </c:pt>
                <c:pt idx="22">
                  <c:v>444</c:v>
                </c:pt>
                <c:pt idx="23">
                  <c:v>602</c:v>
                </c:pt>
                <c:pt idx="24">
                  <c:v>1234</c:v>
                </c:pt>
                <c:pt idx="25">
                  <c:v>1832</c:v>
                </c:pt>
                <c:pt idx="26">
                  <c:v>1896</c:v>
                </c:pt>
                <c:pt idx="27">
                  <c:v>1897</c:v>
                </c:pt>
                <c:pt idx="28">
                  <c:v>2073</c:v>
                </c:pt>
                <c:pt idx="29">
                  <c:v>2167</c:v>
                </c:pt>
                <c:pt idx="30">
                  <c:v>2258</c:v>
                </c:pt>
                <c:pt idx="31">
                  <c:v>2499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1A-4799-B088-CF052CAC334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-6582.5</c:v>
                </c:pt>
                <c:pt idx="1">
                  <c:v>-6230</c:v>
                </c:pt>
                <c:pt idx="2">
                  <c:v>-6146</c:v>
                </c:pt>
                <c:pt idx="3">
                  <c:v>-2388</c:v>
                </c:pt>
                <c:pt idx="4">
                  <c:v>-2388</c:v>
                </c:pt>
                <c:pt idx="5">
                  <c:v>-2298</c:v>
                </c:pt>
                <c:pt idx="6">
                  <c:v>-2042</c:v>
                </c:pt>
                <c:pt idx="7">
                  <c:v>-2035</c:v>
                </c:pt>
                <c:pt idx="8">
                  <c:v>-1606</c:v>
                </c:pt>
                <c:pt idx="9">
                  <c:v>-1527</c:v>
                </c:pt>
                <c:pt idx="10">
                  <c:v>-1508</c:v>
                </c:pt>
                <c:pt idx="11">
                  <c:v>-523</c:v>
                </c:pt>
                <c:pt idx="12">
                  <c:v>-410</c:v>
                </c:pt>
                <c:pt idx="13">
                  <c:v>-346</c:v>
                </c:pt>
                <c:pt idx="14">
                  <c:v>-331</c:v>
                </c:pt>
                <c:pt idx="15">
                  <c:v>-83</c:v>
                </c:pt>
                <c:pt idx="16">
                  <c:v>0</c:v>
                </c:pt>
                <c:pt idx="17">
                  <c:v>102</c:v>
                </c:pt>
                <c:pt idx="18">
                  <c:v>275</c:v>
                </c:pt>
                <c:pt idx="19">
                  <c:v>338</c:v>
                </c:pt>
                <c:pt idx="20">
                  <c:v>346</c:v>
                </c:pt>
                <c:pt idx="21">
                  <c:v>346</c:v>
                </c:pt>
                <c:pt idx="22">
                  <c:v>444</c:v>
                </c:pt>
                <c:pt idx="23">
                  <c:v>602</c:v>
                </c:pt>
                <c:pt idx="24">
                  <c:v>1234</c:v>
                </c:pt>
                <c:pt idx="25">
                  <c:v>1832</c:v>
                </c:pt>
                <c:pt idx="26">
                  <c:v>1896</c:v>
                </c:pt>
                <c:pt idx="27">
                  <c:v>1897</c:v>
                </c:pt>
                <c:pt idx="28">
                  <c:v>2073</c:v>
                </c:pt>
                <c:pt idx="29">
                  <c:v>2167</c:v>
                </c:pt>
                <c:pt idx="30">
                  <c:v>2258</c:v>
                </c:pt>
                <c:pt idx="31">
                  <c:v>2499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0.36731532844645531</c:v>
                </c:pt>
                <c:pt idx="1">
                  <c:v>0.34836836210054134</c:v>
                </c:pt>
                <c:pt idx="2">
                  <c:v>0.34385334033300441</c:v>
                </c:pt>
                <c:pt idx="3">
                  <c:v>0.14185986649486368</c:v>
                </c:pt>
                <c:pt idx="4">
                  <c:v>0.14185986649486368</c:v>
                </c:pt>
                <c:pt idx="5">
                  <c:v>0.13702234317250267</c:v>
                </c:pt>
                <c:pt idx="6">
                  <c:v>0.12326227683334245</c:v>
                </c:pt>
                <c:pt idx="7">
                  <c:v>0.12288602501938103</c:v>
                </c:pt>
                <c:pt idx="8">
                  <c:v>9.9827163849460249E-2</c:v>
                </c:pt>
                <c:pt idx="9">
                  <c:v>9.5580893377610027E-2</c:v>
                </c:pt>
                <c:pt idx="10">
                  <c:v>9.4559638454000478E-2</c:v>
                </c:pt>
                <c:pt idx="11">
                  <c:v>4.1615633203716113E-2</c:v>
                </c:pt>
                <c:pt idx="12">
                  <c:v>3.5541853921196173E-2</c:v>
                </c:pt>
                <c:pt idx="13">
                  <c:v>3.2101837336406126E-2</c:v>
                </c:pt>
                <c:pt idx="14">
                  <c:v>3.1295583449345958E-2</c:v>
                </c:pt>
                <c:pt idx="15">
                  <c:v>1.7965519183284512E-2</c:v>
                </c:pt>
                <c:pt idx="16">
                  <c:v>1.3504247674884916E-2</c:v>
                </c:pt>
                <c:pt idx="17">
                  <c:v>8.0217212428757741E-3</c:v>
                </c:pt>
                <c:pt idx="18">
                  <c:v>-1.2770735878848312E-3</c:v>
                </c:pt>
                <c:pt idx="19">
                  <c:v>-4.6633399135375363E-3</c:v>
                </c:pt>
                <c:pt idx="20">
                  <c:v>-5.0933419866362947E-3</c:v>
                </c:pt>
                <c:pt idx="21">
                  <c:v>-5.0933419866362947E-3</c:v>
                </c:pt>
                <c:pt idx="22">
                  <c:v>-1.0360867382096059E-2</c:v>
                </c:pt>
                <c:pt idx="23">
                  <c:v>-1.8853408325796496E-2</c:v>
                </c:pt>
                <c:pt idx="24">
                  <c:v>-5.2823572100598244E-2</c:v>
                </c:pt>
                <c:pt idx="25">
                  <c:v>-8.4966227064730282E-2</c:v>
                </c:pt>
                <c:pt idx="26">
                  <c:v>-8.8406243649520322E-2</c:v>
                </c:pt>
                <c:pt idx="27">
                  <c:v>-8.8459993908657664E-2</c:v>
                </c:pt>
                <c:pt idx="28">
                  <c:v>-9.7920039516830315E-2</c:v>
                </c:pt>
                <c:pt idx="29">
                  <c:v>-0.10297256387574069</c:v>
                </c:pt>
                <c:pt idx="30">
                  <c:v>-0.10786383745723904</c:v>
                </c:pt>
                <c:pt idx="31">
                  <c:v>-0.12081764990933908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1A-4799-B088-CF052CAC3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998456"/>
        <c:axId val="1"/>
      </c:scatterChart>
      <c:valAx>
        <c:axId val="711998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92409867172673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028462998102469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998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20872865275142E-2"/>
          <c:y val="0.92000129214617399"/>
          <c:w val="0.9222011385199241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371475</xdr:colOff>
      <xdr:row>18</xdr:row>
      <xdr:rowOff>28574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812B895-4F44-191D-8F69-AA32B5168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533401</xdr:colOff>
      <xdr:row>0</xdr:row>
      <xdr:rowOff>1</xdr:rowOff>
    </xdr:from>
    <xdr:to>
      <xdr:col>27</xdr:col>
      <xdr:colOff>190501</xdr:colOff>
      <xdr:row>18</xdr:row>
      <xdr:rowOff>19051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8FA6B185-F493-4EDE-7499-4447DA86B6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83" TargetMode="External"/><Relationship Id="rId2" Type="http://schemas.openxmlformats.org/officeDocument/2006/relationships/hyperlink" Target="http://www.konkoly.hu/cgi-bin/IBVS?5690" TargetMode="External"/><Relationship Id="rId1" Type="http://schemas.openxmlformats.org/officeDocument/2006/relationships/hyperlink" Target="http://var.astro.cz/oejv/issues/oejv0003.pdf" TargetMode="External"/><Relationship Id="rId6" Type="http://schemas.openxmlformats.org/officeDocument/2006/relationships/hyperlink" Target="http://www.konkoly.hu/cgi-bin/IBVS?6011" TargetMode="External"/><Relationship Id="rId5" Type="http://schemas.openxmlformats.org/officeDocument/2006/relationships/hyperlink" Target="http://www.konkoly.hu/cgi-bin/IBVS?5894" TargetMode="External"/><Relationship Id="rId4" Type="http://schemas.openxmlformats.org/officeDocument/2006/relationships/hyperlink" Target="http://www.bav-astro.de/sfs/BAVM_link.php?BAVMnr=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4"/>
  <sheetViews>
    <sheetView tabSelected="1" workbookViewId="0">
      <pane xSplit="14" ySplit="22" topLeftCell="O31" activePane="bottomRight" state="frozen"/>
      <selection pane="topRight" activeCell="O1" sqref="O1"/>
      <selection pane="bottomLeft" activeCell="A23" sqref="A23"/>
      <selection pane="bottomRight" activeCell="A52" sqref="A5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4" customFormat="1" ht="20.25" x14ac:dyDescent="0.2">
      <c r="A1" s="58" t="s">
        <v>51</v>
      </c>
    </row>
    <row r="2" spans="1:7" s="4" customFormat="1" ht="12.95" customHeight="1" x14ac:dyDescent="0.2">
      <c r="A2" s="4" t="s">
        <v>24</v>
      </c>
      <c r="B2" s="32" t="s">
        <v>50</v>
      </c>
      <c r="D2" s="33" t="s">
        <v>48</v>
      </c>
    </row>
    <row r="3" spans="1:7" s="4" customFormat="1" ht="12.95" customHeight="1" thickBot="1" x14ac:dyDescent="0.25"/>
    <row r="4" spans="1:7" s="4" customFormat="1" ht="12.95" customHeight="1" x14ac:dyDescent="0.2">
      <c r="A4" s="34" t="s">
        <v>0</v>
      </c>
      <c r="C4" s="35">
        <v>45236.584000000003</v>
      </c>
      <c r="D4" s="36">
        <v>4.2542600000000004</v>
      </c>
    </row>
    <row r="5" spans="1:7" s="4" customFormat="1" ht="12.95" customHeight="1" thickTop="1" x14ac:dyDescent="0.2"/>
    <row r="6" spans="1:7" s="4" customFormat="1" ht="12.95" customHeight="1" x14ac:dyDescent="0.2">
      <c r="A6" s="34" t="s">
        <v>1</v>
      </c>
      <c r="C6" s="37" t="s">
        <v>40</v>
      </c>
    </row>
    <row r="7" spans="1:7" s="4" customFormat="1" ht="12.95" customHeight="1" x14ac:dyDescent="0.2">
      <c r="A7" s="4" t="s">
        <v>2</v>
      </c>
      <c r="C7" s="4">
        <f>+C4</f>
        <v>45236.584000000003</v>
      </c>
    </row>
    <row r="8" spans="1:7" s="4" customFormat="1" ht="12.95" customHeight="1" x14ac:dyDescent="0.2">
      <c r="A8" s="4" t="s">
        <v>3</v>
      </c>
      <c r="C8" s="4">
        <f>+D4</f>
        <v>4.2542600000000004</v>
      </c>
    </row>
    <row r="9" spans="1:7" s="4" customFormat="1" ht="12.95" customHeight="1" x14ac:dyDescent="0.2">
      <c r="A9" s="38" t="s">
        <v>53</v>
      </c>
      <c r="C9" s="39">
        <v>-9.5</v>
      </c>
      <c r="D9" s="4" t="s">
        <v>54</v>
      </c>
    </row>
    <row r="10" spans="1:7" s="4" customFormat="1" ht="12.95" customHeight="1" thickBot="1" x14ac:dyDescent="0.25">
      <c r="C10" s="40" t="s">
        <v>20</v>
      </c>
      <c r="D10" s="40" t="s">
        <v>21</v>
      </c>
    </row>
    <row r="11" spans="1:7" s="4" customFormat="1" ht="12.95" customHeight="1" x14ac:dyDescent="0.2">
      <c r="A11" s="4" t="s">
        <v>16</v>
      </c>
      <c r="C11" s="33">
        <f ca="1">INTERCEPT(INDIRECT($G$11):G992,INDIRECT($F$11):F992)</f>
        <v>1.3504247674884916E-2</v>
      </c>
      <c r="D11" s="41"/>
      <c r="F11" s="42" t="str">
        <f>"F"&amp;E19</f>
        <v>F21</v>
      </c>
      <c r="G11" s="33" t="str">
        <f>"G"&amp;E19</f>
        <v>G21</v>
      </c>
    </row>
    <row r="12" spans="1:7" s="4" customFormat="1" ht="12.95" customHeight="1" x14ac:dyDescent="0.2">
      <c r="A12" s="4" t="s">
        <v>17</v>
      </c>
      <c r="C12" s="33">
        <f ca="1">SLOPE(INDIRECT($G$11):G992,INDIRECT($F$11):F992)</f>
        <v>-5.3750259137344536E-5</v>
      </c>
      <c r="D12" s="41"/>
    </row>
    <row r="13" spans="1:7" s="4" customFormat="1" ht="12.95" customHeight="1" x14ac:dyDescent="0.2">
      <c r="A13" s="4" t="s">
        <v>19</v>
      </c>
      <c r="C13" s="41" t="s">
        <v>14</v>
      </c>
      <c r="D13" s="43" t="s">
        <v>63</v>
      </c>
      <c r="E13" s="39">
        <v>1</v>
      </c>
    </row>
    <row r="14" spans="1:7" s="4" customFormat="1" ht="12.95" customHeight="1" x14ac:dyDescent="0.2">
      <c r="D14" s="43" t="s">
        <v>55</v>
      </c>
      <c r="E14" s="44">
        <f ca="1">NOW()+15018.5+$C$9/24</f>
        <v>60376.730433680554</v>
      </c>
    </row>
    <row r="15" spans="1:7" s="4" customFormat="1" ht="12.95" customHeight="1" x14ac:dyDescent="0.2">
      <c r="A15" s="45" t="s">
        <v>18</v>
      </c>
      <c r="C15" s="46">
        <f ca="1">(C7+C11)+(C8+C12)*INT(MAX(F21:F3533))</f>
        <v>55867.858922350097</v>
      </c>
      <c r="D15" s="43" t="s">
        <v>64</v>
      </c>
      <c r="E15" s="44">
        <f ca="1">ROUND(2*(E14-$C$7)/$C$8,0)/2+E13</f>
        <v>3560</v>
      </c>
    </row>
    <row r="16" spans="1:7" s="4" customFormat="1" ht="12.95" customHeight="1" x14ac:dyDescent="0.2">
      <c r="A16" s="34" t="s">
        <v>4</v>
      </c>
      <c r="C16" s="47">
        <f ca="1">+C8+C12</f>
        <v>4.2542062497408626</v>
      </c>
      <c r="D16" s="43" t="s">
        <v>56</v>
      </c>
      <c r="E16" s="33">
        <f ca="1">ROUND(2*(E14-$C$15)/$C$16,0)/2+E13</f>
        <v>1061</v>
      </c>
    </row>
    <row r="17" spans="1:32" s="4" customFormat="1" ht="12.95" customHeight="1" thickBot="1" x14ac:dyDescent="0.25">
      <c r="A17" s="43" t="s">
        <v>49</v>
      </c>
      <c r="C17" s="4">
        <f>COUNT(C21:C2191)</f>
        <v>32</v>
      </c>
      <c r="D17" s="43" t="s">
        <v>57</v>
      </c>
      <c r="E17" s="48">
        <f ca="1">+$C$15+$C$16*E16-15018.5-$C$9/24</f>
        <v>45363.467586658488</v>
      </c>
    </row>
    <row r="18" spans="1:32" s="4" customFormat="1" ht="12.95" customHeight="1" thickTop="1" thickBot="1" x14ac:dyDescent="0.25">
      <c r="A18" s="34" t="s">
        <v>5</v>
      </c>
      <c r="C18" s="35">
        <f ca="1">+C15</f>
        <v>55867.858922350097</v>
      </c>
      <c r="D18" s="36">
        <f ca="1">+C16</f>
        <v>4.2542062497408626</v>
      </c>
      <c r="E18" s="49" t="s">
        <v>58</v>
      </c>
    </row>
    <row r="19" spans="1:32" s="4" customFormat="1" ht="12.95" customHeight="1" thickTop="1" x14ac:dyDescent="0.2">
      <c r="A19" s="50" t="s">
        <v>60</v>
      </c>
      <c r="E19" s="51">
        <v>21</v>
      </c>
    </row>
    <row r="20" spans="1:32" s="4" customFormat="1" ht="12.95" customHeight="1" thickBot="1" x14ac:dyDescent="0.25">
      <c r="A20" s="40" t="s">
        <v>6</v>
      </c>
      <c r="B20" s="40" t="s">
        <v>7</v>
      </c>
      <c r="C20" s="40" t="s">
        <v>8</v>
      </c>
      <c r="D20" s="40" t="s">
        <v>13</v>
      </c>
      <c r="E20" s="40" t="s">
        <v>9</v>
      </c>
      <c r="F20" s="40" t="s">
        <v>10</v>
      </c>
      <c r="G20" s="40" t="s">
        <v>11</v>
      </c>
      <c r="H20" s="52" t="s">
        <v>12</v>
      </c>
      <c r="I20" s="52" t="s">
        <v>77</v>
      </c>
      <c r="J20" s="52" t="s">
        <v>71</v>
      </c>
      <c r="K20" s="52" t="s">
        <v>69</v>
      </c>
      <c r="L20" s="52" t="s">
        <v>25</v>
      </c>
      <c r="M20" s="52" t="s">
        <v>26</v>
      </c>
      <c r="N20" s="52" t="s">
        <v>27</v>
      </c>
      <c r="O20" s="52" t="s">
        <v>23</v>
      </c>
      <c r="P20" s="53" t="s">
        <v>22</v>
      </c>
      <c r="Q20" s="40" t="s">
        <v>15</v>
      </c>
    </row>
    <row r="21" spans="1:32" s="4" customFormat="1" ht="12.95" customHeight="1" x14ac:dyDescent="0.2">
      <c r="A21" s="54" t="s">
        <v>41</v>
      </c>
      <c r="B21" s="54"/>
      <c r="C21" s="55">
        <v>17233.183000000001</v>
      </c>
      <c r="D21" s="55"/>
      <c r="E21" s="4">
        <f t="shared" ref="E21:E35" si="0">+(C21-C$7)/C$8</f>
        <v>-6582.4376037195652</v>
      </c>
      <c r="F21" s="4">
        <f t="shared" ref="F21:F35" si="1">ROUND(2*E21,0)/2</f>
        <v>-6582.5</v>
      </c>
      <c r="G21" s="4">
        <f t="shared" ref="G21:G35" si="2">+C21-(C$7+F21*C$8)</f>
        <v>0.26545000000260188</v>
      </c>
      <c r="I21" s="4">
        <f>+G21</f>
        <v>0.26545000000260188</v>
      </c>
      <c r="O21" s="4">
        <f t="shared" ref="O21:O35" ca="1" si="3">+C$11+C$12*$F21</f>
        <v>0.36731532844645531</v>
      </c>
      <c r="Q21" s="56">
        <f t="shared" ref="Q21:Q35" si="4">+C21-15018.5</f>
        <v>2214.6830000000009</v>
      </c>
    </row>
    <row r="22" spans="1:32" s="4" customFormat="1" ht="12.95" customHeight="1" x14ac:dyDescent="0.2">
      <c r="A22" s="57" t="s">
        <v>41</v>
      </c>
      <c r="B22" s="54"/>
      <c r="C22" s="55">
        <v>18733.249</v>
      </c>
      <c r="D22" s="55"/>
      <c r="E22" s="4">
        <f t="shared" si="0"/>
        <v>-6229.8343307649275</v>
      </c>
      <c r="F22" s="4">
        <f t="shared" si="1"/>
        <v>-6230</v>
      </c>
      <c r="G22" s="4">
        <f t="shared" si="2"/>
        <v>0.7047999999995227</v>
      </c>
      <c r="I22" s="4">
        <f>+G22</f>
        <v>0.7047999999995227</v>
      </c>
      <c r="O22" s="4">
        <f t="shared" ca="1" si="3"/>
        <v>0.34836836210054134</v>
      </c>
      <c r="Q22" s="56">
        <f t="shared" si="4"/>
        <v>3714.7489999999998</v>
      </c>
    </row>
    <row r="23" spans="1:32" x14ac:dyDescent="0.2">
      <c r="A23" s="3" t="s">
        <v>42</v>
      </c>
      <c r="B23" s="3"/>
      <c r="C23" s="7">
        <v>19090.241000000002</v>
      </c>
      <c r="D23" s="7"/>
      <c r="E23">
        <f t="shared" si="0"/>
        <v>-6145.920324568785</v>
      </c>
      <c r="F23">
        <f t="shared" si="1"/>
        <v>-6146</v>
      </c>
      <c r="G23">
        <f t="shared" si="2"/>
        <v>0.33896000000095228</v>
      </c>
      <c r="I23">
        <f>+G23</f>
        <v>0.33896000000095228</v>
      </c>
      <c r="O23">
        <f t="shared" ca="1" si="3"/>
        <v>0.34385334033300441</v>
      </c>
      <c r="Q23" s="1">
        <f t="shared" si="4"/>
        <v>4071.7410000000018</v>
      </c>
    </row>
    <row r="24" spans="1:32" x14ac:dyDescent="0.2">
      <c r="A24" s="3" t="s">
        <v>42</v>
      </c>
      <c r="B24" s="3"/>
      <c r="C24" s="7">
        <v>35077.478999999999</v>
      </c>
      <c r="D24" s="7"/>
      <c r="E24">
        <f t="shared" si="0"/>
        <v>-2387.984044228609</v>
      </c>
      <c r="F24">
        <f t="shared" si="1"/>
        <v>-2388</v>
      </c>
      <c r="G24">
        <f t="shared" si="2"/>
        <v>6.7879999995057005E-2</v>
      </c>
      <c r="I24">
        <f>+G24</f>
        <v>6.7879999995057005E-2</v>
      </c>
      <c r="O24">
        <f t="shared" ca="1" si="3"/>
        <v>0.14185986649486368</v>
      </c>
      <c r="Q24" s="1">
        <f t="shared" si="4"/>
        <v>20058.978999999999</v>
      </c>
    </row>
    <row r="25" spans="1:32" x14ac:dyDescent="0.2">
      <c r="A25" s="3" t="s">
        <v>41</v>
      </c>
      <c r="B25" s="3"/>
      <c r="C25" s="7">
        <v>35077.5</v>
      </c>
      <c r="D25" s="7"/>
      <c r="E25">
        <f t="shared" si="0"/>
        <v>-2387.9791079999818</v>
      </c>
      <c r="F25">
        <f t="shared" si="1"/>
        <v>-2388</v>
      </c>
      <c r="G25">
        <f t="shared" si="2"/>
        <v>8.887999999569729E-2</v>
      </c>
      <c r="I25">
        <f>+G25</f>
        <v>8.887999999569729E-2</v>
      </c>
      <c r="O25">
        <f t="shared" ca="1" si="3"/>
        <v>0.14185986649486368</v>
      </c>
      <c r="Q25" s="1">
        <f t="shared" si="4"/>
        <v>20059</v>
      </c>
    </row>
    <row r="26" spans="1:32" x14ac:dyDescent="0.2">
      <c r="A26" s="3" t="s">
        <v>42</v>
      </c>
      <c r="B26" s="3"/>
      <c r="C26" s="7">
        <v>35460.370000000003</v>
      </c>
      <c r="D26" s="7"/>
      <c r="E26">
        <f t="shared" si="0"/>
        <v>-2297.9822577839623</v>
      </c>
      <c r="F26">
        <f t="shared" si="1"/>
        <v>-2298</v>
      </c>
      <c r="G26">
        <f t="shared" si="2"/>
        <v>7.5479999999515712E-2</v>
      </c>
      <c r="I26">
        <f>+G26</f>
        <v>7.5479999999515712E-2</v>
      </c>
      <c r="O26">
        <f t="shared" ca="1" si="3"/>
        <v>0.13702234317250267</v>
      </c>
      <c r="Q26" s="1">
        <f t="shared" si="4"/>
        <v>20441.870000000003</v>
      </c>
    </row>
    <row r="27" spans="1:32" x14ac:dyDescent="0.2">
      <c r="A27" s="3" t="s">
        <v>41</v>
      </c>
      <c r="B27" s="3"/>
      <c r="C27" s="7">
        <v>36549.375999999997</v>
      </c>
      <c r="D27" s="7"/>
      <c r="E27">
        <f t="shared" si="0"/>
        <v>-2042.0021343312362</v>
      </c>
      <c r="F27">
        <f t="shared" si="1"/>
        <v>-2042</v>
      </c>
      <c r="G27">
        <f t="shared" si="2"/>
        <v>-9.0800000034505501E-3</v>
      </c>
      <c r="I27">
        <f>+G27</f>
        <v>-9.0800000034505501E-3</v>
      </c>
      <c r="O27">
        <f t="shared" ca="1" si="3"/>
        <v>0.12326227683334245</v>
      </c>
      <c r="Q27" s="1">
        <f t="shared" si="4"/>
        <v>21530.875999999997</v>
      </c>
    </row>
    <row r="28" spans="1:32" x14ac:dyDescent="0.2">
      <c r="A28" s="3" t="s">
        <v>41</v>
      </c>
      <c r="B28" s="3"/>
      <c r="C28" s="7">
        <v>36579.358</v>
      </c>
      <c r="D28" s="7"/>
      <c r="E28">
        <f t="shared" si="0"/>
        <v>-2034.9546102024797</v>
      </c>
      <c r="F28">
        <f t="shared" si="1"/>
        <v>-2035</v>
      </c>
      <c r="G28">
        <f t="shared" si="2"/>
        <v>0.1930999999967753</v>
      </c>
      <c r="I28">
        <f>+G28</f>
        <v>0.1930999999967753</v>
      </c>
      <c r="O28">
        <f t="shared" ca="1" si="3"/>
        <v>0.12288602501938103</v>
      </c>
      <c r="Q28" s="1">
        <f t="shared" si="4"/>
        <v>21560.858</v>
      </c>
    </row>
    <row r="29" spans="1:32" x14ac:dyDescent="0.2">
      <c r="A29" s="3" t="s">
        <v>42</v>
      </c>
      <c r="B29" s="3"/>
      <c r="C29" s="7">
        <v>38404.29</v>
      </c>
      <c r="D29" s="7"/>
      <c r="E29">
        <f t="shared" si="0"/>
        <v>-1605.9888206174519</v>
      </c>
      <c r="F29">
        <f t="shared" si="1"/>
        <v>-1606</v>
      </c>
      <c r="G29">
        <f t="shared" si="2"/>
        <v>4.7559999999066349E-2</v>
      </c>
      <c r="I29">
        <f>+G29</f>
        <v>4.7559999999066349E-2</v>
      </c>
      <c r="O29">
        <f t="shared" ca="1" si="3"/>
        <v>9.9827163849460249E-2</v>
      </c>
      <c r="Q29" s="1">
        <f t="shared" si="4"/>
        <v>23385.79</v>
      </c>
    </row>
    <row r="30" spans="1:32" x14ac:dyDescent="0.2">
      <c r="A30" s="3" t="s">
        <v>42</v>
      </c>
      <c r="B30" s="3"/>
      <c r="C30" s="7">
        <v>38740.275000000001</v>
      </c>
      <c r="D30" s="7"/>
      <c r="E30">
        <f t="shared" si="0"/>
        <v>-1527.0126884581573</v>
      </c>
      <c r="F30">
        <f t="shared" si="1"/>
        <v>-1527</v>
      </c>
      <c r="G30">
        <f t="shared" si="2"/>
        <v>-5.3980000004230533E-2</v>
      </c>
      <c r="I30">
        <f>+G30</f>
        <v>-5.3980000004230533E-2</v>
      </c>
      <c r="O30">
        <f t="shared" ca="1" si="3"/>
        <v>9.5580893377610027E-2</v>
      </c>
      <c r="Q30" s="1">
        <f t="shared" si="4"/>
        <v>23721.775000000001</v>
      </c>
    </row>
    <row r="31" spans="1:32" x14ac:dyDescent="0.2">
      <c r="A31" s="3" t="s">
        <v>42</v>
      </c>
      <c r="B31" s="3"/>
      <c r="C31" s="7">
        <v>38821.298000000003</v>
      </c>
      <c r="D31" s="7"/>
      <c r="E31">
        <f t="shared" si="0"/>
        <v>-1507.9675431214828</v>
      </c>
      <c r="F31">
        <f t="shared" si="1"/>
        <v>-1508</v>
      </c>
      <c r="G31">
        <f t="shared" si="2"/>
        <v>0.1380799999969895</v>
      </c>
      <c r="I31">
        <f>+G31</f>
        <v>0.1380799999969895</v>
      </c>
      <c r="O31">
        <f t="shared" ca="1" si="3"/>
        <v>9.4559638454000478E-2</v>
      </c>
      <c r="Q31" s="1">
        <f t="shared" si="4"/>
        <v>23802.798000000003</v>
      </c>
    </row>
    <row r="32" spans="1:32" x14ac:dyDescent="0.2">
      <c r="A32" s="3" t="s">
        <v>29</v>
      </c>
      <c r="B32" s="3"/>
      <c r="C32" s="8">
        <v>43011.606</v>
      </c>
      <c r="D32" s="8"/>
      <c r="E32">
        <f t="shared" si="0"/>
        <v>-523.00000470117072</v>
      </c>
      <c r="F32">
        <f t="shared" si="1"/>
        <v>-523</v>
      </c>
      <c r="G32">
        <f t="shared" si="2"/>
        <v>-1.9999999494757503E-5</v>
      </c>
      <c r="I32">
        <f>+G32</f>
        <v>-1.9999999494757503E-5</v>
      </c>
      <c r="O32">
        <f t="shared" ca="1" si="3"/>
        <v>4.1615633203716113E-2</v>
      </c>
      <c r="Q32" s="1">
        <f t="shared" si="4"/>
        <v>27993.106</v>
      </c>
      <c r="AB32">
        <v>10</v>
      </c>
      <c r="AD32" t="s">
        <v>28</v>
      </c>
      <c r="AF32" t="s">
        <v>30</v>
      </c>
    </row>
    <row r="33" spans="1:32" x14ac:dyDescent="0.2">
      <c r="A33" s="3" t="s">
        <v>31</v>
      </c>
      <c r="B33" s="3"/>
      <c r="C33" s="8">
        <v>43492.326000000001</v>
      </c>
      <c r="D33" s="8"/>
      <c r="E33">
        <f t="shared" si="0"/>
        <v>-410.00267966696947</v>
      </c>
      <c r="F33">
        <f t="shared" si="1"/>
        <v>-410</v>
      </c>
      <c r="G33">
        <f t="shared" si="2"/>
        <v>-1.1400000003050081E-2</v>
      </c>
      <c r="I33">
        <f>+G33</f>
        <v>-1.1400000003050081E-2</v>
      </c>
      <c r="O33">
        <f t="shared" ca="1" si="3"/>
        <v>3.5541853921196173E-2</v>
      </c>
      <c r="Q33" s="1">
        <f t="shared" si="4"/>
        <v>28473.826000000001</v>
      </c>
      <c r="AB33">
        <v>12</v>
      </c>
      <c r="AD33" t="s">
        <v>28</v>
      </c>
      <c r="AF33" t="s">
        <v>30</v>
      </c>
    </row>
    <row r="34" spans="1:32" x14ac:dyDescent="0.2">
      <c r="A34" s="3" t="s">
        <v>32</v>
      </c>
      <c r="B34" s="3"/>
      <c r="C34" s="8">
        <v>43764.618000000002</v>
      </c>
      <c r="D34" s="8"/>
      <c r="E34">
        <f t="shared" si="0"/>
        <v>-345.9981289342918</v>
      </c>
      <c r="F34">
        <f t="shared" si="1"/>
        <v>-346</v>
      </c>
      <c r="G34">
        <f t="shared" si="2"/>
        <v>7.9600000026402995E-3</v>
      </c>
      <c r="I34">
        <f>+G34</f>
        <v>7.9600000026402995E-3</v>
      </c>
      <c r="O34">
        <f t="shared" ca="1" si="3"/>
        <v>3.2101837336406126E-2</v>
      </c>
      <c r="Q34" s="1">
        <f t="shared" si="4"/>
        <v>28746.118000000002</v>
      </c>
      <c r="AB34">
        <v>12</v>
      </c>
      <c r="AD34" t="s">
        <v>28</v>
      </c>
      <c r="AF34" t="s">
        <v>30</v>
      </c>
    </row>
    <row r="35" spans="1:32" x14ac:dyDescent="0.2">
      <c r="A35" s="3" t="s">
        <v>33</v>
      </c>
      <c r="B35" s="3"/>
      <c r="C35" s="8">
        <v>43828.436000000002</v>
      </c>
      <c r="D35" s="8"/>
      <c r="E35">
        <f t="shared" si="0"/>
        <v>-330.99716519441711</v>
      </c>
      <c r="F35">
        <f t="shared" si="1"/>
        <v>-331</v>
      </c>
      <c r="G35">
        <f t="shared" si="2"/>
        <v>1.2060000000928994E-2</v>
      </c>
      <c r="I35">
        <f>+G35</f>
        <v>1.2060000000928994E-2</v>
      </c>
      <c r="O35">
        <f t="shared" ca="1" si="3"/>
        <v>3.1295583449345958E-2</v>
      </c>
      <c r="Q35" s="1">
        <f t="shared" si="4"/>
        <v>28809.936000000002</v>
      </c>
      <c r="AB35">
        <v>8</v>
      </c>
      <c r="AD35" t="s">
        <v>28</v>
      </c>
      <c r="AF35" t="s">
        <v>30</v>
      </c>
    </row>
    <row r="36" spans="1:32" x14ac:dyDescent="0.2">
      <c r="A36" s="3" t="s">
        <v>34</v>
      </c>
      <c r="B36" s="3"/>
      <c r="C36" s="8">
        <v>44883.491000000002</v>
      </c>
      <c r="D36" s="8"/>
      <c r="E36">
        <f t="shared" ref="E36:E52" si="5">+(C36-C$7)/C$8</f>
        <v>-82.997513081006034</v>
      </c>
      <c r="F36">
        <f t="shared" ref="F36:F52" si="6">ROUND(2*E36,0)/2</f>
        <v>-83</v>
      </c>
      <c r="G36">
        <f t="shared" ref="G36:G52" si="7">+C36-(C$7+F36*C$8)</f>
        <v>1.0580000001937151E-2</v>
      </c>
      <c r="I36">
        <f>+G36</f>
        <v>1.0580000001937151E-2</v>
      </c>
      <c r="O36">
        <f t="shared" ref="O36:O52" ca="1" si="8">+C$11+C$12*$F36</f>
        <v>1.7965519183284512E-2</v>
      </c>
      <c r="Q36" s="1">
        <f t="shared" ref="Q36:Q52" si="9">+C36-15018.5</f>
        <v>29864.991000000002</v>
      </c>
      <c r="AB36">
        <v>11</v>
      </c>
      <c r="AD36" t="s">
        <v>28</v>
      </c>
      <c r="AF36" t="s">
        <v>30</v>
      </c>
    </row>
    <row r="37" spans="1:32" x14ac:dyDescent="0.2">
      <c r="A37" s="3" t="s">
        <v>12</v>
      </c>
      <c r="B37" s="3"/>
      <c r="C37" s="8">
        <v>45236.584000000003</v>
      </c>
      <c r="D37" s="8" t="s">
        <v>14</v>
      </c>
      <c r="E37">
        <f t="shared" si="5"/>
        <v>0</v>
      </c>
      <c r="F37">
        <f t="shared" si="6"/>
        <v>0</v>
      </c>
      <c r="G37">
        <f t="shared" si="7"/>
        <v>0</v>
      </c>
      <c r="H37">
        <f>+G37</f>
        <v>0</v>
      </c>
      <c r="O37">
        <f t="shared" ca="1" si="8"/>
        <v>1.3504247674884916E-2</v>
      </c>
      <c r="Q37" s="1">
        <f t="shared" si="9"/>
        <v>30218.084000000003</v>
      </c>
    </row>
    <row r="38" spans="1:32" x14ac:dyDescent="0.2">
      <c r="A38" s="3" t="s">
        <v>35</v>
      </c>
      <c r="B38" s="3"/>
      <c r="C38" s="8">
        <v>45670.504999999997</v>
      </c>
      <c r="D38" s="8"/>
      <c r="E38">
        <f t="shared" si="5"/>
        <v>101.99682200899682</v>
      </c>
      <c r="F38">
        <f t="shared" si="6"/>
        <v>102</v>
      </c>
      <c r="G38">
        <f t="shared" si="7"/>
        <v>-1.3520000007702038E-2</v>
      </c>
      <c r="I38">
        <f>+G38</f>
        <v>-1.3520000007702038E-2</v>
      </c>
      <c r="O38">
        <f t="shared" ca="1" si="8"/>
        <v>8.0217212428757741E-3</v>
      </c>
      <c r="Q38" s="1">
        <f t="shared" si="9"/>
        <v>30652.004999999997</v>
      </c>
      <c r="AB38">
        <v>6</v>
      </c>
      <c r="AD38" t="s">
        <v>28</v>
      </c>
      <c r="AF38" t="s">
        <v>30</v>
      </c>
    </row>
    <row r="39" spans="1:32" x14ac:dyDescent="0.2">
      <c r="A39" s="3" t="s">
        <v>43</v>
      </c>
      <c r="B39" s="3"/>
      <c r="C39" s="7">
        <v>46406.506000000001</v>
      </c>
      <c r="D39" s="7"/>
      <c r="E39">
        <f t="shared" si="5"/>
        <v>275.00011752925269</v>
      </c>
      <c r="F39">
        <f t="shared" si="6"/>
        <v>275</v>
      </c>
      <c r="G39">
        <f t="shared" si="7"/>
        <v>5.0000000192085281E-4</v>
      </c>
      <c r="I39">
        <f>+G39</f>
        <v>5.0000000192085281E-4</v>
      </c>
      <c r="O39">
        <f t="shared" ca="1" si="8"/>
        <v>-1.2770735878848312E-3</v>
      </c>
      <c r="Q39" s="1">
        <f t="shared" si="9"/>
        <v>31388.006000000001</v>
      </c>
    </row>
    <row r="40" spans="1:32" x14ac:dyDescent="0.2">
      <c r="A40" s="3" t="s">
        <v>36</v>
      </c>
      <c r="B40" s="3"/>
      <c r="C40" s="8">
        <v>46674.510999999999</v>
      </c>
      <c r="D40" s="8"/>
      <c r="E40">
        <f t="shared" si="5"/>
        <v>337.99697244644096</v>
      </c>
      <c r="F40">
        <f t="shared" si="6"/>
        <v>338</v>
      </c>
      <c r="G40">
        <f t="shared" si="7"/>
        <v>-1.2880000002041925E-2</v>
      </c>
      <c r="I40">
        <f>+G40</f>
        <v>-1.2880000002041925E-2</v>
      </c>
      <c r="O40">
        <f t="shared" ca="1" si="8"/>
        <v>-4.6633399135375363E-3</v>
      </c>
      <c r="Q40" s="1">
        <f t="shared" si="9"/>
        <v>31656.010999999999</v>
      </c>
      <c r="AB40">
        <v>6</v>
      </c>
      <c r="AD40" t="s">
        <v>28</v>
      </c>
      <c r="AF40" t="s">
        <v>30</v>
      </c>
    </row>
    <row r="41" spans="1:32" x14ac:dyDescent="0.2">
      <c r="A41" s="3" t="s">
        <v>44</v>
      </c>
      <c r="B41" s="3"/>
      <c r="C41" s="7">
        <v>46708.544999999998</v>
      </c>
      <c r="D41" s="7"/>
      <c r="E41">
        <f t="shared" si="5"/>
        <v>345.9969536417604</v>
      </c>
      <c r="F41">
        <f t="shared" si="6"/>
        <v>346</v>
      </c>
      <c r="G41">
        <f t="shared" si="7"/>
        <v>-1.2960000007296912E-2</v>
      </c>
      <c r="I41">
        <f>+G41</f>
        <v>-1.2960000007296912E-2</v>
      </c>
      <c r="O41">
        <f t="shared" ca="1" si="8"/>
        <v>-5.0933419866362947E-3</v>
      </c>
      <c r="Q41" s="1">
        <f t="shared" si="9"/>
        <v>31690.044999999998</v>
      </c>
    </row>
    <row r="42" spans="1:32" x14ac:dyDescent="0.2">
      <c r="A42" s="3" t="s">
        <v>45</v>
      </c>
      <c r="B42" s="3"/>
      <c r="C42" s="7">
        <v>46708.553</v>
      </c>
      <c r="D42" s="7"/>
      <c r="E42">
        <f t="shared" si="5"/>
        <v>345.99883410980925</v>
      </c>
      <c r="F42">
        <f t="shared" si="6"/>
        <v>346</v>
      </c>
      <c r="G42">
        <f t="shared" si="7"/>
        <v>-4.9600000056670979E-3</v>
      </c>
      <c r="I42">
        <f>+G42</f>
        <v>-4.9600000056670979E-3</v>
      </c>
      <c r="O42">
        <f t="shared" ca="1" si="8"/>
        <v>-5.0933419866362947E-3</v>
      </c>
      <c r="Q42" s="1">
        <f t="shared" si="9"/>
        <v>31690.053</v>
      </c>
    </row>
    <row r="43" spans="1:32" x14ac:dyDescent="0.2">
      <c r="A43" s="3" t="s">
        <v>37</v>
      </c>
      <c r="B43" s="3"/>
      <c r="C43" s="8">
        <v>47125.464999999997</v>
      </c>
      <c r="D43" s="8"/>
      <c r="E43">
        <f t="shared" si="5"/>
        <v>443.99754598919526</v>
      </c>
      <c r="F43">
        <f t="shared" si="6"/>
        <v>444</v>
      </c>
      <c r="G43">
        <f t="shared" si="7"/>
        <v>-1.0440000005473848E-2</v>
      </c>
      <c r="I43">
        <f>+G43</f>
        <v>-1.0440000005473848E-2</v>
      </c>
      <c r="O43">
        <f t="shared" ca="1" si="8"/>
        <v>-1.0360867382096059E-2</v>
      </c>
      <c r="Q43" s="1">
        <f t="shared" si="9"/>
        <v>32106.964999999997</v>
      </c>
      <c r="AB43">
        <v>5</v>
      </c>
      <c r="AD43" t="s">
        <v>28</v>
      </c>
      <c r="AF43" t="s">
        <v>30</v>
      </c>
    </row>
    <row r="44" spans="1:32" x14ac:dyDescent="0.2">
      <c r="A44" s="3" t="s">
        <v>38</v>
      </c>
      <c r="B44" s="3"/>
      <c r="C44" s="8">
        <v>47797.64</v>
      </c>
      <c r="D44" s="8"/>
      <c r="E44">
        <f t="shared" si="5"/>
        <v>601.99799730152756</v>
      </c>
      <c r="F44">
        <f t="shared" si="6"/>
        <v>602</v>
      </c>
      <c r="G44">
        <f t="shared" si="7"/>
        <v>-8.5200000030454248E-3</v>
      </c>
      <c r="I44">
        <f>+G44</f>
        <v>-8.5200000030454248E-3</v>
      </c>
      <c r="O44">
        <f t="shared" ca="1" si="8"/>
        <v>-1.8853408325796496E-2</v>
      </c>
      <c r="Q44" s="1">
        <f t="shared" si="9"/>
        <v>32779.14</v>
      </c>
      <c r="AB44">
        <v>5</v>
      </c>
      <c r="AD44" t="s">
        <v>28</v>
      </c>
      <c r="AF44" t="s">
        <v>30</v>
      </c>
    </row>
    <row r="45" spans="1:32" x14ac:dyDescent="0.2">
      <c r="A45" s="3" t="s">
        <v>39</v>
      </c>
      <c r="B45" s="3"/>
      <c r="C45" s="8">
        <v>50486.341999999997</v>
      </c>
      <c r="D45" s="8">
        <v>3.0000000000000001E-3</v>
      </c>
      <c r="E45">
        <f t="shared" si="5"/>
        <v>1234.0002726678656</v>
      </c>
      <c r="F45">
        <f t="shared" si="6"/>
        <v>1234</v>
      </c>
      <c r="G45">
        <f t="shared" si="7"/>
        <v>1.159999992523808E-3</v>
      </c>
      <c r="J45">
        <f>+G45</f>
        <v>1.159999992523808E-3</v>
      </c>
      <c r="O45">
        <f t="shared" ca="1" si="8"/>
        <v>-5.2823572100598244E-2</v>
      </c>
      <c r="Q45" s="1">
        <f t="shared" si="9"/>
        <v>35467.841999999997</v>
      </c>
      <c r="AB45">
        <v>6</v>
      </c>
      <c r="AD45" t="s">
        <v>28</v>
      </c>
      <c r="AF45" t="s">
        <v>30</v>
      </c>
    </row>
    <row r="46" spans="1:32" x14ac:dyDescent="0.2">
      <c r="A46" s="3" t="s">
        <v>46</v>
      </c>
      <c r="B46" s="16" t="s">
        <v>47</v>
      </c>
      <c r="C46" s="7">
        <v>53030.372000000003</v>
      </c>
      <c r="D46" s="7">
        <v>7.0000000000000001E-3</v>
      </c>
      <c r="E46">
        <f t="shared" si="5"/>
        <v>1831.9961638451809</v>
      </c>
      <c r="F46">
        <f t="shared" si="6"/>
        <v>1832</v>
      </c>
      <c r="G46">
        <f t="shared" si="7"/>
        <v>-1.6320000002451707E-2</v>
      </c>
      <c r="K46">
        <f>+G46</f>
        <v>-1.6320000002451707E-2</v>
      </c>
      <c r="O46">
        <f t="shared" ca="1" si="8"/>
        <v>-8.4966227064730282E-2</v>
      </c>
      <c r="Q46" s="1">
        <f t="shared" si="9"/>
        <v>38011.872000000003</v>
      </c>
    </row>
    <row r="47" spans="1:32" x14ac:dyDescent="0.2">
      <c r="A47" s="17" t="s">
        <v>66</v>
      </c>
      <c r="B47" s="18" t="s">
        <v>47</v>
      </c>
      <c r="C47" s="17">
        <v>53302.637999999999</v>
      </c>
      <c r="D47" s="17">
        <v>4.0000000000000001E-3</v>
      </c>
      <c r="E47">
        <f t="shared" si="5"/>
        <v>1895.9946030566998</v>
      </c>
      <c r="F47">
        <f t="shared" si="6"/>
        <v>1896</v>
      </c>
      <c r="G47">
        <f t="shared" si="7"/>
        <v>-2.2960000002058223E-2</v>
      </c>
      <c r="K47">
        <f>+G47</f>
        <v>-2.2960000002058223E-2</v>
      </c>
      <c r="O47">
        <f t="shared" ca="1" si="8"/>
        <v>-8.8406243649520322E-2</v>
      </c>
      <c r="Q47" s="1">
        <f t="shared" si="9"/>
        <v>38284.137999999999</v>
      </c>
    </row>
    <row r="48" spans="1:32" x14ac:dyDescent="0.2">
      <c r="A48" s="4" t="s">
        <v>52</v>
      </c>
      <c r="B48" s="16" t="s">
        <v>47</v>
      </c>
      <c r="C48" s="7">
        <v>53306.851199999997</v>
      </c>
      <c r="D48" s="7">
        <v>2.9999999999999997E-4</v>
      </c>
      <c r="E48">
        <f t="shared" si="5"/>
        <v>1896.9849515544406</v>
      </c>
      <c r="F48">
        <f t="shared" si="6"/>
        <v>1897</v>
      </c>
      <c r="G48">
        <f t="shared" si="7"/>
        <v>-6.4020000005257316E-2</v>
      </c>
      <c r="K48">
        <f>+G48</f>
        <v>-6.4020000005257316E-2</v>
      </c>
      <c r="O48">
        <f t="shared" ca="1" si="8"/>
        <v>-8.8459993908657664E-2</v>
      </c>
      <c r="Q48" s="1">
        <f t="shared" si="9"/>
        <v>38288.351199999997</v>
      </c>
    </row>
    <row r="49" spans="1:17" x14ac:dyDescent="0.2">
      <c r="A49" s="8" t="s">
        <v>59</v>
      </c>
      <c r="B49" s="11" t="s">
        <v>47</v>
      </c>
      <c r="C49" s="10">
        <v>54055.595399999998</v>
      </c>
      <c r="D49" s="12">
        <v>4.0000000000000002E-4</v>
      </c>
      <c r="E49">
        <f t="shared" si="5"/>
        <v>2072.983644629147</v>
      </c>
      <c r="F49">
        <f t="shared" si="6"/>
        <v>2073</v>
      </c>
      <c r="G49">
        <f t="shared" si="7"/>
        <v>-6.9580000003043097E-2</v>
      </c>
      <c r="K49">
        <f>+G49</f>
        <v>-6.9580000003043097E-2</v>
      </c>
      <c r="O49">
        <f t="shared" ca="1" si="8"/>
        <v>-9.7920039516830315E-2</v>
      </c>
      <c r="Q49" s="1">
        <f t="shared" si="9"/>
        <v>39037.095399999998</v>
      </c>
    </row>
    <row r="50" spans="1:17" x14ac:dyDescent="0.2">
      <c r="A50" s="13" t="s">
        <v>61</v>
      </c>
      <c r="B50" s="14" t="s">
        <v>47</v>
      </c>
      <c r="C50" s="15">
        <v>54455.493600000002</v>
      </c>
      <c r="D50" s="15">
        <v>1.1999999999999999E-3</v>
      </c>
      <c r="E50">
        <f t="shared" si="5"/>
        <v>2166.9831180980941</v>
      </c>
      <c r="F50">
        <f t="shared" si="6"/>
        <v>2167</v>
      </c>
      <c r="G50">
        <f t="shared" si="7"/>
        <v>-7.181999999738764E-2</v>
      </c>
      <c r="K50">
        <f>+G50</f>
        <v>-7.181999999738764E-2</v>
      </c>
      <c r="O50">
        <f t="shared" ca="1" si="8"/>
        <v>-0.10297256387574069</v>
      </c>
      <c r="Q50" s="1">
        <f t="shared" si="9"/>
        <v>39436.993600000002</v>
      </c>
    </row>
    <row r="51" spans="1:17" x14ac:dyDescent="0.2">
      <c r="A51" s="13" t="s">
        <v>62</v>
      </c>
      <c r="B51" s="14" t="s">
        <v>47</v>
      </c>
      <c r="C51" s="13">
        <v>54842.624199999998</v>
      </c>
      <c r="D51" s="13">
        <v>5.0000000000000001E-4</v>
      </c>
      <c r="E51">
        <f t="shared" si="5"/>
        <v>2257.9814585850409</v>
      </c>
      <c r="F51">
        <f t="shared" si="6"/>
        <v>2258</v>
      </c>
      <c r="G51">
        <f t="shared" si="7"/>
        <v>-7.8880000008211937E-2</v>
      </c>
      <c r="K51">
        <f>+G51</f>
        <v>-7.8880000008211937E-2</v>
      </c>
      <c r="O51">
        <f t="shared" ca="1" si="8"/>
        <v>-0.10786383745723904</v>
      </c>
      <c r="Q51" s="1">
        <f t="shared" si="9"/>
        <v>39824.124199999998</v>
      </c>
    </row>
    <row r="52" spans="1:17" x14ac:dyDescent="0.2">
      <c r="A52" s="17" t="s">
        <v>65</v>
      </c>
      <c r="B52" s="18" t="s">
        <v>47</v>
      </c>
      <c r="C52" s="17">
        <v>55867.895499999999</v>
      </c>
      <c r="D52" s="17">
        <v>2.9999999999999997E-4</v>
      </c>
      <c r="E52">
        <f t="shared" si="5"/>
        <v>2498.9801986714483</v>
      </c>
      <c r="F52">
        <f t="shared" si="6"/>
        <v>2499</v>
      </c>
      <c r="G52">
        <f t="shared" si="7"/>
        <v>-8.4240000003774185E-2</v>
      </c>
      <c r="K52">
        <f>+G52</f>
        <v>-8.4240000003774185E-2</v>
      </c>
      <c r="O52">
        <f t="shared" ca="1" si="8"/>
        <v>-0.12081764990933908</v>
      </c>
      <c r="Q52" s="1">
        <f t="shared" si="9"/>
        <v>40849.395499999999</v>
      </c>
    </row>
    <row r="53" spans="1:17" x14ac:dyDescent="0.2">
      <c r="A53" s="2"/>
      <c r="B53" s="2"/>
      <c r="C53" s="9"/>
      <c r="D53" s="9"/>
      <c r="Q53" s="1"/>
    </row>
    <row r="54" spans="1:17" x14ac:dyDescent="0.2">
      <c r="A54" s="2"/>
      <c r="B54" s="2"/>
      <c r="C54" s="9"/>
      <c r="D54" s="9"/>
      <c r="Q54" s="1"/>
    </row>
    <row r="55" spans="1:17" x14ac:dyDescent="0.2">
      <c r="A55" s="2"/>
      <c r="B55" s="2"/>
      <c r="C55" s="9"/>
      <c r="D55" s="9"/>
      <c r="Q55" s="1"/>
    </row>
    <row r="56" spans="1:17" x14ac:dyDescent="0.2">
      <c r="A56" s="2"/>
      <c r="B56" s="2"/>
      <c r="C56" s="9"/>
      <c r="D56" s="9"/>
      <c r="Q56" s="1"/>
    </row>
    <row r="57" spans="1:17" x14ac:dyDescent="0.2">
      <c r="C57" s="10"/>
      <c r="D57" s="10"/>
    </row>
    <row r="58" spans="1:17" x14ac:dyDescent="0.2">
      <c r="C58" s="10"/>
      <c r="D58" s="10"/>
    </row>
    <row r="59" spans="1:17" x14ac:dyDescent="0.2">
      <c r="C59" s="10"/>
      <c r="D59" s="10"/>
    </row>
    <row r="60" spans="1:17" x14ac:dyDescent="0.2">
      <c r="C60" s="10"/>
      <c r="D60" s="10"/>
    </row>
    <row r="61" spans="1:17" x14ac:dyDescent="0.2">
      <c r="C61" s="10"/>
      <c r="D61" s="10"/>
    </row>
    <row r="62" spans="1:17" x14ac:dyDescent="0.2">
      <c r="C62" s="10"/>
      <c r="D62" s="10"/>
    </row>
    <row r="63" spans="1:17" x14ac:dyDescent="0.2">
      <c r="C63" s="10"/>
      <c r="D63" s="10"/>
    </row>
    <row r="64" spans="1:17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8"/>
  <sheetViews>
    <sheetView workbookViewId="0">
      <selection activeCell="A11" sqref="A11:IV448"/>
    </sheetView>
  </sheetViews>
  <sheetFormatPr defaultRowHeight="12.75" x14ac:dyDescent="0.2"/>
  <cols>
    <col min="1" max="1" width="19.7109375" style="12" customWidth="1"/>
    <col min="2" max="2" width="4.42578125" style="5" customWidth="1"/>
    <col min="3" max="3" width="12.7109375" style="12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12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19" t="s">
        <v>67</v>
      </c>
      <c r="I1" s="20" t="s">
        <v>68</v>
      </c>
      <c r="J1" s="21" t="s">
        <v>69</v>
      </c>
    </row>
    <row r="2" spans="1:16" x14ac:dyDescent="0.2">
      <c r="I2" s="22" t="s">
        <v>70</v>
      </c>
      <c r="J2" s="23" t="s">
        <v>71</v>
      </c>
    </row>
    <row r="3" spans="1:16" x14ac:dyDescent="0.2">
      <c r="A3" s="24" t="s">
        <v>72</v>
      </c>
      <c r="I3" s="22" t="s">
        <v>73</v>
      </c>
      <c r="J3" s="23" t="s">
        <v>74</v>
      </c>
    </row>
    <row r="4" spans="1:16" x14ac:dyDescent="0.2">
      <c r="I4" s="22" t="s">
        <v>75</v>
      </c>
      <c r="J4" s="23" t="s">
        <v>74</v>
      </c>
    </row>
    <row r="5" spans="1:16" ht="13.5" thickBot="1" x14ac:dyDescent="0.25">
      <c r="I5" s="25" t="s">
        <v>76</v>
      </c>
      <c r="J5" s="26" t="s">
        <v>77</v>
      </c>
    </row>
    <row r="10" spans="1:16" ht="13.5" thickBot="1" x14ac:dyDescent="0.25"/>
    <row r="11" spans="1:16" ht="12.75" customHeight="1" thickBot="1" x14ac:dyDescent="0.25">
      <c r="A11" s="12" t="str">
        <f t="shared" ref="A11:A42" si="0">P11</f>
        <v> AC 212.16 </v>
      </c>
      <c r="B11" s="6" t="str">
        <f t="shared" ref="B11:B42" si="1">IF(H11=INT(H11),"I","II")</f>
        <v>II</v>
      </c>
      <c r="C11" s="12">
        <f t="shared" ref="C11:C42" si="2">1*G11</f>
        <v>17233.183000000001</v>
      </c>
      <c r="D11" s="5" t="str">
        <f t="shared" ref="D11:D42" si="3">VLOOKUP(F11,I$1:J$5,2,FALSE)</f>
        <v>vis</v>
      </c>
      <c r="E11" s="27">
        <f>VLOOKUP(C11,Active!C$21:E$973,3,FALSE)</f>
        <v>-6582.4376037195652</v>
      </c>
      <c r="F11" s="6" t="s">
        <v>76</v>
      </c>
      <c r="G11" s="5" t="str">
        <f t="shared" ref="G11:G42" si="4">MID(I11,3,LEN(I11)-3)</f>
        <v>17233.183</v>
      </c>
      <c r="H11" s="12">
        <f t="shared" ref="H11:H42" si="5">1*K11</f>
        <v>-6582.5</v>
      </c>
      <c r="I11" s="28" t="s">
        <v>78</v>
      </c>
      <c r="J11" s="29" t="s">
        <v>79</v>
      </c>
      <c r="K11" s="28">
        <v>-6582.5</v>
      </c>
      <c r="L11" s="28" t="s">
        <v>80</v>
      </c>
      <c r="M11" s="29" t="s">
        <v>81</v>
      </c>
      <c r="N11" s="29"/>
      <c r="O11" s="30" t="s">
        <v>82</v>
      </c>
      <c r="P11" s="30" t="s">
        <v>83</v>
      </c>
    </row>
    <row r="12" spans="1:16" ht="12.75" customHeight="1" thickBot="1" x14ac:dyDescent="0.25">
      <c r="A12" s="12" t="str">
        <f t="shared" si="0"/>
        <v> AC 212.16 </v>
      </c>
      <c r="B12" s="6" t="str">
        <f t="shared" si="1"/>
        <v>I</v>
      </c>
      <c r="C12" s="12">
        <f t="shared" si="2"/>
        <v>18733.249</v>
      </c>
      <c r="D12" s="5" t="str">
        <f t="shared" si="3"/>
        <v>vis</v>
      </c>
      <c r="E12" s="27">
        <f>VLOOKUP(C12,Active!C$21:E$973,3,FALSE)</f>
        <v>-6229.8343307649275</v>
      </c>
      <c r="F12" s="6" t="s">
        <v>76</v>
      </c>
      <c r="G12" s="5" t="str">
        <f t="shared" si="4"/>
        <v>18733.249</v>
      </c>
      <c r="H12" s="12">
        <f t="shared" si="5"/>
        <v>-6230</v>
      </c>
      <c r="I12" s="28" t="s">
        <v>84</v>
      </c>
      <c r="J12" s="29" t="s">
        <v>85</v>
      </c>
      <c r="K12" s="28">
        <v>-6230</v>
      </c>
      <c r="L12" s="28" t="s">
        <v>86</v>
      </c>
      <c r="M12" s="29" t="s">
        <v>81</v>
      </c>
      <c r="N12" s="29"/>
      <c r="O12" s="30" t="s">
        <v>82</v>
      </c>
      <c r="P12" s="30" t="s">
        <v>83</v>
      </c>
    </row>
    <row r="13" spans="1:16" ht="12.75" customHeight="1" thickBot="1" x14ac:dyDescent="0.25">
      <c r="A13" s="12" t="str">
        <f t="shared" si="0"/>
        <v> PZ 17.456 </v>
      </c>
      <c r="B13" s="6" t="str">
        <f t="shared" si="1"/>
        <v>I</v>
      </c>
      <c r="C13" s="12">
        <f t="shared" si="2"/>
        <v>19090.241000000002</v>
      </c>
      <c r="D13" s="5" t="str">
        <f t="shared" si="3"/>
        <v>vis</v>
      </c>
      <c r="E13" s="27">
        <f>VLOOKUP(C13,Active!C$21:E$973,3,FALSE)</f>
        <v>-6145.920324568785</v>
      </c>
      <c r="F13" s="6" t="s">
        <v>76</v>
      </c>
      <c r="G13" s="5" t="str">
        <f t="shared" si="4"/>
        <v>19090.241</v>
      </c>
      <c r="H13" s="12">
        <f t="shared" si="5"/>
        <v>-6146</v>
      </c>
      <c r="I13" s="28" t="s">
        <v>87</v>
      </c>
      <c r="J13" s="29" t="s">
        <v>88</v>
      </c>
      <c r="K13" s="28">
        <v>-6146</v>
      </c>
      <c r="L13" s="28" t="s">
        <v>89</v>
      </c>
      <c r="M13" s="29" t="s">
        <v>81</v>
      </c>
      <c r="N13" s="29"/>
      <c r="O13" s="30" t="s">
        <v>90</v>
      </c>
      <c r="P13" s="30" t="s">
        <v>91</v>
      </c>
    </row>
    <row r="14" spans="1:16" ht="12.75" customHeight="1" thickBot="1" x14ac:dyDescent="0.25">
      <c r="A14" s="12" t="str">
        <f t="shared" si="0"/>
        <v> PZ 17.456 </v>
      </c>
      <c r="B14" s="6" t="str">
        <f t="shared" si="1"/>
        <v>I</v>
      </c>
      <c r="C14" s="12">
        <f t="shared" si="2"/>
        <v>35077.478999999999</v>
      </c>
      <c r="D14" s="5" t="str">
        <f t="shared" si="3"/>
        <v>vis</v>
      </c>
      <c r="E14" s="27">
        <f>VLOOKUP(C14,Active!C$21:E$973,3,FALSE)</f>
        <v>-2387.984044228609</v>
      </c>
      <c r="F14" s="6" t="s">
        <v>76</v>
      </c>
      <c r="G14" s="5" t="str">
        <f t="shared" si="4"/>
        <v>35077.479</v>
      </c>
      <c r="H14" s="12">
        <f t="shared" si="5"/>
        <v>-2388</v>
      </c>
      <c r="I14" s="28" t="s">
        <v>92</v>
      </c>
      <c r="J14" s="29" t="s">
        <v>93</v>
      </c>
      <c r="K14" s="28">
        <v>-2388</v>
      </c>
      <c r="L14" s="28" t="s">
        <v>94</v>
      </c>
      <c r="M14" s="29" t="s">
        <v>81</v>
      </c>
      <c r="N14" s="29"/>
      <c r="O14" s="30" t="s">
        <v>90</v>
      </c>
      <c r="P14" s="30" t="s">
        <v>91</v>
      </c>
    </row>
    <row r="15" spans="1:16" ht="12.75" customHeight="1" thickBot="1" x14ac:dyDescent="0.25">
      <c r="A15" s="12" t="str">
        <f t="shared" si="0"/>
        <v> AC 212.16 </v>
      </c>
      <c r="B15" s="6" t="str">
        <f t="shared" si="1"/>
        <v>I</v>
      </c>
      <c r="C15" s="12">
        <f t="shared" si="2"/>
        <v>35077.5</v>
      </c>
      <c r="D15" s="5" t="str">
        <f t="shared" si="3"/>
        <v>vis</v>
      </c>
      <c r="E15" s="27">
        <f>VLOOKUP(C15,Active!C$21:E$973,3,FALSE)</f>
        <v>-2387.9791079999818</v>
      </c>
      <c r="F15" s="6" t="s">
        <v>76</v>
      </c>
      <c r="G15" s="5" t="str">
        <f t="shared" si="4"/>
        <v>35077.500</v>
      </c>
      <c r="H15" s="12">
        <f t="shared" si="5"/>
        <v>-2388</v>
      </c>
      <c r="I15" s="28" t="s">
        <v>95</v>
      </c>
      <c r="J15" s="29" t="s">
        <v>96</v>
      </c>
      <c r="K15" s="28">
        <v>-2388</v>
      </c>
      <c r="L15" s="28" t="s">
        <v>97</v>
      </c>
      <c r="M15" s="29" t="s">
        <v>81</v>
      </c>
      <c r="N15" s="29"/>
      <c r="O15" s="30" t="s">
        <v>82</v>
      </c>
      <c r="P15" s="30" t="s">
        <v>83</v>
      </c>
    </row>
    <row r="16" spans="1:16" ht="12.75" customHeight="1" thickBot="1" x14ac:dyDescent="0.25">
      <c r="A16" s="12" t="str">
        <f t="shared" si="0"/>
        <v> PZ 17.456 </v>
      </c>
      <c r="B16" s="6" t="str">
        <f t="shared" si="1"/>
        <v>I</v>
      </c>
      <c r="C16" s="12">
        <f t="shared" si="2"/>
        <v>35460.370000000003</v>
      </c>
      <c r="D16" s="5" t="str">
        <f t="shared" si="3"/>
        <v>vis</v>
      </c>
      <c r="E16" s="27">
        <f>VLOOKUP(C16,Active!C$21:E$973,3,FALSE)</f>
        <v>-2297.9822577839623</v>
      </c>
      <c r="F16" s="6" t="s">
        <v>76</v>
      </c>
      <c r="G16" s="5" t="str">
        <f t="shared" si="4"/>
        <v>35460.370</v>
      </c>
      <c r="H16" s="12">
        <f t="shared" si="5"/>
        <v>-2298</v>
      </c>
      <c r="I16" s="28" t="s">
        <v>98</v>
      </c>
      <c r="J16" s="29" t="s">
        <v>99</v>
      </c>
      <c r="K16" s="28">
        <v>-2298</v>
      </c>
      <c r="L16" s="28" t="s">
        <v>100</v>
      </c>
      <c r="M16" s="29" t="s">
        <v>81</v>
      </c>
      <c r="N16" s="29"/>
      <c r="O16" s="30" t="s">
        <v>90</v>
      </c>
      <c r="P16" s="30" t="s">
        <v>91</v>
      </c>
    </row>
    <row r="17" spans="1:16" ht="12.75" customHeight="1" thickBot="1" x14ac:dyDescent="0.25">
      <c r="A17" s="12" t="str">
        <f t="shared" si="0"/>
        <v> AC 212.16 </v>
      </c>
      <c r="B17" s="6" t="str">
        <f t="shared" si="1"/>
        <v>I</v>
      </c>
      <c r="C17" s="12">
        <f t="shared" si="2"/>
        <v>36549.375999999997</v>
      </c>
      <c r="D17" s="5" t="str">
        <f t="shared" si="3"/>
        <v>vis</v>
      </c>
      <c r="E17" s="27">
        <f>VLOOKUP(C17,Active!C$21:E$973,3,FALSE)</f>
        <v>-2042.0021343312362</v>
      </c>
      <c r="F17" s="6" t="s">
        <v>76</v>
      </c>
      <c r="G17" s="5" t="str">
        <f t="shared" si="4"/>
        <v>36549.376</v>
      </c>
      <c r="H17" s="12">
        <f t="shared" si="5"/>
        <v>-2042</v>
      </c>
      <c r="I17" s="28" t="s">
        <v>101</v>
      </c>
      <c r="J17" s="29" t="s">
        <v>102</v>
      </c>
      <c r="K17" s="28">
        <v>-2042</v>
      </c>
      <c r="L17" s="28" t="s">
        <v>103</v>
      </c>
      <c r="M17" s="29" t="s">
        <v>81</v>
      </c>
      <c r="N17" s="29"/>
      <c r="O17" s="30" t="s">
        <v>82</v>
      </c>
      <c r="P17" s="30" t="s">
        <v>83</v>
      </c>
    </row>
    <row r="18" spans="1:16" ht="12.75" customHeight="1" thickBot="1" x14ac:dyDescent="0.25">
      <c r="A18" s="12" t="str">
        <f t="shared" si="0"/>
        <v> AC 212.16 </v>
      </c>
      <c r="B18" s="6" t="str">
        <f t="shared" si="1"/>
        <v>I</v>
      </c>
      <c r="C18" s="12">
        <f t="shared" si="2"/>
        <v>36579.358</v>
      </c>
      <c r="D18" s="5" t="str">
        <f t="shared" si="3"/>
        <v>vis</v>
      </c>
      <c r="E18" s="27">
        <f>VLOOKUP(C18,Active!C$21:E$973,3,FALSE)</f>
        <v>-2034.9546102024797</v>
      </c>
      <c r="F18" s="6" t="s">
        <v>76</v>
      </c>
      <c r="G18" s="5" t="str">
        <f t="shared" si="4"/>
        <v>36579.358</v>
      </c>
      <c r="H18" s="12">
        <f t="shared" si="5"/>
        <v>-2035</v>
      </c>
      <c r="I18" s="28" t="s">
        <v>104</v>
      </c>
      <c r="J18" s="29" t="s">
        <v>105</v>
      </c>
      <c r="K18" s="28">
        <v>-2035</v>
      </c>
      <c r="L18" s="28" t="s">
        <v>106</v>
      </c>
      <c r="M18" s="29" t="s">
        <v>81</v>
      </c>
      <c r="N18" s="29"/>
      <c r="O18" s="30" t="s">
        <v>82</v>
      </c>
      <c r="P18" s="30" t="s">
        <v>83</v>
      </c>
    </row>
    <row r="19" spans="1:16" ht="12.75" customHeight="1" thickBot="1" x14ac:dyDescent="0.25">
      <c r="A19" s="12" t="str">
        <f t="shared" si="0"/>
        <v> PZ 17.456 </v>
      </c>
      <c r="B19" s="6" t="str">
        <f t="shared" si="1"/>
        <v>I</v>
      </c>
      <c r="C19" s="12">
        <f t="shared" si="2"/>
        <v>38404.29</v>
      </c>
      <c r="D19" s="5" t="str">
        <f t="shared" si="3"/>
        <v>vis</v>
      </c>
      <c r="E19" s="27">
        <f>VLOOKUP(C19,Active!C$21:E$973,3,FALSE)</f>
        <v>-1605.9888206174519</v>
      </c>
      <c r="F19" s="6" t="s">
        <v>76</v>
      </c>
      <c r="G19" s="5" t="str">
        <f t="shared" si="4"/>
        <v>38404.290</v>
      </c>
      <c r="H19" s="12">
        <f t="shared" si="5"/>
        <v>-1606</v>
      </c>
      <c r="I19" s="28" t="s">
        <v>107</v>
      </c>
      <c r="J19" s="29" t="s">
        <v>108</v>
      </c>
      <c r="K19" s="28">
        <v>-1606</v>
      </c>
      <c r="L19" s="28" t="s">
        <v>109</v>
      </c>
      <c r="M19" s="29" t="s">
        <v>81</v>
      </c>
      <c r="N19" s="29"/>
      <c r="O19" s="30" t="s">
        <v>90</v>
      </c>
      <c r="P19" s="30" t="s">
        <v>91</v>
      </c>
    </row>
    <row r="20" spans="1:16" ht="12.75" customHeight="1" thickBot="1" x14ac:dyDescent="0.25">
      <c r="A20" s="12" t="str">
        <f t="shared" si="0"/>
        <v> PZ 17.456 </v>
      </c>
      <c r="B20" s="6" t="str">
        <f t="shared" si="1"/>
        <v>I</v>
      </c>
      <c r="C20" s="12">
        <f t="shared" si="2"/>
        <v>38740.275000000001</v>
      </c>
      <c r="D20" s="5" t="str">
        <f t="shared" si="3"/>
        <v>vis</v>
      </c>
      <c r="E20" s="27">
        <f>VLOOKUP(C20,Active!C$21:E$973,3,FALSE)</f>
        <v>-1527.0126884581573</v>
      </c>
      <c r="F20" s="6" t="s">
        <v>76</v>
      </c>
      <c r="G20" s="5" t="str">
        <f t="shared" si="4"/>
        <v>38740.275</v>
      </c>
      <c r="H20" s="12">
        <f t="shared" si="5"/>
        <v>-1527</v>
      </c>
      <c r="I20" s="28" t="s">
        <v>110</v>
      </c>
      <c r="J20" s="29" t="s">
        <v>111</v>
      </c>
      <c r="K20" s="28">
        <v>-1527</v>
      </c>
      <c r="L20" s="28" t="s">
        <v>112</v>
      </c>
      <c r="M20" s="29" t="s">
        <v>81</v>
      </c>
      <c r="N20" s="29"/>
      <c r="O20" s="30" t="s">
        <v>90</v>
      </c>
      <c r="P20" s="30" t="s">
        <v>91</v>
      </c>
    </row>
    <row r="21" spans="1:16" ht="12.75" customHeight="1" thickBot="1" x14ac:dyDescent="0.25">
      <c r="A21" s="12" t="str">
        <f t="shared" si="0"/>
        <v> PZ 17.456 </v>
      </c>
      <c r="B21" s="6" t="str">
        <f t="shared" si="1"/>
        <v>I</v>
      </c>
      <c r="C21" s="12">
        <f t="shared" si="2"/>
        <v>38821.298000000003</v>
      </c>
      <c r="D21" s="5" t="str">
        <f t="shared" si="3"/>
        <v>vis</v>
      </c>
      <c r="E21" s="27">
        <f>VLOOKUP(C21,Active!C$21:E$973,3,FALSE)</f>
        <v>-1507.9675431214828</v>
      </c>
      <c r="F21" s="6" t="s">
        <v>76</v>
      </c>
      <c r="G21" s="5" t="str">
        <f t="shared" si="4"/>
        <v>38821.298</v>
      </c>
      <c r="H21" s="12">
        <f t="shared" si="5"/>
        <v>-1508</v>
      </c>
      <c r="I21" s="28" t="s">
        <v>113</v>
      </c>
      <c r="J21" s="29" t="s">
        <v>114</v>
      </c>
      <c r="K21" s="28">
        <v>-1508</v>
      </c>
      <c r="L21" s="28" t="s">
        <v>115</v>
      </c>
      <c r="M21" s="29" t="s">
        <v>81</v>
      </c>
      <c r="N21" s="29"/>
      <c r="O21" s="30" t="s">
        <v>90</v>
      </c>
      <c r="P21" s="30" t="s">
        <v>91</v>
      </c>
    </row>
    <row r="22" spans="1:16" ht="12.75" customHeight="1" thickBot="1" x14ac:dyDescent="0.25">
      <c r="A22" s="12" t="str">
        <f t="shared" si="0"/>
        <v> BBS 29 </v>
      </c>
      <c r="B22" s="6" t="str">
        <f t="shared" si="1"/>
        <v>I</v>
      </c>
      <c r="C22" s="12">
        <f t="shared" si="2"/>
        <v>43011.606</v>
      </c>
      <c r="D22" s="5" t="str">
        <f t="shared" si="3"/>
        <v>vis</v>
      </c>
      <c r="E22" s="27">
        <f>VLOOKUP(C22,Active!C$21:E$973,3,FALSE)</f>
        <v>-523.00000470117072</v>
      </c>
      <c r="F22" s="6" t="s">
        <v>76</v>
      </c>
      <c r="G22" s="5" t="str">
        <f t="shared" si="4"/>
        <v>43011.606</v>
      </c>
      <c r="H22" s="12">
        <f t="shared" si="5"/>
        <v>-523</v>
      </c>
      <c r="I22" s="28" t="s">
        <v>116</v>
      </c>
      <c r="J22" s="29" t="s">
        <v>117</v>
      </c>
      <c r="K22" s="28">
        <v>-523</v>
      </c>
      <c r="L22" s="28" t="s">
        <v>118</v>
      </c>
      <c r="M22" s="29" t="s">
        <v>119</v>
      </c>
      <c r="N22" s="29"/>
      <c r="O22" s="30" t="s">
        <v>120</v>
      </c>
      <c r="P22" s="30" t="s">
        <v>121</v>
      </c>
    </row>
    <row r="23" spans="1:16" ht="12.75" customHeight="1" thickBot="1" x14ac:dyDescent="0.25">
      <c r="A23" s="12" t="str">
        <f t="shared" si="0"/>
        <v> BBS 36 </v>
      </c>
      <c r="B23" s="6" t="str">
        <f t="shared" si="1"/>
        <v>I</v>
      </c>
      <c r="C23" s="12">
        <f t="shared" si="2"/>
        <v>43492.326000000001</v>
      </c>
      <c r="D23" s="5" t="str">
        <f t="shared" si="3"/>
        <v>vis</v>
      </c>
      <c r="E23" s="27">
        <f>VLOOKUP(C23,Active!C$21:E$973,3,FALSE)</f>
        <v>-410.00267966696947</v>
      </c>
      <c r="F23" s="6" t="s">
        <v>76</v>
      </c>
      <c r="G23" s="5" t="str">
        <f t="shared" si="4"/>
        <v>43492.326</v>
      </c>
      <c r="H23" s="12">
        <f t="shared" si="5"/>
        <v>-410</v>
      </c>
      <c r="I23" s="28" t="s">
        <v>122</v>
      </c>
      <c r="J23" s="29" t="s">
        <v>123</v>
      </c>
      <c r="K23" s="28">
        <v>-410</v>
      </c>
      <c r="L23" s="28" t="s">
        <v>124</v>
      </c>
      <c r="M23" s="29" t="s">
        <v>119</v>
      </c>
      <c r="N23" s="29"/>
      <c r="O23" s="30" t="s">
        <v>120</v>
      </c>
      <c r="P23" s="30" t="s">
        <v>125</v>
      </c>
    </row>
    <row r="24" spans="1:16" ht="12.75" customHeight="1" thickBot="1" x14ac:dyDescent="0.25">
      <c r="A24" s="12" t="str">
        <f t="shared" si="0"/>
        <v> BBS 39 </v>
      </c>
      <c r="B24" s="6" t="str">
        <f t="shared" si="1"/>
        <v>I</v>
      </c>
      <c r="C24" s="12">
        <f t="shared" si="2"/>
        <v>43764.618000000002</v>
      </c>
      <c r="D24" s="5" t="str">
        <f t="shared" si="3"/>
        <v>vis</v>
      </c>
      <c r="E24" s="27">
        <f>VLOOKUP(C24,Active!C$21:E$973,3,FALSE)</f>
        <v>-345.9981289342918</v>
      </c>
      <c r="F24" s="6" t="s">
        <v>76</v>
      </c>
      <c r="G24" s="5" t="str">
        <f t="shared" si="4"/>
        <v>43764.618</v>
      </c>
      <c r="H24" s="12">
        <f t="shared" si="5"/>
        <v>-346</v>
      </c>
      <c r="I24" s="28" t="s">
        <v>126</v>
      </c>
      <c r="J24" s="29" t="s">
        <v>127</v>
      </c>
      <c r="K24" s="28">
        <v>-346</v>
      </c>
      <c r="L24" s="28" t="s">
        <v>128</v>
      </c>
      <c r="M24" s="29" t="s">
        <v>119</v>
      </c>
      <c r="N24" s="29"/>
      <c r="O24" s="30" t="s">
        <v>120</v>
      </c>
      <c r="P24" s="30" t="s">
        <v>129</v>
      </c>
    </row>
    <row r="25" spans="1:16" ht="12.75" customHeight="1" thickBot="1" x14ac:dyDescent="0.25">
      <c r="A25" s="12" t="str">
        <f t="shared" si="0"/>
        <v> BBS 40 </v>
      </c>
      <c r="B25" s="6" t="str">
        <f t="shared" si="1"/>
        <v>I</v>
      </c>
      <c r="C25" s="12">
        <f t="shared" si="2"/>
        <v>43828.436000000002</v>
      </c>
      <c r="D25" s="5" t="str">
        <f t="shared" si="3"/>
        <v>vis</v>
      </c>
      <c r="E25" s="27">
        <f>VLOOKUP(C25,Active!C$21:E$973,3,FALSE)</f>
        <v>-330.99716519441711</v>
      </c>
      <c r="F25" s="6" t="s">
        <v>76</v>
      </c>
      <c r="G25" s="5" t="str">
        <f t="shared" si="4"/>
        <v>43828.436</v>
      </c>
      <c r="H25" s="12">
        <f t="shared" si="5"/>
        <v>-331</v>
      </c>
      <c r="I25" s="28" t="s">
        <v>130</v>
      </c>
      <c r="J25" s="29" t="s">
        <v>131</v>
      </c>
      <c r="K25" s="28">
        <v>-331</v>
      </c>
      <c r="L25" s="28" t="s">
        <v>132</v>
      </c>
      <c r="M25" s="29" t="s">
        <v>119</v>
      </c>
      <c r="N25" s="29"/>
      <c r="O25" s="30" t="s">
        <v>120</v>
      </c>
      <c r="P25" s="30" t="s">
        <v>133</v>
      </c>
    </row>
    <row r="26" spans="1:16" ht="12.75" customHeight="1" thickBot="1" x14ac:dyDescent="0.25">
      <c r="A26" s="12" t="str">
        <f t="shared" si="0"/>
        <v> BBS 57 </v>
      </c>
      <c r="B26" s="6" t="str">
        <f t="shared" si="1"/>
        <v>I</v>
      </c>
      <c r="C26" s="12">
        <f t="shared" si="2"/>
        <v>44883.491000000002</v>
      </c>
      <c r="D26" s="5" t="str">
        <f t="shared" si="3"/>
        <v>vis</v>
      </c>
      <c r="E26" s="27">
        <f>VLOOKUP(C26,Active!C$21:E$973,3,FALSE)</f>
        <v>-82.997513081006034</v>
      </c>
      <c r="F26" s="6" t="s">
        <v>76</v>
      </c>
      <c r="G26" s="5" t="str">
        <f t="shared" si="4"/>
        <v>44883.491</v>
      </c>
      <c r="H26" s="12">
        <f t="shared" si="5"/>
        <v>-83</v>
      </c>
      <c r="I26" s="28" t="s">
        <v>134</v>
      </c>
      <c r="J26" s="29" t="s">
        <v>135</v>
      </c>
      <c r="K26" s="28">
        <v>-83</v>
      </c>
      <c r="L26" s="28" t="s">
        <v>136</v>
      </c>
      <c r="M26" s="29" t="s">
        <v>119</v>
      </c>
      <c r="N26" s="29"/>
      <c r="O26" s="30" t="s">
        <v>120</v>
      </c>
      <c r="P26" s="30" t="s">
        <v>137</v>
      </c>
    </row>
    <row r="27" spans="1:16" ht="12.75" customHeight="1" thickBot="1" x14ac:dyDescent="0.25">
      <c r="A27" s="12" t="str">
        <f t="shared" si="0"/>
        <v> BBS 62 </v>
      </c>
      <c r="B27" s="6" t="str">
        <f t="shared" si="1"/>
        <v>I</v>
      </c>
      <c r="C27" s="12">
        <f t="shared" si="2"/>
        <v>45236.584000000003</v>
      </c>
      <c r="D27" s="5" t="str">
        <f t="shared" si="3"/>
        <v>vis</v>
      </c>
      <c r="E27" s="27">
        <f>VLOOKUP(C27,Active!C$21:E$973,3,FALSE)</f>
        <v>0</v>
      </c>
      <c r="F27" s="6" t="s">
        <v>76</v>
      </c>
      <c r="G27" s="5" t="str">
        <f t="shared" si="4"/>
        <v>45236.584</v>
      </c>
      <c r="H27" s="12">
        <f t="shared" si="5"/>
        <v>0</v>
      </c>
      <c r="I27" s="28" t="s">
        <v>138</v>
      </c>
      <c r="J27" s="29" t="s">
        <v>139</v>
      </c>
      <c r="K27" s="28">
        <v>0</v>
      </c>
      <c r="L27" s="28" t="s">
        <v>140</v>
      </c>
      <c r="M27" s="29" t="s">
        <v>119</v>
      </c>
      <c r="N27" s="29"/>
      <c r="O27" s="30" t="s">
        <v>120</v>
      </c>
      <c r="P27" s="30" t="s">
        <v>141</v>
      </c>
    </row>
    <row r="28" spans="1:16" ht="12.75" customHeight="1" thickBot="1" x14ac:dyDescent="0.25">
      <c r="A28" s="12" t="str">
        <f t="shared" si="0"/>
        <v> BBS 70 </v>
      </c>
      <c r="B28" s="6" t="str">
        <f t="shared" si="1"/>
        <v>I</v>
      </c>
      <c r="C28" s="12">
        <f t="shared" si="2"/>
        <v>45670.504999999997</v>
      </c>
      <c r="D28" s="5" t="str">
        <f t="shared" si="3"/>
        <v>vis</v>
      </c>
      <c r="E28" s="27">
        <f>VLOOKUP(C28,Active!C$21:E$973,3,FALSE)</f>
        <v>101.99682200899682</v>
      </c>
      <c r="F28" s="6" t="s">
        <v>76</v>
      </c>
      <c r="G28" s="5" t="str">
        <f t="shared" si="4"/>
        <v>45670.505</v>
      </c>
      <c r="H28" s="12">
        <f t="shared" si="5"/>
        <v>102</v>
      </c>
      <c r="I28" s="28" t="s">
        <v>142</v>
      </c>
      <c r="J28" s="29" t="s">
        <v>143</v>
      </c>
      <c r="K28" s="28">
        <v>102</v>
      </c>
      <c r="L28" s="28" t="s">
        <v>144</v>
      </c>
      <c r="M28" s="29" t="s">
        <v>119</v>
      </c>
      <c r="N28" s="29"/>
      <c r="O28" s="30" t="s">
        <v>120</v>
      </c>
      <c r="P28" s="30" t="s">
        <v>145</v>
      </c>
    </row>
    <row r="29" spans="1:16" ht="12.75" customHeight="1" thickBot="1" x14ac:dyDescent="0.25">
      <c r="A29" s="12" t="str">
        <f t="shared" si="0"/>
        <v> BRNO 27 </v>
      </c>
      <c r="B29" s="6" t="str">
        <f t="shared" si="1"/>
        <v>I</v>
      </c>
      <c r="C29" s="12">
        <f t="shared" si="2"/>
        <v>46406.506000000001</v>
      </c>
      <c r="D29" s="5" t="str">
        <f t="shared" si="3"/>
        <v>vis</v>
      </c>
      <c r="E29" s="27">
        <f>VLOOKUP(C29,Active!C$21:E$973,3,FALSE)</f>
        <v>275.00011752925269</v>
      </c>
      <c r="F29" s="6" t="s">
        <v>76</v>
      </c>
      <c r="G29" s="5" t="str">
        <f t="shared" si="4"/>
        <v>46406.506</v>
      </c>
      <c r="H29" s="12">
        <f t="shared" si="5"/>
        <v>275</v>
      </c>
      <c r="I29" s="28" t="s">
        <v>146</v>
      </c>
      <c r="J29" s="29" t="s">
        <v>147</v>
      </c>
      <c r="K29" s="28">
        <v>275</v>
      </c>
      <c r="L29" s="28" t="s">
        <v>148</v>
      </c>
      <c r="M29" s="29" t="s">
        <v>119</v>
      </c>
      <c r="N29" s="29"/>
      <c r="O29" s="30" t="s">
        <v>149</v>
      </c>
      <c r="P29" s="30" t="s">
        <v>150</v>
      </c>
    </row>
    <row r="30" spans="1:16" ht="12.75" customHeight="1" thickBot="1" x14ac:dyDescent="0.25">
      <c r="A30" s="12" t="str">
        <f t="shared" si="0"/>
        <v> BBS 81 </v>
      </c>
      <c r="B30" s="6" t="str">
        <f t="shared" si="1"/>
        <v>I</v>
      </c>
      <c r="C30" s="12">
        <f t="shared" si="2"/>
        <v>46674.510999999999</v>
      </c>
      <c r="D30" s="5" t="str">
        <f t="shared" si="3"/>
        <v>vis</v>
      </c>
      <c r="E30" s="27">
        <f>VLOOKUP(C30,Active!C$21:E$973,3,FALSE)</f>
        <v>337.99697244644096</v>
      </c>
      <c r="F30" s="6" t="s">
        <v>76</v>
      </c>
      <c r="G30" s="5" t="str">
        <f t="shared" si="4"/>
        <v>46674.511</v>
      </c>
      <c r="H30" s="12">
        <f t="shared" si="5"/>
        <v>338</v>
      </c>
      <c r="I30" s="28" t="s">
        <v>151</v>
      </c>
      <c r="J30" s="29" t="s">
        <v>152</v>
      </c>
      <c r="K30" s="28">
        <v>338</v>
      </c>
      <c r="L30" s="28" t="s">
        <v>153</v>
      </c>
      <c r="M30" s="29" t="s">
        <v>119</v>
      </c>
      <c r="N30" s="29"/>
      <c r="O30" s="30" t="s">
        <v>120</v>
      </c>
      <c r="P30" s="30" t="s">
        <v>154</v>
      </c>
    </row>
    <row r="31" spans="1:16" ht="12.75" customHeight="1" thickBot="1" x14ac:dyDescent="0.25">
      <c r="A31" s="12" t="str">
        <f t="shared" si="0"/>
        <v> BRNO 28 </v>
      </c>
      <c r="B31" s="6" t="str">
        <f t="shared" si="1"/>
        <v>I</v>
      </c>
      <c r="C31" s="12">
        <f t="shared" si="2"/>
        <v>46708.544999999998</v>
      </c>
      <c r="D31" s="5" t="str">
        <f t="shared" si="3"/>
        <v>vis</v>
      </c>
      <c r="E31" s="27">
        <f>VLOOKUP(C31,Active!C$21:E$973,3,FALSE)</f>
        <v>345.9969536417604</v>
      </c>
      <c r="F31" s="6" t="s">
        <v>76</v>
      </c>
      <c r="G31" s="5" t="str">
        <f t="shared" si="4"/>
        <v>46708.545</v>
      </c>
      <c r="H31" s="12">
        <f t="shared" si="5"/>
        <v>346</v>
      </c>
      <c r="I31" s="28" t="s">
        <v>155</v>
      </c>
      <c r="J31" s="29" t="s">
        <v>156</v>
      </c>
      <c r="K31" s="28">
        <v>346</v>
      </c>
      <c r="L31" s="28" t="s">
        <v>153</v>
      </c>
      <c r="M31" s="29" t="s">
        <v>119</v>
      </c>
      <c r="N31" s="29"/>
      <c r="O31" s="30" t="s">
        <v>157</v>
      </c>
      <c r="P31" s="30" t="s">
        <v>158</v>
      </c>
    </row>
    <row r="32" spans="1:16" ht="12.75" customHeight="1" thickBot="1" x14ac:dyDescent="0.25">
      <c r="A32" s="12" t="str">
        <f t="shared" si="0"/>
        <v> BRNO 28 </v>
      </c>
      <c r="B32" s="6" t="str">
        <f t="shared" si="1"/>
        <v>I</v>
      </c>
      <c r="C32" s="12">
        <f t="shared" si="2"/>
        <v>46708.553</v>
      </c>
      <c r="D32" s="5" t="str">
        <f t="shared" si="3"/>
        <v>vis</v>
      </c>
      <c r="E32" s="27">
        <f>VLOOKUP(C32,Active!C$21:E$973,3,FALSE)</f>
        <v>345.99883410980925</v>
      </c>
      <c r="F32" s="6" t="s">
        <v>76</v>
      </c>
      <c r="G32" s="5" t="str">
        <f t="shared" si="4"/>
        <v>46708.553</v>
      </c>
      <c r="H32" s="12">
        <f t="shared" si="5"/>
        <v>346</v>
      </c>
      <c r="I32" s="28" t="s">
        <v>159</v>
      </c>
      <c r="J32" s="29" t="s">
        <v>160</v>
      </c>
      <c r="K32" s="28">
        <v>346</v>
      </c>
      <c r="L32" s="28" t="s">
        <v>161</v>
      </c>
      <c r="M32" s="29" t="s">
        <v>119</v>
      </c>
      <c r="N32" s="29"/>
      <c r="O32" s="30" t="s">
        <v>162</v>
      </c>
      <c r="P32" s="30" t="s">
        <v>158</v>
      </c>
    </row>
    <row r="33" spans="1:16" ht="12.75" customHeight="1" thickBot="1" x14ac:dyDescent="0.25">
      <c r="A33" s="12" t="str">
        <f t="shared" si="0"/>
        <v> BBS 86 </v>
      </c>
      <c r="B33" s="6" t="str">
        <f t="shared" si="1"/>
        <v>I</v>
      </c>
      <c r="C33" s="12">
        <f t="shared" si="2"/>
        <v>47125.464999999997</v>
      </c>
      <c r="D33" s="5" t="str">
        <f t="shared" si="3"/>
        <v>vis</v>
      </c>
      <c r="E33" s="27">
        <f>VLOOKUP(C33,Active!C$21:E$973,3,FALSE)</f>
        <v>443.99754598919526</v>
      </c>
      <c r="F33" s="6" t="s">
        <v>76</v>
      </c>
      <c r="G33" s="5" t="str">
        <f t="shared" si="4"/>
        <v>47125.465</v>
      </c>
      <c r="H33" s="12">
        <f t="shared" si="5"/>
        <v>444</v>
      </c>
      <c r="I33" s="28" t="s">
        <v>163</v>
      </c>
      <c r="J33" s="29" t="s">
        <v>164</v>
      </c>
      <c r="K33" s="28">
        <v>444</v>
      </c>
      <c r="L33" s="28" t="s">
        <v>165</v>
      </c>
      <c r="M33" s="29" t="s">
        <v>119</v>
      </c>
      <c r="N33" s="29"/>
      <c r="O33" s="30" t="s">
        <v>120</v>
      </c>
      <c r="P33" s="30" t="s">
        <v>166</v>
      </c>
    </row>
    <row r="34" spans="1:16" ht="12.75" customHeight="1" thickBot="1" x14ac:dyDescent="0.25">
      <c r="A34" s="12" t="str">
        <f t="shared" si="0"/>
        <v> BBS 92 </v>
      </c>
      <c r="B34" s="6" t="str">
        <f t="shared" si="1"/>
        <v>I</v>
      </c>
      <c r="C34" s="12">
        <f t="shared" si="2"/>
        <v>47797.64</v>
      </c>
      <c r="D34" s="5" t="str">
        <f t="shared" si="3"/>
        <v>vis</v>
      </c>
      <c r="E34" s="27">
        <f>VLOOKUP(C34,Active!C$21:E$973,3,FALSE)</f>
        <v>601.99799730152756</v>
      </c>
      <c r="F34" s="6" t="s">
        <v>76</v>
      </c>
      <c r="G34" s="5" t="str">
        <f t="shared" si="4"/>
        <v>47797.640</v>
      </c>
      <c r="H34" s="12">
        <f t="shared" si="5"/>
        <v>602</v>
      </c>
      <c r="I34" s="28" t="s">
        <v>167</v>
      </c>
      <c r="J34" s="29" t="s">
        <v>168</v>
      </c>
      <c r="K34" s="28">
        <v>602</v>
      </c>
      <c r="L34" s="28" t="s">
        <v>103</v>
      </c>
      <c r="M34" s="29" t="s">
        <v>119</v>
      </c>
      <c r="N34" s="29"/>
      <c r="O34" s="30" t="s">
        <v>120</v>
      </c>
      <c r="P34" s="30" t="s">
        <v>169</v>
      </c>
    </row>
    <row r="35" spans="1:16" ht="12.75" customHeight="1" thickBot="1" x14ac:dyDescent="0.25">
      <c r="A35" s="12" t="str">
        <f t="shared" si="0"/>
        <v> BBS 114 </v>
      </c>
      <c r="B35" s="6" t="str">
        <f t="shared" si="1"/>
        <v>I</v>
      </c>
      <c r="C35" s="12">
        <f t="shared" si="2"/>
        <v>50486.341999999997</v>
      </c>
      <c r="D35" s="5" t="str">
        <f t="shared" si="3"/>
        <v>vis</v>
      </c>
      <c r="E35" s="27">
        <f>VLOOKUP(C35,Active!C$21:E$973,3,FALSE)</f>
        <v>1234.0002726678656</v>
      </c>
      <c r="F35" s="6" t="s">
        <v>76</v>
      </c>
      <c r="G35" s="5" t="str">
        <f t="shared" si="4"/>
        <v>50486.342</v>
      </c>
      <c r="H35" s="12">
        <f t="shared" si="5"/>
        <v>1234</v>
      </c>
      <c r="I35" s="28" t="s">
        <v>170</v>
      </c>
      <c r="J35" s="29" t="s">
        <v>171</v>
      </c>
      <c r="K35" s="28">
        <v>1234</v>
      </c>
      <c r="L35" s="28" t="s">
        <v>148</v>
      </c>
      <c r="M35" s="29" t="s">
        <v>119</v>
      </c>
      <c r="N35" s="29"/>
      <c r="O35" s="30" t="s">
        <v>120</v>
      </c>
      <c r="P35" s="30" t="s">
        <v>172</v>
      </c>
    </row>
    <row r="36" spans="1:16" ht="12.75" customHeight="1" thickBot="1" x14ac:dyDescent="0.25">
      <c r="A36" s="12" t="str">
        <f t="shared" si="0"/>
        <v> BBS 130 </v>
      </c>
      <c r="B36" s="6" t="str">
        <f t="shared" si="1"/>
        <v>I</v>
      </c>
      <c r="C36" s="12">
        <f t="shared" si="2"/>
        <v>53030.372000000003</v>
      </c>
      <c r="D36" s="5" t="str">
        <f t="shared" si="3"/>
        <v>vis</v>
      </c>
      <c r="E36" s="27">
        <f>VLOOKUP(C36,Active!C$21:E$973,3,FALSE)</f>
        <v>1831.9961638451809</v>
      </c>
      <c r="F36" s="6" t="s">
        <v>76</v>
      </c>
      <c r="G36" s="5" t="str">
        <f t="shared" si="4"/>
        <v>53030.372</v>
      </c>
      <c r="H36" s="12">
        <f t="shared" si="5"/>
        <v>1832</v>
      </c>
      <c r="I36" s="28" t="s">
        <v>173</v>
      </c>
      <c r="J36" s="29" t="s">
        <v>174</v>
      </c>
      <c r="K36" s="28">
        <v>1832</v>
      </c>
      <c r="L36" s="28" t="s">
        <v>175</v>
      </c>
      <c r="M36" s="29" t="s">
        <v>119</v>
      </c>
      <c r="N36" s="29"/>
      <c r="O36" s="30" t="s">
        <v>120</v>
      </c>
      <c r="P36" s="30" t="s">
        <v>176</v>
      </c>
    </row>
    <row r="37" spans="1:16" ht="12.75" customHeight="1" thickBot="1" x14ac:dyDescent="0.25">
      <c r="A37" s="12" t="str">
        <f t="shared" si="0"/>
        <v>OEJV 0003 </v>
      </c>
      <c r="B37" s="6" t="str">
        <f t="shared" si="1"/>
        <v>I</v>
      </c>
      <c r="C37" s="12">
        <f t="shared" si="2"/>
        <v>53302.637999999999</v>
      </c>
      <c r="D37" s="5" t="str">
        <f t="shared" si="3"/>
        <v>vis</v>
      </c>
      <c r="E37" s="27">
        <f>VLOOKUP(C37,Active!C$21:E$973,3,FALSE)</f>
        <v>1895.9946030566998</v>
      </c>
      <c r="F37" s="6" t="s">
        <v>76</v>
      </c>
      <c r="G37" s="5" t="str">
        <f t="shared" si="4"/>
        <v>53302.638</v>
      </c>
      <c r="H37" s="12">
        <f t="shared" si="5"/>
        <v>1896</v>
      </c>
      <c r="I37" s="28" t="s">
        <v>177</v>
      </c>
      <c r="J37" s="29" t="s">
        <v>178</v>
      </c>
      <c r="K37" s="28">
        <v>1896</v>
      </c>
      <c r="L37" s="28" t="s">
        <v>179</v>
      </c>
      <c r="M37" s="29" t="s">
        <v>119</v>
      </c>
      <c r="N37" s="29"/>
      <c r="O37" s="30" t="s">
        <v>120</v>
      </c>
      <c r="P37" s="31" t="s">
        <v>180</v>
      </c>
    </row>
    <row r="38" spans="1:16" ht="12.75" customHeight="1" thickBot="1" x14ac:dyDescent="0.25">
      <c r="A38" s="12" t="str">
        <f t="shared" si="0"/>
        <v>IBVS 5690 </v>
      </c>
      <c r="B38" s="6" t="str">
        <f t="shared" si="1"/>
        <v>I</v>
      </c>
      <c r="C38" s="12">
        <f t="shared" si="2"/>
        <v>53306.851199999997</v>
      </c>
      <c r="D38" s="5" t="str">
        <f t="shared" si="3"/>
        <v>vis</v>
      </c>
      <c r="E38" s="27">
        <f>VLOOKUP(C38,Active!C$21:E$973,3,FALSE)</f>
        <v>1896.9849515544406</v>
      </c>
      <c r="F38" s="6" t="s">
        <v>76</v>
      </c>
      <c r="G38" s="5" t="str">
        <f t="shared" si="4"/>
        <v>53306.8512</v>
      </c>
      <c r="H38" s="12">
        <f t="shared" si="5"/>
        <v>1897</v>
      </c>
      <c r="I38" s="28" t="s">
        <v>181</v>
      </c>
      <c r="J38" s="29" t="s">
        <v>182</v>
      </c>
      <c r="K38" s="28">
        <v>1897</v>
      </c>
      <c r="L38" s="28" t="s">
        <v>183</v>
      </c>
      <c r="M38" s="29" t="s">
        <v>184</v>
      </c>
      <c r="N38" s="29" t="s">
        <v>185</v>
      </c>
      <c r="O38" s="30" t="s">
        <v>186</v>
      </c>
      <c r="P38" s="31" t="s">
        <v>187</v>
      </c>
    </row>
    <row r="39" spans="1:16" ht="12.75" customHeight="1" thickBot="1" x14ac:dyDescent="0.25">
      <c r="A39" s="12" t="str">
        <f t="shared" si="0"/>
        <v>BAVM 183 </v>
      </c>
      <c r="B39" s="6" t="str">
        <f t="shared" si="1"/>
        <v>I</v>
      </c>
      <c r="C39" s="12">
        <f t="shared" si="2"/>
        <v>54055.595399999998</v>
      </c>
      <c r="D39" s="5" t="str">
        <f t="shared" si="3"/>
        <v>vis</v>
      </c>
      <c r="E39" s="27">
        <f>VLOOKUP(C39,Active!C$21:E$973,3,FALSE)</f>
        <v>2072.983644629147</v>
      </c>
      <c r="F39" s="6" t="s">
        <v>76</v>
      </c>
      <c r="G39" s="5" t="str">
        <f t="shared" si="4"/>
        <v>54055.5954</v>
      </c>
      <c r="H39" s="12">
        <f t="shared" si="5"/>
        <v>2073</v>
      </c>
      <c r="I39" s="28" t="s">
        <v>188</v>
      </c>
      <c r="J39" s="29" t="s">
        <v>189</v>
      </c>
      <c r="K39" s="28">
        <v>2073</v>
      </c>
      <c r="L39" s="28" t="s">
        <v>190</v>
      </c>
      <c r="M39" s="29" t="s">
        <v>191</v>
      </c>
      <c r="N39" s="29" t="s">
        <v>192</v>
      </c>
      <c r="O39" s="30" t="s">
        <v>193</v>
      </c>
      <c r="P39" s="31" t="s">
        <v>194</v>
      </c>
    </row>
    <row r="40" spans="1:16" ht="12.75" customHeight="1" thickBot="1" x14ac:dyDescent="0.25">
      <c r="A40" s="12" t="str">
        <f t="shared" si="0"/>
        <v>BAVM 201 </v>
      </c>
      <c r="B40" s="6" t="str">
        <f t="shared" si="1"/>
        <v>I</v>
      </c>
      <c r="C40" s="12">
        <f t="shared" si="2"/>
        <v>54455.493600000002</v>
      </c>
      <c r="D40" s="5" t="str">
        <f t="shared" si="3"/>
        <v>vis</v>
      </c>
      <c r="E40" s="27">
        <f>VLOOKUP(C40,Active!C$21:E$973,3,FALSE)</f>
        <v>2166.9831180980941</v>
      </c>
      <c r="F40" s="6" t="s">
        <v>76</v>
      </c>
      <c r="G40" s="5" t="str">
        <f t="shared" si="4"/>
        <v>54455.4936</v>
      </c>
      <c r="H40" s="12">
        <f t="shared" si="5"/>
        <v>2167</v>
      </c>
      <c r="I40" s="28" t="s">
        <v>195</v>
      </c>
      <c r="J40" s="29" t="s">
        <v>196</v>
      </c>
      <c r="K40" s="28" t="s">
        <v>197</v>
      </c>
      <c r="L40" s="28" t="s">
        <v>198</v>
      </c>
      <c r="M40" s="29" t="s">
        <v>191</v>
      </c>
      <c r="N40" s="29" t="s">
        <v>192</v>
      </c>
      <c r="O40" s="30" t="s">
        <v>193</v>
      </c>
      <c r="P40" s="31" t="s">
        <v>199</v>
      </c>
    </row>
    <row r="41" spans="1:16" ht="12.75" customHeight="1" thickBot="1" x14ac:dyDescent="0.25">
      <c r="A41" s="12" t="str">
        <f t="shared" si="0"/>
        <v>IBVS 5894 </v>
      </c>
      <c r="B41" s="6" t="str">
        <f t="shared" si="1"/>
        <v>I</v>
      </c>
      <c r="C41" s="12">
        <f t="shared" si="2"/>
        <v>54842.624199999998</v>
      </c>
      <c r="D41" s="5" t="str">
        <f t="shared" si="3"/>
        <v>vis</v>
      </c>
      <c r="E41" s="27">
        <f>VLOOKUP(C41,Active!C$21:E$973,3,FALSE)</f>
        <v>2257.9814585850409</v>
      </c>
      <c r="F41" s="6" t="s">
        <v>76</v>
      </c>
      <c r="G41" s="5" t="str">
        <f t="shared" si="4"/>
        <v>54842.6242</v>
      </c>
      <c r="H41" s="12">
        <f t="shared" si="5"/>
        <v>2258</v>
      </c>
      <c r="I41" s="28" t="s">
        <v>200</v>
      </c>
      <c r="J41" s="29" t="s">
        <v>201</v>
      </c>
      <c r="K41" s="28" t="s">
        <v>202</v>
      </c>
      <c r="L41" s="28" t="s">
        <v>203</v>
      </c>
      <c r="M41" s="29" t="s">
        <v>191</v>
      </c>
      <c r="N41" s="29" t="s">
        <v>76</v>
      </c>
      <c r="O41" s="30" t="s">
        <v>204</v>
      </c>
      <c r="P41" s="31" t="s">
        <v>205</v>
      </c>
    </row>
    <row r="42" spans="1:16" ht="12.75" customHeight="1" thickBot="1" x14ac:dyDescent="0.25">
      <c r="A42" s="12" t="str">
        <f t="shared" si="0"/>
        <v>IBVS 6011 </v>
      </c>
      <c r="B42" s="6" t="str">
        <f t="shared" si="1"/>
        <v>I</v>
      </c>
      <c r="C42" s="12">
        <f t="shared" si="2"/>
        <v>55867.895499999999</v>
      </c>
      <c r="D42" s="5" t="str">
        <f t="shared" si="3"/>
        <v>vis</v>
      </c>
      <c r="E42" s="27">
        <f>VLOOKUP(C42,Active!C$21:E$973,3,FALSE)</f>
        <v>2498.9801986714483</v>
      </c>
      <c r="F42" s="6" t="s">
        <v>76</v>
      </c>
      <c r="G42" s="5" t="str">
        <f t="shared" si="4"/>
        <v>55867.8955</v>
      </c>
      <c r="H42" s="12">
        <f t="shared" si="5"/>
        <v>2499</v>
      </c>
      <c r="I42" s="28" t="s">
        <v>206</v>
      </c>
      <c r="J42" s="29" t="s">
        <v>207</v>
      </c>
      <c r="K42" s="28" t="s">
        <v>208</v>
      </c>
      <c r="L42" s="28" t="s">
        <v>209</v>
      </c>
      <c r="M42" s="29" t="s">
        <v>191</v>
      </c>
      <c r="N42" s="29" t="s">
        <v>76</v>
      </c>
      <c r="O42" s="30" t="s">
        <v>204</v>
      </c>
      <c r="P42" s="31" t="s">
        <v>210</v>
      </c>
    </row>
    <row r="43" spans="1:16" x14ac:dyDescent="0.2">
      <c r="B43" s="6"/>
      <c r="F43" s="6"/>
    </row>
    <row r="44" spans="1:16" x14ac:dyDescent="0.2">
      <c r="B44" s="6"/>
      <c r="F44" s="6"/>
    </row>
    <row r="45" spans="1:16" x14ac:dyDescent="0.2">
      <c r="B45" s="6"/>
      <c r="F45" s="6"/>
    </row>
    <row r="46" spans="1:16" x14ac:dyDescent="0.2">
      <c r="B46" s="6"/>
      <c r="F46" s="6"/>
    </row>
    <row r="47" spans="1:16" x14ac:dyDescent="0.2">
      <c r="B47" s="6"/>
      <c r="F47" s="6"/>
    </row>
    <row r="48" spans="1:16" x14ac:dyDescent="0.2">
      <c r="B48" s="6"/>
      <c r="F48" s="6"/>
    </row>
    <row r="49" spans="2:6" x14ac:dyDescent="0.2">
      <c r="B49" s="6"/>
      <c r="F49" s="6"/>
    </row>
    <row r="50" spans="2:6" x14ac:dyDescent="0.2">
      <c r="B50" s="6"/>
      <c r="F50" s="6"/>
    </row>
    <row r="51" spans="2:6" x14ac:dyDescent="0.2">
      <c r="B51" s="6"/>
      <c r="F51" s="6"/>
    </row>
    <row r="52" spans="2:6" x14ac:dyDescent="0.2">
      <c r="B52" s="6"/>
      <c r="F52" s="6"/>
    </row>
    <row r="53" spans="2:6" x14ac:dyDescent="0.2">
      <c r="B53" s="6"/>
      <c r="F53" s="6"/>
    </row>
    <row r="54" spans="2:6" x14ac:dyDescent="0.2">
      <c r="B54" s="6"/>
      <c r="F54" s="6"/>
    </row>
    <row r="55" spans="2:6" x14ac:dyDescent="0.2">
      <c r="B55" s="6"/>
      <c r="F55" s="6"/>
    </row>
    <row r="56" spans="2:6" x14ac:dyDescent="0.2">
      <c r="B56" s="6"/>
      <c r="F56" s="6"/>
    </row>
    <row r="57" spans="2:6" x14ac:dyDescent="0.2">
      <c r="B57" s="6"/>
      <c r="F57" s="6"/>
    </row>
    <row r="58" spans="2:6" x14ac:dyDescent="0.2">
      <c r="B58" s="6"/>
      <c r="F58" s="6"/>
    </row>
    <row r="59" spans="2:6" x14ac:dyDescent="0.2">
      <c r="B59" s="6"/>
      <c r="F59" s="6"/>
    </row>
    <row r="60" spans="2:6" x14ac:dyDescent="0.2">
      <c r="B60" s="6"/>
      <c r="F60" s="6"/>
    </row>
    <row r="61" spans="2:6" x14ac:dyDescent="0.2">
      <c r="B61" s="6"/>
      <c r="F61" s="6"/>
    </row>
    <row r="62" spans="2:6" x14ac:dyDescent="0.2">
      <c r="B62" s="6"/>
      <c r="F62" s="6"/>
    </row>
    <row r="63" spans="2:6" x14ac:dyDescent="0.2">
      <c r="B63" s="6"/>
      <c r="F63" s="6"/>
    </row>
    <row r="64" spans="2:6" x14ac:dyDescent="0.2">
      <c r="B64" s="6"/>
      <c r="F64" s="6"/>
    </row>
    <row r="65" spans="2:6" x14ac:dyDescent="0.2">
      <c r="B65" s="6"/>
      <c r="F65" s="6"/>
    </row>
    <row r="66" spans="2:6" x14ac:dyDescent="0.2">
      <c r="B66" s="6"/>
      <c r="F66" s="6"/>
    </row>
    <row r="67" spans="2:6" x14ac:dyDescent="0.2">
      <c r="B67" s="6"/>
      <c r="F67" s="6"/>
    </row>
    <row r="68" spans="2:6" x14ac:dyDescent="0.2">
      <c r="B68" s="6"/>
      <c r="F68" s="6"/>
    </row>
    <row r="69" spans="2:6" x14ac:dyDescent="0.2">
      <c r="B69" s="6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</sheetData>
  <phoneticPr fontId="7" type="noConversion"/>
  <hyperlinks>
    <hyperlink ref="P37" r:id="rId1" display="http://var.astro.cz/oejv/issues/oejv0003.pdf"/>
    <hyperlink ref="P38" r:id="rId2" display="http://www.konkoly.hu/cgi-bin/IBVS?5690"/>
    <hyperlink ref="P39" r:id="rId3" display="http://www.bav-astro.de/sfs/BAVM_link.php?BAVMnr=183"/>
    <hyperlink ref="P40" r:id="rId4" display="http://www.bav-astro.de/sfs/BAVM_link.php?BAVMnr=201"/>
    <hyperlink ref="P41" r:id="rId5" display="http://www.konkoly.hu/cgi-bin/IBVS?5894"/>
    <hyperlink ref="P42" r:id="rId6" display="http://www.konkoly.hu/cgi-bin/IBVS?601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2024-03-07T04:31:49Z</dcterms:modified>
</cp:coreProperties>
</file>