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D4DC4222-4638-4064-B5CA-EAADCC2EED75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9" i="1" l="1"/>
  <c r="D9" i="1"/>
  <c r="F16" i="1"/>
  <c r="F17" i="1" s="1"/>
  <c r="E21" i="1"/>
  <c r="F21" i="1"/>
  <c r="G21" i="1"/>
  <c r="C22" i="1"/>
  <c r="E22" i="1"/>
  <c r="F22" i="1"/>
  <c r="G22" i="1"/>
  <c r="K22" i="1"/>
  <c r="E23" i="1"/>
  <c r="F23" i="1"/>
  <c r="G23" i="1"/>
  <c r="K23" i="1"/>
  <c r="E24" i="1"/>
  <c r="F24" i="1"/>
  <c r="G24" i="1"/>
  <c r="K24" i="1"/>
  <c r="E25" i="1"/>
  <c r="F25" i="1"/>
  <c r="G25" i="1"/>
  <c r="K25" i="1"/>
  <c r="E26" i="1"/>
  <c r="F26" i="1"/>
  <c r="G26" i="1"/>
  <c r="K26" i="1"/>
  <c r="E27" i="1"/>
  <c r="F27" i="1"/>
  <c r="G27" i="1"/>
  <c r="K27" i="1"/>
  <c r="E28" i="1"/>
  <c r="F28" i="1"/>
  <c r="G28" i="1"/>
  <c r="K28" i="1"/>
  <c r="Q26" i="1"/>
  <c r="Q27" i="1"/>
  <c r="Q28" i="1"/>
  <c r="C17" i="1"/>
  <c r="Q25" i="1"/>
  <c r="Q21" i="1"/>
  <c r="Q22" i="1"/>
  <c r="Q24" i="1"/>
  <c r="Q23" i="1"/>
  <c r="C11" i="1"/>
  <c r="C12" i="1"/>
  <c r="C16" i="1"/>
  <c r="D18" i="1"/>
  <c r="K21" i="1"/>
  <c r="O21" i="1"/>
  <c r="O28" i="1"/>
  <c r="O23" i="1"/>
  <c r="O26" i="1"/>
  <c r="C15" i="1"/>
  <c r="O25" i="1"/>
  <c r="O27" i="1"/>
  <c r="O24" i="1"/>
  <c r="O22" i="1"/>
  <c r="C18" i="1"/>
  <c r="F18" i="1" l="1"/>
  <c r="F19" i="1" s="1"/>
</calcChain>
</file>

<file path=xl/sharedStrings.xml><?xml version="1.0" encoding="utf-8"?>
<sst xmlns="http://schemas.openxmlformats.org/spreadsheetml/2006/main" count="63" uniqueCount="52">
  <si>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</si>
  <si>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</si>
  <si>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</si>
  <si>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</si>
  <si>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</si>
  <si>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</si>
  <si>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</si>
  <si>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</si>
  <si>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</si>
  <si>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</si>
  <si>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</si>
  <si>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</si>
  <si>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</si>
  <si>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</si>
  <si>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</si>
  <si>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</si>
  <si>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</si>
  <si>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</si>
  <si>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</si>
  <si>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</si>
  <si>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</si>
  <si>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</si>
  <si>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</si>
  <si>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</si>
  <si>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</si>
  <si>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Triple?  See IBVS 5413</t>
  </si>
  <si>
    <t>IBVS 5413</t>
  </si>
  <si>
    <t>Hipparcos</t>
  </si>
  <si>
    <t>II</t>
  </si>
  <si>
    <t>I</t>
  </si>
  <si>
    <t>Hipparcos data appears to indicate the secondary ToM is at a phase of approx 0.489</t>
  </si>
  <si>
    <t>not avail.</t>
  </si>
  <si>
    <t>IBVS 5592</t>
  </si>
  <si>
    <t># of data points:</t>
  </si>
  <si>
    <t>E:</t>
  </si>
  <si>
    <t>V1154 Tau / GSC 01845-03944</t>
  </si>
  <si>
    <t>IBVS 6114</t>
  </si>
  <si>
    <t>Add cycle</t>
  </si>
  <si>
    <t>JD today</t>
  </si>
  <si>
    <t>Old Cycle</t>
  </si>
  <si>
    <t>New Cycle</t>
  </si>
  <si>
    <t>Next ToM</t>
  </si>
  <si>
    <t>My time zone &gt;&gt;&gt;&gt;&gt;</t>
  </si>
  <si>
    <t>(PST=8, PDT=MDT=7, MDT=CST=6, etc.)</t>
  </si>
  <si>
    <t>Start of linear fit &gt;&gt;&gt;&gt;&gt;&gt;&gt;&gt;&gt;&gt;&gt;&gt;&gt;&gt;&gt;&gt;&gt;&gt;&gt;&gt;&gt;</t>
  </si>
  <si>
    <t>s5</t>
  </si>
  <si>
    <t>s6</t>
  </si>
  <si>
    <t>s7</t>
  </si>
  <si>
    <t>pg</t>
  </si>
  <si>
    <t>vis</t>
  </si>
  <si>
    <t>PE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</si>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</sst>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2" formatCode="0.0000"/>
    <numFmt numFmtId="176" formatCode="0.00000000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42">
    <xf numFmtId="0" fontId="0" fillId="0" borderId="0" xfId="0" applyAlignment="1"/>
    <xf numFmtId="0" fontId="0" fillId="0" borderId="0" xfId="0" applyAlignment="1">
      <alignment horizontal="center"/>
    </xf>
    <xf numFmtId="172" fontId="0" fillId="0" borderId="0" xfId="0" applyNumberFormat="1" applyAlignment="1"/>
    <xf numFmtId="2" fontId="0" fillId="0" borderId="0" xfId="0" applyNumberFormat="1" applyAlignment="1"/>
    <xf numFmtId="22" fontId="0" fillId="0" borderId="0" xfId="0" applyNumberFormat="1" applyAlignment="1"/>
    <xf numFmtId="14" fontId="0" fillId="0" borderId="0" xfId="0" applyNumberFormat="1" applyAlignment="1"/>
    <xf numFmtId="172" fontId="0" fillId="0" borderId="0" xfId="0" applyNumberFormat="1" applyAlignment="1">
      <alignment horizontal="left"/>
    </xf>
    <xf numFmtId="0" fontId="0" fillId="0" borderId="0" xfId="0" applyAlignment="1">
      <alignment vertical="center"/>
    </xf>
    <xf numFmtId="0" fontId="5" fillId="0" borderId="7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72" fontId="0" fillId="0" borderId="0" xfId="0" applyNumberFormat="1" applyAlignment="1">
      <alignment vertical="center"/>
    </xf>
    <xf numFmtId="176" fontId="0" fillId="0" borderId="0" xfId="0" applyNumberFormat="1" applyAlignment="1">
      <alignment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22" fontId="10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72" fontId="0" fillId="0" borderId="0" xfId="0" applyNumberFormat="1" applyAlignment="1">
      <alignment horizontal="left" vertical="center"/>
    </xf>
    <xf numFmtId="14" fontId="0" fillId="0" borderId="0" xfId="0" applyNumberFormat="1" applyAlignment="1">
      <alignment vertical="center"/>
    </xf>
    <xf numFmtId="22" fontId="0" fillId="0" borderId="0" xfId="0" applyNumberFormat="1" applyAlignment="1">
      <alignment vertical="center"/>
    </xf>
    <xf numFmtId="172" fontId="8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V1154 Tau - O-C Diagr.</a:t>
            </a:r>
          </a:p>
        </c:rich>
      </c:tx>
      <c:layout>
        <c:manualLayout>
          <c:xMode val="edge"/>
          <c:yMode val="edge"/>
          <c:x val="0.38796441737996579"/>
          <c:y val="1.47928994082840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263810834348756E-2"/>
          <c:y val="0.10059171597633136"/>
          <c:w val="0.90012860373357206"/>
          <c:h val="0.724852071005917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1'!$F$21:$F$996</c:f>
              <c:numCache>
                <c:formatCode>General</c:formatCode>
                <c:ptCount val="976"/>
                <c:pt idx="0">
                  <c:v>-2664</c:v>
                </c:pt>
                <c:pt idx="1">
                  <c:v>-2590.5</c:v>
                </c:pt>
                <c:pt idx="2">
                  <c:v>-238</c:v>
                </c:pt>
                <c:pt idx="3">
                  <c:v>-79</c:v>
                </c:pt>
                <c:pt idx="4">
                  <c:v>0</c:v>
                </c:pt>
                <c:pt idx="5">
                  <c:v>1826</c:v>
                </c:pt>
                <c:pt idx="6">
                  <c:v>1975.5</c:v>
                </c:pt>
                <c:pt idx="7">
                  <c:v>2032</c:v>
                </c:pt>
              </c:numCache>
            </c:numRef>
          </c:xVal>
          <c:yVal>
            <c:numRef>
              <c:f>'Active 1'!$H$21:$H$996</c:f>
              <c:numCache>
                <c:formatCode>0.0000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EC8-4165-B4FA-C3677E44A7EA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1'!$D$22:$D$47</c:f>
                <c:numCache>
                  <c:formatCode>General</c:formatCode>
                  <c:ptCount val="26"/>
                  <c:pt idx="1">
                    <c:v>0</c:v>
                  </c:pt>
                  <c:pt idx="2">
                    <c:v>1E-4</c:v>
                  </c:pt>
                  <c:pt idx="3">
                    <c:v>5.9999999999999995E-4</c:v>
                  </c:pt>
                  <c:pt idx="4">
                    <c:v>8.7000000000000001E-4</c:v>
                  </c:pt>
                  <c:pt idx="5">
                    <c:v>2.49E-3</c:v>
                  </c:pt>
                  <c:pt idx="6">
                    <c:v>5.6999999999999998E-4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1'!$F$21:$F$996</c:f>
              <c:numCache>
                <c:formatCode>General</c:formatCode>
                <c:ptCount val="976"/>
                <c:pt idx="0">
                  <c:v>-2664</c:v>
                </c:pt>
                <c:pt idx="1">
                  <c:v>-2590.5</c:v>
                </c:pt>
                <c:pt idx="2">
                  <c:v>-238</c:v>
                </c:pt>
                <c:pt idx="3">
                  <c:v>-79</c:v>
                </c:pt>
                <c:pt idx="4">
                  <c:v>0</c:v>
                </c:pt>
                <c:pt idx="5">
                  <c:v>1826</c:v>
                </c:pt>
                <c:pt idx="6">
                  <c:v>1975.5</c:v>
                </c:pt>
                <c:pt idx="7">
                  <c:v>2032</c:v>
                </c:pt>
              </c:numCache>
            </c:numRef>
          </c:xVal>
          <c:yVal>
            <c:numRef>
              <c:f>'Active 1'!$I$21:$I$996</c:f>
              <c:numCache>
                <c:formatCode>0.0000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EC8-4165-B4FA-C3677E44A7EA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1'!$D$21:$D$47</c:f>
                <c:numCache>
                  <c:formatCode>General</c:formatCode>
                  <c:ptCount val="27"/>
                  <c:pt idx="2">
                    <c:v>0</c:v>
                  </c:pt>
                  <c:pt idx="3">
                    <c:v>1E-4</c:v>
                  </c:pt>
                  <c:pt idx="4">
                    <c:v>5.9999999999999995E-4</c:v>
                  </c:pt>
                  <c:pt idx="5">
                    <c:v>8.7000000000000001E-4</c:v>
                  </c:pt>
                  <c:pt idx="6">
                    <c:v>2.49E-3</c:v>
                  </c:pt>
                  <c:pt idx="7">
                    <c:v>5.6999999999999998E-4</c:v>
                  </c:pt>
                </c:numCache>
              </c:numRef>
            </c:plus>
            <c:minus>
              <c:numRef>
                <c:f>'Active 1'!$D$21:$D$47</c:f>
                <c:numCache>
                  <c:formatCode>General</c:formatCode>
                  <c:ptCount val="27"/>
                  <c:pt idx="2">
                    <c:v>0</c:v>
                  </c:pt>
                  <c:pt idx="3">
                    <c:v>1E-4</c:v>
                  </c:pt>
                  <c:pt idx="4">
                    <c:v>5.9999999999999995E-4</c:v>
                  </c:pt>
                  <c:pt idx="5">
                    <c:v>8.7000000000000001E-4</c:v>
                  </c:pt>
                  <c:pt idx="6">
                    <c:v>2.49E-3</c:v>
                  </c:pt>
                  <c:pt idx="7">
                    <c:v>5.6999999999999998E-4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1'!$F$21:$F$996</c:f>
              <c:numCache>
                <c:formatCode>General</c:formatCode>
                <c:ptCount val="976"/>
                <c:pt idx="0">
                  <c:v>-2664</c:v>
                </c:pt>
                <c:pt idx="1">
                  <c:v>-2590.5</c:v>
                </c:pt>
                <c:pt idx="2">
                  <c:v>-238</c:v>
                </c:pt>
                <c:pt idx="3">
                  <c:v>-79</c:v>
                </c:pt>
                <c:pt idx="4">
                  <c:v>0</c:v>
                </c:pt>
                <c:pt idx="5">
                  <c:v>1826</c:v>
                </c:pt>
                <c:pt idx="6">
                  <c:v>1975.5</c:v>
                </c:pt>
                <c:pt idx="7">
                  <c:v>2032</c:v>
                </c:pt>
              </c:numCache>
            </c:numRef>
          </c:xVal>
          <c:yVal>
            <c:numRef>
              <c:f>'Active 1'!$J$21:$J$996</c:f>
              <c:numCache>
                <c:formatCode>0.0000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EC8-4165-B4FA-C3677E44A7EA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1'!$F$21:$F$996</c:f>
              <c:numCache>
                <c:formatCode>General</c:formatCode>
                <c:ptCount val="976"/>
                <c:pt idx="0">
                  <c:v>-2664</c:v>
                </c:pt>
                <c:pt idx="1">
                  <c:v>-2590.5</c:v>
                </c:pt>
                <c:pt idx="2">
                  <c:v>-238</c:v>
                </c:pt>
                <c:pt idx="3">
                  <c:v>-79</c:v>
                </c:pt>
                <c:pt idx="4">
                  <c:v>0</c:v>
                </c:pt>
                <c:pt idx="5">
                  <c:v>1826</c:v>
                </c:pt>
                <c:pt idx="6">
                  <c:v>1975.5</c:v>
                </c:pt>
                <c:pt idx="7">
                  <c:v>2032</c:v>
                </c:pt>
              </c:numCache>
            </c:numRef>
          </c:xVal>
          <c:yVal>
            <c:numRef>
              <c:f>'Active 1'!$K$21:$K$996</c:f>
              <c:numCache>
                <c:formatCode>0.0000</c:formatCode>
                <c:ptCount val="976"/>
                <c:pt idx="0">
                  <c:v>5.4190079972613603E-3</c:v>
                </c:pt>
                <c:pt idx="1">
                  <c:v>-5.5584079163963906E-3</c:v>
                </c:pt>
                <c:pt idx="2">
                  <c:v>-2.3546400188934058E-4</c:v>
                </c:pt>
                <c:pt idx="3">
                  <c:v>3.8738799776183441E-4</c:v>
                </c:pt>
                <c:pt idx="4">
                  <c:v>0</c:v>
                </c:pt>
                <c:pt idx="5">
                  <c:v>-1.7401272001734469E-2</c:v>
                </c:pt>
                <c:pt idx="6">
                  <c:v>-8.7758859954192303E-3</c:v>
                </c:pt>
                <c:pt idx="7">
                  <c:v>-1.4159903999825474E-2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EC8-4165-B4FA-C3677E44A7EA}"/>
            </c:ext>
          </c:extLst>
        </c:ser>
        <c:ser>
          <c:idx val="2"/>
          <c:order val="4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1'!$F$21:$F$996</c:f>
              <c:numCache>
                <c:formatCode>General</c:formatCode>
                <c:ptCount val="976"/>
                <c:pt idx="0">
                  <c:v>-2664</c:v>
                </c:pt>
                <c:pt idx="1">
                  <c:v>-2590.5</c:v>
                </c:pt>
                <c:pt idx="2">
                  <c:v>-238</c:v>
                </c:pt>
                <c:pt idx="3">
                  <c:v>-79</c:v>
                </c:pt>
                <c:pt idx="4">
                  <c:v>0</c:v>
                </c:pt>
                <c:pt idx="5">
                  <c:v>1826</c:v>
                </c:pt>
                <c:pt idx="6">
                  <c:v>1975.5</c:v>
                </c:pt>
                <c:pt idx="7">
                  <c:v>2032</c:v>
                </c:pt>
              </c:numCache>
            </c:numRef>
          </c:xVal>
          <c:yVal>
            <c:numRef>
              <c:f>'Active 1'!$O$21:$O$996</c:f>
              <c:numCache>
                <c:formatCode>0.0000</c:formatCode>
                <c:ptCount val="976"/>
                <c:pt idx="0">
                  <c:v>3.1450504116389303E-3</c:v>
                </c:pt>
                <c:pt idx="1">
                  <c:v>2.9219511635077784E-3</c:v>
                </c:pt>
                <c:pt idx="2">
                  <c:v>-4.2187424586491362E-3</c:v>
                </c:pt>
                <c:pt idx="3">
                  <c:v>-4.7013653219532591E-3</c:v>
                </c:pt>
                <c:pt idx="4">
                  <c:v>-4.9411590716452449E-3</c:v>
                </c:pt>
                <c:pt idx="5">
                  <c:v>-1.0483733589842281E-2</c:v>
                </c:pt>
                <c:pt idx="6">
                  <c:v>-1.0937520495904962E-2</c:v>
                </c:pt>
                <c:pt idx="7">
                  <c:v>-1.1109018557393536E-2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EC8-4165-B4FA-C3677E44A7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8548504"/>
        <c:axId val="1"/>
      </c:scatterChart>
      <c:valAx>
        <c:axId val="768548504"/>
        <c:scaling>
          <c:orientation val="minMax"/>
        </c:scaling>
        <c:delete val="0"/>
        <c:axPos val="b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960334183579159"/>
              <c:y val="0.881656804733727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minorGridlines>
          <c:spPr>
            <a:ln w="3175">
              <a:solidFill>
                <a:srgbClr val="969696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4020486555697821E-3"/>
              <c:y val="0.37278106508875741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8548504"/>
        <c:crosses val="autoZero"/>
        <c:crossBetween val="midCat"/>
        <c:majorUnit val="5.0000000000000001E-3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772113953105413"/>
          <c:y val="0.93195266272189348"/>
          <c:w val="0.33930884759763547"/>
          <c:h val="5.91715976331360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V1154 Tau - O-C Diagr.</a:t>
            </a:r>
          </a:p>
        </c:rich>
      </c:tx>
      <c:layout>
        <c:manualLayout>
          <c:xMode val="edge"/>
          <c:yMode val="edge"/>
          <c:x val="0.3737378282260172"/>
          <c:y val="1.20772946859903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795225969553184E-2"/>
          <c:y val="8.6956726856711519E-2"/>
          <c:w val="0.87446010673152663"/>
          <c:h val="0.7826105417104036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1'!$F$21:$F$996</c:f>
              <c:numCache>
                <c:formatCode>General</c:formatCode>
                <c:ptCount val="976"/>
                <c:pt idx="0">
                  <c:v>-2664</c:v>
                </c:pt>
                <c:pt idx="1">
                  <c:v>-2590.5</c:v>
                </c:pt>
                <c:pt idx="2">
                  <c:v>-238</c:v>
                </c:pt>
                <c:pt idx="3">
                  <c:v>-79</c:v>
                </c:pt>
                <c:pt idx="4">
                  <c:v>0</c:v>
                </c:pt>
                <c:pt idx="5">
                  <c:v>1826</c:v>
                </c:pt>
                <c:pt idx="6">
                  <c:v>1975.5</c:v>
                </c:pt>
                <c:pt idx="7">
                  <c:v>2032</c:v>
                </c:pt>
              </c:numCache>
            </c:numRef>
          </c:xVal>
          <c:yVal>
            <c:numRef>
              <c:f>'Active 1'!$H$21:$H$996</c:f>
              <c:numCache>
                <c:formatCode>0.0000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16-4044-B2BF-EAC5C4EB3D33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1'!$D$22:$D$47</c:f>
                <c:numCache>
                  <c:formatCode>General</c:formatCode>
                  <c:ptCount val="26"/>
                  <c:pt idx="1">
                    <c:v>0</c:v>
                  </c:pt>
                  <c:pt idx="2">
                    <c:v>1E-4</c:v>
                  </c:pt>
                  <c:pt idx="3">
                    <c:v>5.9999999999999995E-4</c:v>
                  </c:pt>
                  <c:pt idx="4">
                    <c:v>8.7000000000000001E-4</c:v>
                  </c:pt>
                  <c:pt idx="5">
                    <c:v>2.49E-3</c:v>
                  </c:pt>
                  <c:pt idx="6">
                    <c:v>5.6999999999999998E-4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1'!$F$21:$F$996</c:f>
              <c:numCache>
                <c:formatCode>General</c:formatCode>
                <c:ptCount val="976"/>
                <c:pt idx="0">
                  <c:v>-2664</c:v>
                </c:pt>
                <c:pt idx="1">
                  <c:v>-2590.5</c:v>
                </c:pt>
                <c:pt idx="2">
                  <c:v>-238</c:v>
                </c:pt>
                <c:pt idx="3">
                  <c:v>-79</c:v>
                </c:pt>
                <c:pt idx="4">
                  <c:v>0</c:v>
                </c:pt>
                <c:pt idx="5">
                  <c:v>1826</c:v>
                </c:pt>
                <c:pt idx="6">
                  <c:v>1975.5</c:v>
                </c:pt>
                <c:pt idx="7">
                  <c:v>2032</c:v>
                </c:pt>
              </c:numCache>
            </c:numRef>
          </c:xVal>
          <c:yVal>
            <c:numRef>
              <c:f>'Active 1'!$I$21:$I$996</c:f>
              <c:numCache>
                <c:formatCode>0.0000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116-4044-B2BF-EAC5C4EB3D33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1'!$D$21:$D$47</c:f>
                <c:numCache>
                  <c:formatCode>General</c:formatCode>
                  <c:ptCount val="27"/>
                  <c:pt idx="2">
                    <c:v>0</c:v>
                  </c:pt>
                  <c:pt idx="3">
                    <c:v>1E-4</c:v>
                  </c:pt>
                  <c:pt idx="4">
                    <c:v>5.9999999999999995E-4</c:v>
                  </c:pt>
                  <c:pt idx="5">
                    <c:v>8.7000000000000001E-4</c:v>
                  </c:pt>
                  <c:pt idx="6">
                    <c:v>2.49E-3</c:v>
                  </c:pt>
                  <c:pt idx="7">
                    <c:v>5.6999999999999998E-4</c:v>
                  </c:pt>
                </c:numCache>
              </c:numRef>
            </c:plus>
            <c:minus>
              <c:numRef>
                <c:f>'Active 1'!$D$21:$D$47</c:f>
                <c:numCache>
                  <c:formatCode>General</c:formatCode>
                  <c:ptCount val="27"/>
                  <c:pt idx="2">
                    <c:v>0</c:v>
                  </c:pt>
                  <c:pt idx="3">
                    <c:v>1E-4</c:v>
                  </c:pt>
                  <c:pt idx="4">
                    <c:v>5.9999999999999995E-4</c:v>
                  </c:pt>
                  <c:pt idx="5">
                    <c:v>8.7000000000000001E-4</c:v>
                  </c:pt>
                  <c:pt idx="6">
                    <c:v>2.49E-3</c:v>
                  </c:pt>
                  <c:pt idx="7">
                    <c:v>5.6999999999999998E-4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1'!$F$21:$F$996</c:f>
              <c:numCache>
                <c:formatCode>General</c:formatCode>
                <c:ptCount val="976"/>
                <c:pt idx="0">
                  <c:v>-2664</c:v>
                </c:pt>
                <c:pt idx="1">
                  <c:v>-2590.5</c:v>
                </c:pt>
                <c:pt idx="2">
                  <c:v>-238</c:v>
                </c:pt>
                <c:pt idx="3">
                  <c:v>-79</c:v>
                </c:pt>
                <c:pt idx="4">
                  <c:v>0</c:v>
                </c:pt>
                <c:pt idx="5">
                  <c:v>1826</c:v>
                </c:pt>
                <c:pt idx="6">
                  <c:v>1975.5</c:v>
                </c:pt>
                <c:pt idx="7">
                  <c:v>2032</c:v>
                </c:pt>
              </c:numCache>
            </c:numRef>
          </c:xVal>
          <c:yVal>
            <c:numRef>
              <c:f>'Active 1'!$J$21:$J$996</c:f>
              <c:numCache>
                <c:formatCode>0.0000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116-4044-B2BF-EAC5C4EB3D33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1'!$F$21:$F$996</c:f>
              <c:numCache>
                <c:formatCode>General</c:formatCode>
                <c:ptCount val="976"/>
                <c:pt idx="0">
                  <c:v>-2664</c:v>
                </c:pt>
                <c:pt idx="1">
                  <c:v>-2590.5</c:v>
                </c:pt>
                <c:pt idx="2">
                  <c:v>-238</c:v>
                </c:pt>
                <c:pt idx="3">
                  <c:v>-79</c:v>
                </c:pt>
                <c:pt idx="4">
                  <c:v>0</c:v>
                </c:pt>
                <c:pt idx="5">
                  <c:v>1826</c:v>
                </c:pt>
                <c:pt idx="6">
                  <c:v>1975.5</c:v>
                </c:pt>
                <c:pt idx="7">
                  <c:v>2032</c:v>
                </c:pt>
              </c:numCache>
            </c:numRef>
          </c:xVal>
          <c:yVal>
            <c:numRef>
              <c:f>'Active 1'!$K$21:$K$996</c:f>
              <c:numCache>
                <c:formatCode>0.0000</c:formatCode>
                <c:ptCount val="976"/>
                <c:pt idx="0">
                  <c:v>5.4190079972613603E-3</c:v>
                </c:pt>
                <c:pt idx="1">
                  <c:v>-5.5584079163963906E-3</c:v>
                </c:pt>
                <c:pt idx="2">
                  <c:v>-2.3546400188934058E-4</c:v>
                </c:pt>
                <c:pt idx="3">
                  <c:v>3.8738799776183441E-4</c:v>
                </c:pt>
                <c:pt idx="4">
                  <c:v>0</c:v>
                </c:pt>
                <c:pt idx="5">
                  <c:v>-1.7401272001734469E-2</c:v>
                </c:pt>
                <c:pt idx="6">
                  <c:v>-8.7758859954192303E-3</c:v>
                </c:pt>
                <c:pt idx="7">
                  <c:v>-1.4159903999825474E-2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116-4044-B2BF-EAC5C4EB3D33}"/>
            </c:ext>
          </c:extLst>
        </c:ser>
        <c:ser>
          <c:idx val="2"/>
          <c:order val="4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1'!$F$21:$F$996</c:f>
              <c:numCache>
                <c:formatCode>General</c:formatCode>
                <c:ptCount val="976"/>
                <c:pt idx="0">
                  <c:v>-2664</c:v>
                </c:pt>
                <c:pt idx="1">
                  <c:v>-2590.5</c:v>
                </c:pt>
                <c:pt idx="2">
                  <c:v>-238</c:v>
                </c:pt>
                <c:pt idx="3">
                  <c:v>-79</c:v>
                </c:pt>
                <c:pt idx="4">
                  <c:v>0</c:v>
                </c:pt>
                <c:pt idx="5">
                  <c:v>1826</c:v>
                </c:pt>
                <c:pt idx="6">
                  <c:v>1975.5</c:v>
                </c:pt>
                <c:pt idx="7">
                  <c:v>2032</c:v>
                </c:pt>
              </c:numCache>
            </c:numRef>
          </c:xVal>
          <c:yVal>
            <c:numRef>
              <c:f>'Active 1'!$O$21:$O$996</c:f>
              <c:numCache>
                <c:formatCode>0.0000</c:formatCode>
                <c:ptCount val="976"/>
                <c:pt idx="0">
                  <c:v>3.1450504116389303E-3</c:v>
                </c:pt>
                <c:pt idx="1">
                  <c:v>2.9219511635077784E-3</c:v>
                </c:pt>
                <c:pt idx="2">
                  <c:v>-4.2187424586491362E-3</c:v>
                </c:pt>
                <c:pt idx="3">
                  <c:v>-4.7013653219532591E-3</c:v>
                </c:pt>
                <c:pt idx="4">
                  <c:v>-4.9411590716452449E-3</c:v>
                </c:pt>
                <c:pt idx="5">
                  <c:v>-1.0483733589842281E-2</c:v>
                </c:pt>
                <c:pt idx="6">
                  <c:v>-1.0937520495904962E-2</c:v>
                </c:pt>
                <c:pt idx="7">
                  <c:v>-1.1109018557393536E-2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116-4044-B2BF-EAC5C4EB3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8550664"/>
        <c:axId val="1"/>
      </c:scatterChart>
      <c:valAx>
        <c:axId val="768550664"/>
        <c:scaling>
          <c:orientation val="minMax"/>
        </c:scaling>
        <c:delete val="0"/>
        <c:axPos val="b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744600864285903"/>
              <c:y val="0.934784891019057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215007215007215E-3"/>
              <c:y val="0.40579811581523323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8550664"/>
        <c:crosses val="autoZero"/>
        <c:crossBetween val="midCat"/>
        <c:majorUnit val="5.0000000000000001E-3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6219381668200562"/>
          <c:y val="0.94203126783065161"/>
          <c:w val="0.3823959883802403"/>
          <c:h val="4.83091787439613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0</xdr:row>
      <xdr:rowOff>0</xdr:rowOff>
    </xdr:from>
    <xdr:to>
      <xdr:col>18</xdr:col>
      <xdr:colOff>47625</xdr:colOff>
      <xdr:row>18</xdr:row>
      <xdr:rowOff>152400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E0A7B893-7A2C-E6A3-662C-E500EA6CB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38100</xdr:rowOff>
    </xdr:from>
    <xdr:to>
      <xdr:col>11</xdr:col>
      <xdr:colOff>28575</xdr:colOff>
      <xdr:row>24</xdr:row>
      <xdr:rowOff>95250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8379AAE5-7B58-7AEA-F171-32FC38C0CD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64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6.28515625" customWidth="1"/>
    <col min="2" max="2" width="4.140625" customWidth="1"/>
    <col min="3" max="3" width="11.85546875" style="2" customWidth="1"/>
    <col min="4" max="4" width="9.42578125" style="2" customWidth="1"/>
    <col min="5" max="5" width="9.85546875" style="3" customWidth="1"/>
    <col min="6" max="6" width="15.85546875" customWidth="1"/>
    <col min="7" max="7" width="8.140625" style="2" customWidth="1"/>
    <col min="8" max="14" width="8.5703125" style="2" customWidth="1"/>
    <col min="15" max="15" width="8" style="2" customWidth="1"/>
    <col min="16" max="16" width="7.7109375" style="2" customWidth="1"/>
    <col min="17" max="17" width="10.42578125" style="5" customWidth="1"/>
    <col min="18" max="18" width="18.7109375" style="4" bestFit="1" customWidth="1"/>
  </cols>
  <sheetData>
    <row r="1" spans="1:7" s="7" customFormat="1" ht="20.25" x14ac:dyDescent="0.2">
      <c r="A1" s="40" t="s">
        <v>35</v>
      </c>
      <c r="B1" s="40"/>
    </row>
    <row r="2" spans="1:7" s="7" customFormat="1" ht="12.95" customHeight="1" x14ac:dyDescent="0.2">
      <c r="A2" s="7" t="s">
        <v>24</v>
      </c>
      <c r="B2" s="8" t="s">
        <v>34</v>
      </c>
      <c r="C2" s="9" t="s">
        <v>30</v>
      </c>
    </row>
    <row r="3" spans="1:7" s="7" customFormat="1" ht="12.95" customHeight="1" thickBot="1" x14ac:dyDescent="0.25">
      <c r="A3" s="10" t="s">
        <v>25</v>
      </c>
    </row>
    <row r="4" spans="1:7" s="7" customFormat="1" ht="12.95" customHeight="1" thickBot="1" x14ac:dyDescent="0.25">
      <c r="A4" s="11" t="s">
        <v>0</v>
      </c>
      <c r="B4" s="11"/>
      <c r="C4" s="12" t="s">
        <v>31</v>
      </c>
      <c r="D4" s="13" t="s">
        <v>31</v>
      </c>
    </row>
    <row r="5" spans="1:7" s="7" customFormat="1" ht="12.95" customHeight="1" x14ac:dyDescent="0.2">
      <c r="A5" s="14" t="s">
        <v>42</v>
      </c>
      <c r="C5" s="15">
        <v>-9.5</v>
      </c>
      <c r="D5" s="7" t="s">
        <v>43</v>
      </c>
    </row>
    <row r="6" spans="1:7" s="7" customFormat="1" ht="12.95" customHeight="1" x14ac:dyDescent="0.2">
      <c r="A6" s="11" t="s">
        <v>1</v>
      </c>
      <c r="B6" s="11"/>
    </row>
    <row r="7" spans="1:7" s="7" customFormat="1" ht="12.95" customHeight="1" x14ac:dyDescent="0.2">
      <c r="A7" s="7" t="s">
        <v>2</v>
      </c>
      <c r="C7" s="16">
        <v>53064.140200000002</v>
      </c>
    </row>
    <row r="8" spans="1:7" s="7" customFormat="1" ht="12.95" customHeight="1" x14ac:dyDescent="0.2">
      <c r="A8" s="7" t="s">
        <v>3</v>
      </c>
      <c r="C8" s="17">
        <v>1.767902372</v>
      </c>
    </row>
    <row r="9" spans="1:7" s="7" customFormat="1" ht="12.95" customHeight="1" x14ac:dyDescent="0.2">
      <c r="A9" s="18" t="s">
        <v>44</v>
      </c>
      <c r="C9" s="19">
        <v>21</v>
      </c>
      <c r="D9" s="20" t="str">
        <f>"F"&amp;C9</f>
        <v>F21</v>
      </c>
      <c r="E9" s="21" t="str">
        <f>"G"&amp;C9</f>
        <v>G21</v>
      </c>
    </row>
    <row r="10" spans="1:7" s="7" customFormat="1" ht="12.95" customHeight="1" thickBot="1" x14ac:dyDescent="0.25">
      <c r="C10" s="22" t="s">
        <v>19</v>
      </c>
      <c r="D10" s="22" t="s">
        <v>20</v>
      </c>
    </row>
    <row r="11" spans="1:7" s="7" customFormat="1" ht="12.95" customHeight="1" x14ac:dyDescent="0.2">
      <c r="A11" s="7" t="s">
        <v>15</v>
      </c>
      <c r="C11" s="7">
        <f>INTERCEPT(G21:G996,F21:F996)</f>
        <v>-4.9411590716452449E-3</v>
      </c>
      <c r="D11" s="23"/>
      <c r="G11" s="16"/>
    </row>
    <row r="12" spans="1:7" s="7" customFormat="1" ht="12.95" customHeight="1" x14ac:dyDescent="0.2">
      <c r="A12" s="7" t="s">
        <v>16</v>
      </c>
      <c r="C12" s="7">
        <f>SLOPE(G21:G996,F21:F996)</f>
        <v>-3.0353639201517173E-6</v>
      </c>
      <c r="D12" s="23"/>
    </row>
    <row r="13" spans="1:7" s="7" customFormat="1" ht="12.95" customHeight="1" x14ac:dyDescent="0.2">
      <c r="A13" s="7" t="s">
        <v>18</v>
      </c>
      <c r="C13" s="23" t="s">
        <v>13</v>
      </c>
      <c r="D13" s="16"/>
      <c r="E13" s="24"/>
    </row>
    <row r="14" spans="1:7" s="7" customFormat="1" ht="12.95" customHeight="1" x14ac:dyDescent="0.2">
      <c r="A14" s="7" t="s">
        <v>23</v>
      </c>
      <c r="D14" s="16"/>
      <c r="E14" s="24"/>
    </row>
    <row r="15" spans="1:7" s="7" customFormat="1" ht="12.95" customHeight="1" x14ac:dyDescent="0.2">
      <c r="A15" s="25" t="s">
        <v>17</v>
      </c>
      <c r="B15" s="25"/>
      <c r="C15" s="26">
        <f>(C7+C11)+(C8+C12)*INT(MAX(F21:F3533))</f>
        <v>56656.506710885442</v>
      </c>
      <c r="D15" s="16"/>
      <c r="E15" s="27" t="s">
        <v>37</v>
      </c>
      <c r="F15" s="15">
        <v>1</v>
      </c>
    </row>
    <row r="16" spans="1:7" s="7" customFormat="1" ht="12.95" customHeight="1" x14ac:dyDescent="0.2">
      <c r="A16" s="11" t="s">
        <v>4</v>
      </c>
      <c r="B16" s="11"/>
      <c r="C16" s="28">
        <f>+C8+C12</f>
        <v>1.7678993366360798</v>
      </c>
      <c r="D16" s="16"/>
      <c r="E16" s="27" t="s">
        <v>38</v>
      </c>
      <c r="F16" s="10">
        <f ca="1">NOW()+15018.5+$C$5/24</f>
        <v>60376.806398148146</v>
      </c>
    </row>
    <row r="17" spans="1:18" s="7" customFormat="1" ht="12.95" customHeight="1" thickBot="1" x14ac:dyDescent="0.25">
      <c r="A17" s="27" t="s">
        <v>33</v>
      </c>
      <c r="C17" s="7">
        <f>COUNT(C21:C2191)</f>
        <v>8</v>
      </c>
      <c r="D17" s="16"/>
      <c r="E17" s="27" t="s">
        <v>39</v>
      </c>
      <c r="F17" s="10">
        <f ca="1">ROUND(2*(F16-$C$7)/$C$8,0)/2+F15</f>
        <v>4137.5</v>
      </c>
    </row>
    <row r="18" spans="1:18" s="7" customFormat="1" ht="12.95" customHeight="1" thickTop="1" thickBot="1" x14ac:dyDescent="0.25">
      <c r="A18" s="11" t="s">
        <v>5</v>
      </c>
      <c r="B18" s="11"/>
      <c r="C18" s="29">
        <f>+C15</f>
        <v>56656.506710885442</v>
      </c>
      <c r="D18" s="30">
        <f>+C16</f>
        <v>1.7678993366360798</v>
      </c>
      <c r="E18" s="27" t="s">
        <v>40</v>
      </c>
      <c r="F18" s="21">
        <f ca="1">ROUND(2*(F16-$C$15)/$C$16,0)/2+F15</f>
        <v>2105.5</v>
      </c>
    </row>
    <row r="19" spans="1:18" s="7" customFormat="1" ht="12.95" customHeight="1" thickTop="1" x14ac:dyDescent="0.2">
      <c r="C19" s="16"/>
      <c r="D19" s="16"/>
      <c r="E19" s="27" t="s">
        <v>41</v>
      </c>
      <c r="F19" s="31">
        <f ca="1">+$C$15+$C$16*F18-15018.5-$C$5/24</f>
        <v>45360.714597506041</v>
      </c>
    </row>
    <row r="20" spans="1:18" s="7" customFormat="1" ht="12.95" customHeight="1" thickBot="1" x14ac:dyDescent="0.25">
      <c r="A20" s="22" t="s">
        <v>6</v>
      </c>
      <c r="B20" s="22" t="s">
        <v>7</v>
      </c>
      <c r="C20" s="22" t="s">
        <v>8</v>
      </c>
      <c r="D20" s="22" t="s">
        <v>12</v>
      </c>
      <c r="E20" s="22" t="s">
        <v>9</v>
      </c>
      <c r="F20" s="22" t="s">
        <v>10</v>
      </c>
      <c r="G20" s="22" t="s">
        <v>11</v>
      </c>
      <c r="H20" s="32" t="s">
        <v>48</v>
      </c>
      <c r="I20" s="32" t="s">
        <v>49</v>
      </c>
      <c r="J20" s="32" t="s">
        <v>50</v>
      </c>
      <c r="K20" s="32" t="s">
        <v>51</v>
      </c>
      <c r="L20" s="32" t="s">
        <v>45</v>
      </c>
      <c r="M20" s="32" t="s">
        <v>46</v>
      </c>
      <c r="N20" s="32" t="s">
        <v>47</v>
      </c>
      <c r="O20" s="32" t="s">
        <v>22</v>
      </c>
      <c r="P20" s="33" t="s">
        <v>21</v>
      </c>
      <c r="Q20" s="22" t="s">
        <v>14</v>
      </c>
    </row>
    <row r="21" spans="1:18" s="7" customFormat="1" ht="12.95" customHeight="1" x14ac:dyDescent="0.2">
      <c r="A21" s="7" t="s">
        <v>27</v>
      </c>
      <c r="B21" s="23" t="s">
        <v>29</v>
      </c>
      <c r="C21" s="34">
        <v>48354.453699999998</v>
      </c>
      <c r="D21" s="34"/>
      <c r="E21" s="24">
        <f t="shared" ref="E21:E28" si="0">+(C21-C$7)/C$8</f>
        <v>-2663.9969347809683</v>
      </c>
      <c r="F21" s="7">
        <f t="shared" ref="F21:F28" si="1">ROUND(2*E21,0)/2</f>
        <v>-2664</v>
      </c>
      <c r="G21" s="16">
        <f t="shared" ref="G21:G28" si="2">+C21-(C$7+F21*C$8)</f>
        <v>5.4190079972613603E-3</v>
      </c>
      <c r="H21" s="16"/>
      <c r="I21" s="16"/>
      <c r="J21" s="16"/>
      <c r="K21" s="16">
        <f t="shared" ref="K21:K28" si="3">G21</f>
        <v>5.4190079972613603E-3</v>
      </c>
      <c r="L21" s="16"/>
      <c r="M21" s="16"/>
      <c r="N21" s="16"/>
      <c r="O21" s="16">
        <f t="shared" ref="O21:O28" si="4">+C$11+C$12*F21</f>
        <v>3.1450504116389303E-3</v>
      </c>
      <c r="P21" s="16"/>
      <c r="Q21" s="35">
        <f t="shared" ref="Q21:Q28" si="5">+C21-15018.5</f>
        <v>33335.953699999998</v>
      </c>
      <c r="R21" s="36"/>
    </row>
    <row r="22" spans="1:18" s="7" customFormat="1" ht="12.95" customHeight="1" x14ac:dyDescent="0.2">
      <c r="A22" s="9" t="s">
        <v>27</v>
      </c>
      <c r="B22" s="41" t="s">
        <v>28</v>
      </c>
      <c r="C22" s="37">
        <f>48484.3641+C8*0.011</f>
        <v>48484.383546926088</v>
      </c>
      <c r="D22" s="34"/>
      <c r="E22" s="24">
        <f t="shared" si="0"/>
        <v>-2590.5031440694925</v>
      </c>
      <c r="F22" s="7">
        <f t="shared" si="1"/>
        <v>-2590.5</v>
      </c>
      <c r="G22" s="16">
        <f t="shared" si="2"/>
        <v>-5.5584079163963906E-3</v>
      </c>
      <c r="H22" s="16"/>
      <c r="I22" s="16"/>
      <c r="J22" s="16"/>
      <c r="K22" s="16">
        <f t="shared" si="3"/>
        <v>-5.5584079163963906E-3</v>
      </c>
      <c r="L22" s="16"/>
      <c r="M22" s="16"/>
      <c r="N22" s="16"/>
      <c r="O22" s="16">
        <f t="shared" si="4"/>
        <v>2.9219511635077784E-3</v>
      </c>
      <c r="P22" s="16"/>
      <c r="Q22" s="35">
        <f t="shared" si="5"/>
        <v>33465.883546926088</v>
      </c>
      <c r="R22" s="36"/>
    </row>
    <row r="23" spans="1:18" s="7" customFormat="1" ht="12.95" customHeight="1" x14ac:dyDescent="0.2">
      <c r="A23" s="7" t="s">
        <v>26</v>
      </c>
      <c r="B23" s="23"/>
      <c r="C23" s="34">
        <v>52643.379200000003</v>
      </c>
      <c r="D23" s="34" t="s">
        <v>13</v>
      </c>
      <c r="E23" s="24">
        <f t="shared" si="0"/>
        <v>-238.00013318834928</v>
      </c>
      <c r="F23" s="7">
        <f t="shared" si="1"/>
        <v>-238</v>
      </c>
      <c r="G23" s="16">
        <f t="shared" si="2"/>
        <v>-2.3546400188934058E-4</v>
      </c>
      <c r="H23" s="16"/>
      <c r="I23" s="16"/>
      <c r="J23" s="16"/>
      <c r="K23" s="16">
        <f t="shared" si="3"/>
        <v>-2.3546400188934058E-4</v>
      </c>
      <c r="L23" s="16"/>
      <c r="M23" s="16"/>
      <c r="N23" s="16"/>
      <c r="O23" s="16">
        <f t="shared" si="4"/>
        <v>-4.2187424586491362E-3</v>
      </c>
      <c r="P23" s="16"/>
      <c r="Q23" s="35">
        <f t="shared" si="5"/>
        <v>37624.879200000003</v>
      </c>
      <c r="R23" s="36"/>
    </row>
    <row r="24" spans="1:18" s="7" customFormat="1" ht="12.95" customHeight="1" x14ac:dyDescent="0.2">
      <c r="A24" s="7" t="s">
        <v>32</v>
      </c>
      <c r="B24" s="23" t="s">
        <v>29</v>
      </c>
      <c r="C24" s="34">
        <v>52924.476300000002</v>
      </c>
      <c r="D24" s="34">
        <v>1E-4</v>
      </c>
      <c r="E24" s="24">
        <f t="shared" si="0"/>
        <v>-78.999780877040166</v>
      </c>
      <c r="F24" s="7">
        <f t="shared" si="1"/>
        <v>-79</v>
      </c>
      <c r="G24" s="16">
        <f t="shared" si="2"/>
        <v>3.8738799776183441E-4</v>
      </c>
      <c r="H24" s="16"/>
      <c r="I24" s="16"/>
      <c r="J24" s="16"/>
      <c r="K24" s="16">
        <f t="shared" si="3"/>
        <v>3.8738799776183441E-4</v>
      </c>
      <c r="L24" s="16"/>
      <c r="M24" s="16"/>
      <c r="N24" s="16"/>
      <c r="O24" s="16">
        <f t="shared" si="4"/>
        <v>-4.7013653219532591E-3</v>
      </c>
      <c r="P24" s="16"/>
      <c r="Q24" s="35">
        <f t="shared" si="5"/>
        <v>37905.976300000002</v>
      </c>
      <c r="R24" s="36"/>
    </row>
    <row r="25" spans="1:18" s="7" customFormat="1" ht="12.95" customHeight="1" x14ac:dyDescent="0.2">
      <c r="A25" s="7" t="s">
        <v>32</v>
      </c>
      <c r="B25" s="23" t="s">
        <v>29</v>
      </c>
      <c r="C25" s="34">
        <v>53064.140200000002</v>
      </c>
      <c r="D25" s="34">
        <v>5.9999999999999995E-4</v>
      </c>
      <c r="E25" s="24">
        <f t="shared" si="0"/>
        <v>0</v>
      </c>
      <c r="F25" s="7">
        <f t="shared" si="1"/>
        <v>0</v>
      </c>
      <c r="G25" s="16">
        <f t="shared" si="2"/>
        <v>0</v>
      </c>
      <c r="H25" s="16"/>
      <c r="I25" s="16"/>
      <c r="J25" s="16"/>
      <c r="K25" s="16">
        <f t="shared" si="3"/>
        <v>0</v>
      </c>
      <c r="L25" s="16"/>
      <c r="M25" s="16"/>
      <c r="N25" s="16"/>
      <c r="O25" s="16">
        <f t="shared" si="4"/>
        <v>-4.9411590716452449E-3</v>
      </c>
      <c r="P25" s="16"/>
      <c r="Q25" s="35">
        <f t="shared" si="5"/>
        <v>38045.640200000002</v>
      </c>
      <c r="R25" s="36"/>
    </row>
    <row r="26" spans="1:18" s="7" customFormat="1" ht="12.95" customHeight="1" x14ac:dyDescent="0.2">
      <c r="A26" s="38" t="s">
        <v>36</v>
      </c>
      <c r="B26" s="39" t="s">
        <v>29</v>
      </c>
      <c r="C26" s="38">
        <v>56292.312530000003</v>
      </c>
      <c r="D26" s="38">
        <v>8.7000000000000001E-4</v>
      </c>
      <c r="E26" s="24">
        <f t="shared" si="0"/>
        <v>1825.9901571080652</v>
      </c>
      <c r="F26" s="7">
        <f t="shared" si="1"/>
        <v>1826</v>
      </c>
      <c r="G26" s="16">
        <f t="shared" si="2"/>
        <v>-1.7401272001734469E-2</v>
      </c>
      <c r="H26" s="16"/>
      <c r="I26" s="16"/>
      <c r="J26" s="16"/>
      <c r="K26" s="16">
        <f t="shared" si="3"/>
        <v>-1.7401272001734469E-2</v>
      </c>
      <c r="L26" s="16"/>
      <c r="M26" s="16"/>
      <c r="N26" s="16"/>
      <c r="O26" s="16">
        <f t="shared" si="4"/>
        <v>-1.0483733589842281E-2</v>
      </c>
      <c r="P26" s="16"/>
      <c r="Q26" s="35">
        <f t="shared" si="5"/>
        <v>41273.812530000003</v>
      </c>
      <c r="R26" s="36"/>
    </row>
    <row r="27" spans="1:18" s="7" customFormat="1" ht="12.95" customHeight="1" x14ac:dyDescent="0.2">
      <c r="A27" s="38" t="s">
        <v>36</v>
      </c>
      <c r="B27" s="39" t="s">
        <v>28</v>
      </c>
      <c r="C27" s="38">
        <v>56556.622560000003</v>
      </c>
      <c r="D27" s="38">
        <v>2.49E-3</v>
      </c>
      <c r="E27" s="24">
        <f t="shared" si="0"/>
        <v>1975.4950359894658</v>
      </c>
      <c r="F27" s="7">
        <f t="shared" si="1"/>
        <v>1975.5</v>
      </c>
      <c r="G27" s="16">
        <f t="shared" si="2"/>
        <v>-8.7758859954192303E-3</v>
      </c>
      <c r="H27" s="16"/>
      <c r="I27" s="16"/>
      <c r="J27" s="16"/>
      <c r="K27" s="16">
        <f t="shared" si="3"/>
        <v>-8.7758859954192303E-3</v>
      </c>
      <c r="L27" s="16"/>
      <c r="M27" s="16"/>
      <c r="N27" s="16"/>
      <c r="O27" s="16">
        <f t="shared" si="4"/>
        <v>-1.0937520495904962E-2</v>
      </c>
      <c r="P27" s="16"/>
      <c r="Q27" s="35">
        <f t="shared" si="5"/>
        <v>41538.122560000003</v>
      </c>
      <c r="R27" s="36"/>
    </row>
    <row r="28" spans="1:18" s="7" customFormat="1" ht="12.95" customHeight="1" x14ac:dyDescent="0.2">
      <c r="A28" s="38" t="s">
        <v>36</v>
      </c>
      <c r="B28" s="39" t="s">
        <v>29</v>
      </c>
      <c r="C28" s="38">
        <v>56656.503660000002</v>
      </c>
      <c r="D28" s="38">
        <v>5.6999999999999998E-4</v>
      </c>
      <c r="E28" s="24">
        <f t="shared" si="0"/>
        <v>2031.9919905622482</v>
      </c>
      <c r="F28" s="7">
        <f t="shared" si="1"/>
        <v>2032</v>
      </c>
      <c r="G28" s="16">
        <f t="shared" si="2"/>
        <v>-1.4159903999825474E-2</v>
      </c>
      <c r="H28" s="16"/>
      <c r="I28" s="16"/>
      <c r="J28" s="16"/>
      <c r="K28" s="16">
        <f t="shared" si="3"/>
        <v>-1.4159903999825474E-2</v>
      </c>
      <c r="L28" s="16"/>
      <c r="M28" s="16"/>
      <c r="N28" s="16"/>
      <c r="O28" s="16">
        <f t="shared" si="4"/>
        <v>-1.1109018557393536E-2</v>
      </c>
      <c r="P28" s="16"/>
      <c r="Q28" s="35">
        <f t="shared" si="5"/>
        <v>41638.003660000002</v>
      </c>
      <c r="R28" s="36"/>
    </row>
    <row r="29" spans="1:18" s="7" customFormat="1" ht="12.95" customHeight="1" x14ac:dyDescent="0.2">
      <c r="B29" s="23"/>
      <c r="C29" s="34"/>
      <c r="D29" s="34"/>
      <c r="E29" s="24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35"/>
      <c r="R29" s="36"/>
    </row>
    <row r="30" spans="1:18" s="7" customFormat="1" ht="12.95" customHeight="1" x14ac:dyDescent="0.2">
      <c r="B30" s="23"/>
      <c r="C30" s="34"/>
      <c r="D30" s="34"/>
      <c r="E30" s="24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35"/>
      <c r="R30" s="36"/>
    </row>
    <row r="31" spans="1:18" s="7" customFormat="1" ht="12.95" customHeight="1" x14ac:dyDescent="0.2">
      <c r="B31" s="23"/>
      <c r="C31" s="34"/>
      <c r="D31" s="34"/>
      <c r="E31" s="24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35"/>
      <c r="R31" s="36"/>
    </row>
    <row r="32" spans="1:18" x14ac:dyDescent="0.2">
      <c r="B32" s="1"/>
      <c r="C32" s="6"/>
      <c r="D32" s="6"/>
    </row>
    <row r="33" spans="2:4" x14ac:dyDescent="0.2">
      <c r="B33" s="1"/>
      <c r="C33" s="6"/>
      <c r="D33" s="6"/>
    </row>
    <row r="34" spans="2:4" x14ac:dyDescent="0.2">
      <c r="C34" s="6"/>
      <c r="D34" s="6"/>
    </row>
    <row r="35" spans="2:4" x14ac:dyDescent="0.2">
      <c r="C35" s="6"/>
      <c r="D35" s="6"/>
    </row>
    <row r="36" spans="2:4" x14ac:dyDescent="0.2">
      <c r="C36" s="6"/>
      <c r="D36" s="6"/>
    </row>
    <row r="37" spans="2:4" x14ac:dyDescent="0.2">
      <c r="C37" s="6"/>
      <c r="D37" s="6"/>
    </row>
    <row r="38" spans="2:4" x14ac:dyDescent="0.2">
      <c r="C38" s="6"/>
      <c r="D38" s="6"/>
    </row>
    <row r="39" spans="2:4" x14ac:dyDescent="0.2">
      <c r="C39" s="6"/>
      <c r="D39" s="6"/>
    </row>
    <row r="40" spans="2:4" x14ac:dyDescent="0.2">
      <c r="C40" s="6"/>
      <c r="D40" s="6"/>
    </row>
    <row r="41" spans="2:4" x14ac:dyDescent="0.2">
      <c r="C41" s="6"/>
      <c r="D41" s="6"/>
    </row>
    <row r="42" spans="2:4" x14ac:dyDescent="0.2">
      <c r="C42" s="6"/>
      <c r="D42" s="6"/>
    </row>
    <row r="43" spans="2:4" x14ac:dyDescent="0.2">
      <c r="C43" s="6"/>
      <c r="D43" s="6"/>
    </row>
    <row r="44" spans="2:4" x14ac:dyDescent="0.2">
      <c r="C44" s="6"/>
      <c r="D44" s="6"/>
    </row>
    <row r="45" spans="2:4" x14ac:dyDescent="0.2">
      <c r="C45" s="6"/>
      <c r="D45" s="6"/>
    </row>
    <row r="46" spans="2:4" x14ac:dyDescent="0.2">
      <c r="C46" s="6"/>
      <c r="D46" s="6"/>
    </row>
    <row r="47" spans="2:4" x14ac:dyDescent="0.2">
      <c r="C47" s="6"/>
      <c r="D47" s="6"/>
    </row>
    <row r="48" spans="2:4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</sheetData>
  <phoneticPr fontId="9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2024-03-07T06:21:12Z</dcterms:modified>
</cp:coreProperties>
</file>