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E8C9BCFE-5934-47B4-AB9D-B69502ABEFD4}" xr6:coauthVersionLast="47" xr6:coauthVersionMax="47" xr10:uidLastSave="{00000000-0000-0000-0000-000000000000}"/>
  <bookViews>
    <workbookView xWindow="-120" yWindow="-120" windowWidth="29040" windowHeight="15840"/>
  </bookViews>
  <sheets>
    <sheet name="Active 1" sheetId="1" r:id="rId1"/>
    <sheet name="Graphs 1" sheetId="2" r:id="rId2"/>
  </sheets>
  <calcPr calcId="181029"/>
</workbook>
</file>

<file path=xl/calcChain.xml><?xml version="1.0" encoding="utf-8"?>
<calcChain xmlns="http://schemas.openxmlformats.org/spreadsheetml/2006/main">
  <c r="F12" i="1" l="1"/>
  <c r="F13" i="1" s="1"/>
  <c r="C13" i="1"/>
  <c r="D13" i="1"/>
  <c r="C14" i="1"/>
  <c r="D14" i="1"/>
  <c r="C17" i="1"/>
  <c r="E21" i="1"/>
  <c r="F21" i="1"/>
  <c r="G21" i="1"/>
  <c r="Q21" i="1"/>
  <c r="E22" i="1"/>
  <c r="F22" i="1"/>
  <c r="G22" i="1"/>
  <c r="Q22" i="1"/>
  <c r="E23" i="1"/>
  <c r="F23" i="1"/>
  <c r="G23" i="1"/>
  <c r="Q23" i="1"/>
  <c r="E24" i="1"/>
  <c r="F24" i="1"/>
  <c r="Q24" i="1"/>
  <c r="E25" i="1"/>
  <c r="F25" i="1"/>
  <c r="G25" i="1"/>
  <c r="Q25" i="1"/>
  <c r="E26" i="1"/>
  <c r="F26" i="1"/>
  <c r="G26" i="1"/>
  <c r="Q26" i="1"/>
  <c r="E27" i="1"/>
  <c r="F27" i="1"/>
  <c r="G27" i="1"/>
  <c r="Q27" i="1"/>
  <c r="E28" i="1"/>
  <c r="F28" i="1"/>
  <c r="G28" i="1"/>
  <c r="Q28" i="1"/>
  <c r="E29" i="1"/>
  <c r="F29" i="1"/>
  <c r="G29" i="1"/>
  <c r="Q29" i="1"/>
  <c r="E30" i="1"/>
  <c r="F30" i="1"/>
  <c r="G30" i="1"/>
  <c r="Q30" i="1"/>
  <c r="E31" i="1"/>
  <c r="F31" i="1"/>
  <c r="G31" i="1"/>
  <c r="Q31" i="1"/>
  <c r="U30" i="1"/>
  <c r="I29" i="1"/>
  <c r="R29" i="1"/>
  <c r="S25" i="1"/>
  <c r="I25" i="1"/>
  <c r="I28" i="1"/>
  <c r="R28" i="1"/>
  <c r="I31" i="1"/>
  <c r="R31" i="1"/>
  <c r="R21" i="1"/>
  <c r="H21" i="1"/>
  <c r="R27" i="1"/>
  <c r="I27" i="1"/>
  <c r="R23" i="1"/>
  <c r="I23" i="1"/>
  <c r="S26" i="1"/>
  <c r="I26" i="1"/>
  <c r="R22" i="1"/>
  <c r="I22" i="1"/>
  <c r="S19" i="1"/>
  <c r="E19" i="1" s="1"/>
  <c r="G11" i="1" s="1"/>
  <c r="R19" i="1"/>
  <c r="E18" i="1" s="1"/>
  <c r="D11" i="1"/>
  <c r="D12" i="1"/>
  <c r="C12" i="1"/>
  <c r="C11" i="1"/>
  <c r="O28" i="1" l="1"/>
  <c r="O26" i="1"/>
  <c r="O27" i="1"/>
  <c r="O29" i="1"/>
  <c r="O23" i="1"/>
  <c r="O30" i="1"/>
  <c r="O25" i="1"/>
  <c r="O22" i="1"/>
  <c r="O31" i="1"/>
  <c r="O21" i="1"/>
  <c r="C15" i="1"/>
  <c r="O24" i="1"/>
  <c r="C16" i="1"/>
  <c r="D18" i="1" s="1"/>
  <c r="D16" i="1"/>
  <c r="D19" i="1" s="1"/>
  <c r="P31" i="1"/>
  <c r="D15" i="1"/>
  <c r="C19" i="1" s="1"/>
  <c r="P25" i="1"/>
  <c r="P27" i="1"/>
  <c r="P24" i="1"/>
  <c r="P28" i="1"/>
  <c r="P21" i="1"/>
  <c r="P26" i="1"/>
  <c r="P29" i="1"/>
  <c r="P30" i="1"/>
  <c r="P22" i="1"/>
  <c r="P23" i="1"/>
  <c r="C18" i="1" l="1"/>
  <c r="F14" i="1"/>
  <c r="F15" i="1" s="1"/>
</calcChain>
</file>

<file path=xl/sharedStrings.xml><?xml version="1.0" encoding="utf-8"?>
<sst xmlns="http://schemas.openxmlformats.org/spreadsheetml/2006/main" count="70" uniqueCount="59">
  <si>
    <t>V1260 Tau / GSC 1865-2657</t>
  </si>
  <si>
    <t>System Type:</t>
  </si>
  <si>
    <t>EA</t>
  </si>
  <si>
    <t>GCVS 4 Eph.</t>
  </si>
  <si>
    <t>not avail.</t>
  </si>
  <si>
    <t>My time zone &gt;&gt;&gt;&gt;&gt;</t>
  </si>
  <si>
    <t>(PST=8, PDT=MDT=7, MDT=CST=6, etc.)</t>
  </si>
  <si>
    <t>--- Working ----</t>
  </si>
  <si>
    <t>Epoch =</t>
  </si>
  <si>
    <t>IBVS 5630</t>
  </si>
  <si>
    <t>Period =</t>
  </si>
  <si>
    <t>Start of Lin fit (row)</t>
  </si>
  <si>
    <t>Primary</t>
  </si>
  <si>
    <t>Secondary</t>
  </si>
  <si>
    <t>LS Intercept =</t>
  </si>
  <si>
    <t>Add cycle</t>
  </si>
  <si>
    <t>LS Slope =</t>
  </si>
  <si>
    <t>JD today</t>
  </si>
  <si>
    <t>Start cell (x)</t>
  </si>
  <si>
    <t>Old Cycle</t>
  </si>
  <si>
    <t>Start cell (y)</t>
  </si>
  <si>
    <t>New Cycle</t>
  </si>
  <si>
    <t>New epoch =</t>
  </si>
  <si>
    <t>Next ToM</t>
  </si>
  <si>
    <t>New Period =</t>
  </si>
  <si>
    <t>Local time</t>
  </si>
  <si>
    <t># of data points =</t>
  </si>
  <si>
    <t>Prim. Ephem. =</t>
  </si>
  <si>
    <t>Sec. Ephem. =</t>
  </si>
  <si>
    <t>Source</t>
  </si>
  <si>
    <t>Typ</t>
  </si>
  <si>
    <t>ToM</t>
  </si>
  <si>
    <t>error</t>
  </si>
  <si>
    <t>n'</t>
  </si>
  <si>
    <t>n</t>
  </si>
  <si>
    <t>O-C</t>
  </si>
  <si>
    <t>Kreiner</t>
  </si>
  <si>
    <t>S3</t>
  </si>
  <si>
    <t>S4</t>
  </si>
  <si>
    <t>S5</t>
  </si>
  <si>
    <t>S6</t>
  </si>
  <si>
    <t>Misc</t>
  </si>
  <si>
    <t>Prim. Fit</t>
  </si>
  <si>
    <t>Sec. Fit</t>
  </si>
  <si>
    <t>Date</t>
  </si>
  <si>
    <t>na</t>
  </si>
  <si>
    <t>IBVS 5920</t>
  </si>
  <si>
    <t>I</t>
  </si>
  <si>
    <t>IBVS 6011</t>
  </si>
  <si>
    <t>IBVS 6029</t>
  </si>
  <si>
    <t>II</t>
  </si>
  <si>
    <t>IBVS 6042</t>
  </si>
  <si>
    <t>OEJV 0160</t>
  </si>
  <si>
    <t>IBVS 6152</t>
  </si>
  <si>
    <t>OEJV 0165</t>
  </si>
  <si>
    <t>OEJV 0210</t>
  </si>
  <si>
    <t>OEJV 0211</t>
  </si>
  <si>
    <t>CCD</t>
  </si>
  <si>
    <t>BAD?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</si>
</sst>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_);&quot;($&quot;#,##0\)"/>
    <numFmt numFmtId="165" formatCode="m/d/yyyy\ h:mm"/>
    <numFmt numFmtId="167" formatCode="dd/mm/yyyy"/>
  </numFmts>
  <fonts count="14" x14ac:knownFonts="1">
    <font>
      <sz val="10"/>
      <name val="Arial"/>
      <family val="2"/>
    </font>
    <font>
      <sz val="10"/>
      <name val="Arial"/>
    </font>
    <font>
      <sz val="16"/>
      <name val="Arial"/>
      <family val="2"/>
    </font>
    <font>
      <b/>
      <sz val="1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10"/>
      <color indexed="14"/>
      <name val="Arial"/>
      <family val="2"/>
    </font>
    <font>
      <sz val="10"/>
      <color indexed="17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8"/>
      </bottom>
      <diagonal/>
    </border>
  </borders>
  <cellStyleXfs count="7">
    <xf numFmtId="0" fontId="0" fillId="0" borderId="0">
      <alignment vertical="top"/>
    </xf>
    <xf numFmtId="3" fontId="12" fillId="0" borderId="0" applyFill="0" applyBorder="0" applyProtection="0">
      <alignment vertical="top"/>
    </xf>
    <xf numFmtId="164" fontId="12" fillId="0" borderId="0" applyFill="0" applyBorder="0" applyProtection="0">
      <alignment vertical="top"/>
    </xf>
    <xf numFmtId="0" fontId="12" fillId="0" borderId="0" applyFill="0" applyBorder="0" applyProtection="0">
      <alignment vertical="top"/>
    </xf>
    <xf numFmtId="2" fontId="12" fillId="0" borderId="0" applyFill="0" applyBorder="0" applyProtection="0">
      <alignment vertical="top"/>
    </xf>
    <xf numFmtId="0" fontId="12" fillId="0" borderId="0"/>
    <xf numFmtId="9" fontId="1" fillId="0" borderId="0" applyFill="0" applyBorder="0" applyAlignment="0" applyProtection="0"/>
  </cellStyleXfs>
  <cellXfs count="42">
    <xf numFmtId="0" fontId="0" fillId="0" borderId="0" xfId="0">
      <alignment vertical="top"/>
    </xf>
    <xf numFmtId="0" fontId="0" fillId="0" borderId="0" xfId="0" applyAlignment="1"/>
    <xf numFmtId="0" fontId="8" fillId="0" borderId="0" xfId="0" applyFont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165" fontId="7" fillId="0" borderId="0" xfId="0" applyNumberFormat="1" applyFont="1" applyAlignment="1">
      <alignment vertical="center"/>
    </xf>
    <xf numFmtId="0" fontId="7" fillId="0" borderId="0" xfId="0" applyFont="1" applyAlignment="1">
      <alignment horizontal="right"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4" fillId="0" borderId="0" xfId="0" applyFont="1" applyAlignment="1">
      <alignment horizontal="left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0" xfId="0" applyAlignment="1">
      <alignment horizontal="left" vertical="center"/>
    </xf>
    <xf numFmtId="167" fontId="0" fillId="0" borderId="0" xfId="0" applyNumberFormat="1" applyAlignment="1">
      <alignment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0" fillId="0" borderId="0" xfId="5" applyFont="1" applyAlignment="1">
      <alignment vertical="center"/>
    </xf>
    <xf numFmtId="0" fontId="10" fillId="0" borderId="0" xfId="5" applyFont="1" applyAlignment="1">
      <alignment horizontal="center" vertical="center"/>
    </xf>
    <xf numFmtId="0" fontId="10" fillId="0" borderId="0" xfId="5" applyFont="1" applyAlignment="1">
      <alignment horizontal="left" vertical="center"/>
    </xf>
    <xf numFmtId="0" fontId="2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9" fontId="1" fillId="0" borderId="0" xfId="6" applyAlignment="1">
      <alignment vertical="center"/>
    </xf>
  </cellXfs>
  <cellStyles count="7">
    <cellStyle name="Comma0" xfId="1"/>
    <cellStyle name="Currency0" xfId="2"/>
    <cellStyle name="Date" xfId="3"/>
    <cellStyle name="Fixed" xfId="4"/>
    <cellStyle name="Normal" xfId="0" builtinId="0"/>
    <cellStyle name="Normal_A" xfId="5"/>
    <cellStyle name="Percent" xfId="6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999933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V1260 Tau - O-C Diagr.</a:t>
            </a:r>
          </a:p>
        </c:rich>
      </c:tx>
      <c:layout>
        <c:manualLayout>
          <c:xMode val="edge"/>
          <c:yMode val="edge"/>
          <c:x val="0.35982040475825078"/>
          <c:y val="3.47826086956521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526778839737602"/>
          <c:y val="0.13167003671368871"/>
          <c:w val="0.84125464108381498"/>
          <c:h val="0.65963635210251281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Kreiner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1'!$H$21:$H$500</c:f>
              <c:numCache>
                <c:formatCode>General</c:formatCode>
                <c:ptCount val="480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0D4-4F24-A90A-68177DFC1146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1'!$I$21:$I$500</c:f>
              <c:numCache>
                <c:formatCode>General</c:formatCode>
                <c:ptCount val="480"/>
                <c:pt idx="1">
                  <c:v>1.3380000003962778E-2</c:v>
                </c:pt>
                <c:pt idx="2">
                  <c:v>4.0280000001075678E-2</c:v>
                </c:pt>
                <c:pt idx="3">
                  <c:v>4.4490000007499475E-2</c:v>
                </c:pt>
                <c:pt idx="4">
                  <c:v>0.34473500000603963</c:v>
                </c:pt>
                <c:pt idx="5">
                  <c:v>0.34655500000371831</c:v>
                </c:pt>
                <c:pt idx="6">
                  <c:v>4.6829999999317806E-2</c:v>
                </c:pt>
                <c:pt idx="7">
                  <c:v>5.5460000003222376E-2</c:v>
                </c:pt>
                <c:pt idx="8">
                  <c:v>4.7639999997045379E-2</c:v>
                </c:pt>
                <c:pt idx="10">
                  <c:v>6.3109999784501269E-2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B0D4-4F24-A90A-68177DFC1146}"/>
            </c:ext>
          </c:extLst>
        </c:ser>
        <c:ser>
          <c:idx val="2"/>
          <c:order val="2"/>
          <c:tx>
            <c:strRef>
              <c:f>'Active 1'!$J$20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999933"/>
                </a:solidFill>
                <a:prstDash val="solid"/>
              </a:ln>
            </c:spPr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1'!$J$21:$J$500</c:f>
              <c:numCache>
                <c:formatCode>General</c:formatCode>
                <c:ptCount val="48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B0D4-4F24-A90A-68177DFC1146}"/>
            </c:ext>
          </c:extLst>
        </c:ser>
        <c:ser>
          <c:idx val="3"/>
          <c:order val="3"/>
          <c:tx>
            <c:strRef>
              <c:f>'Active 1'!$K$20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1'!$K$21:$K$500</c:f>
              <c:numCache>
                <c:formatCode>General</c:formatCode>
                <c:ptCount val="48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B0D4-4F24-A90A-68177DFC1146}"/>
            </c:ext>
          </c:extLst>
        </c:ser>
        <c:ser>
          <c:idx val="4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1'!$L$21:$L$500</c:f>
              <c:numCache>
                <c:formatCode>General</c:formatCode>
                <c:ptCount val="48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B0D4-4F24-A90A-68177DFC1146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1'!$M$21:$M$500</c:f>
              <c:numCache>
                <c:formatCode>General</c:formatCode>
                <c:ptCount val="48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B0D4-4F24-A90A-68177DFC1146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1'!$N$21:$N$500</c:f>
              <c:numCache>
                <c:formatCode>General</c:formatCode>
                <c:ptCount val="48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B0D4-4F24-A90A-68177DFC1146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Prim.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1'!$O$21:$O$500</c:f>
              <c:numCache>
                <c:formatCode>General</c:formatCode>
                <c:ptCount val="480"/>
                <c:pt idx="0">
                  <c:v>2.9390438411683803E-3</c:v>
                </c:pt>
                <c:pt idx="1">
                  <c:v>1.300346431103671E-2</c:v>
                </c:pt>
                <c:pt idx="2">
                  <c:v>3.4293584535758176E-2</c:v>
                </c:pt>
                <c:pt idx="3">
                  <c:v>4.3132210204809208E-2</c:v>
                </c:pt>
                <c:pt idx="4">
                  <c:v>4.3874138636882831E-2</c:v>
                </c:pt>
                <c:pt idx="5">
                  <c:v>4.7357976491837254E-2</c:v>
                </c:pt>
                <c:pt idx="6">
                  <c:v>4.7712811828915944E-2</c:v>
                </c:pt>
                <c:pt idx="7">
                  <c:v>5.5970797855474576E-2</c:v>
                </c:pt>
                <c:pt idx="8">
                  <c:v>4.7712811828915944E-2</c:v>
                </c:pt>
                <c:pt idx="9">
                  <c:v>8.2260870557213955E-2</c:v>
                </c:pt>
                <c:pt idx="10">
                  <c:v>6.5067485587855564E-2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B0D4-4F24-A90A-68177DFC1146}"/>
            </c:ext>
          </c:extLst>
        </c:ser>
        <c:ser>
          <c:idx val="8"/>
          <c:order val="8"/>
          <c:tx>
            <c:strRef>
              <c:f>'Active 1'!$P$20</c:f>
              <c:strCache>
                <c:ptCount val="1"/>
                <c:pt idx="0">
                  <c:v>Sec. Fit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'Active 1'!$F$21:$F$500</c:f>
              <c:numCache>
                <c:formatCode>General</c:formatCode>
                <c:ptCount val="480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1'!$P$21:$P$500</c:f>
              <c:numCache>
                <c:formatCode>General</c:formatCode>
                <c:ptCount val="480"/>
                <c:pt idx="0">
                  <c:v>0.32335000003331515</c:v>
                </c:pt>
                <c:pt idx="1">
                  <c:v>0.32860777780438688</c:v>
                </c:pt>
                <c:pt idx="2">
                  <c:v>0.33973000001242326</c:v>
                </c:pt>
                <c:pt idx="3">
                  <c:v>0.34434740741394138</c:v>
                </c:pt>
                <c:pt idx="4">
                  <c:v>0.34473500000603963</c:v>
                </c:pt>
                <c:pt idx="5">
                  <c:v>0.34655500000371831</c:v>
                </c:pt>
                <c:pt idx="6">
                  <c:v>0.34674037037385225</c:v>
                </c:pt>
                <c:pt idx="7">
                  <c:v>0.35105444444242395</c:v>
                </c:pt>
                <c:pt idx="8">
                  <c:v>0.34674037037385225</c:v>
                </c:pt>
                <c:pt idx="9">
                  <c:v>0.36478870368416583</c:v>
                </c:pt>
                <c:pt idx="10">
                  <c:v>0.3558066666585849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B0D4-4F24-A90A-68177DFC1146}"/>
            </c:ext>
          </c:extLst>
        </c:ser>
        <c:ser>
          <c:idx val="9"/>
          <c:order val="9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6"/>
            <c:spPr>
              <a:ln>
                <a:solidFill>
                  <a:srgbClr val="FF0000"/>
                </a:solidFill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1'!$U$21:$U$999</c:f>
              <c:numCache>
                <c:formatCode>General</c:formatCode>
                <c:ptCount val="979"/>
                <c:pt idx="9">
                  <c:v>-0.16252399981021881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B0D4-4F24-A90A-68177DFC11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2779896"/>
        <c:axId val="1"/>
      </c:scatterChart>
      <c:valAx>
        <c:axId val="89277989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424319336394797"/>
              <c:y val="0.8695676518696032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0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2473763118440778E-2"/>
              <c:y val="0.4173925215869755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2779896"/>
        <c:crossesAt val="0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1180555555555551" footer="0.51180555555555551"/>
    <c:pageSetup firstPageNumber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V1260 Tau - Primary O-C Diagr.</a:t>
            </a:r>
          </a:p>
        </c:rich>
      </c:tx>
      <c:layout>
        <c:manualLayout>
          <c:xMode val="edge"/>
          <c:yMode val="edge"/>
          <c:x val="0.30827067669172931"/>
          <c:y val="3.30330330330330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533834586466165"/>
          <c:y val="0.22822889753688513"/>
          <c:w val="0.82105263157894737"/>
          <c:h val="0.55555718479373351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1'!$R$20</c:f>
              <c:strCache>
                <c:ptCount val="1"/>
                <c:pt idx="0">
                  <c:v>Primary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'Active 1'!$F$21:$F$301</c:f>
              <c:numCache>
                <c:formatCode>General</c:formatCode>
                <c:ptCount val="281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1'!$R$21:$R$301</c:f>
              <c:numCache>
                <c:formatCode>General</c:formatCode>
                <c:ptCount val="281"/>
                <c:pt idx="0">
                  <c:v>0</c:v>
                </c:pt>
                <c:pt idx="1">
                  <c:v>1.3380000003962778E-2</c:v>
                </c:pt>
                <c:pt idx="2">
                  <c:v>4.0280000001075678E-2</c:v>
                </c:pt>
                <c:pt idx="6">
                  <c:v>4.6829999999317806E-2</c:v>
                </c:pt>
                <c:pt idx="7">
                  <c:v>5.5460000003222376E-2</c:v>
                </c:pt>
                <c:pt idx="8">
                  <c:v>4.7639999997045379E-2</c:v>
                </c:pt>
                <c:pt idx="10">
                  <c:v>6.3109999784501269E-2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94F-499B-9C44-2CCAE2AA8E8F}"/>
            </c:ext>
          </c:extLst>
        </c:ser>
        <c:ser>
          <c:idx val="1"/>
          <c:order val="1"/>
          <c:tx>
            <c:strRef>
              <c:f>'Active 1'!$O$20</c:f>
              <c:strCache>
                <c:ptCount val="1"/>
                <c:pt idx="0">
                  <c:v>Prim.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1'!$F$21:$F$31</c:f>
              <c:numCache>
                <c:formatCode>General</c:formatCode>
                <c:ptCount val="11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1'!$O$21:$O$31</c:f>
              <c:numCache>
                <c:formatCode>General</c:formatCode>
                <c:ptCount val="11"/>
                <c:pt idx="0">
                  <c:v>2.9390438411683803E-3</c:v>
                </c:pt>
                <c:pt idx="1">
                  <c:v>1.300346431103671E-2</c:v>
                </c:pt>
                <c:pt idx="2">
                  <c:v>3.4293584535758176E-2</c:v>
                </c:pt>
                <c:pt idx="3">
                  <c:v>4.3132210204809208E-2</c:v>
                </c:pt>
                <c:pt idx="4">
                  <c:v>4.3874138636882831E-2</c:v>
                </c:pt>
                <c:pt idx="5">
                  <c:v>4.7357976491837254E-2</c:v>
                </c:pt>
                <c:pt idx="6">
                  <c:v>4.7712811828915944E-2</c:v>
                </c:pt>
                <c:pt idx="7">
                  <c:v>5.5970797855474576E-2</c:v>
                </c:pt>
                <c:pt idx="8">
                  <c:v>4.7712811828915944E-2</c:v>
                </c:pt>
                <c:pt idx="9">
                  <c:v>8.2260870557213955E-2</c:v>
                </c:pt>
                <c:pt idx="10">
                  <c:v>6.5067485587855564E-2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94F-499B-9C44-2CCAE2AA8E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75803736"/>
        <c:axId val="1"/>
      </c:scatterChart>
      <c:valAx>
        <c:axId val="77580373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879699248120303"/>
              <c:y val="0.8648673870721115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0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1127819548872182E-2"/>
              <c:y val="0.4144156755180377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75803736"/>
        <c:crossesAt val="0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56390977443609"/>
          <c:y val="0.91591875339906836"/>
          <c:w val="0.22105263157894733"/>
          <c:h val="6.006037533596586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1180555555555551" footer="0.51180555555555551"/>
    <c:pageSetup firstPageNumber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V1260 Tau - Secondary O-C Diagr.</a:t>
            </a:r>
          </a:p>
        </c:rich>
      </c:tx>
      <c:layout>
        <c:manualLayout>
          <c:xMode val="edge"/>
          <c:yMode val="edge"/>
          <c:x val="0.30180227471566051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963984439494825"/>
          <c:y val="0.25748540636316192"/>
          <c:w val="0.81681801452528879"/>
          <c:h val="0.5299408944916239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1'!$S$20</c:f>
              <c:strCache>
                <c:ptCount val="1"/>
                <c:pt idx="0">
                  <c:v>Secondary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'Active 1'!$F$21:$F$301</c:f>
              <c:numCache>
                <c:formatCode>General</c:formatCode>
                <c:ptCount val="281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1'!$S$21:$S$301</c:f>
              <c:numCache>
                <c:formatCode>General</c:formatCode>
                <c:ptCount val="281"/>
                <c:pt idx="4">
                  <c:v>0.34473500000603963</c:v>
                </c:pt>
                <c:pt idx="5">
                  <c:v>0.34655500000371831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91D-4856-8E25-E58F0EC3E402}"/>
            </c:ext>
          </c:extLst>
        </c:ser>
        <c:ser>
          <c:idx val="1"/>
          <c:order val="1"/>
          <c:tx>
            <c:strRef>
              <c:f>'Active 1'!$P$20</c:f>
              <c:strCache>
                <c:ptCount val="1"/>
                <c:pt idx="0">
                  <c:v>Sec.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1'!$F$21:$F$31</c:f>
              <c:numCache>
                <c:formatCode>General</c:formatCode>
                <c:ptCount val="11"/>
                <c:pt idx="0">
                  <c:v>0</c:v>
                </c:pt>
                <c:pt idx="1">
                  <c:v>156</c:v>
                </c:pt>
                <c:pt idx="2">
                  <c:v>486</c:v>
                </c:pt>
                <c:pt idx="3">
                  <c:v>623</c:v>
                </c:pt>
                <c:pt idx="4">
                  <c:v>634.5</c:v>
                </c:pt>
                <c:pt idx="5">
                  <c:v>688.5</c:v>
                </c:pt>
                <c:pt idx="6">
                  <c:v>694</c:v>
                </c:pt>
                <c:pt idx="7">
                  <c:v>822</c:v>
                </c:pt>
                <c:pt idx="8">
                  <c:v>694</c:v>
                </c:pt>
                <c:pt idx="9">
                  <c:v>1229.5</c:v>
                </c:pt>
                <c:pt idx="10">
                  <c:v>963</c:v>
                </c:pt>
              </c:numCache>
            </c:numRef>
          </c:xVal>
          <c:yVal>
            <c:numRef>
              <c:f>'Active 1'!$P$21:$P$31</c:f>
              <c:numCache>
                <c:formatCode>General</c:formatCode>
                <c:ptCount val="11"/>
                <c:pt idx="0">
                  <c:v>0.32335000003331515</c:v>
                </c:pt>
                <c:pt idx="1">
                  <c:v>0.32860777780438688</c:v>
                </c:pt>
                <c:pt idx="2">
                  <c:v>0.33973000001242326</c:v>
                </c:pt>
                <c:pt idx="3">
                  <c:v>0.34434740741394138</c:v>
                </c:pt>
                <c:pt idx="4">
                  <c:v>0.34473500000603963</c:v>
                </c:pt>
                <c:pt idx="5">
                  <c:v>0.34655500000371831</c:v>
                </c:pt>
                <c:pt idx="6">
                  <c:v>0.34674037037385225</c:v>
                </c:pt>
                <c:pt idx="7">
                  <c:v>0.35105444444242395</c:v>
                </c:pt>
                <c:pt idx="8">
                  <c:v>0.34674037037385225</c:v>
                </c:pt>
                <c:pt idx="9">
                  <c:v>0.36478870368416583</c:v>
                </c:pt>
                <c:pt idx="10">
                  <c:v>0.3558066666585849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91D-4856-8E25-E58F0EC3E4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92784576"/>
        <c:axId val="1"/>
      </c:scatterChart>
      <c:valAx>
        <c:axId val="89278457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102180921078556"/>
              <c:y val="0.8682647303817561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0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2552552552552555E-2"/>
              <c:y val="0.4311383532148301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92784576"/>
        <c:crossesAt val="0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045108100226205"/>
          <c:y val="0.91616892199852262"/>
          <c:w val="0.24474506002065055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1180555555555551" footer="0.51180555555555551"/>
    <c:pageSetup firstPageNumber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276225</xdr:colOff>
      <xdr:row>0</xdr:row>
      <xdr:rowOff>0</xdr:rowOff>
    </xdr:from>
    <xdr:to>
      <xdr:col>18</xdr:col>
      <xdr:colOff>647700</xdr:colOff>
      <xdr:row>18</xdr:row>
      <xdr:rowOff>142875</xdr:rowOff>
    </xdr:to>
    <xdr:graphicFrame macro="">
      <xdr:nvGraphicFramePr>
        <xdr:cNvPr id="1030" name="Chart 3">
          <a:extLst>
            <a:ext uri="{FF2B5EF4-FFF2-40B4-BE49-F238E27FC236}">
              <a16:creationId xmlns:a16="http://schemas.microsoft.com/office/drawing/2014/main" id="{C85ABB8C-7B3A-0B11-48B6-069484C43D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0</xdr:row>
      <xdr:rowOff>0</xdr:rowOff>
    </xdr:from>
    <xdr:to>
      <xdr:col>10</xdr:col>
      <xdr:colOff>342900</xdr:colOff>
      <xdr:row>19</xdr:row>
      <xdr:rowOff>95250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0C85B8C-6111-D303-81FD-B3FC62616EC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20</xdr:row>
      <xdr:rowOff>47625</xdr:rowOff>
    </xdr:from>
    <xdr:to>
      <xdr:col>10</xdr:col>
      <xdr:colOff>352425</xdr:colOff>
      <xdr:row>39</xdr:row>
      <xdr:rowOff>152400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0F0E3BB-89D5-1464-E506-C0272DAFF6B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6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8" sqref="F7:F8"/>
    </sheetView>
  </sheetViews>
  <sheetFormatPr defaultColWidth="10.28515625" defaultRowHeight="12.75" x14ac:dyDescent="0.2"/>
  <cols>
    <col min="1" max="1" width="14.42578125" style="1" customWidth="1"/>
    <col min="2" max="2" width="3.85546875" style="1" customWidth="1"/>
    <col min="3" max="3" width="11.85546875" style="1" customWidth="1"/>
    <col min="4" max="4" width="9.42578125" style="1" customWidth="1"/>
    <col min="5" max="5" width="9.7109375" style="1" customWidth="1"/>
    <col min="6" max="6" width="16.28515625" style="1" customWidth="1"/>
    <col min="7" max="7" width="8.140625" style="1" customWidth="1"/>
    <col min="8" max="14" width="8.5703125" style="1" customWidth="1"/>
    <col min="15" max="15" width="8" style="1" customWidth="1"/>
    <col min="16" max="16" width="7.7109375" style="1" customWidth="1"/>
    <col min="17" max="17" width="9.85546875" style="1" customWidth="1"/>
    <col min="18" max="16384" width="10.28515625" style="1"/>
  </cols>
  <sheetData>
    <row r="1" spans="1:7" s="5" customFormat="1" ht="20.25" x14ac:dyDescent="0.2">
      <c r="A1" s="39" t="s">
        <v>0</v>
      </c>
    </row>
    <row r="2" spans="1:7" s="5" customFormat="1" ht="12.75" customHeight="1" x14ac:dyDescent="0.2">
      <c r="A2" s="5" t="s">
        <v>1</v>
      </c>
      <c r="B2" s="5" t="s">
        <v>2</v>
      </c>
      <c r="C2" s="6"/>
      <c r="D2" s="6"/>
    </row>
    <row r="3" spans="1:7" s="5" customFormat="1" ht="12.75" customHeight="1" x14ac:dyDescent="0.2"/>
    <row r="4" spans="1:7" s="5" customFormat="1" ht="12.75" customHeight="1" x14ac:dyDescent="0.2">
      <c r="A4" s="7" t="s">
        <v>3</v>
      </c>
      <c r="C4" s="8" t="s">
        <v>4</v>
      </c>
      <c r="D4" s="9" t="s">
        <v>4</v>
      </c>
    </row>
    <row r="5" spans="1:7" s="5" customFormat="1" ht="12.75" customHeight="1" x14ac:dyDescent="0.2">
      <c r="A5" s="10" t="s">
        <v>5</v>
      </c>
      <c r="C5" s="11">
        <v>-9.5</v>
      </c>
      <c r="D5" s="5" t="s">
        <v>6</v>
      </c>
    </row>
    <row r="6" spans="1:7" s="5" customFormat="1" ht="12.75" customHeight="1" x14ac:dyDescent="0.2">
      <c r="A6" s="7" t="s">
        <v>7</v>
      </c>
    </row>
    <row r="7" spans="1:7" s="5" customFormat="1" ht="12.75" customHeight="1" x14ac:dyDescent="0.2">
      <c r="A7" s="5" t="s">
        <v>8</v>
      </c>
      <c r="C7" s="5">
        <v>52500.510499999997</v>
      </c>
      <c r="D7" s="12" t="s">
        <v>9</v>
      </c>
    </row>
    <row r="8" spans="1:7" s="5" customFormat="1" ht="12.75" customHeight="1" x14ac:dyDescent="0.2">
      <c r="A8" s="5" t="s">
        <v>10</v>
      </c>
      <c r="C8" s="5">
        <v>5.4307699999999999</v>
      </c>
      <c r="D8" s="12" t="s">
        <v>9</v>
      </c>
    </row>
    <row r="9" spans="1:7" s="5" customFormat="1" ht="12.75" customHeight="1" x14ac:dyDescent="0.2">
      <c r="A9" s="13" t="s">
        <v>11</v>
      </c>
      <c r="B9" s="13"/>
      <c r="C9" s="14">
        <v>21</v>
      </c>
      <c r="D9" s="14">
        <v>21</v>
      </c>
    </row>
    <row r="10" spans="1:7" s="5" customFormat="1" ht="12.75" customHeight="1" x14ac:dyDescent="0.2">
      <c r="C10" s="15" t="s">
        <v>12</v>
      </c>
      <c r="D10" s="15" t="s">
        <v>13</v>
      </c>
    </row>
    <row r="11" spans="1:7" s="5" customFormat="1" ht="12.75" customHeight="1" x14ac:dyDescent="0.2">
      <c r="A11" s="5" t="s">
        <v>14</v>
      </c>
      <c r="C11" s="16">
        <f ca="1">INTERCEPT(INDIRECT(C14):R$935,INDIRECT(C13):$F$935)</f>
        <v>2.9390438411683803E-3</v>
      </c>
      <c r="D11" s="16">
        <f ca="1">INTERCEPT(INDIRECT(D14):S$935,INDIRECT(D13):$F$935)</f>
        <v>0.32335000003331515</v>
      </c>
      <c r="E11" s="13" t="s">
        <v>15</v>
      </c>
      <c r="F11" s="5">
        <v>1</v>
      </c>
      <c r="G11" s="16" t="str">
        <f>"G"&amp;E19</f>
        <v>G2</v>
      </c>
    </row>
    <row r="12" spans="1:7" s="5" customFormat="1" ht="12.75" customHeight="1" x14ac:dyDescent="0.2">
      <c r="A12" s="5" t="s">
        <v>16</v>
      </c>
      <c r="C12" s="16">
        <f ca="1">SLOPE(INDIRECT(C14):R$935,INDIRECT(C13):$F$935)</f>
        <v>6.4515515832489287E-5</v>
      </c>
      <c r="D12" s="16">
        <f ca="1">SLOPE(INDIRECT(D14):S$935,INDIRECT(D13):$F$935)</f>
        <v>3.3703703660716269E-5</v>
      </c>
      <c r="E12" s="13" t="s">
        <v>17</v>
      </c>
      <c r="F12" s="16">
        <f ca="1">NOW()+15018.5+$C$5/24</f>
        <v>60376.833531481476</v>
      </c>
    </row>
    <row r="13" spans="1:7" s="5" customFormat="1" ht="12.75" customHeight="1" x14ac:dyDescent="0.2">
      <c r="A13" s="13" t="s">
        <v>18</v>
      </c>
      <c r="B13" s="13"/>
      <c r="C13" s="14" t="str">
        <f>"F"&amp;C9</f>
        <v>F21</v>
      </c>
      <c r="D13" s="14" t="str">
        <f>"F"&amp;D9</f>
        <v>F21</v>
      </c>
      <c r="E13" s="13" t="s">
        <v>19</v>
      </c>
      <c r="F13" s="16">
        <f ca="1">ROUND(2*(F12-$C$7)/$C$8,0)/2+F11</f>
        <v>1451.5</v>
      </c>
    </row>
    <row r="14" spans="1:7" s="5" customFormat="1" ht="12.75" customHeight="1" x14ac:dyDescent="0.2">
      <c r="A14" s="13" t="s">
        <v>20</v>
      </c>
      <c r="B14" s="13"/>
      <c r="C14" s="14" t="str">
        <f>"R"&amp;C9</f>
        <v>R21</v>
      </c>
      <c r="D14" s="14" t="str">
        <f>"S"&amp;D9</f>
        <v>S21</v>
      </c>
      <c r="E14" s="13" t="s">
        <v>21</v>
      </c>
      <c r="F14" s="16">
        <f ca="1">ROUND(2*(F12-$C$15)/$C$16,0)/2+F11</f>
        <v>222.5</v>
      </c>
    </row>
    <row r="15" spans="1:7" s="5" customFormat="1" ht="12.75" customHeight="1" x14ac:dyDescent="0.2">
      <c r="A15" s="7" t="s">
        <v>22</v>
      </c>
      <c r="C15" s="17">
        <f ca="1">($C7+C11)+($C8+C12)*INT(MAX($F21:$F3533))</f>
        <v>59175.009058612799</v>
      </c>
      <c r="D15" s="17">
        <f ca="1">($C7+D11)+($C8+D12)*INT(MAX($F21:$F3533))</f>
        <v>59175.29160185183</v>
      </c>
      <c r="E15" s="13" t="s">
        <v>23</v>
      </c>
      <c r="F15" s="18">
        <f ca="1">+$C$15+$C$16*F14-15018.5-$C$5/24</f>
        <v>45365.265571648408</v>
      </c>
    </row>
    <row r="16" spans="1:7" s="5" customFormat="1" ht="12.75" customHeight="1" x14ac:dyDescent="0.2">
      <c r="A16" s="7" t="s">
        <v>24</v>
      </c>
      <c r="C16" s="17">
        <f ca="1">+$C8+C12</f>
        <v>5.4308345155158326</v>
      </c>
      <c r="D16" s="16">
        <f ca="1">+$C8+D12</f>
        <v>5.4308037037036607</v>
      </c>
      <c r="E16" s="19"/>
      <c r="F16" s="19" t="s">
        <v>25</v>
      </c>
    </row>
    <row r="17" spans="1:21" s="5" customFormat="1" ht="12.75" customHeight="1" x14ac:dyDescent="0.2">
      <c r="A17" s="13" t="s">
        <v>26</v>
      </c>
      <c r="C17" s="5">
        <f>COUNT(C21:C1247)</f>
        <v>11</v>
      </c>
    </row>
    <row r="18" spans="1:21" s="5" customFormat="1" ht="12.75" customHeight="1" x14ac:dyDescent="0.2">
      <c r="A18" s="7" t="s">
        <v>27</v>
      </c>
      <c r="C18" s="20">
        <f ca="1">+C15</f>
        <v>59175.009058612799</v>
      </c>
      <c r="D18" s="21">
        <f ca="1">+C16</f>
        <v>5.4308345155158326</v>
      </c>
      <c r="E18" s="22">
        <f>R19</f>
        <v>7</v>
      </c>
    </row>
    <row r="19" spans="1:21" s="5" customFormat="1" ht="12.75" customHeight="1" x14ac:dyDescent="0.2">
      <c r="A19" s="7" t="s">
        <v>28</v>
      </c>
      <c r="C19" s="20">
        <f ca="1">+D15</f>
        <v>59175.29160185183</v>
      </c>
      <c r="D19" s="21">
        <f ca="1">+D16</f>
        <v>5.4308037037036607</v>
      </c>
      <c r="E19" s="22">
        <f>S19</f>
        <v>2</v>
      </c>
      <c r="R19" s="6">
        <f>COUNT(R21:R51)</f>
        <v>7</v>
      </c>
      <c r="S19" s="6">
        <f>COUNT(S21:S51)</f>
        <v>2</v>
      </c>
    </row>
    <row r="20" spans="1:21" s="5" customFormat="1" ht="12.75" customHeight="1" x14ac:dyDescent="0.2">
      <c r="A20" s="15" t="s">
        <v>29</v>
      </c>
      <c r="B20" s="15" t="s">
        <v>30</v>
      </c>
      <c r="C20" s="15" t="s">
        <v>31</v>
      </c>
      <c r="D20" s="15" t="s">
        <v>32</v>
      </c>
      <c r="E20" s="15" t="s">
        <v>33</v>
      </c>
      <c r="F20" s="15" t="s">
        <v>34</v>
      </c>
      <c r="G20" s="15" t="s">
        <v>35</v>
      </c>
      <c r="H20" s="23" t="s">
        <v>36</v>
      </c>
      <c r="I20" s="23" t="s">
        <v>57</v>
      </c>
      <c r="J20" s="23" t="s">
        <v>37</v>
      </c>
      <c r="K20" s="23" t="s">
        <v>38</v>
      </c>
      <c r="L20" s="23" t="s">
        <v>39</v>
      </c>
      <c r="M20" s="23" t="s">
        <v>40</v>
      </c>
      <c r="N20" s="23" t="s">
        <v>41</v>
      </c>
      <c r="O20" s="23" t="s">
        <v>42</v>
      </c>
      <c r="P20" s="23" t="s">
        <v>43</v>
      </c>
      <c r="Q20" s="15" t="s">
        <v>44</v>
      </c>
      <c r="R20" s="24" t="s">
        <v>12</v>
      </c>
      <c r="S20" s="24" t="s">
        <v>13</v>
      </c>
      <c r="U20" s="40" t="s">
        <v>58</v>
      </c>
    </row>
    <row r="21" spans="1:21" s="5" customFormat="1" ht="12.75" customHeight="1" x14ac:dyDescent="0.2">
      <c r="A21" s="25" t="s">
        <v>36</v>
      </c>
      <c r="C21" s="26">
        <v>52500.510499999997</v>
      </c>
      <c r="D21" s="26" t="s">
        <v>45</v>
      </c>
      <c r="E21" s="5">
        <f t="shared" ref="E21:E26" si="0">+(C21-C$7)/C$8</f>
        <v>0</v>
      </c>
      <c r="F21" s="5">
        <f t="shared" ref="F21:F29" si="1">ROUND(2*E21,0)/2</f>
        <v>0</v>
      </c>
      <c r="G21" s="5">
        <f>+C21-(C$7+F21*C$8)</f>
        <v>0</v>
      </c>
      <c r="H21" s="5">
        <f>+G21</f>
        <v>0</v>
      </c>
      <c r="O21" s="5">
        <f t="shared" ref="O21:P26" ca="1" si="2">+C$11+C$12*$F21</f>
        <v>2.9390438411683803E-3</v>
      </c>
      <c r="P21" s="5">
        <f t="shared" ca="1" si="2"/>
        <v>0.32335000003331515</v>
      </c>
      <c r="Q21" s="27">
        <f t="shared" ref="Q21:Q26" si="3">+C21-15018.5</f>
        <v>37482.010499999997</v>
      </c>
      <c r="R21" s="5">
        <f>G21</f>
        <v>0</v>
      </c>
    </row>
    <row r="22" spans="1:21" s="5" customFormat="1" ht="12.75" customHeight="1" x14ac:dyDescent="0.2">
      <c r="A22" s="28" t="s">
        <v>9</v>
      </c>
      <c r="B22" s="28"/>
      <c r="C22" s="2">
        <v>53347.724000000002</v>
      </c>
      <c r="D22" s="2"/>
      <c r="E22" s="5">
        <f t="shared" si="0"/>
        <v>156.00246373902877</v>
      </c>
      <c r="F22" s="5">
        <f t="shared" si="1"/>
        <v>156</v>
      </c>
      <c r="G22" s="5">
        <f>+C22-(C$7+F22*C$8)</f>
        <v>1.3380000003962778E-2</v>
      </c>
      <c r="I22" s="5">
        <f>+G22</f>
        <v>1.3380000003962778E-2</v>
      </c>
      <c r="O22" s="5">
        <f t="shared" ca="1" si="2"/>
        <v>1.300346431103671E-2</v>
      </c>
      <c r="P22" s="5">
        <f t="shared" ca="1" si="2"/>
        <v>0.32860777780438688</v>
      </c>
      <c r="Q22" s="27">
        <f t="shared" si="3"/>
        <v>38329.224000000002</v>
      </c>
      <c r="R22" s="5">
        <f>G22</f>
        <v>1.3380000003962778E-2</v>
      </c>
    </row>
    <row r="23" spans="1:21" s="5" customFormat="1" ht="12.75" customHeight="1" x14ac:dyDescent="0.2">
      <c r="A23" s="3" t="s">
        <v>46</v>
      </c>
      <c r="B23" s="4" t="s">
        <v>47</v>
      </c>
      <c r="C23" s="2">
        <v>55139.904999999999</v>
      </c>
      <c r="D23" s="2">
        <v>2.9999999999999997E-4</v>
      </c>
      <c r="E23" s="5">
        <f t="shared" si="0"/>
        <v>486.007416996117</v>
      </c>
      <c r="F23" s="5">
        <f t="shared" si="1"/>
        <v>486</v>
      </c>
      <c r="G23" s="5">
        <f>+C23-(C$7+F23*C$8)</f>
        <v>4.0280000001075678E-2</v>
      </c>
      <c r="I23" s="5">
        <f>+G23</f>
        <v>4.0280000001075678E-2</v>
      </c>
      <c r="O23" s="5">
        <f t="shared" ca="1" si="2"/>
        <v>3.4293584535758176E-2</v>
      </c>
      <c r="P23" s="5">
        <f t="shared" ca="1" si="2"/>
        <v>0.33973000001242326</v>
      </c>
      <c r="Q23" s="27">
        <f t="shared" si="3"/>
        <v>40121.404999999999</v>
      </c>
      <c r="R23" s="5">
        <f>G23</f>
        <v>4.0280000001075678E-2</v>
      </c>
    </row>
    <row r="24" spans="1:21" s="5" customFormat="1" ht="12.75" customHeight="1" x14ac:dyDescent="0.2">
      <c r="A24" s="2" t="s">
        <v>48</v>
      </c>
      <c r="B24" s="4" t="s">
        <v>47</v>
      </c>
      <c r="C24" s="2">
        <v>55883.924700000003</v>
      </c>
      <c r="D24" s="2">
        <v>2.0000000000000001E-4</v>
      </c>
      <c r="E24" s="5">
        <f t="shared" si="0"/>
        <v>623.00819220847256</v>
      </c>
      <c r="F24" s="5">
        <f t="shared" si="1"/>
        <v>623</v>
      </c>
      <c r="I24" s="29">
        <v>4.4490000007499475E-2</v>
      </c>
      <c r="O24" s="5">
        <f t="shared" ca="1" si="2"/>
        <v>4.3132210204809208E-2</v>
      </c>
      <c r="P24" s="5">
        <f t="shared" ca="1" si="2"/>
        <v>0.34434740741394138</v>
      </c>
      <c r="Q24" s="27">
        <f t="shared" si="3"/>
        <v>40865.424700000003</v>
      </c>
    </row>
    <row r="25" spans="1:21" s="5" customFormat="1" ht="12.75" customHeight="1" x14ac:dyDescent="0.2">
      <c r="A25" s="2" t="s">
        <v>49</v>
      </c>
      <c r="B25" s="4" t="s">
        <v>50</v>
      </c>
      <c r="C25" s="2">
        <v>55946.678800000002</v>
      </c>
      <c r="D25" s="2">
        <v>2.9999999999999997E-4</v>
      </c>
      <c r="E25" s="5">
        <f t="shared" si="0"/>
        <v>634.56347810715693</v>
      </c>
      <c r="F25" s="5">
        <f t="shared" si="1"/>
        <v>634.5</v>
      </c>
      <c r="G25" s="5">
        <f t="shared" ref="G25:G31" si="4">+C25-(C$7+F25*C$8)</f>
        <v>0.34473500000603963</v>
      </c>
      <c r="I25" s="5">
        <f t="shared" ref="I25:I31" si="5">+G25</f>
        <v>0.34473500000603963</v>
      </c>
      <c r="O25" s="5">
        <f t="shared" ca="1" si="2"/>
        <v>4.3874138636882831E-2</v>
      </c>
      <c r="P25" s="5">
        <f t="shared" ca="1" si="2"/>
        <v>0.34473500000603963</v>
      </c>
      <c r="Q25" s="27">
        <f t="shared" si="3"/>
        <v>40928.178800000002</v>
      </c>
      <c r="S25" s="5">
        <f>G25</f>
        <v>0.34473500000603963</v>
      </c>
    </row>
    <row r="26" spans="1:21" s="5" customFormat="1" ht="12.75" customHeight="1" x14ac:dyDescent="0.2">
      <c r="A26" s="28" t="s">
        <v>51</v>
      </c>
      <c r="B26" s="4" t="s">
        <v>50</v>
      </c>
      <c r="C26" s="2">
        <v>56239.942199999998</v>
      </c>
      <c r="D26" s="2">
        <v>9.0000000000000008E-4</v>
      </c>
      <c r="E26" s="5">
        <f t="shared" si="0"/>
        <v>688.56381323458754</v>
      </c>
      <c r="F26" s="5">
        <f t="shared" si="1"/>
        <v>688.5</v>
      </c>
      <c r="G26" s="5">
        <f t="shared" si="4"/>
        <v>0.34655500000371831</v>
      </c>
      <c r="I26" s="5">
        <f t="shared" si="5"/>
        <v>0.34655500000371831</v>
      </c>
      <c r="O26" s="5">
        <f t="shared" ca="1" si="2"/>
        <v>4.7357976491837254E-2</v>
      </c>
      <c r="P26" s="5">
        <f t="shared" ca="1" si="2"/>
        <v>0.34655500000371831</v>
      </c>
      <c r="Q26" s="27">
        <f t="shared" si="3"/>
        <v>41221.442199999998</v>
      </c>
      <c r="S26" s="5">
        <f>G26</f>
        <v>0.34655500000371831</v>
      </c>
    </row>
    <row r="27" spans="1:21" s="5" customFormat="1" ht="12.75" customHeight="1" x14ac:dyDescent="0.2">
      <c r="A27" s="30" t="s">
        <v>52</v>
      </c>
      <c r="B27" s="31" t="s">
        <v>47</v>
      </c>
      <c r="C27" s="32">
        <v>56269.511709999999</v>
      </c>
      <c r="D27" s="32">
        <v>1E-4</v>
      </c>
      <c r="E27" s="5">
        <f>+(C27-C$7)/C$8</f>
        <v>694.00862308659771</v>
      </c>
      <c r="F27" s="5">
        <f t="shared" si="1"/>
        <v>694</v>
      </c>
      <c r="G27" s="5">
        <f t="shared" si="4"/>
        <v>4.6829999999317806E-2</v>
      </c>
      <c r="I27" s="5">
        <f t="shared" si="5"/>
        <v>4.6829999999317806E-2</v>
      </c>
      <c r="O27" s="5">
        <f t="shared" ref="O27:P29" ca="1" si="6">+C$11+C$12*$F27</f>
        <v>4.7712811828915944E-2</v>
      </c>
      <c r="P27" s="5">
        <f t="shared" ca="1" si="6"/>
        <v>0.34674037037385225</v>
      </c>
      <c r="Q27" s="27">
        <f>+C27-15018.5</f>
        <v>41251.011709999999</v>
      </c>
      <c r="R27" s="5">
        <f>G27</f>
        <v>4.6829999999317806E-2</v>
      </c>
    </row>
    <row r="28" spans="1:21" s="5" customFormat="1" ht="12.75" customHeight="1" x14ac:dyDescent="0.2">
      <c r="A28" s="33" t="s">
        <v>53</v>
      </c>
      <c r="B28" s="34"/>
      <c r="C28" s="33">
        <v>56964.658900000002</v>
      </c>
      <c r="D28" s="33">
        <v>3.7000000000000002E-3</v>
      </c>
      <c r="E28" s="5">
        <f>+(C28-C$7)/C$8</f>
        <v>822.01021217985772</v>
      </c>
      <c r="F28" s="5">
        <f t="shared" si="1"/>
        <v>822</v>
      </c>
      <c r="G28" s="5">
        <f t="shared" si="4"/>
        <v>5.5460000003222376E-2</v>
      </c>
      <c r="I28" s="5">
        <f t="shared" si="5"/>
        <v>5.5460000003222376E-2</v>
      </c>
      <c r="O28" s="5">
        <f t="shared" ca="1" si="6"/>
        <v>5.5970797855474576E-2</v>
      </c>
      <c r="P28" s="5">
        <f t="shared" ca="1" si="6"/>
        <v>0.35105444444242395</v>
      </c>
      <c r="Q28" s="27">
        <f>+C28-15018.5</f>
        <v>41946.158900000002</v>
      </c>
      <c r="R28" s="5">
        <f>G28</f>
        <v>5.5460000003222376E-2</v>
      </c>
    </row>
    <row r="29" spans="1:21" s="5" customFormat="1" ht="12.75" customHeight="1" x14ac:dyDescent="0.2">
      <c r="A29" s="35" t="s">
        <v>54</v>
      </c>
      <c r="B29" s="34"/>
      <c r="C29" s="35">
        <v>56269.512519999997</v>
      </c>
      <c r="D29" s="35">
        <v>1.2999999999999999E-4</v>
      </c>
      <c r="E29" s="5">
        <f>+(C29-C$7)/C$8</f>
        <v>694.00877223671785</v>
      </c>
      <c r="F29" s="5">
        <f t="shared" si="1"/>
        <v>694</v>
      </c>
      <c r="G29" s="5">
        <f t="shared" si="4"/>
        <v>4.7639999997045379E-2</v>
      </c>
      <c r="I29" s="5">
        <f t="shared" si="5"/>
        <v>4.7639999997045379E-2</v>
      </c>
      <c r="O29" s="5">
        <f t="shared" ca="1" si="6"/>
        <v>4.7712811828915944E-2</v>
      </c>
      <c r="P29" s="5">
        <f t="shared" ca="1" si="6"/>
        <v>0.34674037037385225</v>
      </c>
      <c r="Q29" s="27">
        <f>+C29-15018.5</f>
        <v>41251.012519999997</v>
      </c>
      <c r="R29" s="5">
        <f>G29</f>
        <v>4.7639999997045379E-2</v>
      </c>
    </row>
    <row r="30" spans="1:21" s="5" customFormat="1" ht="12.75" customHeight="1" x14ac:dyDescent="0.2">
      <c r="A30" s="36" t="s">
        <v>55</v>
      </c>
      <c r="B30" s="37" t="s">
        <v>50</v>
      </c>
      <c r="C30" s="38">
        <v>59177.47969100019</v>
      </c>
      <c r="D30" s="38">
        <v>5.5400000000000002E-4</v>
      </c>
      <c r="E30" s="5">
        <f>+(C30-C$7)/C$8</f>
        <v>1229.4700734886937</v>
      </c>
      <c r="F30" s="5">
        <f>ROUND(2*E30,0)/2</f>
        <v>1229.5</v>
      </c>
      <c r="G30" s="5">
        <f t="shared" si="4"/>
        <v>-0.16252399981021881</v>
      </c>
      <c r="O30" s="5">
        <f ca="1">+C$11+C$12*$F30</f>
        <v>8.2260870557213955E-2</v>
      </c>
      <c r="P30" s="5">
        <f ca="1">+D$11+D$12*$F30</f>
        <v>0.36478870368416583</v>
      </c>
      <c r="Q30" s="27">
        <f>+C30-15018.5</f>
        <v>44158.97969100019</v>
      </c>
      <c r="S30" s="41"/>
      <c r="U30" s="5">
        <f>+G30</f>
        <v>-0.16252399981021881</v>
      </c>
    </row>
    <row r="31" spans="1:21" s="5" customFormat="1" ht="12.75" customHeight="1" x14ac:dyDescent="0.2">
      <c r="A31" s="36" t="s">
        <v>56</v>
      </c>
      <c r="B31" s="37" t="s">
        <v>47</v>
      </c>
      <c r="C31" s="38">
        <v>57730.405119999778</v>
      </c>
      <c r="D31" s="38">
        <v>2.9999999999999997E-4</v>
      </c>
      <c r="E31" s="5">
        <f>+(C31-C$7)/C$8</f>
        <v>963.01162081984342</v>
      </c>
      <c r="F31" s="5">
        <f>ROUND(2*E31,0)/2</f>
        <v>963</v>
      </c>
      <c r="G31" s="5">
        <f t="shared" si="4"/>
        <v>6.3109999784501269E-2</v>
      </c>
      <c r="I31" s="5">
        <f t="shared" si="5"/>
        <v>6.3109999784501269E-2</v>
      </c>
      <c r="O31" s="5">
        <f ca="1">+C$11+C$12*$F31</f>
        <v>6.5067485587855564E-2</v>
      </c>
      <c r="P31" s="5">
        <f ca="1">+D$11+D$12*$F31</f>
        <v>0.3558066666585849</v>
      </c>
      <c r="Q31" s="27">
        <f>+C31-15018.5</f>
        <v>42711.905119999778</v>
      </c>
      <c r="R31" s="5">
        <f>G31</f>
        <v>6.3109999784501269E-2</v>
      </c>
    </row>
    <row r="32" spans="1:21" s="5" customFormat="1" ht="12.75" customHeight="1" x14ac:dyDescent="0.2"/>
    <row r="33" s="5" customFormat="1" ht="12.75" customHeight="1" x14ac:dyDescent="0.2"/>
    <row r="34" s="5" customFormat="1" ht="12.75" customHeight="1" x14ac:dyDescent="0.2"/>
    <row r="35" s="5" customFormat="1" ht="12.75" customHeight="1" x14ac:dyDescent="0.2"/>
    <row r="36" s="5" customFormat="1" ht="12.75" customHeight="1" x14ac:dyDescent="0.2"/>
  </sheetData>
  <sheetProtection selectLockedCells="1" selectUnlockedCells="1"/>
  <pageMargins left="0.75" right="0.75" top="1" bottom="1" header="0.51180555555555551" footer="0.51180555555555551"/>
  <pageSetup firstPageNumber="0" orientation="portrait" horizontalDpi="300" verticalDpi="300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N16" sqref="N16"/>
    </sheetView>
  </sheetViews>
  <sheetFormatPr defaultRowHeight="12.75" x14ac:dyDescent="0.2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Graphs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dcterms:created xsi:type="dcterms:W3CDTF">2024-03-07T07:00:17Z</dcterms:created>
  <dcterms:modified xsi:type="dcterms:W3CDTF">2024-03-07T07:00:17Z</dcterms:modified>
</cp:coreProperties>
</file>