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0074F40-F86C-4111-AF6A-26B1A16502A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E15" i="1" s="1"/>
  <c r="C17" i="1"/>
  <c r="E21" i="1"/>
  <c r="F21" i="1"/>
  <c r="G21" i="1"/>
  <c r="I21" i="1"/>
  <c r="Q21" i="1"/>
  <c r="E22" i="1"/>
  <c r="F22" i="1"/>
  <c r="G22" i="1" s="1"/>
  <c r="H22" i="1" s="1"/>
  <c r="Q22" i="1"/>
  <c r="E23" i="1"/>
  <c r="F23" i="1"/>
  <c r="G23" i="1" s="1"/>
  <c r="H23" i="1" s="1"/>
  <c r="Q23" i="1"/>
  <c r="E24" i="1"/>
  <c r="F24" i="1"/>
  <c r="G24" i="1"/>
  <c r="H24" i="1"/>
  <c r="Q24" i="1"/>
  <c r="E25" i="1"/>
  <c r="F25" i="1" s="1"/>
  <c r="G25" i="1" s="1"/>
  <c r="H25" i="1" s="1"/>
  <c r="Q25" i="1"/>
  <c r="E26" i="1"/>
  <c r="F26" i="1"/>
  <c r="G26" i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/>
  <c r="H29" i="1"/>
  <c r="Q29" i="1"/>
  <c r="E30" i="1"/>
  <c r="F30" i="1"/>
  <c r="G30" i="1" s="1"/>
  <c r="H30" i="1" s="1"/>
  <c r="Q30" i="1"/>
  <c r="E31" i="1"/>
  <c r="F31" i="1"/>
  <c r="G31" i="1" s="1"/>
  <c r="H31" i="1" s="1"/>
  <c r="Q31" i="1"/>
  <c r="A11" i="2"/>
  <c r="D11" i="2"/>
  <c r="G11" i="2"/>
  <c r="C11" i="2"/>
  <c r="E11" i="2"/>
  <c r="H11" i="2"/>
  <c r="B11" i="2"/>
  <c r="A12" i="2"/>
  <c r="B12" i="2"/>
  <c r="D12" i="2"/>
  <c r="G12" i="2"/>
  <c r="C12" i="2"/>
  <c r="E12" i="2"/>
  <c r="H12" i="2"/>
  <c r="A13" i="2"/>
  <c r="C13" i="2"/>
  <c r="E13" i="2"/>
  <c r="D13" i="2"/>
  <c r="G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C18" i="2"/>
  <c r="D18" i="2"/>
  <c r="E18" i="2"/>
  <c r="G18" i="2"/>
  <c r="H18" i="2"/>
  <c r="A19" i="2"/>
  <c r="D19" i="2"/>
  <c r="G19" i="2"/>
  <c r="C19" i="2"/>
  <c r="E19" i="2"/>
  <c r="H19" i="2"/>
  <c r="B19" i="2"/>
  <c r="C11" i="1"/>
  <c r="C12" i="1"/>
  <c r="C16" i="1" l="1"/>
  <c r="D18" i="1" s="1"/>
  <c r="O31" i="1"/>
  <c r="O30" i="1"/>
  <c r="O24" i="1"/>
  <c r="O21" i="1"/>
  <c r="O29" i="1"/>
  <c r="C15" i="1"/>
  <c r="O23" i="1"/>
  <c r="O28" i="1"/>
  <c r="O26" i="1"/>
  <c r="O22" i="1"/>
  <c r="O25" i="1"/>
  <c r="O27" i="1"/>
  <c r="C18" i="1" l="1"/>
  <c r="E16" i="1"/>
  <c r="E17" i="1" s="1"/>
</calcChain>
</file>

<file path=xl/sharedStrings.xml><?xml version="1.0" encoding="utf-8"?>
<sst xmlns="http://schemas.openxmlformats.org/spreadsheetml/2006/main" count="160" uniqueCount="107">
  <si>
    <t>AL Tri / GSC 2293-1021</t>
  </si>
  <si>
    <t>System Type:</t>
  </si>
  <si>
    <t>EW</t>
  </si>
  <si>
    <t>GCVS 4 Eph.</t>
  </si>
  <si>
    <t>not avail.</t>
  </si>
  <si>
    <t>--- Working ----</t>
  </si>
  <si>
    <t>Epoch =</t>
  </si>
  <si>
    <t>Period =</t>
  </si>
  <si>
    <t>VSX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</si>
  <si>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</si>
  <si>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</si>
  <si>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</si>
  <si>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</si>
  <si>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</si>
  <si>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</si>
  <si>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</si>
  <si>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</si>
  <si>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</si>
  <si>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</si>
  <si>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</si>
  <si>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</si>
  <si>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</si>
  <si>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</si>
  <si>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</si>
  <si>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</si>
  <si>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</si>
  <si>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</si>
  <si>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</si>
  <si>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</si>
  <si>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</si>
  <si>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</si>
  <si>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</si>
  <si>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</si>
  <si>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</si>
  <si>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</si>
  <si>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IBVS</t>
  </si>
  <si>
    <t>S3</t>
  </si>
  <si>
    <t>S4</t>
  </si>
  <si>
    <t>S5</t>
  </si>
  <si>
    <t>S6</t>
  </si>
  <si>
    <t>Misc</t>
  </si>
  <si>
    <t>Lin Fit</t>
  </si>
  <si>
    <t>Q. Fit</t>
  </si>
  <si>
    <t>Date</t>
  </si>
  <si>
    <t>BAD</t>
  </si>
  <si>
    <t>IBVS 5657</t>
  </si>
  <si>
    <t>I</t>
  </si>
  <si>
    <t>OEJV 0137</t>
  </si>
  <si>
    <t>IBVS 5984</t>
  </si>
  <si>
    <t>OEJV 0211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</si>
  <si>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</si>
  <si>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</si>
  <si>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</si>
  <si>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</si>
  <si>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</si>
  <si>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</si>
  <si>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</si>
  <si>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</si>
  <si>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</si>
  <si>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</si>
  <si>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</si>
  <si>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</si>
  <si>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2453300.3667 </t>
  </si>
  <si>
    <t> 21.10.2004 20:48 </t>
  </si>
  <si>
    <t> 0.0000 </t>
  </si>
  <si>
    <t>E </t>
  </si>
  <si>
    <t>-I</t>
  </si>
  <si>
    <t> K. &amp; M. Rätz </t>
  </si>
  <si>
    <t>BAVM 173 </t>
  </si>
  <si>
    <t>2455062.5611 </t>
  </si>
  <si>
    <t> 19.08.2009 01:27 </t>
  </si>
  <si>
    <t>1762</t>
  </si>
  <si>
    <t> 0.1944 </t>
  </si>
  <si>
    <t>C </t>
  </si>
  <si>
    <t> J.Trnka </t>
  </si>
  <si>
    <t>OEJV 0137 </t>
  </si>
  <si>
    <t>2455461.5281 </t>
  </si>
  <si>
    <t> 22.09.2010 00:40 </t>
  </si>
  <si>
    <t>2161</t>
  </si>
  <si>
    <t> 0.1614 </t>
  </si>
  <si>
    <t> F.Agerer </t>
  </si>
  <si>
    <t>BAVM 215 </t>
  </si>
  <si>
    <t>2455514.4447 </t>
  </si>
  <si>
    <t> 13.11.2010 22:40 </t>
  </si>
  <si>
    <t>2214</t>
  </si>
  <si>
    <t> 0.0780 </t>
  </si>
  <si>
    <t>R</t>
  </si>
  <si>
    <t> F.Lomoz </t>
  </si>
  <si>
    <t>2455102.4151 </t>
  </si>
  <si>
    <t> 27.09.2009 21:57 </t>
  </si>
  <si>
    <t>1802</t>
  </si>
  <si>
    <t> 0.0484 </t>
  </si>
  <si>
    <t>2455102.4158 </t>
  </si>
  <si>
    <t> 27.09.2009 21:58 </t>
  </si>
  <si>
    <t> 0.0491 </t>
  </si>
  <si>
    <t>2455102.4165 </t>
  </si>
  <si>
    <t> 27.09.2009 21:59 </t>
  </si>
  <si>
    <t> 0.0498 </t>
  </si>
  <si>
    <t>B</t>
  </si>
  <si>
    <t>2455135.4721 </t>
  </si>
  <si>
    <t> 30.10.2009 23:19 </t>
  </si>
  <si>
    <t>1835</t>
  </si>
  <si>
    <t> 0.1054 </t>
  </si>
  <si>
    <t>2455155.3376 </t>
  </si>
  <si>
    <t> 19.11.2009 20:06 </t>
  </si>
  <si>
    <t>1855</t>
  </si>
  <si>
    <t> -0.0291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</si>
</sst>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8" formatCode="d/mm/yyyy;@"/>
  </numFmts>
  <fonts count="14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/>
  </cellStyleXfs>
  <cellXfs count="47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2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2" fillId="2" borderId="10" xfId="5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8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Tri - O-C Diagr.</a:t>
            </a:r>
          </a:p>
        </c:rich>
      </c:tx>
      <c:layout>
        <c:manualLayout>
          <c:xMode val="edge"/>
          <c:yMode val="edge"/>
          <c:x val="0.38781606236813265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7201058112767"/>
          <c:y val="0.16816879871997983"/>
          <c:w val="0.82318038921775549"/>
          <c:h val="0.615617191995144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6609</c:v>
                </c:pt>
                <c:pt idx="2">
                  <c:v>6758.5</c:v>
                </c:pt>
                <c:pt idx="3">
                  <c:v>6758.5</c:v>
                </c:pt>
                <c:pt idx="4">
                  <c:v>6758.5</c:v>
                </c:pt>
                <c:pt idx="5">
                  <c:v>6882.5</c:v>
                </c:pt>
                <c:pt idx="6">
                  <c:v>6957</c:v>
                </c:pt>
                <c:pt idx="7">
                  <c:v>8304</c:v>
                </c:pt>
                <c:pt idx="8">
                  <c:v>8105.5</c:v>
                </c:pt>
                <c:pt idx="9">
                  <c:v>17872.5</c:v>
                </c:pt>
                <c:pt idx="10">
                  <c:v>17873</c:v>
                </c:pt>
              </c:numCache>
            </c:numRef>
          </c:xVal>
          <c:yVal>
            <c:numRef>
              <c:f>Active!$H$21:$H$500</c:f>
              <c:numCache>
                <c:formatCode>General</c:formatCode>
                <c:ptCount val="480"/>
                <c:pt idx="1">
                  <c:v>0.26143600000068545</c:v>
                </c:pt>
                <c:pt idx="2">
                  <c:v>0.25936400000500726</c:v>
                </c:pt>
                <c:pt idx="3">
                  <c:v>0.26006400000187568</c:v>
                </c:pt>
                <c:pt idx="4">
                  <c:v>0.26076400000602007</c:v>
                </c:pt>
                <c:pt idx="5">
                  <c:v>0.25847000000067055</c:v>
                </c:pt>
                <c:pt idx="6">
                  <c:v>0.26254799999878742</c:v>
                </c:pt>
                <c:pt idx="7">
                  <c:v>0.26481600000261096</c:v>
                </c:pt>
                <c:pt idx="8">
                  <c:v>0.26752200000191806</c:v>
                </c:pt>
                <c:pt idx="9">
                  <c:v>0.26490999985253438</c:v>
                </c:pt>
                <c:pt idx="10">
                  <c:v>0.2649919998657424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8B-4B91-A8E8-32D1E3DCC28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6609</c:v>
                </c:pt>
                <c:pt idx="2">
                  <c:v>6758.5</c:v>
                </c:pt>
                <c:pt idx="3">
                  <c:v>6758.5</c:v>
                </c:pt>
                <c:pt idx="4">
                  <c:v>6758.5</c:v>
                </c:pt>
                <c:pt idx="5">
                  <c:v>6882.5</c:v>
                </c:pt>
                <c:pt idx="6">
                  <c:v>6957</c:v>
                </c:pt>
                <c:pt idx="7">
                  <c:v>8304</c:v>
                </c:pt>
                <c:pt idx="8">
                  <c:v>8105.5</c:v>
                </c:pt>
                <c:pt idx="9">
                  <c:v>17872.5</c:v>
                </c:pt>
                <c:pt idx="10">
                  <c:v>17873</c:v>
                </c:pt>
              </c:numCache>
            </c:numRef>
          </c:xVal>
          <c:yVal>
            <c:numRef>
              <c:f>Active!$I$21:$I$500</c:f>
              <c:numCache>
                <c:formatCode>General</c:formatCode>
                <c:ptCount val="4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8B-4B91-A8E8-32D1E3DCC28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6609</c:v>
                </c:pt>
                <c:pt idx="2">
                  <c:v>6758.5</c:v>
                </c:pt>
                <c:pt idx="3">
                  <c:v>6758.5</c:v>
                </c:pt>
                <c:pt idx="4">
                  <c:v>6758.5</c:v>
                </c:pt>
                <c:pt idx="5">
                  <c:v>6882.5</c:v>
                </c:pt>
                <c:pt idx="6">
                  <c:v>6957</c:v>
                </c:pt>
                <c:pt idx="7">
                  <c:v>8304</c:v>
                </c:pt>
                <c:pt idx="8">
                  <c:v>8105.5</c:v>
                </c:pt>
                <c:pt idx="9">
                  <c:v>17872.5</c:v>
                </c:pt>
                <c:pt idx="10">
                  <c:v>17873</c:v>
                </c:pt>
              </c:numCache>
            </c:numRef>
          </c:xVal>
          <c:yVal>
            <c:numRef>
              <c:f>Active!$J$21:$J$500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8B-4B91-A8E8-32D1E3DCC28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6609</c:v>
                </c:pt>
                <c:pt idx="2">
                  <c:v>6758.5</c:v>
                </c:pt>
                <c:pt idx="3">
                  <c:v>6758.5</c:v>
                </c:pt>
                <c:pt idx="4">
                  <c:v>6758.5</c:v>
                </c:pt>
                <c:pt idx="5">
                  <c:v>6882.5</c:v>
                </c:pt>
                <c:pt idx="6">
                  <c:v>6957</c:v>
                </c:pt>
                <c:pt idx="7">
                  <c:v>8304</c:v>
                </c:pt>
                <c:pt idx="8">
                  <c:v>8105.5</c:v>
                </c:pt>
                <c:pt idx="9">
                  <c:v>17872.5</c:v>
                </c:pt>
                <c:pt idx="10">
                  <c:v>17873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8B-4B91-A8E8-32D1E3DCC28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6609</c:v>
                </c:pt>
                <c:pt idx="2">
                  <c:v>6758.5</c:v>
                </c:pt>
                <c:pt idx="3">
                  <c:v>6758.5</c:v>
                </c:pt>
                <c:pt idx="4">
                  <c:v>6758.5</c:v>
                </c:pt>
                <c:pt idx="5">
                  <c:v>6882.5</c:v>
                </c:pt>
                <c:pt idx="6">
                  <c:v>6957</c:v>
                </c:pt>
                <c:pt idx="7">
                  <c:v>8304</c:v>
                </c:pt>
                <c:pt idx="8">
                  <c:v>8105.5</c:v>
                </c:pt>
                <c:pt idx="9">
                  <c:v>17872.5</c:v>
                </c:pt>
                <c:pt idx="10">
                  <c:v>17873</c:v>
                </c:pt>
              </c:numCache>
            </c:numRef>
          </c:xVal>
          <c:yVal>
            <c:numRef>
              <c:f>Active!$L$21:$L$500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8B-4B91-A8E8-32D1E3DCC2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6609</c:v>
                </c:pt>
                <c:pt idx="2">
                  <c:v>6758.5</c:v>
                </c:pt>
                <c:pt idx="3">
                  <c:v>6758.5</c:v>
                </c:pt>
                <c:pt idx="4">
                  <c:v>6758.5</c:v>
                </c:pt>
                <c:pt idx="5">
                  <c:v>6882.5</c:v>
                </c:pt>
                <c:pt idx="6">
                  <c:v>6957</c:v>
                </c:pt>
                <c:pt idx="7">
                  <c:v>8304</c:v>
                </c:pt>
                <c:pt idx="8">
                  <c:v>8105.5</c:v>
                </c:pt>
                <c:pt idx="9">
                  <c:v>17872.5</c:v>
                </c:pt>
                <c:pt idx="10">
                  <c:v>17873</c:v>
                </c:pt>
              </c:numCache>
            </c:numRef>
          </c:xVal>
          <c:yVal>
            <c:numRef>
              <c:f>Active!$M$21:$M$500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8B-4B91-A8E8-32D1E3DCC2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6609</c:v>
                </c:pt>
                <c:pt idx="2">
                  <c:v>6758.5</c:v>
                </c:pt>
                <c:pt idx="3">
                  <c:v>6758.5</c:v>
                </c:pt>
                <c:pt idx="4">
                  <c:v>6758.5</c:v>
                </c:pt>
                <c:pt idx="5">
                  <c:v>6882.5</c:v>
                </c:pt>
                <c:pt idx="6">
                  <c:v>6957</c:v>
                </c:pt>
                <c:pt idx="7">
                  <c:v>8304</c:v>
                </c:pt>
                <c:pt idx="8">
                  <c:v>8105.5</c:v>
                </c:pt>
                <c:pt idx="9">
                  <c:v>17872.5</c:v>
                </c:pt>
                <c:pt idx="10">
                  <c:v>17873</c:v>
                </c:pt>
              </c:numCache>
            </c:numRef>
          </c:xVal>
          <c:yVal>
            <c:numRef>
              <c:f>Active!$N$21:$N$500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8B-4B91-A8E8-32D1E3DCC2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6609</c:v>
                </c:pt>
                <c:pt idx="2">
                  <c:v>6758.5</c:v>
                </c:pt>
                <c:pt idx="3">
                  <c:v>6758.5</c:v>
                </c:pt>
                <c:pt idx="4">
                  <c:v>6758.5</c:v>
                </c:pt>
                <c:pt idx="5">
                  <c:v>6882.5</c:v>
                </c:pt>
                <c:pt idx="6">
                  <c:v>6957</c:v>
                </c:pt>
                <c:pt idx="7">
                  <c:v>8304</c:v>
                </c:pt>
                <c:pt idx="8">
                  <c:v>8105.5</c:v>
                </c:pt>
                <c:pt idx="9">
                  <c:v>17872.5</c:v>
                </c:pt>
                <c:pt idx="10">
                  <c:v>17873</c:v>
                </c:pt>
              </c:numCache>
            </c:numRef>
          </c:xVal>
          <c:yVal>
            <c:numRef>
              <c:f>Active!$O$21:$O$500</c:f>
              <c:numCache>
                <c:formatCode>General</c:formatCode>
                <c:ptCount val="480"/>
                <c:pt idx="0">
                  <c:v>0.2592770374572092</c:v>
                </c:pt>
                <c:pt idx="1">
                  <c:v>0.26156229210796222</c:v>
                </c:pt>
                <c:pt idx="2">
                  <c:v>0.26161398609650627</c:v>
                </c:pt>
                <c:pt idx="3">
                  <c:v>0.26161398609650627</c:v>
                </c:pt>
                <c:pt idx="4">
                  <c:v>0.26161398609650627</c:v>
                </c:pt>
                <c:pt idx="5">
                  <c:v>0.26165686271576688</c:v>
                </c:pt>
                <c:pt idx="6">
                  <c:v>0.261682623265242</c:v>
                </c:pt>
                <c:pt idx="7">
                  <c:v>0.26214838783091976</c:v>
                </c:pt>
                <c:pt idx="8">
                  <c:v>0.26207975066218403</c:v>
                </c:pt>
                <c:pt idx="9">
                  <c:v>0.26545697598733226</c:v>
                </c:pt>
                <c:pt idx="10">
                  <c:v>0.26545714887692606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8B-4B91-A8E8-32D1E3DCC28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6609</c:v>
                </c:pt>
                <c:pt idx="2">
                  <c:v>6758.5</c:v>
                </c:pt>
                <c:pt idx="3">
                  <c:v>6758.5</c:v>
                </c:pt>
                <c:pt idx="4">
                  <c:v>6758.5</c:v>
                </c:pt>
                <c:pt idx="5">
                  <c:v>6882.5</c:v>
                </c:pt>
                <c:pt idx="6">
                  <c:v>6957</c:v>
                </c:pt>
                <c:pt idx="7">
                  <c:v>8304</c:v>
                </c:pt>
                <c:pt idx="8">
                  <c:v>8105.5</c:v>
                </c:pt>
                <c:pt idx="9">
                  <c:v>17872.5</c:v>
                </c:pt>
                <c:pt idx="10">
                  <c:v>17873</c:v>
                </c:pt>
              </c:numCache>
            </c:numRef>
          </c:xVal>
          <c:yVal>
            <c:numRef>
              <c:f>Active!$R$21:$R$500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8B-4B91-A8E8-32D1E3DCC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797160"/>
        <c:axId val="1"/>
      </c:scatterChart>
      <c:valAx>
        <c:axId val="642797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116210956542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797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276390042626542"/>
          <c:y val="0.91591875339906836"/>
          <c:w val="0.7325413298077710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8789C17-8E7E-16DE-427F-AD37D48CE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s="19" customFormat="1" ht="20.25" x14ac:dyDescent="0.2">
      <c r="A1" s="44" t="s">
        <v>0</v>
      </c>
    </row>
    <row r="2" spans="1:7" s="19" customFormat="1" ht="12.95" customHeight="1" x14ac:dyDescent="0.2">
      <c r="A2" s="19" t="s">
        <v>1</v>
      </c>
      <c r="B2" s="19" t="s">
        <v>2</v>
      </c>
      <c r="C2" s="20"/>
      <c r="D2" s="20"/>
    </row>
    <row r="3" spans="1:7" s="19" customFormat="1" ht="12.95" customHeight="1" x14ac:dyDescent="0.2"/>
    <row r="4" spans="1:7" s="19" customFormat="1" ht="12.95" customHeight="1" x14ac:dyDescent="0.2">
      <c r="A4" s="21" t="s">
        <v>3</v>
      </c>
      <c r="C4" s="22" t="s">
        <v>4</v>
      </c>
      <c r="D4" s="23" t="s">
        <v>4</v>
      </c>
    </row>
    <row r="5" spans="1:7" s="19" customFormat="1" ht="12.95" customHeight="1" x14ac:dyDescent="0.2"/>
    <row r="6" spans="1:7" s="19" customFormat="1" ht="12.95" customHeight="1" x14ac:dyDescent="0.2">
      <c r="A6" s="21" t="s">
        <v>5</v>
      </c>
    </row>
    <row r="7" spans="1:7" s="19" customFormat="1" ht="12.95" customHeight="1" x14ac:dyDescent="0.2">
      <c r="A7" s="19" t="s">
        <v>6</v>
      </c>
      <c r="C7" s="45">
        <v>53300.366699999999</v>
      </c>
      <c r="D7" s="24"/>
    </row>
    <row r="8" spans="1:7" s="19" customFormat="1" ht="12.95" customHeight="1" x14ac:dyDescent="0.2">
      <c r="A8" s="19" t="s">
        <v>7</v>
      </c>
      <c r="C8" s="46">
        <v>0.266596</v>
      </c>
      <c r="D8" s="24" t="s">
        <v>8</v>
      </c>
    </row>
    <row r="9" spans="1:7" s="19" customFormat="1" ht="12.95" customHeight="1" x14ac:dyDescent="0.2">
      <c r="A9" s="25" t="s">
        <v>9</v>
      </c>
      <c r="C9" s="26">
        <v>-9.5</v>
      </c>
      <c r="D9" s="19" t="s">
        <v>10</v>
      </c>
    </row>
    <row r="10" spans="1:7" s="19" customFormat="1" ht="12.95" customHeight="1" x14ac:dyDescent="0.2">
      <c r="C10" s="27" t="s">
        <v>11</v>
      </c>
      <c r="D10" s="27" t="s">
        <v>12</v>
      </c>
    </row>
    <row r="11" spans="1:7" s="19" customFormat="1" ht="12.95" customHeight="1" x14ac:dyDescent="0.2">
      <c r="A11" s="19" t="s">
        <v>13</v>
      </c>
      <c r="C11" s="28">
        <f ca="1">INTERCEPT(INDIRECT($G$11):G991,INDIRECT($F$11):F991)</f>
        <v>0.2592770374572092</v>
      </c>
      <c r="D11" s="20"/>
      <c r="F11" s="29" t="str">
        <f>"F"&amp;E19</f>
        <v>F22</v>
      </c>
      <c r="G11" s="28" t="str">
        <f>"G"&amp;E19</f>
        <v>G22</v>
      </c>
    </row>
    <row r="12" spans="1:7" s="19" customFormat="1" ht="12.95" customHeight="1" x14ac:dyDescent="0.2">
      <c r="A12" s="19" t="s">
        <v>14</v>
      </c>
      <c r="C12" s="28">
        <f ca="1">SLOPE(INDIRECT($G$11):G991,INDIRECT($F$11):F991)</f>
        <v>3.4577918758556868E-7</v>
      </c>
      <c r="D12" s="20"/>
    </row>
    <row r="13" spans="1:7" s="19" customFormat="1" ht="12.95" customHeight="1" x14ac:dyDescent="0.2">
      <c r="A13" s="19" t="s">
        <v>15</v>
      </c>
      <c r="C13" s="20" t="s">
        <v>16</v>
      </c>
      <c r="D13" s="30" t="s">
        <v>17</v>
      </c>
      <c r="E13" s="26">
        <v>1</v>
      </c>
    </row>
    <row r="14" spans="1:7" s="19" customFormat="1" ht="12.95" customHeight="1" x14ac:dyDescent="0.2">
      <c r="D14" s="30" t="s">
        <v>18</v>
      </c>
      <c r="E14" s="28">
        <f ca="1">NOW()+15018.5+$C$9/24</f>
        <v>60378.611428124997</v>
      </c>
    </row>
    <row r="15" spans="1:7" s="19" customFormat="1" ht="12.95" customHeight="1" x14ac:dyDescent="0.2">
      <c r="A15" s="21" t="s">
        <v>19</v>
      </c>
      <c r="C15" s="31">
        <f ca="1">(C7+C11)+(C8+C12)*INT(MAX(F21:F3532))</f>
        <v>58065.502465148871</v>
      </c>
      <c r="D15" s="30" t="s">
        <v>20</v>
      </c>
      <c r="E15" s="28">
        <f ca="1">ROUND(2*(E14-$C$7)/$C$8,0)/2+E13</f>
        <v>26551.5</v>
      </c>
    </row>
    <row r="16" spans="1:7" s="19" customFormat="1" ht="12.95" customHeight="1" x14ac:dyDescent="0.2">
      <c r="A16" s="21" t="s">
        <v>21</v>
      </c>
      <c r="C16" s="31">
        <f ca="1">+C8+C12</f>
        <v>0.26659634577918756</v>
      </c>
      <c r="D16" s="30" t="s">
        <v>22</v>
      </c>
      <c r="E16" s="28">
        <f ca="1">ROUND(2*(E14-$C$15)/$C$16,0)/2+E13</f>
        <v>8677.5</v>
      </c>
    </row>
    <row r="17" spans="1:18" s="19" customFormat="1" ht="12.95" customHeight="1" x14ac:dyDescent="0.2">
      <c r="A17" s="30" t="s">
        <v>23</v>
      </c>
      <c r="C17" s="19">
        <f>COUNT(C21:C2190)</f>
        <v>11</v>
      </c>
      <c r="D17" s="30" t="s">
        <v>24</v>
      </c>
      <c r="E17" s="32">
        <f ca="1">+$C$15+$C$16*E16-15018.5-$C$9/24</f>
        <v>45360.788088981106</v>
      </c>
    </row>
    <row r="18" spans="1:18" s="19" customFormat="1" ht="12.95" customHeight="1" x14ac:dyDescent="0.2">
      <c r="A18" s="21" t="s">
        <v>25</v>
      </c>
      <c r="C18" s="33">
        <f ca="1">+C15</f>
        <v>58065.502465148871</v>
      </c>
      <c r="D18" s="34">
        <f ca="1">+C16</f>
        <v>0.26659634577918756</v>
      </c>
      <c r="E18" s="35" t="s">
        <v>26</v>
      </c>
    </row>
    <row r="19" spans="1:18" s="19" customFormat="1" ht="12.95" customHeight="1" x14ac:dyDescent="0.2">
      <c r="A19" s="30" t="s">
        <v>27</v>
      </c>
      <c r="E19" s="36">
        <v>22</v>
      </c>
    </row>
    <row r="20" spans="1:18" s="19" customFormat="1" ht="12.95" customHeight="1" x14ac:dyDescent="0.2">
      <c r="A20" s="27" t="s">
        <v>28</v>
      </c>
      <c r="B20" s="27" t="s">
        <v>29</v>
      </c>
      <c r="C20" s="27" t="s">
        <v>30</v>
      </c>
      <c r="D20" s="27" t="s">
        <v>31</v>
      </c>
      <c r="E20" s="27" t="s">
        <v>32</v>
      </c>
      <c r="F20" s="27" t="s">
        <v>33</v>
      </c>
      <c r="G20" s="27" t="s">
        <v>34</v>
      </c>
      <c r="H20" s="37" t="s">
        <v>53</v>
      </c>
      <c r="I20" s="37" t="s">
        <v>35</v>
      </c>
      <c r="J20" s="37" t="s">
        <v>36</v>
      </c>
      <c r="K20" s="37" t="s">
        <v>37</v>
      </c>
      <c r="L20" s="37" t="s">
        <v>38</v>
      </c>
      <c r="M20" s="37" t="s">
        <v>39</v>
      </c>
      <c r="N20" s="37" t="s">
        <v>40</v>
      </c>
      <c r="O20" s="37" t="s">
        <v>41</v>
      </c>
      <c r="P20" s="37" t="s">
        <v>42</v>
      </c>
      <c r="Q20" s="27" t="s">
        <v>43</v>
      </c>
      <c r="R20" s="38" t="s">
        <v>44</v>
      </c>
    </row>
    <row r="21" spans="1:18" s="19" customFormat="1" ht="12.95" customHeight="1" x14ac:dyDescent="0.2">
      <c r="A21" s="5" t="s">
        <v>45</v>
      </c>
      <c r="B21" s="6" t="s">
        <v>46</v>
      </c>
      <c r="C21" s="5">
        <v>53300.366699999999</v>
      </c>
      <c r="D21" s="5">
        <v>8.9999999999999998E-4</v>
      </c>
      <c r="E21" s="19">
        <f t="shared" ref="E21:E28" si="0">+(C21-C$7)/C$8</f>
        <v>0</v>
      </c>
      <c r="F21" s="19">
        <f>ROUND(2*E21,0)/2</f>
        <v>0</v>
      </c>
      <c r="G21" s="19">
        <f t="shared" ref="G21:G28" si="1">+C21-(C$7+F21*C$8)</f>
        <v>0</v>
      </c>
      <c r="I21" s="19">
        <f>+G21</f>
        <v>0</v>
      </c>
      <c r="O21" s="19">
        <f t="shared" ref="O21:O28" ca="1" si="2">+C$11+C$12*$F21</f>
        <v>0.2592770374572092</v>
      </c>
      <c r="Q21" s="39">
        <f t="shared" ref="Q21:Q28" si="3">+C21-15018.5</f>
        <v>38281.866699999999</v>
      </c>
    </row>
    <row r="22" spans="1:18" s="19" customFormat="1" ht="12.95" customHeight="1" x14ac:dyDescent="0.2">
      <c r="A22" s="5" t="s">
        <v>47</v>
      </c>
      <c r="B22" s="6" t="s">
        <v>46</v>
      </c>
      <c r="C22" s="5">
        <v>55062.561099999999</v>
      </c>
      <c r="D22" s="5">
        <v>2.9999999999999997E-4</v>
      </c>
      <c r="E22" s="19">
        <f t="shared" si="0"/>
        <v>6609.9806448708923</v>
      </c>
      <c r="F22" s="19">
        <f>ROUND(2*E22,0)/2-1</f>
        <v>6609</v>
      </c>
      <c r="G22" s="19">
        <f t="shared" si="1"/>
        <v>0.26143600000068545</v>
      </c>
      <c r="H22" s="19">
        <f t="shared" ref="H22:H28" si="4">+G22</f>
        <v>0.26143600000068545</v>
      </c>
      <c r="O22" s="19">
        <f t="shared" ca="1" si="2"/>
        <v>0.26156229210796222</v>
      </c>
      <c r="Q22" s="39">
        <f t="shared" si="3"/>
        <v>40044.061099999999</v>
      </c>
    </row>
    <row r="23" spans="1:18" s="19" customFormat="1" ht="12.95" customHeight="1" x14ac:dyDescent="0.2">
      <c r="A23" s="5" t="s">
        <v>47</v>
      </c>
      <c r="B23" s="6" t="s">
        <v>46</v>
      </c>
      <c r="C23" s="5">
        <v>55102.415130000001</v>
      </c>
      <c r="D23" s="5">
        <v>1.6000000000000001E-3</v>
      </c>
      <c r="E23" s="19">
        <f t="shared" si="0"/>
        <v>6759.472872811305</v>
      </c>
      <c r="F23" s="19">
        <f t="shared" ref="F23:F29" si="5">ROUND(2*E23,0)/2-1</f>
        <v>6758.5</v>
      </c>
      <c r="G23" s="19">
        <f t="shared" si="1"/>
        <v>0.25936400000500726</v>
      </c>
      <c r="H23" s="19">
        <f t="shared" si="4"/>
        <v>0.25936400000500726</v>
      </c>
      <c r="O23" s="19">
        <f t="shared" ca="1" si="2"/>
        <v>0.26161398609650627</v>
      </c>
      <c r="Q23" s="39">
        <f t="shared" si="3"/>
        <v>40083.915130000001</v>
      </c>
    </row>
    <row r="24" spans="1:18" s="19" customFormat="1" ht="12.95" customHeight="1" x14ac:dyDescent="0.2">
      <c r="A24" s="5" t="s">
        <v>47</v>
      </c>
      <c r="B24" s="6" t="s">
        <v>46</v>
      </c>
      <c r="C24" s="5">
        <v>55102.415829999998</v>
      </c>
      <c r="D24" s="5">
        <v>1.6000000000000001E-3</v>
      </c>
      <c r="E24" s="19">
        <f t="shared" si="0"/>
        <v>6759.4754985071022</v>
      </c>
      <c r="F24" s="19">
        <f t="shared" si="5"/>
        <v>6758.5</v>
      </c>
      <c r="G24" s="19">
        <f t="shared" si="1"/>
        <v>0.26006400000187568</v>
      </c>
      <c r="H24" s="19">
        <f t="shared" si="4"/>
        <v>0.26006400000187568</v>
      </c>
      <c r="O24" s="19">
        <f t="shared" ca="1" si="2"/>
        <v>0.26161398609650627</v>
      </c>
      <c r="Q24" s="39">
        <f t="shared" si="3"/>
        <v>40083.915829999998</v>
      </c>
    </row>
    <row r="25" spans="1:18" s="19" customFormat="1" ht="12.95" customHeight="1" x14ac:dyDescent="0.2">
      <c r="A25" s="5" t="s">
        <v>47</v>
      </c>
      <c r="B25" s="6" t="s">
        <v>46</v>
      </c>
      <c r="C25" s="5">
        <v>55102.416530000002</v>
      </c>
      <c r="D25" s="5">
        <v>1.6000000000000001E-3</v>
      </c>
      <c r="E25" s="19">
        <f t="shared" si="0"/>
        <v>6759.4781242029276</v>
      </c>
      <c r="F25" s="19">
        <f t="shared" si="5"/>
        <v>6758.5</v>
      </c>
      <c r="G25" s="19">
        <f t="shared" si="1"/>
        <v>0.26076400000602007</v>
      </c>
      <c r="H25" s="19">
        <f t="shared" si="4"/>
        <v>0.26076400000602007</v>
      </c>
      <c r="O25" s="19">
        <f t="shared" ca="1" si="2"/>
        <v>0.26161398609650627</v>
      </c>
      <c r="Q25" s="39">
        <f t="shared" si="3"/>
        <v>40083.916530000002</v>
      </c>
    </row>
    <row r="26" spans="1:18" s="19" customFormat="1" ht="12.95" customHeight="1" x14ac:dyDescent="0.2">
      <c r="A26" s="5" t="s">
        <v>47</v>
      </c>
      <c r="B26" s="6" t="s">
        <v>46</v>
      </c>
      <c r="C26" s="5">
        <v>55135.472139999998</v>
      </c>
      <c r="D26" s="5">
        <v>5.0000000000000001E-3</v>
      </c>
      <c r="E26" s="19">
        <f t="shared" si="0"/>
        <v>6883.4695194226442</v>
      </c>
      <c r="F26" s="19">
        <f t="shared" si="5"/>
        <v>6882.5</v>
      </c>
      <c r="G26" s="19">
        <f t="shared" si="1"/>
        <v>0.25847000000067055</v>
      </c>
      <c r="H26" s="19">
        <f t="shared" si="4"/>
        <v>0.25847000000067055</v>
      </c>
      <c r="O26" s="19">
        <f t="shared" ca="1" si="2"/>
        <v>0.26165686271576688</v>
      </c>
      <c r="Q26" s="39">
        <f t="shared" si="3"/>
        <v>40116.972139999998</v>
      </c>
    </row>
    <row r="27" spans="1:18" s="19" customFormat="1" ht="12.95" customHeight="1" x14ac:dyDescent="0.2">
      <c r="A27" s="5" t="s">
        <v>47</v>
      </c>
      <c r="B27" s="6" t="s">
        <v>46</v>
      </c>
      <c r="C27" s="5">
        <v>55155.337619999998</v>
      </c>
      <c r="D27" s="5">
        <v>1.6000000000000001E-3</v>
      </c>
      <c r="E27" s="19">
        <f t="shared" si="0"/>
        <v>6957.9848159762332</v>
      </c>
      <c r="F27" s="19">
        <f t="shared" si="5"/>
        <v>6957</v>
      </c>
      <c r="G27" s="19">
        <f t="shared" si="1"/>
        <v>0.26254799999878742</v>
      </c>
      <c r="H27" s="19">
        <f t="shared" si="4"/>
        <v>0.26254799999878742</v>
      </c>
      <c r="O27" s="19">
        <f t="shared" ca="1" si="2"/>
        <v>0.261682623265242</v>
      </c>
      <c r="Q27" s="39">
        <f t="shared" si="3"/>
        <v>40136.837619999998</v>
      </c>
    </row>
    <row r="28" spans="1:18" s="19" customFormat="1" ht="12.95" customHeight="1" x14ac:dyDescent="0.2">
      <c r="A28" s="5" t="s">
        <v>47</v>
      </c>
      <c r="B28" s="6" t="s">
        <v>46</v>
      </c>
      <c r="C28" s="5">
        <v>55514.4447</v>
      </c>
      <c r="D28" s="5">
        <v>3.2000000000000002E-3</v>
      </c>
      <c r="E28" s="19">
        <f t="shared" si="0"/>
        <v>8304.9933232306612</v>
      </c>
      <c r="F28" s="19">
        <f t="shared" si="5"/>
        <v>8304</v>
      </c>
      <c r="G28" s="19">
        <f t="shared" si="1"/>
        <v>0.26481600000261096</v>
      </c>
      <c r="H28" s="19">
        <f t="shared" si="4"/>
        <v>0.26481600000261096</v>
      </c>
      <c r="O28" s="19">
        <f t="shared" ca="1" si="2"/>
        <v>0.26214838783091976</v>
      </c>
      <c r="Q28" s="39">
        <f t="shared" si="3"/>
        <v>40495.9447</v>
      </c>
    </row>
    <row r="29" spans="1:18" s="19" customFormat="1" ht="12.95" customHeight="1" x14ac:dyDescent="0.2">
      <c r="A29" s="40" t="s">
        <v>48</v>
      </c>
      <c r="B29" s="40"/>
      <c r="C29" s="3">
        <v>55461.528100000003</v>
      </c>
      <c r="D29" s="3">
        <v>9.4000000000000004E-3</v>
      </c>
      <c r="E29" s="19">
        <f>+(C29-C$7)/C$8</f>
        <v>8106.5034734204737</v>
      </c>
      <c r="F29" s="19">
        <f t="shared" si="5"/>
        <v>8105.5</v>
      </c>
      <c r="G29" s="19">
        <f>+C29-(C$7+F29*C$8)</f>
        <v>0.26752200000191806</v>
      </c>
      <c r="H29" s="19">
        <f>+G29</f>
        <v>0.26752200000191806</v>
      </c>
      <c r="O29" s="19">
        <f ca="1">+C$11+C$12*$F29</f>
        <v>0.26207975066218403</v>
      </c>
      <c r="Q29" s="39">
        <f>+C29-15018.5</f>
        <v>40443.028100000003</v>
      </c>
    </row>
    <row r="30" spans="1:18" s="19" customFormat="1" ht="12.95" customHeight="1" x14ac:dyDescent="0.2">
      <c r="A30" s="41" t="s">
        <v>49</v>
      </c>
      <c r="B30" s="42" t="s">
        <v>50</v>
      </c>
      <c r="C30" s="43">
        <v>58065.368619999848</v>
      </c>
      <c r="D30" s="43">
        <v>1.4E-3</v>
      </c>
      <c r="E30" s="19">
        <f>+(C30-C$7)/C$8</f>
        <v>17873.493675823531</v>
      </c>
      <c r="F30" s="19">
        <f>ROUND(2*E30,0)/2-1</f>
        <v>17872.5</v>
      </c>
      <c r="G30" s="19">
        <f>+C30-(C$7+F30*C$8)</f>
        <v>0.26490999985253438</v>
      </c>
      <c r="H30" s="19">
        <f>+G30</f>
        <v>0.26490999985253438</v>
      </c>
      <c r="O30" s="19">
        <f ca="1">+C$11+C$12*$F30</f>
        <v>0.26545697598733226</v>
      </c>
      <c r="Q30" s="39">
        <f>+C30-15018.5</f>
        <v>43046.868619999848</v>
      </c>
    </row>
    <row r="31" spans="1:18" s="19" customFormat="1" ht="12.95" customHeight="1" x14ac:dyDescent="0.2">
      <c r="A31" s="41" t="s">
        <v>49</v>
      </c>
      <c r="B31" s="42" t="s">
        <v>46</v>
      </c>
      <c r="C31" s="43">
        <v>58065.501999999862</v>
      </c>
      <c r="D31" s="43">
        <v>1.8E-3</v>
      </c>
      <c r="E31" s="19">
        <f>+(C31-C$7)/C$8</f>
        <v>17873.993983405089</v>
      </c>
      <c r="F31" s="19">
        <f>ROUND(2*E31,0)/2-1</f>
        <v>17873</v>
      </c>
      <c r="G31" s="19">
        <f>+C31-(C$7+F31*C$8)</f>
        <v>0.2649919998657424</v>
      </c>
      <c r="H31" s="19">
        <f>+G31</f>
        <v>0.2649919998657424</v>
      </c>
      <c r="O31" s="19">
        <f ca="1">+C$11+C$12*$F31</f>
        <v>0.26545714887692606</v>
      </c>
      <c r="Q31" s="39">
        <f>+C31-15018.5</f>
        <v>43047.001999999862</v>
      </c>
    </row>
    <row r="32" spans="1:18" s="19" customFormat="1" ht="12.95" customHeight="1" x14ac:dyDescent="0.2"/>
    <row r="33" s="19" customFormat="1" ht="12.95" customHeight="1" x14ac:dyDescent="0.2"/>
    <row r="34" s="19" customFormat="1" ht="12.95" customHeight="1" x14ac:dyDescent="0.2"/>
    <row r="35" s="19" customFormat="1" ht="12.95" customHeight="1" x14ac:dyDescent="0.2"/>
    <row r="36" s="19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A15" sqref="A15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" t="s">
        <v>51</v>
      </c>
      <c r="I1" s="8" t="s">
        <v>52</v>
      </c>
      <c r="J1" s="9" t="s">
        <v>53</v>
      </c>
    </row>
    <row r="2" spans="1:16" x14ac:dyDescent="0.2">
      <c r="I2" s="10" t="s">
        <v>54</v>
      </c>
      <c r="J2" s="11" t="s">
        <v>55</v>
      </c>
    </row>
    <row r="3" spans="1:16" x14ac:dyDescent="0.2">
      <c r="A3" s="12" t="s">
        <v>56</v>
      </c>
      <c r="I3" s="10" t="s">
        <v>57</v>
      </c>
      <c r="J3" s="11" t="s">
        <v>58</v>
      </c>
    </row>
    <row r="4" spans="1:16" x14ac:dyDescent="0.2">
      <c r="I4" s="10" t="s">
        <v>59</v>
      </c>
      <c r="J4" s="11" t="s">
        <v>58</v>
      </c>
    </row>
    <row r="5" spans="1:16" x14ac:dyDescent="0.2">
      <c r="I5" s="13" t="s">
        <v>60</v>
      </c>
      <c r="J5" s="14" t="s">
        <v>61</v>
      </c>
    </row>
    <row r="11" spans="1:16" ht="12.75" customHeight="1" x14ac:dyDescent="0.2">
      <c r="A11" s="4" t="str">
        <f t="shared" ref="A11:A19" si="0">P11</f>
        <v>BAVM 173 </v>
      </c>
      <c r="B11" s="2" t="str">
        <f t="shared" ref="B11:B19" si="1">IF(H11=INT(H11),"I","II")</f>
        <v>I</v>
      </c>
      <c r="C11" s="4">
        <f t="shared" ref="C11:C19" si="2">1*G11</f>
        <v>53300.366699999999</v>
      </c>
      <c r="D11" t="str">
        <f t="shared" ref="D11:D19" si="3">VLOOKUP(F11,I$1:J$5,2,FALSE)</f>
        <v>vis</v>
      </c>
      <c r="E11">
        <f>VLOOKUP(C11,Active!C$21:E$973,3,FALSE)</f>
        <v>0</v>
      </c>
      <c r="F11" s="2" t="s">
        <v>60</v>
      </c>
      <c r="G11" t="str">
        <f t="shared" ref="G11:G19" si="4">MID(I11,3,LEN(I11)-3)</f>
        <v>53300.3667</v>
      </c>
      <c r="H11" s="4">
        <f t="shared" ref="H11:H19" si="5">1*K11</f>
        <v>0</v>
      </c>
      <c r="I11" s="15" t="s">
        <v>62</v>
      </c>
      <c r="J11" s="16" t="s">
        <v>63</v>
      </c>
      <c r="K11" s="15">
        <v>0</v>
      </c>
      <c r="L11" s="15" t="s">
        <v>64</v>
      </c>
      <c r="M11" s="16" t="s">
        <v>65</v>
      </c>
      <c r="N11" s="16" t="s">
        <v>66</v>
      </c>
      <c r="O11" s="17" t="s">
        <v>67</v>
      </c>
      <c r="P11" s="18" t="s">
        <v>68</v>
      </c>
    </row>
    <row r="12" spans="1:16" ht="12.75" customHeight="1" x14ac:dyDescent="0.2">
      <c r="A12" s="4" t="str">
        <f t="shared" si="0"/>
        <v>OEJV 0137 </v>
      </c>
      <c r="B12" s="2" t="str">
        <f t="shared" si="1"/>
        <v>I</v>
      </c>
      <c r="C12" s="4">
        <f t="shared" si="2"/>
        <v>55062.561099999999</v>
      </c>
      <c r="D12" t="str">
        <f t="shared" si="3"/>
        <v>vis</v>
      </c>
      <c r="E12">
        <f>VLOOKUP(C12,Active!C$21:E$973,3,FALSE)</f>
        <v>6609.9806448708923</v>
      </c>
      <c r="F12" s="2" t="s">
        <v>60</v>
      </c>
      <c r="G12" t="str">
        <f t="shared" si="4"/>
        <v>55062.5611</v>
      </c>
      <c r="H12" s="4">
        <f t="shared" si="5"/>
        <v>1762</v>
      </c>
      <c r="I12" s="15" t="s">
        <v>69</v>
      </c>
      <c r="J12" s="16" t="s">
        <v>70</v>
      </c>
      <c r="K12" s="15" t="s">
        <v>71</v>
      </c>
      <c r="L12" s="15" t="s">
        <v>72</v>
      </c>
      <c r="M12" s="16" t="s">
        <v>73</v>
      </c>
      <c r="N12" s="16" t="s">
        <v>52</v>
      </c>
      <c r="O12" s="17" t="s">
        <v>74</v>
      </c>
      <c r="P12" s="18" t="s">
        <v>75</v>
      </c>
    </row>
    <row r="13" spans="1:16" ht="12.75" customHeight="1" x14ac:dyDescent="0.2">
      <c r="A13" s="4" t="str">
        <f t="shared" si="0"/>
        <v>BAVM 215 </v>
      </c>
      <c r="B13" s="2" t="str">
        <f t="shared" si="1"/>
        <v>I</v>
      </c>
      <c r="C13" s="4">
        <f t="shared" si="2"/>
        <v>55461.528100000003</v>
      </c>
      <c r="D13" t="str">
        <f t="shared" si="3"/>
        <v>vis</v>
      </c>
      <c r="E13">
        <f>VLOOKUP(C13,Active!C$21:E$973,3,FALSE)</f>
        <v>8106.5034734204737</v>
      </c>
      <c r="F13" s="2" t="s">
        <v>60</v>
      </c>
      <c r="G13" t="str">
        <f t="shared" si="4"/>
        <v>55461.5281</v>
      </c>
      <c r="H13" s="4">
        <f t="shared" si="5"/>
        <v>2161</v>
      </c>
      <c r="I13" s="15" t="s">
        <v>76</v>
      </c>
      <c r="J13" s="16" t="s">
        <v>77</v>
      </c>
      <c r="K13" s="15" t="s">
        <v>78</v>
      </c>
      <c r="L13" s="15" t="s">
        <v>79</v>
      </c>
      <c r="M13" s="16" t="s">
        <v>73</v>
      </c>
      <c r="N13" s="16" t="s">
        <v>66</v>
      </c>
      <c r="O13" s="17" t="s">
        <v>80</v>
      </c>
      <c r="P13" s="18" t="s">
        <v>81</v>
      </c>
    </row>
    <row r="14" spans="1:16" ht="12.75" customHeight="1" x14ac:dyDescent="0.2">
      <c r="A14" s="4" t="str">
        <f t="shared" si="0"/>
        <v>OEJV 0137 </v>
      </c>
      <c r="B14" s="2" t="str">
        <f t="shared" si="1"/>
        <v>I</v>
      </c>
      <c r="C14" s="4">
        <f t="shared" si="2"/>
        <v>55514.4447</v>
      </c>
      <c r="D14" t="str">
        <f t="shared" si="3"/>
        <v>vis</v>
      </c>
      <c r="E14">
        <f>VLOOKUP(C14,Active!C$21:E$973,3,FALSE)</f>
        <v>8304.9933232306612</v>
      </c>
      <c r="F14" s="2" t="s">
        <v>60</v>
      </c>
      <c r="G14" t="str">
        <f t="shared" si="4"/>
        <v>55514.4447</v>
      </c>
      <c r="H14" s="4">
        <f t="shared" si="5"/>
        <v>2214</v>
      </c>
      <c r="I14" s="15" t="s">
        <v>82</v>
      </c>
      <c r="J14" s="16" t="s">
        <v>83</v>
      </c>
      <c r="K14" s="15" t="s">
        <v>84</v>
      </c>
      <c r="L14" s="15" t="s">
        <v>85</v>
      </c>
      <c r="M14" s="16" t="s">
        <v>73</v>
      </c>
      <c r="N14" s="16" t="s">
        <v>86</v>
      </c>
      <c r="O14" s="17" t="s">
        <v>87</v>
      </c>
      <c r="P14" s="18" t="s">
        <v>75</v>
      </c>
    </row>
    <row r="15" spans="1:16" ht="12.75" customHeight="1" x14ac:dyDescent="0.2">
      <c r="A15" s="4" t="str">
        <f t="shared" si="0"/>
        <v>OEJV 0137 </v>
      </c>
      <c r="B15" s="2" t="str">
        <f t="shared" si="1"/>
        <v>I</v>
      </c>
      <c r="C15" s="4">
        <f t="shared" si="2"/>
        <v>55102.415099999998</v>
      </c>
      <c r="D15" t="str">
        <f t="shared" si="3"/>
        <v>vis</v>
      </c>
      <c r="E15" t="e">
        <f>VLOOKUP(C15,Active!C$21:E$973,3,FALSE)</f>
        <v>#N/A</v>
      </c>
      <c r="F15" s="2" t="s">
        <v>60</v>
      </c>
      <c r="G15" t="str">
        <f t="shared" si="4"/>
        <v>55102.4151</v>
      </c>
      <c r="H15" s="4">
        <f t="shared" si="5"/>
        <v>1802</v>
      </c>
      <c r="I15" s="15" t="s">
        <v>88</v>
      </c>
      <c r="J15" s="16" t="s">
        <v>89</v>
      </c>
      <c r="K15" s="15" t="s">
        <v>90</v>
      </c>
      <c r="L15" s="15" t="s">
        <v>91</v>
      </c>
      <c r="M15" s="16" t="s">
        <v>73</v>
      </c>
      <c r="N15" s="16" t="s">
        <v>60</v>
      </c>
      <c r="O15" s="17" t="s">
        <v>87</v>
      </c>
      <c r="P15" s="18" t="s">
        <v>75</v>
      </c>
    </row>
    <row r="16" spans="1:16" ht="12.75" customHeight="1" x14ac:dyDescent="0.2">
      <c r="A16" s="4" t="str">
        <f t="shared" si="0"/>
        <v>OEJV 0137 </v>
      </c>
      <c r="B16" s="2" t="str">
        <f t="shared" si="1"/>
        <v>I</v>
      </c>
      <c r="C16" s="4">
        <f t="shared" si="2"/>
        <v>55102.415800000002</v>
      </c>
      <c r="D16" t="str">
        <f t="shared" si="3"/>
        <v>vis</v>
      </c>
      <c r="E16" t="e">
        <f>VLOOKUP(C16,Active!C$21:E$973,3,FALSE)</f>
        <v>#N/A</v>
      </c>
      <c r="F16" s="2" t="s">
        <v>60</v>
      </c>
      <c r="G16" t="str">
        <f t="shared" si="4"/>
        <v>55102.4158</v>
      </c>
      <c r="H16" s="4">
        <f t="shared" si="5"/>
        <v>1802</v>
      </c>
      <c r="I16" s="15" t="s">
        <v>92</v>
      </c>
      <c r="J16" s="16" t="s">
        <v>93</v>
      </c>
      <c r="K16" s="15" t="s">
        <v>90</v>
      </c>
      <c r="L16" s="15" t="s">
        <v>94</v>
      </c>
      <c r="M16" s="16" t="s">
        <v>73</v>
      </c>
      <c r="N16" s="16" t="s">
        <v>86</v>
      </c>
      <c r="O16" s="17" t="s">
        <v>87</v>
      </c>
      <c r="P16" s="18" t="s">
        <v>75</v>
      </c>
    </row>
    <row r="17" spans="1:16" ht="12.75" customHeight="1" x14ac:dyDescent="0.2">
      <c r="A17" s="4" t="str">
        <f t="shared" si="0"/>
        <v>OEJV 0137 </v>
      </c>
      <c r="B17" s="2" t="str">
        <f t="shared" si="1"/>
        <v>I</v>
      </c>
      <c r="C17" s="4">
        <f t="shared" si="2"/>
        <v>55102.416499999999</v>
      </c>
      <c r="D17" t="str">
        <f t="shared" si="3"/>
        <v>vis</v>
      </c>
      <c r="E17" t="e">
        <f>VLOOKUP(C17,Active!C$21:E$973,3,FALSE)</f>
        <v>#N/A</v>
      </c>
      <c r="F17" s="2" t="s">
        <v>60</v>
      </c>
      <c r="G17" t="str">
        <f t="shared" si="4"/>
        <v>55102.4165</v>
      </c>
      <c r="H17" s="4">
        <f t="shared" si="5"/>
        <v>1802</v>
      </c>
      <c r="I17" s="15" t="s">
        <v>95</v>
      </c>
      <c r="J17" s="16" t="s">
        <v>96</v>
      </c>
      <c r="K17" s="15" t="s">
        <v>90</v>
      </c>
      <c r="L17" s="15" t="s">
        <v>97</v>
      </c>
      <c r="M17" s="16" t="s">
        <v>73</v>
      </c>
      <c r="N17" s="16" t="s">
        <v>98</v>
      </c>
      <c r="O17" s="17" t="s">
        <v>87</v>
      </c>
      <c r="P17" s="18" t="s">
        <v>75</v>
      </c>
    </row>
    <row r="18" spans="1:16" ht="12.75" customHeight="1" x14ac:dyDescent="0.2">
      <c r="A18" s="4" t="str">
        <f t="shared" si="0"/>
        <v>OEJV 0137 </v>
      </c>
      <c r="B18" s="2" t="str">
        <f t="shared" si="1"/>
        <v>I</v>
      </c>
      <c r="C18" s="4">
        <f t="shared" si="2"/>
        <v>55135.472099999999</v>
      </c>
      <c r="D18" t="str">
        <f t="shared" si="3"/>
        <v>vis</v>
      </c>
      <c r="E18" t="e">
        <f>VLOOKUP(C18,Active!C$21:E$973,3,FALSE)</f>
        <v>#N/A</v>
      </c>
      <c r="F18" s="2" t="s">
        <v>60</v>
      </c>
      <c r="G18" t="str">
        <f t="shared" si="4"/>
        <v>55135.4721</v>
      </c>
      <c r="H18" s="4">
        <f t="shared" si="5"/>
        <v>1835</v>
      </c>
      <c r="I18" s="15" t="s">
        <v>99</v>
      </c>
      <c r="J18" s="16" t="s">
        <v>100</v>
      </c>
      <c r="K18" s="15" t="s">
        <v>101</v>
      </c>
      <c r="L18" s="15" t="s">
        <v>102</v>
      </c>
      <c r="M18" s="16" t="s">
        <v>73</v>
      </c>
      <c r="N18" s="16" t="s">
        <v>86</v>
      </c>
      <c r="O18" s="17" t="s">
        <v>87</v>
      </c>
      <c r="P18" s="18" t="s">
        <v>75</v>
      </c>
    </row>
    <row r="19" spans="1:16" ht="12.75" customHeight="1" x14ac:dyDescent="0.2">
      <c r="A19" s="4" t="str">
        <f t="shared" si="0"/>
        <v>OEJV 0137 </v>
      </c>
      <c r="B19" s="2" t="str">
        <f t="shared" si="1"/>
        <v>I</v>
      </c>
      <c r="C19" s="4">
        <f t="shared" si="2"/>
        <v>55155.337599999999</v>
      </c>
      <c r="D19" t="str">
        <f t="shared" si="3"/>
        <v>vis</v>
      </c>
      <c r="E19" t="e">
        <f>VLOOKUP(C19,Active!C$21:E$973,3,FALSE)</f>
        <v>#N/A</v>
      </c>
      <c r="F19" s="2" t="s">
        <v>60</v>
      </c>
      <c r="G19" t="str">
        <f t="shared" si="4"/>
        <v>55155.3376</v>
      </c>
      <c r="H19" s="4">
        <f t="shared" si="5"/>
        <v>1855</v>
      </c>
      <c r="I19" s="15" t="s">
        <v>103</v>
      </c>
      <c r="J19" s="16" t="s">
        <v>104</v>
      </c>
      <c r="K19" s="15" t="s">
        <v>105</v>
      </c>
      <c r="L19" s="15" t="s">
        <v>106</v>
      </c>
      <c r="M19" s="16" t="s">
        <v>73</v>
      </c>
      <c r="N19" s="16" t="s">
        <v>86</v>
      </c>
      <c r="O19" s="17" t="s">
        <v>87</v>
      </c>
      <c r="P19" s="18" t="s">
        <v>75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2024-03-09T01:40:27Z</dcterms:created>
  <dcterms:modified xsi:type="dcterms:W3CDTF">2024-03-09T01:40:27Z</dcterms:modified>
</cp:coreProperties>
</file>