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0E2805-A3CB-441D-96C6-BBBFD6DA5D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C17" i="1"/>
  <c r="A21" i="1"/>
  <c r="C21" i="1"/>
  <c r="Q21" i="1"/>
  <c r="E21" i="1"/>
  <c r="F21" i="1"/>
  <c r="G21" i="1"/>
  <c r="I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C11" i="1"/>
  <c r="C12" i="1"/>
  <c r="C16" i="1" l="1"/>
  <c r="D18" i="1" s="1"/>
  <c r="O22" i="1"/>
  <c r="O24" i="1"/>
  <c r="O23" i="1"/>
  <c r="C15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<sst xmlns="http://schemas.openxmlformats.org/spreadsheetml/2006/main" count="56" uniqueCount="50">
  <si>
    <t>BM Tri / GSC 2315-0214</t>
  </si>
  <si>
    <t>System Type:</t>
  </si>
  <si>
    <t>EW</t>
  </si>
  <si>
    <t>BM Tri</t>
  </si>
  <si>
    <t>G2315-0214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</si>
  <si>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</si>
  <si>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</si>
  <si>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</si>
  <si>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</si>
  <si>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</si>
  <si>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</si>
  <si>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BRNO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</si>
  <si>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</si>
  <si>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</si>
  <si>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</si>
  <si>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</si>
  <si>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</si>
  <si>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</si>
  <si>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</si>
  <si>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</si>
  <si>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</si>
  <si>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</si>
  <si>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</si>
  <si>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</si>
  <si>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</si>
  <si>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</si>
  <si>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</si>
  <si>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</si>
  <si>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</si>
  <si>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</si>
  <si>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</si>
  <si>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</si>
  <si>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</si>
  <si>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</si>
  <si>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</si>
  <si>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</si>
  <si>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</si>
  <si>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</si>
  <si>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</si>
  <si>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</si>
  <si>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</si>
  <si>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</si>
  <si>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</si>
  <si>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</si>
  <si>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</si>
  <si>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</si>
  <si>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</si>
  <si>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OEJV 0160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</si>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</sst>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/>
  </cellStyleXfs>
  <cellXfs count="3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BM Tri - O-C Diagr.</a:t>
            </a:r>
          </a:p>
        </c:rich>
      </c:tx>
      <c:layout>
        <c:manualLayout>
          <c:xMode val="edge"/>
          <c:yMode val="edge"/>
          <c:x val="0.3832335329341317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3552894211577"/>
          <c:y val="0.15215278270396379"/>
          <c:w val="0.81986027944111772"/>
          <c:h val="0.63163320801116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C9-4A9B-AEF3-91C1B33D8C2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  <c:pt idx="0">
                  <c:v>-0.15890499999659369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C9-4A9B-AEF3-91C1B33D8C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C9-4A9B-AEF3-91C1B33D8C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1">
                  <c:v>-2.5269999998272397E-2</c:v>
                </c:pt>
                <c:pt idx="2">
                  <c:v>-2.3170000000391155E-2</c:v>
                </c:pt>
                <c:pt idx="3">
                  <c:v>1.8199999976786785E-3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C9-4A9B-AEF3-91C1B33D8C2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C9-4A9B-AEF3-91C1B33D8C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C9-4A9B-AEF3-91C1B33D8C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C9-4A9B-AEF3-91C1B33D8C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-0.1275094876864605</c:v>
                </c:pt>
                <c:pt idx="1">
                  <c:v>-2.4219999999331776E-2</c:v>
                </c:pt>
                <c:pt idx="2">
                  <c:v>-2.4219999999331776E-2</c:v>
                </c:pt>
                <c:pt idx="3">
                  <c:v>1.8199999976786785E-3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C9-4A9B-AEF3-91C1B33D8C2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0.5</c:v>
                </c:pt>
                <c:pt idx="1">
                  <c:v>13705</c:v>
                </c:pt>
                <c:pt idx="2">
                  <c:v>13705</c:v>
                </c:pt>
                <c:pt idx="3">
                  <c:v>17160</c:v>
                </c:pt>
              </c:numCache>
            </c:numRef>
          </c:xVal>
          <c:yVal>
            <c:numRef>
              <c:f>Active!$U$21:$U$500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C9-4A9B-AEF3-91C1B33D8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783480"/>
        <c:axId val="1"/>
      </c:scatterChart>
      <c:valAx>
        <c:axId val="642783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6706586826352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095808383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834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61676646706588"/>
          <c:y val="0.91291543512015949"/>
          <c:w val="0.7110778443113772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40862B-87E4-DBD5-AB75-7F1CB4823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s="3" customFormat="1" ht="12.75" customHeight="1" x14ac:dyDescent="0.2">
      <c r="A2" s="3" t="s">
        <v>1</v>
      </c>
      <c r="B2" s="3" t="s">
        <v>2</v>
      </c>
      <c r="C2" s="4"/>
      <c r="D2" s="4"/>
      <c r="E2" s="5" t="s">
        <v>3</v>
      </c>
      <c r="F2" s="3" t="s">
        <v>4</v>
      </c>
    </row>
    <row r="3" spans="1:6" s="3" customFormat="1" ht="12.75" customHeight="1" x14ac:dyDescent="0.2"/>
    <row r="4" spans="1:6" s="3" customFormat="1" ht="12.75" customHeight="1" x14ac:dyDescent="0.2">
      <c r="A4" s="6" t="s">
        <v>5</v>
      </c>
      <c r="C4" s="7" t="s">
        <v>6</v>
      </c>
      <c r="D4" s="8" t="s">
        <v>6</v>
      </c>
    </row>
    <row r="5" spans="1:6" s="3" customFormat="1" ht="12.75" customHeight="1" x14ac:dyDescent="0.2">
      <c r="A5" s="9" t="s">
        <v>7</v>
      </c>
      <c r="B5" s="5"/>
      <c r="C5" s="10">
        <v>-9.5</v>
      </c>
      <c r="D5" s="5" t="s">
        <v>8</v>
      </c>
    </row>
    <row r="6" spans="1:6" s="3" customFormat="1" ht="12.75" customHeight="1" x14ac:dyDescent="0.2">
      <c r="A6" s="6" t="s">
        <v>9</v>
      </c>
    </row>
    <row r="7" spans="1:6" s="3" customFormat="1" ht="12.75" customHeight="1" x14ac:dyDescent="0.2">
      <c r="A7" s="3" t="s">
        <v>10</v>
      </c>
      <c r="C7" s="32">
        <v>51482.83</v>
      </c>
      <c r="D7" s="12" t="s">
        <v>11</v>
      </c>
    </row>
    <row r="8" spans="1:6" s="3" customFormat="1" ht="12.75" customHeight="1" x14ac:dyDescent="0.2">
      <c r="A8" s="3" t="s">
        <v>12</v>
      </c>
      <c r="C8" s="11">
        <v>0.31780999999999998</v>
      </c>
      <c r="D8" s="12" t="s">
        <v>11</v>
      </c>
    </row>
    <row r="9" spans="1:6" s="3" customFormat="1" ht="12.75" customHeight="1" x14ac:dyDescent="0.2">
      <c r="A9" s="13" t="s">
        <v>13</v>
      </c>
      <c r="B9" s="14">
        <v>22</v>
      </c>
      <c r="C9" s="15" t="str">
        <f>"F"&amp;B9</f>
        <v>F22</v>
      </c>
      <c r="D9" s="16" t="str">
        <f>"G"&amp;B9</f>
        <v>G22</v>
      </c>
    </row>
    <row r="10" spans="1:6" s="3" customFormat="1" ht="12.75" customHeight="1" x14ac:dyDescent="0.2">
      <c r="A10" s="5"/>
      <c r="B10" s="5"/>
      <c r="C10" s="17" t="s">
        <v>14</v>
      </c>
      <c r="D10" s="17" t="s">
        <v>15</v>
      </c>
      <c r="E10" s="5"/>
    </row>
    <row r="11" spans="1:6" s="3" customFormat="1" ht="12.75" customHeight="1" x14ac:dyDescent="0.2">
      <c r="A11" s="5" t="s">
        <v>16</v>
      </c>
      <c r="B11" s="5"/>
      <c r="C11" s="16">
        <f ca="1">INTERCEPT(INDIRECT($D$9):G992,INDIRECT($C$9):F992)</f>
        <v>-0.12751325613797962</v>
      </c>
      <c r="D11" s="4"/>
      <c r="E11" s="5"/>
    </row>
    <row r="12" spans="1:6" s="3" customFormat="1" ht="12.75" customHeight="1" x14ac:dyDescent="0.2">
      <c r="A12" s="5" t="s">
        <v>17</v>
      </c>
      <c r="B12" s="5"/>
      <c r="C12" s="16">
        <f ca="1">SLOPE(INDIRECT($D$9):G992,INDIRECT($C$9):F992)</f>
        <v>7.536903038208526E-6</v>
      </c>
      <c r="D12" s="4"/>
      <c r="E12" s="5"/>
    </row>
    <row r="13" spans="1:6" s="3" customFormat="1" ht="12.75" customHeight="1" x14ac:dyDescent="0.2">
      <c r="A13" s="5" t="s">
        <v>18</v>
      </c>
      <c r="B13" s="5"/>
      <c r="C13" s="4" t="s">
        <v>19</v>
      </c>
    </row>
    <row r="14" spans="1:6" s="3" customFormat="1" ht="12.75" customHeight="1" x14ac:dyDescent="0.2">
      <c r="A14" s="5"/>
      <c r="B14" s="5"/>
      <c r="C14" s="5"/>
    </row>
    <row r="15" spans="1:6" s="3" customFormat="1" ht="12.75" customHeight="1" x14ac:dyDescent="0.2">
      <c r="A15" s="6" t="s">
        <v>20</v>
      </c>
      <c r="B15" s="5"/>
      <c r="C15" s="18">
        <f ca="1">(C7+C11)+(C8+C12)*INT(MAX(F21:F3533))</f>
        <v>56936.451420000005</v>
      </c>
      <c r="E15" s="13" t="s">
        <v>21</v>
      </c>
      <c r="F15" s="10">
        <v>1</v>
      </c>
    </row>
    <row r="16" spans="1:6" s="3" customFormat="1" ht="12.75" customHeight="1" x14ac:dyDescent="0.2">
      <c r="A16" s="6" t="s">
        <v>22</v>
      </c>
      <c r="B16" s="5"/>
      <c r="C16" s="18">
        <f ca="1">+C8+C12</f>
        <v>0.31781753690303821</v>
      </c>
      <c r="E16" s="13" t="s">
        <v>23</v>
      </c>
      <c r="F16" s="16">
        <f ca="1">NOW()+15018.5+$C$5/24</f>
        <v>60378.617973263885</v>
      </c>
    </row>
    <row r="17" spans="1:21" s="3" customFormat="1" ht="12.75" customHeight="1" x14ac:dyDescent="0.2">
      <c r="A17" s="13" t="s">
        <v>24</v>
      </c>
      <c r="B17" s="5"/>
      <c r="C17" s="5">
        <f>COUNT(C21:C2191)</f>
        <v>4</v>
      </c>
      <c r="E17" s="13" t="s">
        <v>25</v>
      </c>
      <c r="F17" s="16">
        <f ca="1">ROUND(2*(F16-$C$7)/$C$8,0)/2+F15</f>
        <v>27992</v>
      </c>
    </row>
    <row r="18" spans="1:21" s="3" customFormat="1" ht="12.75" customHeight="1" x14ac:dyDescent="0.2">
      <c r="A18" s="6" t="s">
        <v>26</v>
      </c>
      <c r="B18" s="5"/>
      <c r="C18" s="19">
        <f ca="1">+C15</f>
        <v>56936.451420000005</v>
      </c>
      <c r="D18" s="20">
        <f ca="1">+C16</f>
        <v>0.31781753690303821</v>
      </c>
      <c r="E18" s="13" t="s">
        <v>27</v>
      </c>
      <c r="F18" s="16">
        <f ca="1">ROUND(2*(F16-$C$15)/$C$16,0)/2+F15</f>
        <v>10831.5</v>
      </c>
    </row>
    <row r="19" spans="1:21" s="3" customFormat="1" ht="12.75" customHeight="1" x14ac:dyDescent="0.2">
      <c r="E19" s="13" t="s">
        <v>28</v>
      </c>
      <c r="F19" s="21">
        <f ca="1">+$C$15+$C$16*F18-15018.5-$C$5/24</f>
        <v>45360.787904298602</v>
      </c>
    </row>
    <row r="20" spans="1:21" s="3" customFormat="1" ht="12.75" customHeight="1" x14ac:dyDescent="0.2">
      <c r="A20" s="17" t="s">
        <v>29</v>
      </c>
      <c r="B20" s="17" t="s">
        <v>30</v>
      </c>
      <c r="C20" s="17" t="s">
        <v>31</v>
      </c>
      <c r="D20" s="17" t="s">
        <v>32</v>
      </c>
      <c r="E20" s="17" t="s">
        <v>33</v>
      </c>
      <c r="F20" s="17" t="s">
        <v>34</v>
      </c>
      <c r="G20" s="17" t="s">
        <v>35</v>
      </c>
      <c r="H20" s="22" t="s">
        <v>36</v>
      </c>
      <c r="I20" s="22" t="s">
        <v>37</v>
      </c>
      <c r="J20" s="22" t="s">
        <v>38</v>
      </c>
      <c r="K20" s="22" t="s">
        <v>39</v>
      </c>
      <c r="L20" s="22" t="s">
        <v>40</v>
      </c>
      <c r="M20" s="22" t="s">
        <v>41</v>
      </c>
      <c r="N20" s="22" t="s">
        <v>42</v>
      </c>
      <c r="O20" s="22" t="s">
        <v>43</v>
      </c>
      <c r="P20" s="22" t="s">
        <v>44</v>
      </c>
      <c r="Q20" s="17" t="s">
        <v>45</v>
      </c>
      <c r="U20" s="23" t="s">
        <v>46</v>
      </c>
    </row>
    <row r="21" spans="1:21" s="3" customFormat="1" ht="12.75" customHeight="1" x14ac:dyDescent="0.2">
      <c r="A21" s="3" t="str">
        <f>D$7</f>
        <v>BRNO</v>
      </c>
      <c r="C21" s="11">
        <f>C$7</f>
        <v>51482.83</v>
      </c>
      <c r="D21" s="11" t="s">
        <v>19</v>
      </c>
      <c r="E21" s="3">
        <f>+(C21-C$7)/C$8</f>
        <v>0</v>
      </c>
      <c r="F21" s="24">
        <f>ROUND(2*E21,0)/2+0.5</f>
        <v>0.5</v>
      </c>
      <c r="G21" s="3">
        <f>+C21-(C$7+F21*C$8)</f>
        <v>-0.15890499999659369</v>
      </c>
      <c r="I21" s="3">
        <f>+G21</f>
        <v>-0.15890499999659369</v>
      </c>
      <c r="O21" s="3">
        <f ca="1">+C$11+C$12*$F21</f>
        <v>-0.1275094876864605</v>
      </c>
      <c r="Q21" s="25">
        <f>+C21-15018.5</f>
        <v>36464.33</v>
      </c>
    </row>
    <row r="22" spans="1:21" s="3" customFormat="1" ht="12.75" customHeight="1" x14ac:dyDescent="0.2">
      <c r="A22" s="26" t="s">
        <v>47</v>
      </c>
      <c r="B22" s="27" t="s">
        <v>48</v>
      </c>
      <c r="C22" s="28">
        <v>55838.390780000002</v>
      </c>
      <c r="D22" s="28">
        <v>1.6000000000000001E-3</v>
      </c>
      <c r="E22" s="3">
        <f>+(C22-C$7)/C$8</f>
        <v>13704.920487083478</v>
      </c>
      <c r="F22" s="3">
        <f>ROUND(2*E22,0)/2</f>
        <v>13705</v>
      </c>
      <c r="G22" s="3">
        <f>+C22-(C$7+F22*C$8)</f>
        <v>-2.5269999998272397E-2</v>
      </c>
      <c r="K22" s="3">
        <f>+G22</f>
        <v>-2.5269999998272397E-2</v>
      </c>
      <c r="O22" s="3">
        <f ca="1">+C$11+C$12*$F22</f>
        <v>-2.4219999999331776E-2</v>
      </c>
      <c r="Q22" s="25">
        <f>+C22-15018.5</f>
        <v>40819.890780000002</v>
      </c>
    </row>
    <row r="23" spans="1:21" s="3" customFormat="1" ht="12.75" customHeight="1" x14ac:dyDescent="0.2">
      <c r="A23" s="26" t="s">
        <v>47</v>
      </c>
      <c r="B23" s="27" t="s">
        <v>48</v>
      </c>
      <c r="C23" s="28">
        <v>55838.392879999999</v>
      </c>
      <c r="D23" s="28">
        <v>1.6000000000000001E-3</v>
      </c>
      <c r="E23" s="3">
        <f>+(C23-C$7)/C$8</f>
        <v>13704.927094805065</v>
      </c>
      <c r="F23" s="3">
        <f>ROUND(2*E23,0)/2</f>
        <v>13705</v>
      </c>
      <c r="G23" s="3">
        <f>+C23-(C$7+F23*C$8)</f>
        <v>-2.3170000000391155E-2</v>
      </c>
      <c r="K23" s="3">
        <f>+G23</f>
        <v>-2.3170000000391155E-2</v>
      </c>
      <c r="O23" s="3">
        <f ca="1">+C$11+C$12*$F23</f>
        <v>-2.4219999999331776E-2</v>
      </c>
      <c r="Q23" s="25">
        <f>+C23-15018.5</f>
        <v>40819.892879999999</v>
      </c>
    </row>
    <row r="24" spans="1:21" s="3" customFormat="1" ht="12.75" customHeight="1" x14ac:dyDescent="0.2">
      <c r="A24" s="29" t="s">
        <v>49</v>
      </c>
      <c r="B24" s="30" t="s">
        <v>48</v>
      </c>
      <c r="C24" s="31">
        <v>56936.451419999998</v>
      </c>
      <c r="D24" s="31">
        <v>1E-4</v>
      </c>
      <c r="E24" s="3">
        <f>+(C24-C$7)/C$8</f>
        <v>17160.005726692038</v>
      </c>
      <c r="F24" s="3">
        <f>ROUND(2*E24,0)/2</f>
        <v>17160</v>
      </c>
      <c r="G24" s="3">
        <f>+C24-(C$7+F24*C$8)</f>
        <v>1.8199999976786785E-3</v>
      </c>
      <c r="K24" s="3">
        <f>+G24</f>
        <v>1.8199999976786785E-3</v>
      </c>
      <c r="O24" s="3">
        <f ca="1">+C$11+C$12*$F24</f>
        <v>1.8199999976786785E-3</v>
      </c>
      <c r="Q24" s="25">
        <f>+C24-15018.5</f>
        <v>41917.951419999998</v>
      </c>
    </row>
    <row r="25" spans="1:21" s="3" customFormat="1" ht="12.75" customHeight="1" x14ac:dyDescent="0.2"/>
    <row r="26" spans="1:21" s="3" customFormat="1" ht="12.75" customHeight="1" x14ac:dyDescent="0.2"/>
    <row r="27" spans="1:21" s="3" customFormat="1" ht="12.75" customHeight="1" x14ac:dyDescent="0.2"/>
    <row r="28" spans="1:21" s="3" customFormat="1" ht="12.75" customHeight="1" x14ac:dyDescent="0.2"/>
    <row r="29" spans="1:21" s="3" customFormat="1" ht="12.75" customHeight="1" x14ac:dyDescent="0.2"/>
    <row r="30" spans="1:21" s="3" customFormat="1" ht="12.75" customHeight="1" x14ac:dyDescent="0.2"/>
    <row r="31" spans="1:21" s="3" customFormat="1" ht="12.75" customHeight="1" x14ac:dyDescent="0.2"/>
    <row r="32" spans="1:21" s="3" customFormat="1" ht="12.7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2024-03-09T01:49:52Z</dcterms:created>
  <dcterms:modified xsi:type="dcterms:W3CDTF">2024-03-09T01:49:52Z</dcterms:modified>
</cp:coreProperties>
</file>