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E0BF05-1FAE-4896-8B28-278298A7BF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C17" i="1"/>
  <c r="C21" i="1"/>
  <c r="G21" i="1"/>
  <c r="H21" i="1"/>
  <c r="E21" i="1"/>
  <c r="F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C12" i="1"/>
  <c r="C16" i="1" l="1"/>
  <c r="D18" i="1" s="1"/>
  <c r="E15" i="1"/>
  <c r="C11" i="1"/>
  <c r="O25" i="1" l="1"/>
  <c r="O21" i="1"/>
  <c r="C15" i="1"/>
  <c r="O24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<sst xmlns="http://schemas.openxmlformats.org/spreadsheetml/2006/main" count="58" uniqueCount="49">
  <si>
    <t>CR Tri / GSC 2328-1114</t>
  </si>
  <si>
    <t>System Type:</t>
  </si>
  <si>
    <t>EW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</si>
  <si>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</si>
  <si>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</si>
  <si>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</si>
  <si>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</si>
  <si>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</si>
  <si>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</si>
  <si>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</si>
  <si>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</si>
  <si>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</si>
  <si>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</si>
  <si>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</si>
  <si>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</si>
  <si>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</si>
  <si>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</si>
  <si>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</si>
  <si>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</si>
  <si>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</si>
  <si>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</si>
  <si>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</si>
  <si>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</si>
  <si>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</si>
  <si>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</si>
  <si>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</si>
  <si>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</si>
  <si>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</si>
  <si>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</si>
  <si>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</si>
  <si>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</si>
  <si>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</si>
  <si>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</si>
  <si>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</si>
  <si>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</si>
  <si>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</si>
  <si>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</si>
  <si>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</si>
  <si>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</si>
  <si>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</si>
  <si>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</si>
  <si>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</si>
  <si>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</si>
  <si>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</si>
  <si>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6042</t>
  </si>
  <si>
    <t>I:</t>
  </si>
  <si>
    <t>OEJV 0211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</si>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</sst>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0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3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Tri - O-C Diagr.</a:t>
            </a:r>
          </a:p>
        </c:rich>
      </c:tx>
      <c:layout>
        <c:manualLayout>
          <c:xMode val="edge"/>
          <c:yMode val="edge"/>
          <c:x val="0.3863301782670925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7796679575528"/>
          <c:y val="0.17617680672798783"/>
          <c:w val="0.81327452196261496"/>
          <c:h val="0.60760918398713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19-49C1-B690-8192410173C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Active!$I$21:$I$250</c:f>
              <c:numCache>
                <c:formatCode>General</c:formatCode>
                <c:ptCount val="230"/>
                <c:pt idx="1">
                  <c:v>-1.1620000004768372E-2</c:v>
                </c:pt>
                <c:pt idx="2">
                  <c:v>-4.4570000049134251E-2</c:v>
                </c:pt>
                <c:pt idx="3">
                  <c:v>-4.428000016923761E-2</c:v>
                </c:pt>
                <c:pt idx="4">
                  <c:v>-4.4210000101884361E-2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19-49C1-B690-8192410173C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Active!$J$21:$J$250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19-49C1-B690-8192410173C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Active!$K$21:$K$250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19-49C1-B690-8192410173C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Active!$L$21:$L$250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19-49C1-B690-8192410173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Active!$M$21:$M$250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19-49C1-B690-8192410173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Active!$N$21:$N$250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19-49C1-B690-8192410173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Active!$O$21:$O$250</c:f>
              <c:numCache>
                <c:formatCode>General</c:formatCode>
                <c:ptCount val="230"/>
                <c:pt idx="0">
                  <c:v>4.5915884320616475E-3</c:v>
                </c:pt>
                <c:pt idx="1">
                  <c:v>-2.7563272898701353E-2</c:v>
                </c:pt>
                <c:pt idx="2">
                  <c:v>-4.0569438619461634E-2</c:v>
                </c:pt>
                <c:pt idx="3">
                  <c:v>-4.0569438619461634E-2</c:v>
                </c:pt>
                <c:pt idx="4">
                  <c:v>-4.0569438619461634E-2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19-49C1-B690-8192410173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15919</c:v>
                </c:pt>
                <c:pt idx="2">
                  <c:v>22358</c:v>
                </c:pt>
                <c:pt idx="3">
                  <c:v>22358</c:v>
                </c:pt>
                <c:pt idx="4">
                  <c:v>22358</c:v>
                </c:pt>
              </c:numCache>
            </c:numRef>
          </c:xVal>
          <c:yVal>
            <c:numRef>
              <c:f>Active!$R$21:$R$250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19-49C1-B690-81924101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386616"/>
        <c:axId val="1"/>
      </c:scatterChart>
      <c:valAx>
        <c:axId val="64838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386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22155272938579"/>
          <c:y val="0.91591875339906836"/>
          <c:w val="0.7251119093025705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31D278-C09E-D06F-8CEC-7CC54C56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s="2" customFormat="1" ht="20.25" x14ac:dyDescent="0.2">
      <c r="A1" s="30" t="s">
        <v>0</v>
      </c>
    </row>
    <row r="2" spans="1:7" s="2" customFormat="1" ht="12.75" customHeight="1" x14ac:dyDescent="0.2">
      <c r="A2" s="2" t="s">
        <v>1</v>
      </c>
      <c r="B2" s="2" t="s">
        <v>2</v>
      </c>
      <c r="C2" s="3"/>
      <c r="D2" s="3"/>
    </row>
    <row r="3" spans="1:7" s="2" customFormat="1" ht="12.75" customHeight="1" x14ac:dyDescent="0.2"/>
    <row r="4" spans="1:7" s="2" customFormat="1" ht="12.75" customHeight="1" x14ac:dyDescent="0.2">
      <c r="A4" s="4" t="s">
        <v>3</v>
      </c>
      <c r="C4" s="5" t="s">
        <v>4</v>
      </c>
      <c r="D4" s="6" t="s">
        <v>4</v>
      </c>
    </row>
    <row r="5" spans="1:7" s="2" customFormat="1" ht="12.75" customHeight="1" x14ac:dyDescent="0.2"/>
    <row r="6" spans="1:7" s="2" customFormat="1" ht="12.75" customHeight="1" x14ac:dyDescent="0.2">
      <c r="A6" s="4" t="s">
        <v>5</v>
      </c>
    </row>
    <row r="7" spans="1:7" s="2" customFormat="1" ht="12.75" customHeight="1" x14ac:dyDescent="0.2">
      <c r="A7" s="2" t="s">
        <v>6</v>
      </c>
      <c r="C7" s="31">
        <v>51497.614000000001</v>
      </c>
      <c r="D7" s="8" t="s">
        <v>7</v>
      </c>
    </row>
    <row r="8" spans="1:7" s="2" customFormat="1" ht="12.75" customHeight="1" x14ac:dyDescent="0.2">
      <c r="A8" s="2" t="s">
        <v>8</v>
      </c>
      <c r="C8" s="31">
        <v>0.29608000000000001</v>
      </c>
      <c r="D8" s="8" t="s">
        <v>7</v>
      </c>
    </row>
    <row r="9" spans="1:7" s="2" customFormat="1" ht="12.75" customHeight="1" x14ac:dyDescent="0.2">
      <c r="A9" s="9" t="s">
        <v>9</v>
      </c>
      <c r="C9" s="10">
        <v>-9.5</v>
      </c>
      <c r="D9" s="2" t="s">
        <v>10</v>
      </c>
    </row>
    <row r="10" spans="1:7" s="2" customFormat="1" ht="12.75" customHeight="1" x14ac:dyDescent="0.2">
      <c r="C10" s="11" t="s">
        <v>11</v>
      </c>
      <c r="D10" s="11" t="s">
        <v>12</v>
      </c>
    </row>
    <row r="11" spans="1:7" s="2" customFormat="1" ht="12.75" customHeight="1" x14ac:dyDescent="0.2">
      <c r="A11" s="2" t="s">
        <v>13</v>
      </c>
      <c r="C11" s="12">
        <f ca="1">INTERCEPT(INDIRECT($G$11):G992,INDIRECT($F$11):F992)</f>
        <v>4.5915884320616475E-3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75" customHeight="1" x14ac:dyDescent="0.2">
      <c r="A12" s="2" t="s">
        <v>14</v>
      </c>
      <c r="C12" s="12">
        <f ca="1">SLOPE(INDIRECT($G$11):G992,INDIRECT($F$11):F992)</f>
        <v>-2.0199046002112569E-6</v>
      </c>
      <c r="D12" s="3"/>
    </row>
    <row r="13" spans="1:7" s="2" customFormat="1" ht="12.75" customHeight="1" x14ac:dyDescent="0.2">
      <c r="A13" s="2" t="s">
        <v>15</v>
      </c>
      <c r="C13" s="3" t="s">
        <v>16</v>
      </c>
      <c r="D13" s="14" t="s">
        <v>17</v>
      </c>
      <c r="E13" s="10">
        <v>1</v>
      </c>
    </row>
    <row r="14" spans="1:7" s="2" customFormat="1" ht="12.75" customHeight="1" x14ac:dyDescent="0.2">
      <c r="D14" s="14" t="s">
        <v>18</v>
      </c>
      <c r="E14" s="12">
        <f ca="1">NOW()+15018.5+$C$9/24</f>
        <v>60378.623515740735</v>
      </c>
    </row>
    <row r="15" spans="1:7" s="2" customFormat="1" ht="12.75" customHeight="1" x14ac:dyDescent="0.2">
      <c r="A15" s="4" t="s">
        <v>19</v>
      </c>
      <c r="C15" s="15">
        <f ca="1">(C7+C11)+(C8+C12)*INT(MAX(F21:F3533))</f>
        <v>58117.33007056138</v>
      </c>
      <c r="D15" s="14" t="s">
        <v>20</v>
      </c>
      <c r="E15" s="12">
        <f ca="1">ROUND(2*(E14-$C$7)/$C$8,0)/2+E13</f>
        <v>29996.5</v>
      </c>
    </row>
    <row r="16" spans="1:7" s="2" customFormat="1" ht="12.75" customHeight="1" x14ac:dyDescent="0.2">
      <c r="A16" s="4" t="s">
        <v>21</v>
      </c>
      <c r="C16" s="15">
        <f ca="1">+C8+C12</f>
        <v>0.29607798009539982</v>
      </c>
      <c r="D16" s="14" t="s">
        <v>22</v>
      </c>
      <c r="E16" s="12">
        <f ca="1">ROUND(2*(E14-$C$15)/$C$16,0)/2+E13</f>
        <v>7638.5</v>
      </c>
    </row>
    <row r="17" spans="1:18" s="2" customFormat="1" ht="12.75" customHeight="1" x14ac:dyDescent="0.2">
      <c r="A17" s="14" t="s">
        <v>23</v>
      </c>
      <c r="C17" s="2">
        <f>COUNT(C21:C2191)</f>
        <v>5</v>
      </c>
      <c r="D17" s="14" t="s">
        <v>24</v>
      </c>
      <c r="E17" s="16">
        <f ca="1">+$C$15+$C$16*E16-15018.5-$C$9/24</f>
        <v>45360.817554853427</v>
      </c>
    </row>
    <row r="18" spans="1:18" s="2" customFormat="1" ht="12.75" customHeight="1" x14ac:dyDescent="0.2">
      <c r="A18" s="4" t="s">
        <v>25</v>
      </c>
      <c r="C18" s="17">
        <f ca="1">+C15</f>
        <v>58117.33007056138</v>
      </c>
      <c r="D18" s="18">
        <f ca="1">+C16</f>
        <v>0.29607798009539982</v>
      </c>
      <c r="E18" s="19" t="s">
        <v>26</v>
      </c>
    </row>
    <row r="19" spans="1:18" s="2" customFormat="1" ht="12.75" customHeight="1" x14ac:dyDescent="0.2">
      <c r="A19" s="14" t="s">
        <v>27</v>
      </c>
      <c r="E19" s="20">
        <v>21</v>
      </c>
    </row>
    <row r="20" spans="1:18" s="2" customFormat="1" ht="12.75" customHeight="1" x14ac:dyDescent="0.2">
      <c r="A20" s="11" t="s">
        <v>28</v>
      </c>
      <c r="B20" s="11" t="s">
        <v>29</v>
      </c>
      <c r="C20" s="11" t="s">
        <v>30</v>
      </c>
      <c r="D20" s="11" t="s">
        <v>31</v>
      </c>
      <c r="E20" s="11" t="s">
        <v>32</v>
      </c>
      <c r="F20" s="11" t="s">
        <v>33</v>
      </c>
      <c r="G20" s="11" t="s">
        <v>34</v>
      </c>
      <c r="H20" s="21" t="s">
        <v>7</v>
      </c>
      <c r="I20" s="21" t="s">
        <v>48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1" t="s">
        <v>42</v>
      </c>
      <c r="R20" s="22" t="s">
        <v>43</v>
      </c>
    </row>
    <row r="21" spans="1:18" s="2" customFormat="1" ht="12.75" customHeight="1" x14ac:dyDescent="0.2">
      <c r="A21" s="2" t="s">
        <v>7</v>
      </c>
      <c r="C21" s="7">
        <f>C7</f>
        <v>51497.614000000001</v>
      </c>
      <c r="D21" s="7" t="s">
        <v>16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4.5915884320616475E-3</v>
      </c>
      <c r="Q21" s="23">
        <f>+C21-15018.5</f>
        <v>36479.114000000001</v>
      </c>
    </row>
    <row r="22" spans="1:18" s="2" customFormat="1" ht="12.75" customHeight="1" x14ac:dyDescent="0.2">
      <c r="A22" s="24" t="s">
        <v>44</v>
      </c>
      <c r="B22" s="25" t="s">
        <v>45</v>
      </c>
      <c r="C22" s="26">
        <v>56210.899899999997</v>
      </c>
      <c r="D22" s="26">
        <v>4.0000000000000002E-4</v>
      </c>
      <c r="E22" s="2">
        <f>+(C22-C$7)/C$8</f>
        <v>15918.960753850295</v>
      </c>
      <c r="F22" s="2">
        <f>ROUND(2*E22,0)/2</f>
        <v>15919</v>
      </c>
      <c r="G22" s="2">
        <f>+C22-(C$7+F22*C$8)</f>
        <v>-1.1620000004768372E-2</v>
      </c>
      <c r="I22" s="2">
        <f>+G22</f>
        <v>-1.1620000004768372E-2</v>
      </c>
      <c r="O22" s="2">
        <f ca="1">+C$11+C$12*$F22</f>
        <v>-2.7563272898701353E-2</v>
      </c>
      <c r="Q22" s="23">
        <f>+C22-15018.5</f>
        <v>41192.399899999997</v>
      </c>
    </row>
    <row r="23" spans="1:18" s="2" customFormat="1" ht="12.75" customHeight="1" x14ac:dyDescent="0.2">
      <c r="A23" s="27" t="s">
        <v>46</v>
      </c>
      <c r="B23" s="28" t="s">
        <v>47</v>
      </c>
      <c r="C23" s="29">
        <v>58117.326069999952</v>
      </c>
      <c r="D23" s="29">
        <v>2.9999999999999997E-4</v>
      </c>
      <c r="E23" s="2">
        <f>+(C23-C$7)/C$8</f>
        <v>22357.849466360276</v>
      </c>
      <c r="F23" s="2">
        <f>ROUND(2*E23,0)/2</f>
        <v>22358</v>
      </c>
      <c r="G23" s="2">
        <f>+C23-(C$7+F23*C$8)</f>
        <v>-4.4570000049134251E-2</v>
      </c>
      <c r="I23" s="2">
        <f>+G23</f>
        <v>-4.4570000049134251E-2</v>
      </c>
      <c r="O23" s="2">
        <f ca="1">+C$11+C$12*$F23</f>
        <v>-4.0569438619461634E-2</v>
      </c>
      <c r="Q23" s="23">
        <f>+C23-15018.5</f>
        <v>43098.826069999952</v>
      </c>
    </row>
    <row r="24" spans="1:18" s="2" customFormat="1" ht="12.75" customHeight="1" x14ac:dyDescent="0.2">
      <c r="A24" s="27" t="s">
        <v>46</v>
      </c>
      <c r="B24" s="28" t="s">
        <v>47</v>
      </c>
      <c r="C24" s="29">
        <v>58117.326359999832</v>
      </c>
      <c r="D24" s="29">
        <v>1E-4</v>
      </c>
      <c r="E24" s="2">
        <f>+(C24-C$7)/C$8</f>
        <v>22357.850445824879</v>
      </c>
      <c r="F24" s="2">
        <f>ROUND(2*E24,0)/2</f>
        <v>22358</v>
      </c>
      <c r="G24" s="2">
        <f>+C24-(C$7+F24*C$8)</f>
        <v>-4.428000016923761E-2</v>
      </c>
      <c r="I24" s="2">
        <f>+G24</f>
        <v>-4.428000016923761E-2</v>
      </c>
      <c r="O24" s="2">
        <f ca="1">+C$11+C$12*$F24</f>
        <v>-4.0569438619461634E-2</v>
      </c>
      <c r="Q24" s="23">
        <f>+C24-15018.5</f>
        <v>43098.826359999832</v>
      </c>
    </row>
    <row r="25" spans="1:18" s="2" customFormat="1" ht="12.75" customHeight="1" x14ac:dyDescent="0.2">
      <c r="A25" s="27" t="s">
        <v>46</v>
      </c>
      <c r="B25" s="28" t="s">
        <v>47</v>
      </c>
      <c r="C25" s="29">
        <v>58117.326429999899</v>
      </c>
      <c r="D25" s="29">
        <v>2.0000000000000001E-4</v>
      </c>
      <c r="E25" s="2">
        <f>+(C25-C$7)/C$8</f>
        <v>22357.850682247696</v>
      </c>
      <c r="F25" s="2">
        <f>ROUND(2*E25,0)/2</f>
        <v>22358</v>
      </c>
      <c r="G25" s="2">
        <f>+C25-(C$7+F25*C$8)</f>
        <v>-4.4210000101884361E-2</v>
      </c>
      <c r="I25" s="2">
        <f>+G25</f>
        <v>-4.4210000101884361E-2</v>
      </c>
      <c r="O25" s="2">
        <f ca="1">+C$11+C$12*$F25</f>
        <v>-4.0569438619461634E-2</v>
      </c>
      <c r="Q25" s="23">
        <f>+C25-15018.5</f>
        <v>43098.826429999899</v>
      </c>
    </row>
    <row r="26" spans="1:18" s="2" customFormat="1" ht="12.75" customHeight="1" x14ac:dyDescent="0.2"/>
    <row r="27" spans="1:18" s="2" customFormat="1" ht="12.75" customHeight="1" x14ac:dyDescent="0.2"/>
    <row r="28" spans="1:18" s="2" customFormat="1" ht="12.75" customHeight="1" x14ac:dyDescent="0.2"/>
    <row r="29" spans="1:18" s="2" customFormat="1" ht="12.75" customHeight="1" x14ac:dyDescent="0.2"/>
    <row r="30" spans="1:18" s="2" customFormat="1" ht="12.75" customHeight="1" x14ac:dyDescent="0.2"/>
    <row r="31" spans="1:18" s="2" customFormat="1" ht="12.75" customHeight="1" x14ac:dyDescent="0.2"/>
    <row r="32" spans="1:18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2024-03-09T01:57:51Z</dcterms:created>
  <dcterms:modified xsi:type="dcterms:W3CDTF">2024-03-09T01:57:51Z</dcterms:modified>
</cp:coreProperties>
</file>