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EBDB505-13E3-422F-9598-E48FCEB0A09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50" i="1"/>
  <c r="Q51" i="1"/>
  <c r="C7" i="1"/>
  <c r="E34" i="1"/>
  <c r="C8" i="1"/>
  <c r="E36" i="1"/>
  <c r="F36" i="1"/>
  <c r="E44" i="1"/>
  <c r="F44" i="1"/>
  <c r="Q30" i="1"/>
  <c r="Q31" i="1"/>
  <c r="Q34" i="1"/>
  <c r="G33" i="2"/>
  <c r="C33" i="2"/>
  <c r="C21" i="1"/>
  <c r="C17" i="1"/>
  <c r="G32" i="2"/>
  <c r="C32" i="2"/>
  <c r="G31" i="2"/>
  <c r="C31" i="2"/>
  <c r="G30" i="2"/>
  <c r="C30" i="2"/>
  <c r="G29" i="2"/>
  <c r="C29" i="2"/>
  <c r="G28" i="2"/>
  <c r="C28" i="2"/>
  <c r="E28" i="2"/>
  <c r="G27" i="2"/>
  <c r="C27" i="2"/>
  <c r="G26" i="2"/>
  <c r="C26" i="2"/>
  <c r="G25" i="2"/>
  <c r="C25" i="2"/>
  <c r="G24" i="2"/>
  <c r="C24" i="2"/>
  <c r="G37" i="2"/>
  <c r="C37" i="2"/>
  <c r="E37" i="2"/>
  <c r="G23" i="2"/>
  <c r="C23" i="2"/>
  <c r="G22" i="2"/>
  <c r="C22" i="2"/>
  <c r="G21" i="2"/>
  <c r="C21" i="2"/>
  <c r="E21" i="2"/>
  <c r="G20" i="2"/>
  <c r="C20" i="2"/>
  <c r="G36" i="2"/>
  <c r="C36" i="2"/>
  <c r="G19" i="2"/>
  <c r="C19" i="2"/>
  <c r="G18" i="2"/>
  <c r="C18" i="2"/>
  <c r="G35" i="2"/>
  <c r="C35" i="2"/>
  <c r="G34" i="2"/>
  <c r="C34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37" i="2"/>
  <c r="B37" i="2"/>
  <c r="D37" i="2"/>
  <c r="A37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36" i="2"/>
  <c r="D36" i="2"/>
  <c r="B36" i="2"/>
  <c r="A36" i="2"/>
  <c r="H19" i="2"/>
  <c r="B19" i="2"/>
  <c r="D19" i="2"/>
  <c r="A19" i="2"/>
  <c r="H18" i="2"/>
  <c r="D18" i="2"/>
  <c r="B18" i="2"/>
  <c r="A18" i="2"/>
  <c r="H35" i="2"/>
  <c r="B35" i="2"/>
  <c r="D35" i="2"/>
  <c r="A35" i="2"/>
  <c r="H34" i="2"/>
  <c r="D34" i="2"/>
  <c r="B34" i="2"/>
  <c r="A34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49" i="1"/>
  <c r="Q48" i="1"/>
  <c r="Q47" i="1"/>
  <c r="Q46" i="1"/>
  <c r="Q45" i="1"/>
  <c r="Q44" i="1"/>
  <c r="Q43" i="1"/>
  <c r="Q42" i="1"/>
  <c r="Q41" i="1"/>
  <c r="Q40" i="1"/>
  <c r="Q33" i="1"/>
  <c r="Q32" i="1"/>
  <c r="Q28" i="1"/>
  <c r="Q27" i="1"/>
  <c r="Q26" i="1"/>
  <c r="Q25" i="1"/>
  <c r="Q24" i="1"/>
  <c r="Q23" i="1"/>
  <c r="Q22" i="1"/>
  <c r="Q39" i="1"/>
  <c r="F16" i="1"/>
  <c r="F17" i="1" s="1"/>
  <c r="Q35" i="1"/>
  <c r="Q36" i="1"/>
  <c r="Q37" i="1"/>
  <c r="Q38" i="1"/>
  <c r="Q29" i="1"/>
  <c r="Q21" i="1"/>
  <c r="E33" i="2"/>
  <c r="E30" i="2"/>
  <c r="E35" i="2"/>
  <c r="E27" i="2"/>
  <c r="E16" i="2"/>
  <c r="F34" i="1"/>
  <c r="E36" i="2"/>
  <c r="E28" i="1"/>
  <c r="E46" i="1"/>
  <c r="F46" i="1"/>
  <c r="G46" i="1"/>
  <c r="K46" i="1"/>
  <c r="E38" i="1"/>
  <c r="F38" i="1"/>
  <c r="G38" i="1"/>
  <c r="K38" i="1"/>
  <c r="E31" i="1"/>
  <c r="F31" i="1"/>
  <c r="G31" i="1"/>
  <c r="K31" i="1"/>
  <c r="G27" i="1"/>
  <c r="J27" i="1"/>
  <c r="G23" i="1"/>
  <c r="J23" i="1"/>
  <c r="E43" i="1"/>
  <c r="F43" i="1"/>
  <c r="E35" i="1"/>
  <c r="F35" i="1"/>
  <c r="E51" i="1"/>
  <c r="F51" i="1"/>
  <c r="E21" i="1"/>
  <c r="F21" i="1"/>
  <c r="G21" i="1"/>
  <c r="H21" i="1"/>
  <c r="E48" i="1"/>
  <c r="F48" i="1"/>
  <c r="G48" i="1"/>
  <c r="K48" i="1"/>
  <c r="E40" i="1"/>
  <c r="F40" i="1"/>
  <c r="G40" i="1"/>
  <c r="K40" i="1"/>
  <c r="E29" i="1"/>
  <c r="F29" i="1"/>
  <c r="G29" i="1"/>
  <c r="E23" i="1"/>
  <c r="F23" i="1"/>
  <c r="E25" i="1"/>
  <c r="F25" i="1"/>
  <c r="E27" i="1"/>
  <c r="F27" i="1"/>
  <c r="E45" i="1"/>
  <c r="E37" i="1"/>
  <c r="G34" i="1"/>
  <c r="K34" i="1"/>
  <c r="E26" i="1"/>
  <c r="E49" i="1"/>
  <c r="F49" i="1"/>
  <c r="G49" i="1"/>
  <c r="K49" i="1"/>
  <c r="G44" i="1"/>
  <c r="K44" i="1"/>
  <c r="E42" i="1"/>
  <c r="G36" i="1"/>
  <c r="K36" i="1"/>
  <c r="E33" i="1"/>
  <c r="F33" i="1"/>
  <c r="G33" i="1"/>
  <c r="K33" i="1"/>
  <c r="E30" i="1"/>
  <c r="F30" i="1"/>
  <c r="G30" i="1"/>
  <c r="K30" i="1"/>
  <c r="E50" i="1"/>
  <c r="F50" i="1"/>
  <c r="G50" i="1"/>
  <c r="K50" i="1"/>
  <c r="E22" i="1"/>
  <c r="E24" i="1"/>
  <c r="G43" i="1"/>
  <c r="K43" i="1"/>
  <c r="E41" i="1"/>
  <c r="F41" i="1"/>
  <c r="G41" i="1"/>
  <c r="K41" i="1"/>
  <c r="G35" i="1"/>
  <c r="K35" i="1"/>
  <c r="E32" i="1"/>
  <c r="F32" i="1"/>
  <c r="G32" i="1"/>
  <c r="K32" i="1"/>
  <c r="G51" i="1"/>
  <c r="K51" i="1"/>
  <c r="G25" i="1"/>
  <c r="J25" i="1"/>
  <c r="E47" i="1"/>
  <c r="F47" i="1"/>
  <c r="G47" i="1"/>
  <c r="K47" i="1"/>
  <c r="E39" i="1"/>
  <c r="F39" i="1"/>
  <c r="G39" i="1"/>
  <c r="K39" i="1"/>
  <c r="J29" i="1"/>
  <c r="E32" i="2"/>
  <c r="E25" i="2"/>
  <c r="F42" i="1"/>
  <c r="G42" i="1"/>
  <c r="K42" i="1"/>
  <c r="E26" i="2"/>
  <c r="E29" i="2"/>
  <c r="F45" i="1"/>
  <c r="G45" i="1"/>
  <c r="K45" i="1"/>
  <c r="E34" i="2"/>
  <c r="F37" i="1"/>
  <c r="G37" i="1"/>
  <c r="E22" i="2"/>
  <c r="F28" i="1"/>
  <c r="G28" i="1"/>
  <c r="J28" i="1"/>
  <c r="E17" i="2"/>
  <c r="E14" i="2"/>
  <c r="E24" i="2"/>
  <c r="F24" i="1"/>
  <c r="G24" i="1"/>
  <c r="J24" i="1"/>
  <c r="E13" i="2"/>
  <c r="E18" i="2"/>
  <c r="F22" i="1"/>
  <c r="G22" i="1"/>
  <c r="J22" i="1"/>
  <c r="E11" i="2"/>
  <c r="F26" i="1"/>
  <c r="G26" i="1"/>
  <c r="J26" i="1"/>
  <c r="E15" i="2"/>
  <c r="E23" i="2"/>
  <c r="E20" i="2"/>
  <c r="E19" i="2"/>
  <c r="E31" i="2"/>
  <c r="E12" i="2"/>
  <c r="K37" i="1"/>
  <c r="C12" i="1"/>
  <c r="C11" i="1"/>
  <c r="O45" i="1" l="1"/>
  <c r="O35" i="1"/>
  <c r="O30" i="1"/>
  <c r="O26" i="1"/>
  <c r="O47" i="1"/>
  <c r="O32" i="1"/>
  <c r="O22" i="1"/>
  <c r="O36" i="1"/>
  <c r="O21" i="1"/>
  <c r="O41" i="1"/>
  <c r="O50" i="1"/>
  <c r="O40" i="1"/>
  <c r="O31" i="1"/>
  <c r="O42" i="1"/>
  <c r="O27" i="1"/>
  <c r="O29" i="1"/>
  <c r="O43" i="1"/>
  <c r="O34" i="1"/>
  <c r="O49" i="1"/>
  <c r="O25" i="1"/>
  <c r="O23" i="1"/>
  <c r="O44" i="1"/>
  <c r="O33" i="1"/>
  <c r="O39" i="1"/>
  <c r="O48" i="1"/>
  <c r="O51" i="1"/>
  <c r="O37" i="1"/>
  <c r="O38" i="1"/>
  <c r="O24" i="1"/>
  <c r="O28" i="1"/>
  <c r="O46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<sst xmlns="http://schemas.openxmlformats.org/spreadsheetml/2006/main" count="369" uniqueCount="162">
  <si>
    <t>JAVSO..44..164</t>
  </si>
  <si>
    <t>IBVS 6230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</si>
  <si>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</si>
  <si>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</si>
  <si>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</si>
  <si>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</si>
  <si>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</si>
  <si>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</si>
  <si>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</si>
  <si>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</si>
  <si>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</si>
  <si>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</si>
  <si>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</si>
  <si>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</si>
  <si>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</si>
  <si>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</si>
  <si>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</si>
  <si>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</si>
  <si>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</si>
  <si>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</si>
  <si>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</si>
  <si>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</si>
  <si>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</si>
  <si>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</si>
  <si>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</si>
  <si>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</si>
  <si>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</si>
  <si>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</si>
  <si>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</si>
  <si>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</si>
  <si>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</t>
  </si>
  <si>
    <t>IBVS 5476</t>
  </si>
  <si>
    <t>I</t>
  </si>
  <si>
    <t># of data points:</t>
  </si>
  <si>
    <t>DN UMa / GSC 3452-2143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</si>
  <si>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</si>
  <si>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</si>
  <si>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</si>
  <si>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</si>
  <si>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</si>
  <si>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</si>
  <si>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5933</t>
  </si>
  <si>
    <t>II</t>
  </si>
  <si>
    <t>Add cycle</t>
  </si>
  <si>
    <t>Old Cycle</t>
  </si>
  <si>
    <t>OEJV 0137</t>
  </si>
  <si>
    <t>IBVS 2068</t>
  </si>
  <si>
    <t>PE</t>
  </si>
  <si>
    <t>IBVS 5690</t>
  </si>
  <si>
    <t>IBVS 6114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</si>
  <si>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</si>
  <si>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</si>
  <si>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</si>
  <si>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</si>
  <si>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</si>
  <si>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</si>
  <si>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</si>
  <si>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</si>
  <si>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</si>
  <si>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</si>
  <si>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2443936.4851 </t>
  </si>
  <si>
    <t> 03.03.1979 23:38 </t>
  </si>
  <si>
    <t> 0.0037 </t>
  </si>
  <si>
    <t>E </t>
  </si>
  <si>
    <t>?</t>
  </si>
  <si>
    <t> Gimenez &amp; Quesada </t>
  </si>
  <si>
    <t>IBVS 2068 </t>
  </si>
  <si>
    <t>2443937.352 </t>
  </si>
  <si>
    <t> 04.03.1979 20:26 </t>
  </si>
  <si>
    <t> 0.005 </t>
  </si>
  <si>
    <t>2444249.683 </t>
  </si>
  <si>
    <t> 11.01.1980 04:23 </t>
  </si>
  <si>
    <t> -0.004 </t>
  </si>
  <si>
    <t>2444275.6355 </t>
  </si>
  <si>
    <t> 06.02.1980 03:15 </t>
  </si>
  <si>
    <t> -0.0078 </t>
  </si>
  <si>
    <t>2444334.4700 </t>
  </si>
  <si>
    <t> 04.04.1980 23:16 </t>
  </si>
  <si>
    <t> -0.0075 </t>
  </si>
  <si>
    <t>2444557.7034 </t>
  </si>
  <si>
    <t> 14.11.1980 04:52 </t>
  </si>
  <si>
    <t> 0.0019 </t>
  </si>
  <si>
    <t>2444629.5218 </t>
  </si>
  <si>
    <t> 25.01.1981 00:31 </t>
  </si>
  <si>
    <t> 0.0080 </t>
  </si>
  <si>
    <t>2453399.2797 </t>
  </si>
  <si>
    <t> 28.01.2005 18:42 </t>
  </si>
  <si>
    <t> 0.0075 </t>
  </si>
  <si>
    <t> Nakajima </t>
  </si>
  <si>
    <t>VSB 44 </t>
  </si>
  <si>
    <t>2453412.2596 </t>
  </si>
  <si>
    <t> 10.02.2005 18:13 </t>
  </si>
  <si>
    <t> 0.0092 </t>
  </si>
  <si>
    <t>2453499.6511 </t>
  </si>
  <si>
    <t> 09.05.2005 03:37 </t>
  </si>
  <si>
    <t> 0.0146 </t>
  </si>
  <si>
    <t> T.Krajci </t>
  </si>
  <si>
    <t>IBVS 5690 </t>
  </si>
  <si>
    <t>2453550.7037 </t>
  </si>
  <si>
    <t> 29.06.2005 04:53 </t>
  </si>
  <si>
    <t> 0.0199 </t>
  </si>
  <si>
    <t>2454166.7367 </t>
  </si>
  <si>
    <t> 07.03.2007 05:40 </t>
  </si>
  <si>
    <t> 0.0241 </t>
  </si>
  <si>
    <t>C </t>
  </si>
  <si>
    <t>o</t>
  </si>
  <si>
    <t>IBVS 5806 </t>
  </si>
  <si>
    <t>2454508.4886 </t>
  </si>
  <si>
    <t> 11.02.2008 23:43 </t>
  </si>
  <si>
    <t> 0.0184 </t>
  </si>
  <si>
    <t>B;V</t>
  </si>
  <si>
    <t> Lampens &amp; van Cauteren </t>
  </si>
  <si>
    <t>IBVS 5933 </t>
  </si>
  <si>
    <t>2454514.5462 </t>
  </si>
  <si>
    <t> 18.02.2008 01:06 </t>
  </si>
  <si>
    <t> 0.0196 </t>
  </si>
  <si>
    <t>2454515.4132 </t>
  </si>
  <si>
    <t> 18.02.2008 21:55 </t>
  </si>
  <si>
    <t> 0.0214 </t>
  </si>
  <si>
    <t>2454944.5637 </t>
  </si>
  <si>
    <t> 23.04.2009 01:31 </t>
  </si>
  <si>
    <t> 0.0282 </t>
  </si>
  <si>
    <t>2455613.3798 </t>
  </si>
  <si>
    <t> 20.02.2011 21:06 </t>
  </si>
  <si>
    <t> 0.0377 </t>
  </si>
  <si>
    <t>R</t>
  </si>
  <si>
    <t> L.Brát </t>
  </si>
  <si>
    <t>OEJV 0137 </t>
  </si>
  <si>
    <t>2456023.49296 </t>
  </si>
  <si>
    <t> 05.04.2012 23:49 </t>
  </si>
  <si>
    <t> 0.04183 </t>
  </si>
  <si>
    <t> R.Uhlar </t>
  </si>
  <si>
    <t>IBVS 6114 </t>
  </si>
  <si>
    <t>2456043.39102 </t>
  </si>
  <si>
    <t> 25.04.2012 21:23 </t>
  </si>
  <si>
    <t> 0.04008 </t>
  </si>
  <si>
    <t>2456272.67141 </t>
  </si>
  <si>
    <t> 11.12.2012 04:06 </t>
  </si>
  <si>
    <t> 0.04009 </t>
  </si>
  <si>
    <t>2456285.64928 </t>
  </si>
  <si>
    <t> 24.12.2012 03:34 </t>
  </si>
  <si>
    <t> 0.03982 </t>
  </si>
  <si>
    <t>2456357.46389 </t>
  </si>
  <si>
    <t> 05.03.2013 23:08 </t>
  </si>
  <si>
    <t> 0.04209 </t>
  </si>
  <si>
    <t>2456390.33259 </t>
  </si>
  <si>
    <t> 07.04.2013 19:58 </t>
  </si>
  <si>
    <t> 0.03284 </t>
  </si>
  <si>
    <t>2456460.43606 </t>
  </si>
  <si>
    <t> 16.06.2013 22:27 </t>
  </si>
  <si>
    <t> 0.05439 </t>
  </si>
  <si>
    <t>2456638.65705 </t>
  </si>
  <si>
    <t> 12.12.2013 03:46 </t>
  </si>
  <si>
    <t> 0.04232 </t>
  </si>
  <si>
    <t>2456709.60384 </t>
  </si>
  <si>
    <t> 21.02.2014 02:29 </t>
  </si>
  <si>
    <t> 0.04197 </t>
  </si>
  <si>
    <t>2456729.51191 </t>
  </si>
  <si>
    <t> 13.03.2014 00:17 </t>
  </si>
  <si>
    <t> 0.05024 </t>
  </si>
  <si>
    <t>IBVS 5806</t>
  </si>
  <si>
    <t>vis / 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</si>
</sst>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9">
    <xf numFmtId="0" fontId="0" fillId="0" borderId="0" xfId="0" applyAlignment="1"/>
    <xf numFmtId="14" fontId="0" fillId="0" borderId="0" xfId="0" applyNumberFormat="1" applyAlignment="1"/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3" fillId="0" borderId="0" xfId="43" applyFont="1" applyAlignment="1">
      <alignment horizontal="left" vertical="center" wrapText="1"/>
    </xf>
    <xf numFmtId="0" fontId="33" fillId="0" borderId="0" xfId="43" applyFont="1" applyAlignment="1">
      <alignment horizontal="center" vertical="center" wrapText="1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9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DN UMa - O-C Diagr.</a:t>
            </a:r>
          </a:p>
        </c:rich>
      </c:tx>
      <c:layout>
        <c:manualLayout>
          <c:xMode val="edge"/>
          <c:yMode val="edge"/>
          <c:x val="0.3731828917185028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1421712046357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181</c:v>
                </c:pt>
                <c:pt idx="4">
                  <c:v>196</c:v>
                </c:pt>
                <c:pt idx="5">
                  <c:v>230</c:v>
                </c:pt>
                <c:pt idx="6">
                  <c:v>359</c:v>
                </c:pt>
                <c:pt idx="7">
                  <c:v>400.5</c:v>
                </c:pt>
                <c:pt idx="8">
                  <c:v>4496</c:v>
                </c:pt>
                <c:pt idx="9">
                  <c:v>5468.5</c:v>
                </c:pt>
                <c:pt idx="10">
                  <c:v>5476</c:v>
                </c:pt>
                <c:pt idx="11">
                  <c:v>5526.5</c:v>
                </c:pt>
                <c:pt idx="12">
                  <c:v>5556</c:v>
                </c:pt>
                <c:pt idx="13">
                  <c:v>5912</c:v>
                </c:pt>
                <c:pt idx="14">
                  <c:v>6109.5</c:v>
                </c:pt>
                <c:pt idx="15">
                  <c:v>6113</c:v>
                </c:pt>
                <c:pt idx="16">
                  <c:v>6113.5</c:v>
                </c:pt>
                <c:pt idx="17">
                  <c:v>6361.5</c:v>
                </c:pt>
                <c:pt idx="18">
                  <c:v>6748</c:v>
                </c:pt>
                <c:pt idx="19">
                  <c:v>6985</c:v>
                </c:pt>
                <c:pt idx="20">
                  <c:v>6996.5</c:v>
                </c:pt>
                <c:pt idx="21">
                  <c:v>7129</c:v>
                </c:pt>
                <c:pt idx="22">
                  <c:v>7136.5</c:v>
                </c:pt>
                <c:pt idx="23">
                  <c:v>7178</c:v>
                </c:pt>
                <c:pt idx="24">
                  <c:v>7197</c:v>
                </c:pt>
                <c:pt idx="25">
                  <c:v>7237.5</c:v>
                </c:pt>
                <c:pt idx="26">
                  <c:v>7340.5</c:v>
                </c:pt>
                <c:pt idx="27">
                  <c:v>7381.5</c:v>
                </c:pt>
                <c:pt idx="28">
                  <c:v>7393</c:v>
                </c:pt>
                <c:pt idx="29">
                  <c:v>7393.5</c:v>
                </c:pt>
                <c:pt idx="30">
                  <c:v>7600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09-4B46-8B04-50A88EC06EA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11">
                    <c:v>1.4E-3</c:v>
                  </c:pt>
                  <c:pt idx="12">
                    <c:v>1.6999999999999999E-3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1.2999999999999999E-3</c:v>
                  </c:pt>
                  <c:pt idx="17">
                    <c:v>1.4E-3</c:v>
                  </c:pt>
                  <c:pt idx="18">
                    <c:v>1E-4</c:v>
                  </c:pt>
                  <c:pt idx="19">
                    <c:v>2.1000000000000001E-4</c:v>
                  </c:pt>
                  <c:pt idx="20">
                    <c:v>8.0000000000000007E-5</c:v>
                  </c:pt>
                  <c:pt idx="21">
                    <c:v>7.6999999999999996E-4</c:v>
                  </c:pt>
                  <c:pt idx="22">
                    <c:v>7.7999999999999999E-4</c:v>
                  </c:pt>
                  <c:pt idx="23">
                    <c:v>4.8999999999999998E-4</c:v>
                  </c:pt>
                  <c:pt idx="24">
                    <c:v>3.5E-4</c:v>
                  </c:pt>
                  <c:pt idx="25">
                    <c:v>1.4300000000000001E-3</c:v>
                  </c:pt>
                  <c:pt idx="26">
                    <c:v>5.1999999999999995E-4</c:v>
                  </c:pt>
                  <c:pt idx="27">
                    <c:v>2.2399999999999998E-3</c:v>
                  </c:pt>
                  <c:pt idx="28">
                    <c:v>7.7999999999999999E-4</c:v>
                  </c:pt>
                  <c:pt idx="29">
                    <c:v>8.0000000000000004E-4</c:v>
                  </c:pt>
                  <c:pt idx="3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11">
                    <c:v>1.4E-3</c:v>
                  </c:pt>
                  <c:pt idx="12">
                    <c:v>1.6999999999999999E-3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1.2999999999999999E-3</c:v>
                  </c:pt>
                  <c:pt idx="17">
                    <c:v>1.4E-3</c:v>
                  </c:pt>
                  <c:pt idx="18">
                    <c:v>1E-4</c:v>
                  </c:pt>
                  <c:pt idx="19">
                    <c:v>2.1000000000000001E-4</c:v>
                  </c:pt>
                  <c:pt idx="20">
                    <c:v>8.0000000000000007E-5</c:v>
                  </c:pt>
                  <c:pt idx="21">
                    <c:v>7.6999999999999996E-4</c:v>
                  </c:pt>
                  <c:pt idx="22">
                    <c:v>7.7999999999999999E-4</c:v>
                  </c:pt>
                  <c:pt idx="23">
                    <c:v>4.8999999999999998E-4</c:v>
                  </c:pt>
                  <c:pt idx="24">
                    <c:v>3.5E-4</c:v>
                  </c:pt>
                  <c:pt idx="25">
                    <c:v>1.4300000000000001E-3</c:v>
                  </c:pt>
                  <c:pt idx="26">
                    <c:v>5.1999999999999995E-4</c:v>
                  </c:pt>
                  <c:pt idx="27">
                    <c:v>2.2399999999999998E-3</c:v>
                  </c:pt>
                  <c:pt idx="28">
                    <c:v>7.7999999999999999E-4</c:v>
                  </c:pt>
                  <c:pt idx="29">
                    <c:v>8.0000000000000004E-4</c:v>
                  </c:pt>
                  <c:pt idx="3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181</c:v>
                </c:pt>
                <c:pt idx="4">
                  <c:v>196</c:v>
                </c:pt>
                <c:pt idx="5">
                  <c:v>230</c:v>
                </c:pt>
                <c:pt idx="6">
                  <c:v>359</c:v>
                </c:pt>
                <c:pt idx="7">
                  <c:v>400.5</c:v>
                </c:pt>
                <c:pt idx="8">
                  <c:v>4496</c:v>
                </c:pt>
                <c:pt idx="9">
                  <c:v>5468.5</c:v>
                </c:pt>
                <c:pt idx="10">
                  <c:v>5476</c:v>
                </c:pt>
                <c:pt idx="11">
                  <c:v>5526.5</c:v>
                </c:pt>
                <c:pt idx="12">
                  <c:v>5556</c:v>
                </c:pt>
                <c:pt idx="13">
                  <c:v>5912</c:v>
                </c:pt>
                <c:pt idx="14">
                  <c:v>6109.5</c:v>
                </c:pt>
                <c:pt idx="15">
                  <c:v>6113</c:v>
                </c:pt>
                <c:pt idx="16">
                  <c:v>6113.5</c:v>
                </c:pt>
                <c:pt idx="17">
                  <c:v>6361.5</c:v>
                </c:pt>
                <c:pt idx="18">
                  <c:v>6748</c:v>
                </c:pt>
                <c:pt idx="19">
                  <c:v>6985</c:v>
                </c:pt>
                <c:pt idx="20">
                  <c:v>6996.5</c:v>
                </c:pt>
                <c:pt idx="21">
                  <c:v>7129</c:v>
                </c:pt>
                <c:pt idx="22">
                  <c:v>7136.5</c:v>
                </c:pt>
                <c:pt idx="23">
                  <c:v>7178</c:v>
                </c:pt>
                <c:pt idx="24">
                  <c:v>7197</c:v>
                </c:pt>
                <c:pt idx="25">
                  <c:v>7237.5</c:v>
                </c:pt>
                <c:pt idx="26">
                  <c:v>7340.5</c:v>
                </c:pt>
                <c:pt idx="27">
                  <c:v>7381.5</c:v>
                </c:pt>
                <c:pt idx="28">
                  <c:v>7393</c:v>
                </c:pt>
                <c:pt idx="29">
                  <c:v>7393.5</c:v>
                </c:pt>
                <c:pt idx="30">
                  <c:v>7600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09-4B46-8B04-50A88EC06EA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11">
                    <c:v>1.4E-3</c:v>
                  </c:pt>
                  <c:pt idx="12">
                    <c:v>1.6999999999999999E-3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1.2999999999999999E-3</c:v>
                  </c:pt>
                  <c:pt idx="17">
                    <c:v>1.4E-3</c:v>
                  </c:pt>
                  <c:pt idx="18">
                    <c:v>1E-4</c:v>
                  </c:pt>
                  <c:pt idx="19">
                    <c:v>2.1000000000000001E-4</c:v>
                  </c:pt>
                  <c:pt idx="20">
                    <c:v>8.0000000000000007E-5</c:v>
                  </c:pt>
                  <c:pt idx="21">
                    <c:v>7.6999999999999996E-4</c:v>
                  </c:pt>
                  <c:pt idx="22">
                    <c:v>7.7999999999999999E-4</c:v>
                  </c:pt>
                  <c:pt idx="23">
                    <c:v>4.8999999999999998E-4</c:v>
                  </c:pt>
                  <c:pt idx="24">
                    <c:v>3.5E-4</c:v>
                  </c:pt>
                  <c:pt idx="25">
                    <c:v>1.4300000000000001E-3</c:v>
                  </c:pt>
                  <c:pt idx="26">
                    <c:v>5.1999999999999995E-4</c:v>
                  </c:pt>
                  <c:pt idx="27">
                    <c:v>2.2399999999999998E-3</c:v>
                  </c:pt>
                  <c:pt idx="28">
                    <c:v>7.7999999999999999E-4</c:v>
                  </c:pt>
                  <c:pt idx="29">
                    <c:v>8.0000000000000004E-4</c:v>
                  </c:pt>
                  <c:pt idx="3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11">
                    <c:v>1.4E-3</c:v>
                  </c:pt>
                  <c:pt idx="12">
                    <c:v>1.6999999999999999E-3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1.2999999999999999E-3</c:v>
                  </c:pt>
                  <c:pt idx="17">
                    <c:v>1.4E-3</c:v>
                  </c:pt>
                  <c:pt idx="18">
                    <c:v>1E-4</c:v>
                  </c:pt>
                  <c:pt idx="19">
                    <c:v>2.1000000000000001E-4</c:v>
                  </c:pt>
                  <c:pt idx="20">
                    <c:v>8.0000000000000007E-5</c:v>
                  </c:pt>
                  <c:pt idx="21">
                    <c:v>7.6999999999999996E-4</c:v>
                  </c:pt>
                  <c:pt idx="22">
                    <c:v>7.7999999999999999E-4</c:v>
                  </c:pt>
                  <c:pt idx="23">
                    <c:v>4.8999999999999998E-4</c:v>
                  </c:pt>
                  <c:pt idx="24">
                    <c:v>3.5E-4</c:v>
                  </c:pt>
                  <c:pt idx="25">
                    <c:v>1.4300000000000001E-3</c:v>
                  </c:pt>
                  <c:pt idx="26">
                    <c:v>5.1999999999999995E-4</c:v>
                  </c:pt>
                  <c:pt idx="27">
                    <c:v>2.2399999999999998E-3</c:v>
                  </c:pt>
                  <c:pt idx="28">
                    <c:v>7.7999999999999999E-4</c:v>
                  </c:pt>
                  <c:pt idx="29">
                    <c:v>8.0000000000000004E-4</c:v>
                  </c:pt>
                  <c:pt idx="3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181</c:v>
                </c:pt>
                <c:pt idx="4">
                  <c:v>196</c:v>
                </c:pt>
                <c:pt idx="5">
                  <c:v>230</c:v>
                </c:pt>
                <c:pt idx="6">
                  <c:v>359</c:v>
                </c:pt>
                <c:pt idx="7">
                  <c:v>400.5</c:v>
                </c:pt>
                <c:pt idx="8">
                  <c:v>4496</c:v>
                </c:pt>
                <c:pt idx="9">
                  <c:v>5468.5</c:v>
                </c:pt>
                <c:pt idx="10">
                  <c:v>5476</c:v>
                </c:pt>
                <c:pt idx="11">
                  <c:v>5526.5</c:v>
                </c:pt>
                <c:pt idx="12">
                  <c:v>5556</c:v>
                </c:pt>
                <c:pt idx="13">
                  <c:v>5912</c:v>
                </c:pt>
                <c:pt idx="14">
                  <c:v>6109.5</c:v>
                </c:pt>
                <c:pt idx="15">
                  <c:v>6113</c:v>
                </c:pt>
                <c:pt idx="16">
                  <c:v>6113.5</c:v>
                </c:pt>
                <c:pt idx="17">
                  <c:v>6361.5</c:v>
                </c:pt>
                <c:pt idx="18">
                  <c:v>6748</c:v>
                </c:pt>
                <c:pt idx="19">
                  <c:v>6985</c:v>
                </c:pt>
                <c:pt idx="20">
                  <c:v>6996.5</c:v>
                </c:pt>
                <c:pt idx="21">
                  <c:v>7129</c:v>
                </c:pt>
                <c:pt idx="22">
                  <c:v>7136.5</c:v>
                </c:pt>
                <c:pt idx="23">
                  <c:v>7178</c:v>
                </c:pt>
                <c:pt idx="24">
                  <c:v>7197</c:v>
                </c:pt>
                <c:pt idx="25">
                  <c:v>7237.5</c:v>
                </c:pt>
                <c:pt idx="26">
                  <c:v>7340.5</c:v>
                </c:pt>
                <c:pt idx="27">
                  <c:v>7381.5</c:v>
                </c:pt>
                <c:pt idx="28">
                  <c:v>7393</c:v>
                </c:pt>
                <c:pt idx="29">
                  <c:v>7393.5</c:v>
                </c:pt>
                <c:pt idx="30">
                  <c:v>7600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3.7000000011175871E-3</c:v>
                </c:pt>
                <c:pt idx="2">
                  <c:v>5.3909999987808987E-3</c:v>
                </c:pt>
                <c:pt idx="3">
                  <c:v>-4.0579999986221083E-3</c:v>
                </c:pt>
                <c:pt idx="4">
                  <c:v>-7.8280000016093254E-3</c:v>
                </c:pt>
                <c:pt idx="5">
                  <c:v>-7.5399999986984767E-3</c:v>
                </c:pt>
                <c:pt idx="6">
                  <c:v>1.9380000012461096E-3</c:v>
                </c:pt>
                <c:pt idx="7">
                  <c:v>7.9910000058589503E-3</c:v>
                </c:pt>
                <c:pt idx="8">
                  <c:v>-1.0227999991911929E-2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09-4B46-8B04-50A88EC06EA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11">
                    <c:v>1.4E-3</c:v>
                  </c:pt>
                  <c:pt idx="12">
                    <c:v>1.6999999999999999E-3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1.2999999999999999E-3</c:v>
                  </c:pt>
                  <c:pt idx="17">
                    <c:v>1.4E-3</c:v>
                  </c:pt>
                  <c:pt idx="18">
                    <c:v>1E-4</c:v>
                  </c:pt>
                  <c:pt idx="19">
                    <c:v>2.1000000000000001E-4</c:v>
                  </c:pt>
                  <c:pt idx="20">
                    <c:v>8.0000000000000007E-5</c:v>
                  </c:pt>
                  <c:pt idx="21">
                    <c:v>7.6999999999999996E-4</c:v>
                  </c:pt>
                  <c:pt idx="22">
                    <c:v>7.7999999999999999E-4</c:v>
                  </c:pt>
                  <c:pt idx="23">
                    <c:v>4.8999999999999998E-4</c:v>
                  </c:pt>
                  <c:pt idx="24">
                    <c:v>3.5E-4</c:v>
                  </c:pt>
                  <c:pt idx="25">
                    <c:v>1.4300000000000001E-3</c:v>
                  </c:pt>
                  <c:pt idx="26">
                    <c:v>5.1999999999999995E-4</c:v>
                  </c:pt>
                  <c:pt idx="27">
                    <c:v>2.2399999999999998E-3</c:v>
                  </c:pt>
                  <c:pt idx="28">
                    <c:v>7.7999999999999999E-4</c:v>
                  </c:pt>
                  <c:pt idx="29">
                    <c:v>8.0000000000000004E-4</c:v>
                  </c:pt>
                  <c:pt idx="3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11">
                    <c:v>1.4E-3</c:v>
                  </c:pt>
                  <c:pt idx="12">
                    <c:v>1.6999999999999999E-3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1.2999999999999999E-3</c:v>
                  </c:pt>
                  <c:pt idx="17">
                    <c:v>1.4E-3</c:v>
                  </c:pt>
                  <c:pt idx="18">
                    <c:v>1E-4</c:v>
                  </c:pt>
                  <c:pt idx="19">
                    <c:v>2.1000000000000001E-4</c:v>
                  </c:pt>
                  <c:pt idx="20">
                    <c:v>8.0000000000000007E-5</c:v>
                  </c:pt>
                  <c:pt idx="21">
                    <c:v>7.6999999999999996E-4</c:v>
                  </c:pt>
                  <c:pt idx="22">
                    <c:v>7.7999999999999999E-4</c:v>
                  </c:pt>
                  <c:pt idx="23">
                    <c:v>4.8999999999999998E-4</c:v>
                  </c:pt>
                  <c:pt idx="24">
                    <c:v>3.5E-4</c:v>
                  </c:pt>
                  <c:pt idx="25">
                    <c:v>1.4300000000000001E-3</c:v>
                  </c:pt>
                  <c:pt idx="26">
                    <c:v>5.1999999999999995E-4</c:v>
                  </c:pt>
                  <c:pt idx="27">
                    <c:v>2.2399999999999998E-3</c:v>
                  </c:pt>
                  <c:pt idx="28">
                    <c:v>7.7999999999999999E-4</c:v>
                  </c:pt>
                  <c:pt idx="29">
                    <c:v>8.0000000000000004E-4</c:v>
                  </c:pt>
                  <c:pt idx="3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181</c:v>
                </c:pt>
                <c:pt idx="4">
                  <c:v>196</c:v>
                </c:pt>
                <c:pt idx="5">
                  <c:v>230</c:v>
                </c:pt>
                <c:pt idx="6">
                  <c:v>359</c:v>
                </c:pt>
                <c:pt idx="7">
                  <c:v>400.5</c:v>
                </c:pt>
                <c:pt idx="8">
                  <c:v>4496</c:v>
                </c:pt>
                <c:pt idx="9">
                  <c:v>5468.5</c:v>
                </c:pt>
                <c:pt idx="10">
                  <c:v>5476</c:v>
                </c:pt>
                <c:pt idx="11">
                  <c:v>5526.5</c:v>
                </c:pt>
                <c:pt idx="12">
                  <c:v>5556</c:v>
                </c:pt>
                <c:pt idx="13">
                  <c:v>5912</c:v>
                </c:pt>
                <c:pt idx="14">
                  <c:v>6109.5</c:v>
                </c:pt>
                <c:pt idx="15">
                  <c:v>6113</c:v>
                </c:pt>
                <c:pt idx="16">
                  <c:v>6113.5</c:v>
                </c:pt>
                <c:pt idx="17">
                  <c:v>6361.5</c:v>
                </c:pt>
                <c:pt idx="18">
                  <c:v>6748</c:v>
                </c:pt>
                <c:pt idx="19">
                  <c:v>6985</c:v>
                </c:pt>
                <c:pt idx="20">
                  <c:v>6996.5</c:v>
                </c:pt>
                <c:pt idx="21">
                  <c:v>7129</c:v>
                </c:pt>
                <c:pt idx="22">
                  <c:v>7136.5</c:v>
                </c:pt>
                <c:pt idx="23">
                  <c:v>7178</c:v>
                </c:pt>
                <c:pt idx="24">
                  <c:v>7197</c:v>
                </c:pt>
                <c:pt idx="25">
                  <c:v>7237.5</c:v>
                </c:pt>
                <c:pt idx="26">
                  <c:v>7340.5</c:v>
                </c:pt>
                <c:pt idx="27">
                  <c:v>7381.5</c:v>
                </c:pt>
                <c:pt idx="28">
                  <c:v>7393</c:v>
                </c:pt>
                <c:pt idx="29">
                  <c:v>7393.5</c:v>
                </c:pt>
                <c:pt idx="30">
                  <c:v>7600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9">
                  <c:v>7.467000003089197E-3</c:v>
                </c:pt>
                <c:pt idx="10">
                  <c:v>9.2320000039762817E-3</c:v>
                </c:pt>
                <c:pt idx="11">
                  <c:v>1.4623000010033138E-2</c:v>
                </c:pt>
                <c:pt idx="12">
                  <c:v>1.9892000003892463E-2</c:v>
                </c:pt>
                <c:pt idx="13">
                  <c:v>2.4084000004222617E-2</c:v>
                </c:pt>
                <c:pt idx="14">
                  <c:v>1.842900000337977E-2</c:v>
                </c:pt>
                <c:pt idx="15">
                  <c:v>1.956600000266917E-2</c:v>
                </c:pt>
                <c:pt idx="16">
                  <c:v>2.1357000005082227E-2</c:v>
                </c:pt>
                <c:pt idx="17">
                  <c:v>2.8193000005558133E-2</c:v>
                </c:pt>
                <c:pt idx="18">
                  <c:v>3.7756000005174428E-2</c:v>
                </c:pt>
                <c:pt idx="19">
                  <c:v>4.1830000001937151E-2</c:v>
                </c:pt>
                <c:pt idx="20">
                  <c:v>4.008300000714371E-2</c:v>
                </c:pt>
                <c:pt idx="21">
                  <c:v>4.0088000001560431E-2</c:v>
                </c:pt>
                <c:pt idx="22">
                  <c:v>3.9822999999159947E-2</c:v>
                </c:pt>
                <c:pt idx="23">
                  <c:v>4.2086000001290813E-2</c:v>
                </c:pt>
                <c:pt idx="24">
                  <c:v>3.2844000001205131E-2</c:v>
                </c:pt>
                <c:pt idx="25">
                  <c:v>5.4385000003094319E-2</c:v>
                </c:pt>
                <c:pt idx="26">
                  <c:v>4.232100000808714E-2</c:v>
                </c:pt>
                <c:pt idx="27">
                  <c:v>4.1973000006692018E-2</c:v>
                </c:pt>
                <c:pt idx="28">
                  <c:v>5.0236000002769288E-2</c:v>
                </c:pt>
                <c:pt idx="29">
                  <c:v>5.0917000000481494E-2</c:v>
                </c:pt>
                <c:pt idx="30">
                  <c:v>4.6300000001792796E-2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09-4B46-8B04-50A88EC06EA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11">
                    <c:v>1.4E-3</c:v>
                  </c:pt>
                  <c:pt idx="12">
                    <c:v>1.6999999999999999E-3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1.2999999999999999E-3</c:v>
                  </c:pt>
                  <c:pt idx="17">
                    <c:v>1.4E-3</c:v>
                  </c:pt>
                  <c:pt idx="18">
                    <c:v>1E-4</c:v>
                  </c:pt>
                  <c:pt idx="19">
                    <c:v>2.1000000000000001E-4</c:v>
                  </c:pt>
                  <c:pt idx="20">
                    <c:v>8.0000000000000007E-5</c:v>
                  </c:pt>
                  <c:pt idx="21">
                    <c:v>7.6999999999999996E-4</c:v>
                  </c:pt>
                  <c:pt idx="22">
                    <c:v>7.7999999999999999E-4</c:v>
                  </c:pt>
                  <c:pt idx="23">
                    <c:v>4.8999999999999998E-4</c:v>
                  </c:pt>
                  <c:pt idx="24">
                    <c:v>3.5E-4</c:v>
                  </c:pt>
                  <c:pt idx="25">
                    <c:v>1.4300000000000001E-3</c:v>
                  </c:pt>
                  <c:pt idx="26">
                    <c:v>5.1999999999999995E-4</c:v>
                  </c:pt>
                  <c:pt idx="27">
                    <c:v>2.2399999999999998E-3</c:v>
                  </c:pt>
                  <c:pt idx="28">
                    <c:v>7.7999999999999999E-4</c:v>
                  </c:pt>
                  <c:pt idx="29">
                    <c:v>8.0000000000000004E-4</c:v>
                  </c:pt>
                  <c:pt idx="3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11">
                    <c:v>1.4E-3</c:v>
                  </c:pt>
                  <c:pt idx="12">
                    <c:v>1.6999999999999999E-3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1.2999999999999999E-3</c:v>
                  </c:pt>
                  <c:pt idx="17">
                    <c:v>1.4E-3</c:v>
                  </c:pt>
                  <c:pt idx="18">
                    <c:v>1E-4</c:v>
                  </c:pt>
                  <c:pt idx="19">
                    <c:v>2.1000000000000001E-4</c:v>
                  </c:pt>
                  <c:pt idx="20">
                    <c:v>8.0000000000000007E-5</c:v>
                  </c:pt>
                  <c:pt idx="21">
                    <c:v>7.6999999999999996E-4</c:v>
                  </c:pt>
                  <c:pt idx="22">
                    <c:v>7.7999999999999999E-4</c:v>
                  </c:pt>
                  <c:pt idx="23">
                    <c:v>4.8999999999999998E-4</c:v>
                  </c:pt>
                  <c:pt idx="24">
                    <c:v>3.5E-4</c:v>
                  </c:pt>
                  <c:pt idx="25">
                    <c:v>1.4300000000000001E-3</c:v>
                  </c:pt>
                  <c:pt idx="26">
                    <c:v>5.1999999999999995E-4</c:v>
                  </c:pt>
                  <c:pt idx="27">
                    <c:v>2.2399999999999998E-3</c:v>
                  </c:pt>
                  <c:pt idx="28">
                    <c:v>7.7999999999999999E-4</c:v>
                  </c:pt>
                  <c:pt idx="29">
                    <c:v>8.0000000000000004E-4</c:v>
                  </c:pt>
                  <c:pt idx="3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181</c:v>
                </c:pt>
                <c:pt idx="4">
                  <c:v>196</c:v>
                </c:pt>
                <c:pt idx="5">
                  <c:v>230</c:v>
                </c:pt>
                <c:pt idx="6">
                  <c:v>359</c:v>
                </c:pt>
                <c:pt idx="7">
                  <c:v>400.5</c:v>
                </c:pt>
                <c:pt idx="8">
                  <c:v>4496</c:v>
                </c:pt>
                <c:pt idx="9">
                  <c:v>5468.5</c:v>
                </c:pt>
                <c:pt idx="10">
                  <c:v>5476</c:v>
                </c:pt>
                <c:pt idx="11">
                  <c:v>5526.5</c:v>
                </c:pt>
                <c:pt idx="12">
                  <c:v>5556</c:v>
                </c:pt>
                <c:pt idx="13">
                  <c:v>5912</c:v>
                </c:pt>
                <c:pt idx="14">
                  <c:v>6109.5</c:v>
                </c:pt>
                <c:pt idx="15">
                  <c:v>6113</c:v>
                </c:pt>
                <c:pt idx="16">
                  <c:v>6113.5</c:v>
                </c:pt>
                <c:pt idx="17">
                  <c:v>6361.5</c:v>
                </c:pt>
                <c:pt idx="18">
                  <c:v>6748</c:v>
                </c:pt>
                <c:pt idx="19">
                  <c:v>6985</c:v>
                </c:pt>
                <c:pt idx="20">
                  <c:v>6996.5</c:v>
                </c:pt>
                <c:pt idx="21">
                  <c:v>7129</c:v>
                </c:pt>
                <c:pt idx="22">
                  <c:v>7136.5</c:v>
                </c:pt>
                <c:pt idx="23">
                  <c:v>7178</c:v>
                </c:pt>
                <c:pt idx="24">
                  <c:v>7197</c:v>
                </c:pt>
                <c:pt idx="25">
                  <c:v>7237.5</c:v>
                </c:pt>
                <c:pt idx="26">
                  <c:v>7340.5</c:v>
                </c:pt>
                <c:pt idx="27">
                  <c:v>7381.5</c:v>
                </c:pt>
                <c:pt idx="28">
                  <c:v>7393</c:v>
                </c:pt>
                <c:pt idx="29">
                  <c:v>7393.5</c:v>
                </c:pt>
                <c:pt idx="30">
                  <c:v>7600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09-4B46-8B04-50A88EC06EA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11">
                    <c:v>1.4E-3</c:v>
                  </c:pt>
                  <c:pt idx="12">
                    <c:v>1.6999999999999999E-3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1.2999999999999999E-3</c:v>
                  </c:pt>
                  <c:pt idx="17">
                    <c:v>1.4E-3</c:v>
                  </c:pt>
                  <c:pt idx="18">
                    <c:v>1E-4</c:v>
                  </c:pt>
                  <c:pt idx="19">
                    <c:v>2.1000000000000001E-4</c:v>
                  </c:pt>
                  <c:pt idx="20">
                    <c:v>8.0000000000000007E-5</c:v>
                  </c:pt>
                  <c:pt idx="21">
                    <c:v>7.6999999999999996E-4</c:v>
                  </c:pt>
                  <c:pt idx="22">
                    <c:v>7.7999999999999999E-4</c:v>
                  </c:pt>
                  <c:pt idx="23">
                    <c:v>4.8999999999999998E-4</c:v>
                  </c:pt>
                  <c:pt idx="24">
                    <c:v>3.5E-4</c:v>
                  </c:pt>
                  <c:pt idx="25">
                    <c:v>1.4300000000000001E-3</c:v>
                  </c:pt>
                  <c:pt idx="26">
                    <c:v>5.1999999999999995E-4</c:v>
                  </c:pt>
                  <c:pt idx="27">
                    <c:v>2.2399999999999998E-3</c:v>
                  </c:pt>
                  <c:pt idx="28">
                    <c:v>7.7999999999999999E-4</c:v>
                  </c:pt>
                  <c:pt idx="29">
                    <c:v>8.0000000000000004E-4</c:v>
                  </c:pt>
                  <c:pt idx="3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11">
                    <c:v>1.4E-3</c:v>
                  </c:pt>
                  <c:pt idx="12">
                    <c:v>1.6999999999999999E-3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1.2999999999999999E-3</c:v>
                  </c:pt>
                  <c:pt idx="17">
                    <c:v>1.4E-3</c:v>
                  </c:pt>
                  <c:pt idx="18">
                    <c:v>1E-4</c:v>
                  </c:pt>
                  <c:pt idx="19">
                    <c:v>2.1000000000000001E-4</c:v>
                  </c:pt>
                  <c:pt idx="20">
                    <c:v>8.0000000000000007E-5</c:v>
                  </c:pt>
                  <c:pt idx="21">
                    <c:v>7.6999999999999996E-4</c:v>
                  </c:pt>
                  <c:pt idx="22">
                    <c:v>7.7999999999999999E-4</c:v>
                  </c:pt>
                  <c:pt idx="23">
                    <c:v>4.8999999999999998E-4</c:v>
                  </c:pt>
                  <c:pt idx="24">
                    <c:v>3.5E-4</c:v>
                  </c:pt>
                  <c:pt idx="25">
                    <c:v>1.4300000000000001E-3</c:v>
                  </c:pt>
                  <c:pt idx="26">
                    <c:v>5.1999999999999995E-4</c:v>
                  </c:pt>
                  <c:pt idx="27">
                    <c:v>2.2399999999999998E-3</c:v>
                  </c:pt>
                  <c:pt idx="28">
                    <c:v>7.7999999999999999E-4</c:v>
                  </c:pt>
                  <c:pt idx="29">
                    <c:v>8.0000000000000004E-4</c:v>
                  </c:pt>
                  <c:pt idx="3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181</c:v>
                </c:pt>
                <c:pt idx="4">
                  <c:v>196</c:v>
                </c:pt>
                <c:pt idx="5">
                  <c:v>230</c:v>
                </c:pt>
                <c:pt idx="6">
                  <c:v>359</c:v>
                </c:pt>
                <c:pt idx="7">
                  <c:v>400.5</c:v>
                </c:pt>
                <c:pt idx="8">
                  <c:v>4496</c:v>
                </c:pt>
                <c:pt idx="9">
                  <c:v>5468.5</c:v>
                </c:pt>
                <c:pt idx="10">
                  <c:v>5476</c:v>
                </c:pt>
                <c:pt idx="11">
                  <c:v>5526.5</c:v>
                </c:pt>
                <c:pt idx="12">
                  <c:v>5556</c:v>
                </c:pt>
                <c:pt idx="13">
                  <c:v>5912</c:v>
                </c:pt>
                <c:pt idx="14">
                  <c:v>6109.5</c:v>
                </c:pt>
                <c:pt idx="15">
                  <c:v>6113</c:v>
                </c:pt>
                <c:pt idx="16">
                  <c:v>6113.5</c:v>
                </c:pt>
                <c:pt idx="17">
                  <c:v>6361.5</c:v>
                </c:pt>
                <c:pt idx="18">
                  <c:v>6748</c:v>
                </c:pt>
                <c:pt idx="19">
                  <c:v>6985</c:v>
                </c:pt>
                <c:pt idx="20">
                  <c:v>6996.5</c:v>
                </c:pt>
                <c:pt idx="21">
                  <c:v>7129</c:v>
                </c:pt>
                <c:pt idx="22">
                  <c:v>7136.5</c:v>
                </c:pt>
                <c:pt idx="23">
                  <c:v>7178</c:v>
                </c:pt>
                <c:pt idx="24">
                  <c:v>7197</c:v>
                </c:pt>
                <c:pt idx="25">
                  <c:v>7237.5</c:v>
                </c:pt>
                <c:pt idx="26">
                  <c:v>7340.5</c:v>
                </c:pt>
                <c:pt idx="27">
                  <c:v>7381.5</c:v>
                </c:pt>
                <c:pt idx="28">
                  <c:v>7393</c:v>
                </c:pt>
                <c:pt idx="29">
                  <c:v>7393.5</c:v>
                </c:pt>
                <c:pt idx="30">
                  <c:v>7600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09-4B46-8B04-50A88EC06EA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11">
                    <c:v>1.4E-3</c:v>
                  </c:pt>
                  <c:pt idx="12">
                    <c:v>1.6999999999999999E-3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1.2999999999999999E-3</c:v>
                  </c:pt>
                  <c:pt idx="17">
                    <c:v>1.4E-3</c:v>
                  </c:pt>
                  <c:pt idx="18">
                    <c:v>1E-4</c:v>
                  </c:pt>
                  <c:pt idx="19">
                    <c:v>2.1000000000000001E-4</c:v>
                  </c:pt>
                  <c:pt idx="20">
                    <c:v>8.0000000000000007E-5</c:v>
                  </c:pt>
                  <c:pt idx="21">
                    <c:v>7.6999999999999996E-4</c:v>
                  </c:pt>
                  <c:pt idx="22">
                    <c:v>7.7999999999999999E-4</c:v>
                  </c:pt>
                  <c:pt idx="23">
                    <c:v>4.8999999999999998E-4</c:v>
                  </c:pt>
                  <c:pt idx="24">
                    <c:v>3.5E-4</c:v>
                  </c:pt>
                  <c:pt idx="25">
                    <c:v>1.4300000000000001E-3</c:v>
                  </c:pt>
                  <c:pt idx="26">
                    <c:v>5.1999999999999995E-4</c:v>
                  </c:pt>
                  <c:pt idx="27">
                    <c:v>2.2399999999999998E-3</c:v>
                  </c:pt>
                  <c:pt idx="28">
                    <c:v>7.7999999999999999E-4</c:v>
                  </c:pt>
                  <c:pt idx="29">
                    <c:v>8.0000000000000004E-4</c:v>
                  </c:pt>
                  <c:pt idx="3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11">
                    <c:v>1.4E-3</c:v>
                  </c:pt>
                  <c:pt idx="12">
                    <c:v>1.6999999999999999E-3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1.2999999999999999E-3</c:v>
                  </c:pt>
                  <c:pt idx="17">
                    <c:v>1.4E-3</c:v>
                  </c:pt>
                  <c:pt idx="18">
                    <c:v>1E-4</c:v>
                  </c:pt>
                  <c:pt idx="19">
                    <c:v>2.1000000000000001E-4</c:v>
                  </c:pt>
                  <c:pt idx="20">
                    <c:v>8.0000000000000007E-5</c:v>
                  </c:pt>
                  <c:pt idx="21">
                    <c:v>7.6999999999999996E-4</c:v>
                  </c:pt>
                  <c:pt idx="22">
                    <c:v>7.7999999999999999E-4</c:v>
                  </c:pt>
                  <c:pt idx="23">
                    <c:v>4.8999999999999998E-4</c:v>
                  </c:pt>
                  <c:pt idx="24">
                    <c:v>3.5E-4</c:v>
                  </c:pt>
                  <c:pt idx="25">
                    <c:v>1.4300000000000001E-3</c:v>
                  </c:pt>
                  <c:pt idx="26">
                    <c:v>5.1999999999999995E-4</c:v>
                  </c:pt>
                  <c:pt idx="27">
                    <c:v>2.2399999999999998E-3</c:v>
                  </c:pt>
                  <c:pt idx="28">
                    <c:v>7.7999999999999999E-4</c:v>
                  </c:pt>
                  <c:pt idx="29">
                    <c:v>8.0000000000000004E-4</c:v>
                  </c:pt>
                  <c:pt idx="3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181</c:v>
                </c:pt>
                <c:pt idx="4">
                  <c:v>196</c:v>
                </c:pt>
                <c:pt idx="5">
                  <c:v>230</c:v>
                </c:pt>
                <c:pt idx="6">
                  <c:v>359</c:v>
                </c:pt>
                <c:pt idx="7">
                  <c:v>400.5</c:v>
                </c:pt>
                <c:pt idx="8">
                  <c:v>4496</c:v>
                </c:pt>
                <c:pt idx="9">
                  <c:v>5468.5</c:v>
                </c:pt>
                <c:pt idx="10">
                  <c:v>5476</c:v>
                </c:pt>
                <c:pt idx="11">
                  <c:v>5526.5</c:v>
                </c:pt>
                <c:pt idx="12">
                  <c:v>5556</c:v>
                </c:pt>
                <c:pt idx="13">
                  <c:v>5912</c:v>
                </c:pt>
                <c:pt idx="14">
                  <c:v>6109.5</c:v>
                </c:pt>
                <c:pt idx="15">
                  <c:v>6113</c:v>
                </c:pt>
                <c:pt idx="16">
                  <c:v>6113.5</c:v>
                </c:pt>
                <c:pt idx="17">
                  <c:v>6361.5</c:v>
                </c:pt>
                <c:pt idx="18">
                  <c:v>6748</c:v>
                </c:pt>
                <c:pt idx="19">
                  <c:v>6985</c:v>
                </c:pt>
                <c:pt idx="20">
                  <c:v>6996.5</c:v>
                </c:pt>
                <c:pt idx="21">
                  <c:v>7129</c:v>
                </c:pt>
                <c:pt idx="22">
                  <c:v>7136.5</c:v>
                </c:pt>
                <c:pt idx="23">
                  <c:v>7178</c:v>
                </c:pt>
                <c:pt idx="24">
                  <c:v>7197</c:v>
                </c:pt>
                <c:pt idx="25">
                  <c:v>7237.5</c:v>
                </c:pt>
                <c:pt idx="26">
                  <c:v>7340.5</c:v>
                </c:pt>
                <c:pt idx="27">
                  <c:v>7381.5</c:v>
                </c:pt>
                <c:pt idx="28">
                  <c:v>7393</c:v>
                </c:pt>
                <c:pt idx="29">
                  <c:v>7393.5</c:v>
                </c:pt>
                <c:pt idx="30">
                  <c:v>7600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09-4B46-8B04-50A88EC06EA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181</c:v>
                </c:pt>
                <c:pt idx="4">
                  <c:v>196</c:v>
                </c:pt>
                <c:pt idx="5">
                  <c:v>230</c:v>
                </c:pt>
                <c:pt idx="6">
                  <c:v>359</c:v>
                </c:pt>
                <c:pt idx="7">
                  <c:v>400.5</c:v>
                </c:pt>
                <c:pt idx="8">
                  <c:v>4496</c:v>
                </c:pt>
                <c:pt idx="9">
                  <c:v>5468.5</c:v>
                </c:pt>
                <c:pt idx="10">
                  <c:v>5476</c:v>
                </c:pt>
                <c:pt idx="11">
                  <c:v>5526.5</c:v>
                </c:pt>
                <c:pt idx="12">
                  <c:v>5556</c:v>
                </c:pt>
                <c:pt idx="13">
                  <c:v>5912</c:v>
                </c:pt>
                <c:pt idx="14">
                  <c:v>6109.5</c:v>
                </c:pt>
                <c:pt idx="15">
                  <c:v>6113</c:v>
                </c:pt>
                <c:pt idx="16">
                  <c:v>6113.5</c:v>
                </c:pt>
                <c:pt idx="17">
                  <c:v>6361.5</c:v>
                </c:pt>
                <c:pt idx="18">
                  <c:v>6748</c:v>
                </c:pt>
                <c:pt idx="19">
                  <c:v>6985</c:v>
                </c:pt>
                <c:pt idx="20">
                  <c:v>6996.5</c:v>
                </c:pt>
                <c:pt idx="21">
                  <c:v>7129</c:v>
                </c:pt>
                <c:pt idx="22">
                  <c:v>7136.5</c:v>
                </c:pt>
                <c:pt idx="23">
                  <c:v>7178</c:v>
                </c:pt>
                <c:pt idx="24">
                  <c:v>7197</c:v>
                </c:pt>
                <c:pt idx="25">
                  <c:v>7237.5</c:v>
                </c:pt>
                <c:pt idx="26">
                  <c:v>7340.5</c:v>
                </c:pt>
                <c:pt idx="27">
                  <c:v>7381.5</c:v>
                </c:pt>
                <c:pt idx="28">
                  <c:v>7393</c:v>
                </c:pt>
                <c:pt idx="29">
                  <c:v>7393.5</c:v>
                </c:pt>
                <c:pt idx="30">
                  <c:v>7600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-9.0370946786293274E-2</c:v>
                </c:pt>
                <c:pt idx="1">
                  <c:v>-9.0370946786293274E-2</c:v>
                </c:pt>
                <c:pt idx="2">
                  <c:v>-9.0361693168338253E-2</c:v>
                </c:pt>
                <c:pt idx="3">
                  <c:v>-8.7021137086576689E-2</c:v>
                </c:pt>
                <c:pt idx="4">
                  <c:v>-8.6743528547926135E-2</c:v>
                </c:pt>
                <c:pt idx="5">
                  <c:v>-8.61142825269849E-2</c:v>
                </c:pt>
                <c:pt idx="6">
                  <c:v>-8.3726849094590203E-2</c:v>
                </c:pt>
                <c:pt idx="7">
                  <c:v>-8.2958798804323705E-2</c:v>
                </c:pt>
                <c:pt idx="8">
                  <c:v>-7.1624141347696457E-3</c:v>
                </c:pt>
                <c:pt idx="9">
                  <c:v>1.0835872787740744E-2</c:v>
                </c:pt>
                <c:pt idx="10">
                  <c:v>1.0974677057066021E-2</c:v>
                </c:pt>
                <c:pt idx="11">
                  <c:v>1.1909292470522859E-2</c:v>
                </c:pt>
                <c:pt idx="12">
                  <c:v>1.245525592986893E-2</c:v>
                </c:pt>
                <c:pt idx="13">
                  <c:v>1.9043831913841888E-2</c:v>
                </c:pt>
                <c:pt idx="14">
                  <c:v>2.2699011006074077E-2</c:v>
                </c:pt>
                <c:pt idx="15">
                  <c:v>2.2763786331759198E-2</c:v>
                </c:pt>
                <c:pt idx="16">
                  <c:v>2.2773039949714219E-2</c:v>
                </c:pt>
                <c:pt idx="17">
                  <c:v>2.7362834455403245E-2</c:v>
                </c:pt>
                <c:pt idx="18">
                  <c:v>3.4515881134632304E-2</c:v>
                </c:pt>
                <c:pt idx="19">
                  <c:v>3.8902096045310933E-2</c:v>
                </c:pt>
                <c:pt idx="20">
                  <c:v>3.9114929258276351E-2</c:v>
                </c:pt>
                <c:pt idx="21">
                  <c:v>4.1567138016356184E-2</c:v>
                </c:pt>
                <c:pt idx="22">
                  <c:v>4.1705942285681433E-2</c:v>
                </c:pt>
                <c:pt idx="23">
                  <c:v>4.2473992575947958E-2</c:v>
                </c:pt>
                <c:pt idx="24">
                  <c:v>4.2825630058238653E-2</c:v>
                </c:pt>
                <c:pt idx="25">
                  <c:v>4.3575173112595109E-2</c:v>
                </c:pt>
                <c:pt idx="26">
                  <c:v>4.5481418411328869E-2</c:v>
                </c:pt>
                <c:pt idx="27">
                  <c:v>4.624021508364036E-2</c:v>
                </c:pt>
                <c:pt idx="28">
                  <c:v>4.6453048296605778E-2</c:v>
                </c:pt>
                <c:pt idx="29">
                  <c:v>4.6462301914560786E-2</c:v>
                </c:pt>
                <c:pt idx="30">
                  <c:v>5.0284046129983315E-2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09-4B46-8B04-50A88EC06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622352"/>
        <c:axId val="1"/>
      </c:scatterChart>
      <c:valAx>
        <c:axId val="51962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622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47836023728051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18</xdr:col>
      <xdr:colOff>638175</xdr:colOff>
      <xdr:row>18</xdr:row>
      <xdr:rowOff>133350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8B25BF9-A4D0-B965-494E-F35C1F685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4.pdf" TargetMode="External"/><Relationship Id="rId13" Type="http://schemas.openxmlformats.org/officeDocument/2006/relationships/hyperlink" Target="http://www.konkoly.hu/cgi-bin/IBVS?5933" TargetMode="External"/><Relationship Id="rId18" Type="http://schemas.openxmlformats.org/officeDocument/2006/relationships/hyperlink" Target="http://www.konkoly.hu/cgi-bin/IBVS?6114" TargetMode="External"/><Relationship Id="rId26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konkoly.hu/cgi-bin/IBVS?2068" TargetMode="External"/><Relationship Id="rId21" Type="http://schemas.openxmlformats.org/officeDocument/2006/relationships/hyperlink" Target="http://www.konkoly.hu/cgi-bin/IBVS?6114" TargetMode="External"/><Relationship Id="rId7" Type="http://schemas.openxmlformats.org/officeDocument/2006/relationships/hyperlink" Target="http://www.konkoly.hu/cgi-bin/IBVS?2068" TargetMode="External"/><Relationship Id="rId12" Type="http://schemas.openxmlformats.org/officeDocument/2006/relationships/hyperlink" Target="http://www.konkoly.hu/cgi-bin/IBVS?5806" TargetMode="External"/><Relationship Id="rId17" Type="http://schemas.openxmlformats.org/officeDocument/2006/relationships/hyperlink" Target="http://var.astro.cz/oejv/issues/oejv0137.pdf" TargetMode="External"/><Relationship Id="rId25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2068" TargetMode="External"/><Relationship Id="rId16" Type="http://schemas.openxmlformats.org/officeDocument/2006/relationships/hyperlink" Target="http://www.konkoly.hu/cgi-bin/IBVS?5933" TargetMode="External"/><Relationship Id="rId20" Type="http://schemas.openxmlformats.org/officeDocument/2006/relationships/hyperlink" Target="http://www.konkoly.hu/cgi-bin/IBVS?6114" TargetMode="External"/><Relationship Id="rId1" Type="http://schemas.openxmlformats.org/officeDocument/2006/relationships/hyperlink" Target="http://www.konkoly.hu/cgi-bin/IBVS?2068" TargetMode="External"/><Relationship Id="rId6" Type="http://schemas.openxmlformats.org/officeDocument/2006/relationships/hyperlink" Target="http://www.konkoly.hu/cgi-bin/IBVS?2068" TargetMode="External"/><Relationship Id="rId11" Type="http://schemas.openxmlformats.org/officeDocument/2006/relationships/hyperlink" Target="http://www.konkoly.hu/cgi-bin/IBVS?5690" TargetMode="External"/><Relationship Id="rId24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konkoly.hu/cgi-bin/IBVS?2068" TargetMode="External"/><Relationship Id="rId15" Type="http://schemas.openxmlformats.org/officeDocument/2006/relationships/hyperlink" Target="http://www.konkoly.hu/cgi-bin/IBVS?5933" TargetMode="External"/><Relationship Id="rId23" Type="http://schemas.openxmlformats.org/officeDocument/2006/relationships/hyperlink" Target="http://www.konkoly.hu/cgi-bin/IBVS?6114" TargetMode="External"/><Relationship Id="rId10" Type="http://schemas.openxmlformats.org/officeDocument/2006/relationships/hyperlink" Target="http://www.konkoly.hu/cgi-bin/IBVS?5690" TargetMode="External"/><Relationship Id="rId19" Type="http://schemas.openxmlformats.org/officeDocument/2006/relationships/hyperlink" Target="http://www.konkoly.hu/cgi-bin/IBVS?6114" TargetMode="External"/><Relationship Id="rId4" Type="http://schemas.openxmlformats.org/officeDocument/2006/relationships/hyperlink" Target="http://www.konkoly.hu/cgi-bin/IBVS?2068" TargetMode="External"/><Relationship Id="rId9" Type="http://schemas.openxmlformats.org/officeDocument/2006/relationships/hyperlink" Target="http://vsolj.cetus-net.org/no44.pdf" TargetMode="External"/><Relationship Id="rId14" Type="http://schemas.openxmlformats.org/officeDocument/2006/relationships/hyperlink" Target="http://www.konkoly.hu/cgi-bin/IBVS?5933" TargetMode="External"/><Relationship Id="rId22" Type="http://schemas.openxmlformats.org/officeDocument/2006/relationships/hyperlink" Target="http://www.konkoly.hu/cgi-bin/IBVS?6114" TargetMode="External"/><Relationship Id="rId27" Type="http://schemas.openxmlformats.org/officeDocument/2006/relationships/hyperlink" Target="http://www.konkoly.hu/cgi-bin/IBVS?6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63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12" sqref="F11: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35" customFormat="1" ht="20.25" x14ac:dyDescent="0.2">
      <c r="A1" s="58" t="s">
        <v>34</v>
      </c>
    </row>
    <row r="2" spans="1:6" s="35" customFormat="1" ht="12.95" customHeight="1" x14ac:dyDescent="0.2">
      <c r="A2" s="35" t="s">
        <v>26</v>
      </c>
      <c r="B2" s="35" t="s">
        <v>30</v>
      </c>
    </row>
    <row r="3" spans="1:6" s="35" customFormat="1" ht="12.95" customHeight="1" thickBot="1" x14ac:dyDescent="0.25"/>
    <row r="4" spans="1:6" s="35" customFormat="1" ht="12.95" customHeight="1" thickTop="1" thickBot="1" x14ac:dyDescent="0.25">
      <c r="A4" s="36" t="s">
        <v>2</v>
      </c>
      <c r="C4" s="37">
        <v>43936.481399999997</v>
      </c>
      <c r="D4" s="38">
        <v>1.730418</v>
      </c>
    </row>
    <row r="5" spans="1:6" s="35" customFormat="1" ht="12.95" customHeight="1" thickTop="1" x14ac:dyDescent="0.2">
      <c r="A5" s="39" t="s">
        <v>35</v>
      </c>
      <c r="C5" s="40">
        <v>-9.5</v>
      </c>
      <c r="D5" s="35" t="s">
        <v>36</v>
      </c>
    </row>
    <row r="6" spans="1:6" s="35" customFormat="1" ht="12.95" customHeight="1" x14ac:dyDescent="0.2">
      <c r="A6" s="36" t="s">
        <v>3</v>
      </c>
    </row>
    <row r="7" spans="1:6" s="35" customFormat="1" ht="12.95" customHeight="1" x14ac:dyDescent="0.2">
      <c r="A7" s="35" t="s">
        <v>4</v>
      </c>
      <c r="C7" s="35">
        <f>+C4</f>
        <v>43936.481399999997</v>
      </c>
    </row>
    <row r="8" spans="1:6" s="35" customFormat="1" ht="12.95" customHeight="1" x14ac:dyDescent="0.2">
      <c r="A8" s="35" t="s">
        <v>5</v>
      </c>
      <c r="C8" s="35">
        <f>+D4</f>
        <v>1.730418</v>
      </c>
    </row>
    <row r="9" spans="1:6" s="35" customFormat="1" ht="12.95" customHeight="1" x14ac:dyDescent="0.2">
      <c r="A9" s="41" t="s">
        <v>40</v>
      </c>
      <c r="B9" s="42">
        <v>29</v>
      </c>
      <c r="C9" s="43" t="str">
        <f>"F"&amp;B9</f>
        <v>F29</v>
      </c>
      <c r="D9" s="44" t="str">
        <f>"G"&amp;B9</f>
        <v>G29</v>
      </c>
    </row>
    <row r="10" spans="1:6" s="35" customFormat="1" ht="12.95" customHeight="1" thickBot="1" x14ac:dyDescent="0.25">
      <c r="C10" s="45" t="s">
        <v>22</v>
      </c>
      <c r="D10" s="45" t="s">
        <v>23</v>
      </c>
    </row>
    <row r="11" spans="1:6" s="35" customFormat="1" ht="12.95" customHeight="1" x14ac:dyDescent="0.2">
      <c r="A11" s="35" t="s">
        <v>18</v>
      </c>
      <c r="C11" s="44">
        <f ca="1">INTERCEPT(INDIRECT($D$9):G991,INDIRECT($C$9):F991)</f>
        <v>-9.0370946786293274E-2</v>
      </c>
      <c r="D11" s="46"/>
    </row>
    <row r="12" spans="1:6" s="35" customFormat="1" ht="12.95" customHeight="1" x14ac:dyDescent="0.2">
      <c r="A12" s="35" t="s">
        <v>19</v>
      </c>
      <c r="C12" s="44">
        <f ca="1">SLOPE(INDIRECT($D$9):G991,INDIRECT($C$9):F991)</f>
        <v>1.8507235910036393E-5</v>
      </c>
      <c r="D12" s="46"/>
    </row>
    <row r="13" spans="1:6" s="35" customFormat="1" ht="12.95" customHeight="1" x14ac:dyDescent="0.2">
      <c r="A13" s="35" t="s">
        <v>21</v>
      </c>
      <c r="C13" s="46" t="s">
        <v>16</v>
      </c>
    </row>
    <row r="14" spans="1:6" s="35" customFormat="1" ht="12.95" customHeight="1" x14ac:dyDescent="0.2"/>
    <row r="15" spans="1:6" s="35" customFormat="1" ht="12.95" customHeight="1" x14ac:dyDescent="0.2">
      <c r="A15" s="47" t="s">
        <v>20</v>
      </c>
      <c r="C15" s="48">
        <f ca="1">(C7+C11)+(C8+C12)*INT(MAX(F21:F3532))</f>
        <v>57087.708484046125</v>
      </c>
      <c r="E15" s="49" t="s">
        <v>43</v>
      </c>
      <c r="F15" s="40">
        <v>1</v>
      </c>
    </row>
    <row r="16" spans="1:6" s="35" customFormat="1" ht="12.95" customHeight="1" x14ac:dyDescent="0.2">
      <c r="A16" s="36" t="s">
        <v>6</v>
      </c>
      <c r="C16" s="50">
        <f ca="1">+C8+C12</f>
        <v>1.73043650723591</v>
      </c>
      <c r="E16" s="49" t="s">
        <v>37</v>
      </c>
      <c r="F16" s="51">
        <f ca="1">NOW()+15018.5+$C$5/24</f>
        <v>60378.685938773146</v>
      </c>
    </row>
    <row r="17" spans="1:18" s="35" customFormat="1" ht="12.95" customHeight="1" thickBot="1" x14ac:dyDescent="0.25">
      <c r="A17" s="49" t="s">
        <v>33</v>
      </c>
      <c r="C17" s="35">
        <f>COUNT(C21:C2190)</f>
        <v>31</v>
      </c>
      <c r="E17" s="49" t="s">
        <v>44</v>
      </c>
      <c r="F17" s="51">
        <f ca="1">ROUND(2*(F16-$C$7)/$C$8,0)/2+F15</f>
        <v>9503</v>
      </c>
    </row>
    <row r="18" spans="1:18" s="35" customFormat="1" ht="12.95" customHeight="1" thickTop="1" thickBot="1" x14ac:dyDescent="0.25">
      <c r="A18" s="36" t="s">
        <v>7</v>
      </c>
      <c r="C18" s="37">
        <f ca="1">+C15</f>
        <v>57087.708484046125</v>
      </c>
      <c r="D18" s="38">
        <f ca="1">+C16</f>
        <v>1.73043650723591</v>
      </c>
      <c r="E18" s="49" t="s">
        <v>38</v>
      </c>
      <c r="F18" s="44">
        <f ca="1">ROUND(2*(F16-$C$15)/$C$16,0)/2+F15</f>
        <v>1903</v>
      </c>
    </row>
    <row r="19" spans="1:18" s="35" customFormat="1" ht="12.95" customHeight="1" thickTop="1" x14ac:dyDescent="0.2">
      <c r="E19" s="49" t="s">
        <v>39</v>
      </c>
      <c r="F19" s="52">
        <f ca="1">+$C$15+$C$16*F18-15018.5-$C$5/24</f>
        <v>45362.624990649398</v>
      </c>
    </row>
    <row r="20" spans="1:18" s="35" customFormat="1" ht="12.95" customHeight="1" thickBot="1" x14ac:dyDescent="0.25">
      <c r="A20" s="45" t="s">
        <v>8</v>
      </c>
      <c r="B20" s="45" t="s">
        <v>9</v>
      </c>
      <c r="C20" s="45" t="s">
        <v>10</v>
      </c>
      <c r="D20" s="45" t="s">
        <v>15</v>
      </c>
      <c r="E20" s="45" t="s">
        <v>11</v>
      </c>
      <c r="F20" s="45" t="s">
        <v>12</v>
      </c>
      <c r="G20" s="45" t="s">
        <v>13</v>
      </c>
      <c r="H20" s="53" t="s">
        <v>56</v>
      </c>
      <c r="I20" s="53" t="s">
        <v>59</v>
      </c>
      <c r="J20" s="53" t="s">
        <v>47</v>
      </c>
      <c r="K20" s="53" t="s">
        <v>52</v>
      </c>
      <c r="L20" s="53" t="s">
        <v>27</v>
      </c>
      <c r="M20" s="53" t="s">
        <v>28</v>
      </c>
      <c r="N20" s="53" t="s">
        <v>29</v>
      </c>
      <c r="O20" s="53" t="s">
        <v>25</v>
      </c>
      <c r="P20" s="54" t="s">
        <v>24</v>
      </c>
      <c r="Q20" s="45" t="s">
        <v>17</v>
      </c>
    </row>
    <row r="21" spans="1:18" s="35" customFormat="1" ht="12.95" customHeight="1" x14ac:dyDescent="0.2">
      <c r="A21" s="55" t="s">
        <v>14</v>
      </c>
      <c r="B21" s="55"/>
      <c r="C21" s="7">
        <f>+C4</f>
        <v>43936.481399999997</v>
      </c>
      <c r="D21" s="7" t="s">
        <v>16</v>
      </c>
      <c r="E21" s="55">
        <f t="shared" ref="E21:E49" si="0">+(C21-C$7)/C$8</f>
        <v>0</v>
      </c>
      <c r="F21" s="35">
        <f t="shared" ref="F21:F51" si="1">ROUND(2*E21,0)/2</f>
        <v>0</v>
      </c>
      <c r="G21" s="35">
        <f t="shared" ref="G21:G49" si="2">+C21-(C$7+F21*C$8)</f>
        <v>0</v>
      </c>
      <c r="H21" s="35">
        <f>+G21</f>
        <v>0</v>
      </c>
      <c r="O21" s="35">
        <f t="shared" ref="O21:O49" ca="1" si="3">+C$11+C$12*$F21</f>
        <v>-9.0370946786293274E-2</v>
      </c>
      <c r="Q21" s="56">
        <f t="shared" ref="Q21:Q49" si="4">+C21-15018.5</f>
        <v>28917.981399999997</v>
      </c>
      <c r="R21" s="35" t="e">
        <v>#N/A</v>
      </c>
    </row>
    <row r="22" spans="1:18" s="35" customFormat="1" ht="12.95" customHeight="1" x14ac:dyDescent="0.2">
      <c r="A22" s="7" t="s">
        <v>46</v>
      </c>
      <c r="B22" s="8" t="s">
        <v>32</v>
      </c>
      <c r="C22" s="7">
        <v>43936.485099999998</v>
      </c>
      <c r="D22" s="7" t="s">
        <v>47</v>
      </c>
      <c r="E22" s="55">
        <f t="shared" si="0"/>
        <v>2.138211692849697E-3</v>
      </c>
      <c r="F22" s="35">
        <f t="shared" si="1"/>
        <v>0</v>
      </c>
      <c r="G22" s="35">
        <f t="shared" si="2"/>
        <v>3.7000000011175871E-3</v>
      </c>
      <c r="J22" s="35">
        <f t="shared" ref="J22:J29" si="5">+G22</f>
        <v>3.7000000011175871E-3</v>
      </c>
      <c r="O22" s="35">
        <f t="shared" ca="1" si="3"/>
        <v>-9.0370946786293274E-2</v>
      </c>
      <c r="Q22" s="56">
        <f t="shared" si="4"/>
        <v>28917.985099999998</v>
      </c>
      <c r="R22" s="35" t="s">
        <v>47</v>
      </c>
    </row>
    <row r="23" spans="1:18" s="35" customFormat="1" ht="12.95" customHeight="1" x14ac:dyDescent="0.2">
      <c r="A23" s="7" t="s">
        <v>46</v>
      </c>
      <c r="B23" s="8" t="s">
        <v>42</v>
      </c>
      <c r="C23" s="7">
        <v>43937.351999999999</v>
      </c>
      <c r="D23" s="7" t="s">
        <v>47</v>
      </c>
      <c r="E23" s="55">
        <f t="shared" si="0"/>
        <v>0.50311543222621002</v>
      </c>
      <c r="F23" s="35">
        <f t="shared" si="1"/>
        <v>0.5</v>
      </c>
      <c r="G23" s="35">
        <f t="shared" si="2"/>
        <v>5.3909999987808987E-3</v>
      </c>
      <c r="J23" s="35">
        <f t="shared" si="5"/>
        <v>5.3909999987808987E-3</v>
      </c>
      <c r="O23" s="35">
        <f t="shared" ca="1" si="3"/>
        <v>-9.0361693168338253E-2</v>
      </c>
      <c r="Q23" s="56">
        <f t="shared" si="4"/>
        <v>28918.851999999999</v>
      </c>
      <c r="R23" s="35" t="s">
        <v>47</v>
      </c>
    </row>
    <row r="24" spans="1:18" s="35" customFormat="1" ht="12.95" customHeight="1" x14ac:dyDescent="0.2">
      <c r="A24" s="7" t="s">
        <v>46</v>
      </c>
      <c r="B24" s="8" t="s">
        <v>32</v>
      </c>
      <c r="C24" s="7">
        <v>44249.682999999997</v>
      </c>
      <c r="D24" s="7" t="s">
        <v>47</v>
      </c>
      <c r="E24" s="55">
        <f t="shared" si="0"/>
        <v>180.9976549018794</v>
      </c>
      <c r="F24" s="35">
        <f t="shared" si="1"/>
        <v>181</v>
      </c>
      <c r="G24" s="35">
        <f t="shared" si="2"/>
        <v>-4.0579999986221083E-3</v>
      </c>
      <c r="J24" s="35">
        <f t="shared" si="5"/>
        <v>-4.0579999986221083E-3</v>
      </c>
      <c r="O24" s="35">
        <f t="shared" ca="1" si="3"/>
        <v>-8.7021137086576689E-2</v>
      </c>
      <c r="Q24" s="56">
        <f t="shared" si="4"/>
        <v>29231.182999999997</v>
      </c>
      <c r="R24" s="35" t="s">
        <v>47</v>
      </c>
    </row>
    <row r="25" spans="1:18" s="35" customFormat="1" ht="12.95" customHeight="1" x14ac:dyDescent="0.2">
      <c r="A25" s="7" t="s">
        <v>46</v>
      </c>
      <c r="B25" s="8" t="s">
        <v>32</v>
      </c>
      <c r="C25" s="7">
        <v>44275.635499999997</v>
      </c>
      <c r="D25" s="7" t="s">
        <v>47</v>
      </c>
      <c r="E25" s="55">
        <f t="shared" si="0"/>
        <v>195.99547623753321</v>
      </c>
      <c r="F25" s="35">
        <f t="shared" si="1"/>
        <v>196</v>
      </c>
      <c r="G25" s="35">
        <f t="shared" si="2"/>
        <v>-7.8280000016093254E-3</v>
      </c>
      <c r="J25" s="35">
        <f t="shared" si="5"/>
        <v>-7.8280000016093254E-3</v>
      </c>
      <c r="O25" s="35">
        <f t="shared" ca="1" si="3"/>
        <v>-8.6743528547926135E-2</v>
      </c>
      <c r="Q25" s="56">
        <f t="shared" si="4"/>
        <v>29257.135499999997</v>
      </c>
      <c r="R25" s="35" t="s">
        <v>47</v>
      </c>
    </row>
    <row r="26" spans="1:18" s="35" customFormat="1" ht="12.95" customHeight="1" x14ac:dyDescent="0.2">
      <c r="A26" s="7" t="s">
        <v>46</v>
      </c>
      <c r="B26" s="8" t="s">
        <v>32</v>
      </c>
      <c r="C26" s="7">
        <v>44334.47</v>
      </c>
      <c r="D26" s="7" t="s">
        <v>47</v>
      </c>
      <c r="E26" s="55">
        <f t="shared" si="0"/>
        <v>229.99564267131075</v>
      </c>
      <c r="F26" s="35">
        <f t="shared" si="1"/>
        <v>230</v>
      </c>
      <c r="G26" s="35">
        <f t="shared" si="2"/>
        <v>-7.5399999986984767E-3</v>
      </c>
      <c r="J26" s="35">
        <f t="shared" si="5"/>
        <v>-7.5399999986984767E-3</v>
      </c>
      <c r="O26" s="35">
        <f t="shared" ca="1" si="3"/>
        <v>-8.61142825269849E-2</v>
      </c>
      <c r="Q26" s="56">
        <f t="shared" si="4"/>
        <v>29315.97</v>
      </c>
      <c r="R26" s="35" t="s">
        <v>47</v>
      </c>
    </row>
    <row r="27" spans="1:18" s="35" customFormat="1" ht="12.95" customHeight="1" x14ac:dyDescent="0.2">
      <c r="A27" s="7" t="s">
        <v>46</v>
      </c>
      <c r="B27" s="8" t="s">
        <v>32</v>
      </c>
      <c r="C27" s="7">
        <v>44557.703399999999</v>
      </c>
      <c r="D27" s="7" t="s">
        <v>47</v>
      </c>
      <c r="E27" s="55">
        <f t="shared" si="0"/>
        <v>359.00111996061156</v>
      </c>
      <c r="F27" s="35">
        <f t="shared" si="1"/>
        <v>359</v>
      </c>
      <c r="G27" s="35">
        <f t="shared" si="2"/>
        <v>1.9380000012461096E-3</v>
      </c>
      <c r="J27" s="35">
        <f t="shared" si="5"/>
        <v>1.9380000012461096E-3</v>
      </c>
      <c r="O27" s="35">
        <f t="shared" ca="1" si="3"/>
        <v>-8.3726849094590203E-2</v>
      </c>
      <c r="Q27" s="56">
        <f t="shared" si="4"/>
        <v>29539.203399999999</v>
      </c>
      <c r="R27" s="35" t="s">
        <v>47</v>
      </c>
    </row>
    <row r="28" spans="1:18" s="35" customFormat="1" ht="12.95" customHeight="1" x14ac:dyDescent="0.2">
      <c r="A28" s="7" t="s">
        <v>46</v>
      </c>
      <c r="B28" s="8" t="s">
        <v>42</v>
      </c>
      <c r="C28" s="7">
        <v>44629.521800000002</v>
      </c>
      <c r="D28" s="7" t="s">
        <v>47</v>
      </c>
      <c r="E28" s="55">
        <f t="shared" si="0"/>
        <v>400.5046179593632</v>
      </c>
      <c r="F28" s="35">
        <f t="shared" si="1"/>
        <v>400.5</v>
      </c>
      <c r="G28" s="35">
        <f t="shared" si="2"/>
        <v>7.9910000058589503E-3</v>
      </c>
      <c r="J28" s="35">
        <f t="shared" si="5"/>
        <v>7.9910000058589503E-3</v>
      </c>
      <c r="O28" s="35">
        <f t="shared" ca="1" si="3"/>
        <v>-8.2958798804323705E-2</v>
      </c>
      <c r="Q28" s="56">
        <f t="shared" si="4"/>
        <v>29611.021800000002</v>
      </c>
      <c r="R28" s="35" t="s">
        <v>47</v>
      </c>
    </row>
    <row r="29" spans="1:18" s="35" customFormat="1" ht="12.95" customHeight="1" x14ac:dyDescent="0.2">
      <c r="A29" s="7" t="s">
        <v>31</v>
      </c>
      <c r="B29" s="2" t="s">
        <v>32</v>
      </c>
      <c r="C29" s="7">
        <v>51716.430500000002</v>
      </c>
      <c r="D29" s="57">
        <v>4.0000000000000002E-4</v>
      </c>
      <c r="E29" s="55">
        <f t="shared" si="0"/>
        <v>4495.9940892894119</v>
      </c>
      <c r="F29" s="35">
        <f t="shared" si="1"/>
        <v>4496</v>
      </c>
      <c r="G29" s="35">
        <f t="shared" si="2"/>
        <v>-1.0227999991911929E-2</v>
      </c>
      <c r="J29" s="35">
        <f t="shared" si="5"/>
        <v>-1.0227999991911929E-2</v>
      </c>
      <c r="O29" s="35">
        <f t="shared" ca="1" si="3"/>
        <v>-7.1624141347696457E-3</v>
      </c>
      <c r="Q29" s="56">
        <f t="shared" si="4"/>
        <v>36697.930500000002</v>
      </c>
      <c r="R29" s="35" t="s">
        <v>47</v>
      </c>
    </row>
    <row r="30" spans="1:18" x14ac:dyDescent="0.2">
      <c r="A30" s="23" t="s">
        <v>89</v>
      </c>
      <c r="B30" s="25" t="s">
        <v>42</v>
      </c>
      <c r="C30" s="24">
        <v>53399.279699999999</v>
      </c>
      <c r="D30" s="3"/>
      <c r="E30" s="6">
        <f t="shared" si="0"/>
        <v>5468.5043151423542</v>
      </c>
      <c r="F30">
        <f t="shared" si="1"/>
        <v>5468.5</v>
      </c>
      <c r="G30">
        <f t="shared" si="2"/>
        <v>7.467000003089197E-3</v>
      </c>
      <c r="K30">
        <f>+G30</f>
        <v>7.467000003089197E-3</v>
      </c>
      <c r="O30">
        <f t="shared" ca="1" si="3"/>
        <v>1.0835872787740744E-2</v>
      </c>
      <c r="Q30" s="1">
        <f t="shared" si="4"/>
        <v>38380.779699999999</v>
      </c>
      <c r="R30" t="s">
        <v>52</v>
      </c>
    </row>
    <row r="31" spans="1:18" x14ac:dyDescent="0.2">
      <c r="A31" s="23" t="s">
        <v>89</v>
      </c>
      <c r="B31" s="25" t="s">
        <v>32</v>
      </c>
      <c r="C31" s="24">
        <v>53412.259599999998</v>
      </c>
      <c r="D31" s="3"/>
      <c r="E31" s="6">
        <f t="shared" si="0"/>
        <v>5476.0053351271199</v>
      </c>
      <c r="F31">
        <f t="shared" si="1"/>
        <v>5476</v>
      </c>
      <c r="G31">
        <f t="shared" si="2"/>
        <v>9.2320000039762817E-3</v>
      </c>
      <c r="K31">
        <f t="shared" ref="K31:K51" si="6">+G31</f>
        <v>9.2320000039762817E-3</v>
      </c>
      <c r="O31">
        <f t="shared" ca="1" si="3"/>
        <v>1.0974677057066021E-2</v>
      </c>
      <c r="Q31" s="1">
        <f t="shared" si="4"/>
        <v>38393.759599999998</v>
      </c>
      <c r="R31" t="s">
        <v>52</v>
      </c>
    </row>
    <row r="32" spans="1:18" x14ac:dyDescent="0.2">
      <c r="A32" s="7" t="s">
        <v>48</v>
      </c>
      <c r="B32" s="8" t="s">
        <v>42</v>
      </c>
      <c r="C32" s="7">
        <v>53499.651100000003</v>
      </c>
      <c r="D32" s="7">
        <v>1.4E-3</v>
      </c>
      <c r="E32" s="6">
        <f t="shared" si="0"/>
        <v>5526.5084505593477</v>
      </c>
      <c r="F32">
        <f t="shared" si="1"/>
        <v>5526.5</v>
      </c>
      <c r="G32">
        <f t="shared" si="2"/>
        <v>1.4623000010033138E-2</v>
      </c>
      <c r="K32">
        <f t="shared" si="6"/>
        <v>1.4623000010033138E-2</v>
      </c>
      <c r="O32">
        <f t="shared" ca="1" si="3"/>
        <v>1.1909292470522859E-2</v>
      </c>
      <c r="Q32" s="1">
        <f t="shared" si="4"/>
        <v>38481.151100000003</v>
      </c>
      <c r="R32" t="s">
        <v>52</v>
      </c>
    </row>
    <row r="33" spans="1:18" x14ac:dyDescent="0.2">
      <c r="A33" s="7" t="s">
        <v>48</v>
      </c>
      <c r="B33" s="8" t="s">
        <v>32</v>
      </c>
      <c r="C33" s="7">
        <v>53550.703699999998</v>
      </c>
      <c r="D33" s="7">
        <v>1.6999999999999999E-3</v>
      </c>
      <c r="E33" s="6">
        <f t="shared" si="0"/>
        <v>5556.0114954883738</v>
      </c>
      <c r="F33">
        <f t="shared" si="1"/>
        <v>5556</v>
      </c>
      <c r="G33">
        <f t="shared" si="2"/>
        <v>1.9892000003892463E-2</v>
      </c>
      <c r="K33">
        <f t="shared" si="6"/>
        <v>1.9892000003892463E-2</v>
      </c>
      <c r="O33">
        <f t="shared" ca="1" si="3"/>
        <v>1.245525592986893E-2</v>
      </c>
      <c r="Q33" s="1">
        <f t="shared" si="4"/>
        <v>38532.203699999998</v>
      </c>
      <c r="R33" t="s">
        <v>52</v>
      </c>
    </row>
    <row r="34" spans="1:18" x14ac:dyDescent="0.2">
      <c r="A34" s="23" t="s">
        <v>160</v>
      </c>
      <c r="B34" s="25" t="s">
        <v>32</v>
      </c>
      <c r="C34" s="24">
        <v>54166.736700000001</v>
      </c>
      <c r="D34" s="3"/>
      <c r="E34" s="6">
        <f t="shared" si="0"/>
        <v>5912.0139180244332</v>
      </c>
      <c r="F34">
        <f t="shared" si="1"/>
        <v>5912</v>
      </c>
      <c r="G34">
        <f t="shared" si="2"/>
        <v>2.4084000004222617E-2</v>
      </c>
      <c r="K34">
        <f t="shared" si="6"/>
        <v>2.4084000004222617E-2</v>
      </c>
      <c r="O34">
        <f t="shared" ca="1" si="3"/>
        <v>1.9043831913841888E-2</v>
      </c>
      <c r="Q34" s="1">
        <f t="shared" si="4"/>
        <v>39148.236700000001</v>
      </c>
      <c r="R34" t="s">
        <v>52</v>
      </c>
    </row>
    <row r="35" spans="1:18" x14ac:dyDescent="0.2">
      <c r="A35" s="7" t="s">
        <v>41</v>
      </c>
      <c r="B35" s="8" t="s">
        <v>42</v>
      </c>
      <c r="C35" s="7">
        <v>54508.488599999997</v>
      </c>
      <c r="D35" s="7">
        <v>5.0000000000000001E-4</v>
      </c>
      <c r="E35" s="6">
        <f t="shared" si="0"/>
        <v>6109.5106500279126</v>
      </c>
      <c r="F35">
        <f t="shared" si="1"/>
        <v>6109.5</v>
      </c>
      <c r="G35">
        <f t="shared" si="2"/>
        <v>1.842900000337977E-2</v>
      </c>
      <c r="K35">
        <f t="shared" si="6"/>
        <v>1.842900000337977E-2</v>
      </c>
      <c r="O35">
        <f t="shared" ca="1" si="3"/>
        <v>2.2699011006074077E-2</v>
      </c>
      <c r="Q35" s="1">
        <f t="shared" si="4"/>
        <v>39489.988599999997</v>
      </c>
      <c r="R35" t="s">
        <v>52</v>
      </c>
    </row>
    <row r="36" spans="1:18" x14ac:dyDescent="0.2">
      <c r="A36" s="7" t="s">
        <v>41</v>
      </c>
      <c r="B36" s="8" t="s">
        <v>32</v>
      </c>
      <c r="C36" s="7">
        <v>54514.546199999997</v>
      </c>
      <c r="D36" s="7">
        <v>1.4E-3</v>
      </c>
      <c r="E36" s="6">
        <f t="shared" si="0"/>
        <v>6113.0113070945863</v>
      </c>
      <c r="F36">
        <f t="shared" si="1"/>
        <v>6113</v>
      </c>
      <c r="G36">
        <f t="shared" si="2"/>
        <v>1.956600000266917E-2</v>
      </c>
      <c r="K36">
        <f t="shared" si="6"/>
        <v>1.956600000266917E-2</v>
      </c>
      <c r="O36">
        <f t="shared" ca="1" si="3"/>
        <v>2.2763786331759198E-2</v>
      </c>
      <c r="Q36" s="1">
        <f t="shared" si="4"/>
        <v>39496.046199999997</v>
      </c>
      <c r="R36" t="s">
        <v>52</v>
      </c>
    </row>
    <row r="37" spans="1:18" x14ac:dyDescent="0.2">
      <c r="A37" s="7" t="s">
        <v>41</v>
      </c>
      <c r="B37" s="8" t="s">
        <v>42</v>
      </c>
      <c r="C37" s="7">
        <v>54515.413200000003</v>
      </c>
      <c r="D37" s="7">
        <v>1.2999999999999999E-3</v>
      </c>
      <c r="E37" s="6">
        <f t="shared" si="0"/>
        <v>6113.5123421046274</v>
      </c>
      <c r="F37">
        <f t="shared" si="1"/>
        <v>6113.5</v>
      </c>
      <c r="G37">
        <f t="shared" si="2"/>
        <v>2.1357000005082227E-2</v>
      </c>
      <c r="K37">
        <f t="shared" si="6"/>
        <v>2.1357000005082227E-2</v>
      </c>
      <c r="O37">
        <f t="shared" ca="1" si="3"/>
        <v>2.2773039949714219E-2</v>
      </c>
      <c r="Q37" s="1">
        <f t="shared" si="4"/>
        <v>39496.913200000003</v>
      </c>
      <c r="R37" t="s">
        <v>52</v>
      </c>
    </row>
    <row r="38" spans="1:18" x14ac:dyDescent="0.2">
      <c r="A38" s="26" t="s">
        <v>41</v>
      </c>
      <c r="B38" s="27" t="s">
        <v>42</v>
      </c>
      <c r="C38" s="26">
        <v>54944.563699999999</v>
      </c>
      <c r="D38" s="26">
        <v>1.4E-3</v>
      </c>
      <c r="E38" s="6">
        <f t="shared" si="0"/>
        <v>6361.5162925952009</v>
      </c>
      <c r="F38">
        <f t="shared" si="1"/>
        <v>6361.5</v>
      </c>
      <c r="G38">
        <f t="shared" si="2"/>
        <v>2.8193000005558133E-2</v>
      </c>
      <c r="K38">
        <f t="shared" si="6"/>
        <v>2.8193000005558133E-2</v>
      </c>
      <c r="O38">
        <f t="shared" ca="1" si="3"/>
        <v>2.7362834455403245E-2</v>
      </c>
      <c r="Q38" s="1">
        <f t="shared" si="4"/>
        <v>39926.063699999999</v>
      </c>
      <c r="R38" t="s">
        <v>52</v>
      </c>
    </row>
    <row r="39" spans="1:18" x14ac:dyDescent="0.2">
      <c r="A39" s="28" t="s">
        <v>45</v>
      </c>
      <c r="B39" s="29" t="s">
        <v>32</v>
      </c>
      <c r="C39" s="30">
        <v>55613.379820000002</v>
      </c>
      <c r="D39" s="30">
        <v>1E-4</v>
      </c>
      <c r="E39" s="6">
        <f t="shared" si="0"/>
        <v>6748.0218190055839</v>
      </c>
      <c r="F39">
        <f t="shared" si="1"/>
        <v>6748</v>
      </c>
      <c r="G39">
        <f t="shared" si="2"/>
        <v>3.7756000005174428E-2</v>
      </c>
      <c r="K39">
        <f t="shared" si="6"/>
        <v>3.7756000005174428E-2</v>
      </c>
      <c r="O39">
        <f t="shared" ca="1" si="3"/>
        <v>3.4515881134632304E-2</v>
      </c>
      <c r="Q39" s="1">
        <f t="shared" si="4"/>
        <v>40594.879820000002</v>
      </c>
      <c r="R39" t="s">
        <v>161</v>
      </c>
    </row>
    <row r="40" spans="1:18" x14ac:dyDescent="0.2">
      <c r="A40" s="30" t="s">
        <v>49</v>
      </c>
      <c r="B40" s="29" t="s">
        <v>32</v>
      </c>
      <c r="C40" s="30">
        <v>56023.492960000003</v>
      </c>
      <c r="D40" s="30">
        <v>2.1000000000000001E-4</v>
      </c>
      <c r="E40" s="6">
        <f t="shared" si="0"/>
        <v>6985.0241733500261</v>
      </c>
      <c r="F40">
        <f t="shared" si="1"/>
        <v>6985</v>
      </c>
      <c r="G40">
        <f t="shared" si="2"/>
        <v>4.1830000001937151E-2</v>
      </c>
      <c r="K40">
        <f t="shared" si="6"/>
        <v>4.1830000001937151E-2</v>
      </c>
      <c r="O40">
        <f t="shared" ca="1" si="3"/>
        <v>3.8902096045310933E-2</v>
      </c>
      <c r="Q40" s="1">
        <f t="shared" si="4"/>
        <v>41004.992960000003</v>
      </c>
      <c r="R40" t="s">
        <v>52</v>
      </c>
    </row>
    <row r="41" spans="1:18" x14ac:dyDescent="0.2">
      <c r="A41" s="30" t="s">
        <v>49</v>
      </c>
      <c r="B41" s="29" t="s">
        <v>42</v>
      </c>
      <c r="C41" s="30">
        <v>56043.391020000003</v>
      </c>
      <c r="D41" s="30">
        <v>8.0000000000000007E-5</v>
      </c>
      <c r="E41" s="6">
        <f t="shared" si="0"/>
        <v>6996.5231637673705</v>
      </c>
      <c r="F41">
        <f t="shared" si="1"/>
        <v>6996.5</v>
      </c>
      <c r="G41">
        <f t="shared" si="2"/>
        <v>4.008300000714371E-2</v>
      </c>
      <c r="K41">
        <f t="shared" si="6"/>
        <v>4.008300000714371E-2</v>
      </c>
      <c r="O41">
        <f t="shared" ca="1" si="3"/>
        <v>3.9114929258276351E-2</v>
      </c>
      <c r="Q41" s="1">
        <f t="shared" si="4"/>
        <v>41024.891020000003</v>
      </c>
      <c r="R41" t="s">
        <v>52</v>
      </c>
    </row>
    <row r="42" spans="1:18" x14ac:dyDescent="0.2">
      <c r="A42" s="30" t="s">
        <v>49</v>
      </c>
      <c r="B42" s="29" t="s">
        <v>32</v>
      </c>
      <c r="C42" s="30">
        <v>56272.671410000003</v>
      </c>
      <c r="D42" s="30">
        <v>7.6999999999999996E-4</v>
      </c>
      <c r="E42" s="6">
        <f t="shared" si="0"/>
        <v>7129.0231666568461</v>
      </c>
      <c r="F42">
        <f t="shared" si="1"/>
        <v>7129</v>
      </c>
      <c r="G42">
        <f t="shared" si="2"/>
        <v>4.0088000001560431E-2</v>
      </c>
      <c r="K42">
        <f t="shared" si="6"/>
        <v>4.0088000001560431E-2</v>
      </c>
      <c r="O42">
        <f t="shared" ca="1" si="3"/>
        <v>4.1567138016356184E-2</v>
      </c>
      <c r="Q42" s="1">
        <f t="shared" si="4"/>
        <v>41254.171410000003</v>
      </c>
      <c r="R42" t="s">
        <v>52</v>
      </c>
    </row>
    <row r="43" spans="1:18" x14ac:dyDescent="0.2">
      <c r="A43" s="30" t="s">
        <v>49</v>
      </c>
      <c r="B43" s="29" t="s">
        <v>42</v>
      </c>
      <c r="C43" s="30">
        <v>56285.649279999998</v>
      </c>
      <c r="D43" s="30">
        <v>7.7999999999999999E-4</v>
      </c>
      <c r="E43" s="6">
        <f t="shared" si="0"/>
        <v>7136.5230135146539</v>
      </c>
      <c r="F43">
        <f t="shared" si="1"/>
        <v>7136.5</v>
      </c>
      <c r="G43">
        <f t="shared" si="2"/>
        <v>3.9822999999159947E-2</v>
      </c>
      <c r="K43">
        <f t="shared" si="6"/>
        <v>3.9822999999159947E-2</v>
      </c>
      <c r="O43">
        <f t="shared" ca="1" si="3"/>
        <v>4.1705942285681433E-2</v>
      </c>
      <c r="Q43" s="1">
        <f t="shared" si="4"/>
        <v>41267.149279999998</v>
      </c>
      <c r="R43" t="s">
        <v>52</v>
      </c>
    </row>
    <row r="44" spans="1:18" x14ac:dyDescent="0.2">
      <c r="A44" s="30" t="s">
        <v>49</v>
      </c>
      <c r="B44" s="29" t="s">
        <v>32</v>
      </c>
      <c r="C44" s="30">
        <v>56357.463889999999</v>
      </c>
      <c r="D44" s="30">
        <v>4.8999999999999998E-4</v>
      </c>
      <c r="E44" s="6">
        <f t="shared" si="0"/>
        <v>7178.0243212911573</v>
      </c>
      <c r="F44">
        <f t="shared" si="1"/>
        <v>7178</v>
      </c>
      <c r="G44">
        <f t="shared" si="2"/>
        <v>4.2086000001290813E-2</v>
      </c>
      <c r="K44">
        <f t="shared" si="6"/>
        <v>4.2086000001290813E-2</v>
      </c>
      <c r="O44">
        <f t="shared" ca="1" si="3"/>
        <v>4.2473992575947958E-2</v>
      </c>
      <c r="Q44" s="1">
        <f t="shared" si="4"/>
        <v>41338.963889999999</v>
      </c>
      <c r="R44" t="s">
        <v>52</v>
      </c>
    </row>
    <row r="45" spans="1:18" x14ac:dyDescent="0.2">
      <c r="A45" s="30" t="s">
        <v>49</v>
      </c>
      <c r="B45" s="29" t="s">
        <v>32</v>
      </c>
      <c r="C45" s="30">
        <v>56390.332589999998</v>
      </c>
      <c r="D45" s="30">
        <v>3.5E-4</v>
      </c>
      <c r="E45" s="6">
        <f t="shared" si="0"/>
        <v>7197.0189803850872</v>
      </c>
      <c r="F45">
        <f t="shared" si="1"/>
        <v>7197</v>
      </c>
      <c r="G45">
        <f t="shared" si="2"/>
        <v>3.2844000001205131E-2</v>
      </c>
      <c r="K45">
        <f t="shared" si="6"/>
        <v>3.2844000001205131E-2</v>
      </c>
      <c r="O45">
        <f t="shared" ca="1" si="3"/>
        <v>4.2825630058238653E-2</v>
      </c>
      <c r="Q45" s="1">
        <f t="shared" si="4"/>
        <v>41371.832589999998</v>
      </c>
      <c r="R45" t="s">
        <v>52</v>
      </c>
    </row>
    <row r="46" spans="1:18" x14ac:dyDescent="0.2">
      <c r="A46" s="30" t="s">
        <v>49</v>
      </c>
      <c r="B46" s="29" t="s">
        <v>42</v>
      </c>
      <c r="C46" s="30">
        <v>56460.43606</v>
      </c>
      <c r="D46" s="30">
        <v>1.4300000000000001E-3</v>
      </c>
      <c r="E46" s="6">
        <f t="shared" si="0"/>
        <v>7237.5314288224017</v>
      </c>
      <c r="F46">
        <f t="shared" si="1"/>
        <v>7237.5</v>
      </c>
      <c r="G46">
        <f t="shared" si="2"/>
        <v>5.4385000003094319E-2</v>
      </c>
      <c r="K46">
        <f t="shared" si="6"/>
        <v>5.4385000003094319E-2</v>
      </c>
      <c r="O46">
        <f t="shared" ca="1" si="3"/>
        <v>4.3575173112595109E-2</v>
      </c>
      <c r="Q46" s="1">
        <f t="shared" si="4"/>
        <v>41441.93606</v>
      </c>
      <c r="R46" t="s">
        <v>52</v>
      </c>
    </row>
    <row r="47" spans="1:18" x14ac:dyDescent="0.2">
      <c r="A47" s="30" t="s">
        <v>49</v>
      </c>
      <c r="B47" s="29" t="s">
        <v>42</v>
      </c>
      <c r="C47" s="30">
        <v>56638.657050000002</v>
      </c>
      <c r="D47" s="30">
        <v>5.1999999999999995E-4</v>
      </c>
      <c r="E47" s="6">
        <f t="shared" si="0"/>
        <v>7340.524457096496</v>
      </c>
      <c r="F47">
        <f t="shared" si="1"/>
        <v>7340.5</v>
      </c>
      <c r="G47">
        <f t="shared" si="2"/>
        <v>4.232100000808714E-2</v>
      </c>
      <c r="K47">
        <f t="shared" si="6"/>
        <v>4.232100000808714E-2</v>
      </c>
      <c r="O47">
        <f t="shared" ca="1" si="3"/>
        <v>4.5481418411328869E-2</v>
      </c>
      <c r="Q47" s="1">
        <f t="shared" si="4"/>
        <v>41620.157050000002</v>
      </c>
      <c r="R47" t="s">
        <v>52</v>
      </c>
    </row>
    <row r="48" spans="1:18" x14ac:dyDescent="0.2">
      <c r="A48" s="30" t="s">
        <v>49</v>
      </c>
      <c r="B48" s="29" t="s">
        <v>42</v>
      </c>
      <c r="C48" s="30">
        <v>56709.603840000003</v>
      </c>
      <c r="D48" s="30">
        <v>2.2399999999999998E-3</v>
      </c>
      <c r="E48" s="6">
        <f t="shared" si="0"/>
        <v>7381.5242559890194</v>
      </c>
      <c r="F48">
        <f t="shared" si="1"/>
        <v>7381.5</v>
      </c>
      <c r="G48">
        <f t="shared" si="2"/>
        <v>4.1973000006692018E-2</v>
      </c>
      <c r="K48">
        <f t="shared" si="6"/>
        <v>4.1973000006692018E-2</v>
      </c>
      <c r="O48">
        <f t="shared" ca="1" si="3"/>
        <v>4.624021508364036E-2</v>
      </c>
      <c r="Q48" s="1">
        <f t="shared" si="4"/>
        <v>41691.103840000003</v>
      </c>
      <c r="R48" t="s">
        <v>52</v>
      </c>
    </row>
    <row r="49" spans="1:18" x14ac:dyDescent="0.2">
      <c r="A49" s="30" t="s">
        <v>49</v>
      </c>
      <c r="B49" s="29" t="s">
        <v>32</v>
      </c>
      <c r="C49" s="30">
        <v>56729.511910000001</v>
      </c>
      <c r="D49" s="30">
        <v>7.7999999999999999E-4</v>
      </c>
      <c r="E49" s="6">
        <f t="shared" si="0"/>
        <v>7393.0290311358322</v>
      </c>
      <c r="F49">
        <f t="shared" si="1"/>
        <v>7393</v>
      </c>
      <c r="G49">
        <f t="shared" si="2"/>
        <v>5.0236000002769288E-2</v>
      </c>
      <c r="K49">
        <f t="shared" si="6"/>
        <v>5.0236000002769288E-2</v>
      </c>
      <c r="O49">
        <f t="shared" ca="1" si="3"/>
        <v>4.6453048296605778E-2</v>
      </c>
      <c r="Q49" s="1">
        <f t="shared" si="4"/>
        <v>41711.011910000001</v>
      </c>
      <c r="R49" t="s">
        <v>52</v>
      </c>
    </row>
    <row r="50" spans="1:18" x14ac:dyDescent="0.2">
      <c r="A50" s="31" t="s">
        <v>1</v>
      </c>
      <c r="B50" s="32" t="s">
        <v>42</v>
      </c>
      <c r="C50" s="31">
        <v>56730.377800000002</v>
      </c>
      <c r="D50" s="31">
        <v>8.0000000000000004E-4</v>
      </c>
      <c r="E50" s="6">
        <f>+(C50-C$7)/C$8</f>
        <v>7393.5294246823632</v>
      </c>
      <c r="F50">
        <f t="shared" si="1"/>
        <v>7393.5</v>
      </c>
      <c r="G50">
        <f>+C50-(C$7+F50*C$8)</f>
        <v>5.0917000000481494E-2</v>
      </c>
      <c r="K50">
        <f t="shared" si="6"/>
        <v>5.0917000000481494E-2</v>
      </c>
      <c r="O50">
        <f ca="1">+C$11+C$12*$F50</f>
        <v>4.6462301914560786E-2</v>
      </c>
      <c r="Q50" s="1">
        <f>+C50-15018.5</f>
        <v>41711.877800000002</v>
      </c>
      <c r="R50" t="s">
        <v>52</v>
      </c>
    </row>
    <row r="51" spans="1:18" x14ac:dyDescent="0.2">
      <c r="A51" s="33" t="s">
        <v>0</v>
      </c>
      <c r="B51" s="34" t="s">
        <v>32</v>
      </c>
      <c r="C51" s="33">
        <v>57087.7045</v>
      </c>
      <c r="D51" s="33">
        <v>5.0000000000000001E-4</v>
      </c>
      <c r="E51" s="6">
        <f>+(C51-C$7)/C$8</f>
        <v>7600.0267565409067</v>
      </c>
      <c r="F51">
        <f t="shared" si="1"/>
        <v>7600</v>
      </c>
      <c r="G51">
        <f>+C51-(C$7+F51*C$8)</f>
        <v>4.6300000001792796E-2</v>
      </c>
      <c r="K51">
        <f t="shared" si="6"/>
        <v>4.6300000001792796E-2</v>
      </c>
      <c r="O51">
        <f ca="1">+C$11+C$12*$F51</f>
        <v>5.0284046129983315E-2</v>
      </c>
      <c r="Q51" s="1">
        <f>+C51-15018.5</f>
        <v>42069.2045</v>
      </c>
      <c r="R51" t="s">
        <v>52</v>
      </c>
    </row>
    <row r="52" spans="1:18" x14ac:dyDescent="0.2">
      <c r="C52" s="3"/>
      <c r="D52" s="3"/>
    </row>
    <row r="53" spans="1:18" x14ac:dyDescent="0.2">
      <c r="C53" s="3"/>
      <c r="D53" s="3"/>
    </row>
    <row r="54" spans="1:18" x14ac:dyDescent="0.2">
      <c r="C54" s="3"/>
      <c r="D54" s="3"/>
    </row>
    <row r="55" spans="1:18" x14ac:dyDescent="0.2">
      <c r="C55" s="3"/>
      <c r="D55" s="3"/>
    </row>
    <row r="56" spans="1:18" x14ac:dyDescent="0.2">
      <c r="C56" s="3"/>
      <c r="D56" s="3"/>
    </row>
    <row r="57" spans="1:18" x14ac:dyDescent="0.2">
      <c r="C57" s="3"/>
      <c r="D57" s="3"/>
    </row>
    <row r="58" spans="1:18" x14ac:dyDescent="0.2">
      <c r="C58" s="3"/>
      <c r="D58" s="3"/>
    </row>
    <row r="59" spans="1:18" x14ac:dyDescent="0.2">
      <c r="C59" s="3"/>
      <c r="D59" s="3"/>
    </row>
    <row r="60" spans="1:18" x14ac:dyDescent="0.2">
      <c r="C60" s="3"/>
      <c r="D60" s="3"/>
    </row>
    <row r="61" spans="1:18" x14ac:dyDescent="0.2">
      <c r="C61" s="3"/>
      <c r="D61" s="3"/>
    </row>
    <row r="62" spans="1:18" x14ac:dyDescent="0.2">
      <c r="C62" s="3"/>
      <c r="D62" s="3"/>
    </row>
    <row r="63" spans="1:18" x14ac:dyDescent="0.2">
      <c r="C63" s="3"/>
      <c r="D63" s="3"/>
    </row>
    <row r="64" spans="1:18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</sheetData>
  <phoneticPr fontId="8" type="noConversion"/>
  <hyperlinks>
    <hyperlink ref="H62553" r:id="rId1" display="http://vsolj.cetus-net.org/bulletin.html"/>
    <hyperlink ref="H62546" r:id="rId2" display="https://www.aavso.org/ejaavso"/>
    <hyperlink ref="I62553" r:id="rId3" display="http://vsolj.cetus-net.org/bulletin.html"/>
    <hyperlink ref="AQ56200" r:id="rId4" display="http://cdsbib.u-strasbg.fr/cgi-bin/cdsbib?1990RMxAA..21..381G"/>
    <hyperlink ref="H62550" r:id="rId5" display="https://www.aavso.org/ejaavso"/>
    <hyperlink ref="AP3564" r:id="rId6" display="http://cdsbib.u-strasbg.fr/cgi-bin/cdsbib?1990RMxAA..21..381G"/>
    <hyperlink ref="AP3567" r:id="rId7" display="http://cdsbib.u-strasbg.fr/cgi-bin/cdsbib?1990RMxAA..21..381G"/>
    <hyperlink ref="AP3565" r:id="rId8" display="http://cdsbib.u-strasbg.fr/cgi-bin/cdsbib?1990RMxAA..21..381G"/>
    <hyperlink ref="AP3549" r:id="rId9" display="http://cdsbib.u-strasbg.fr/cgi-bin/cdsbib?1990RMxAA..21..381G"/>
    <hyperlink ref="AQ3778" r:id="rId10" display="http://cdsbib.u-strasbg.fr/cgi-bin/cdsbib?1990RMxAA..21..381G"/>
    <hyperlink ref="AQ3782" r:id="rId11" display="http://cdsbib.u-strasbg.fr/cgi-bin/cdsbib?1990RMxAA..21..381G"/>
    <hyperlink ref="AQ63466" r:id="rId12" display="http://cdsbib.u-strasbg.fr/cgi-bin/cdsbib?1990RMxAA..21..381G"/>
    <hyperlink ref="I670" r:id="rId13" display="http://vsolj.cetus-net.org/bulletin.html"/>
    <hyperlink ref="H670" r:id="rId14" display="http://vsolj.cetus-net.org/bulletin.html"/>
    <hyperlink ref="AQ64127" r:id="rId15" display="http://cdsbib.u-strasbg.fr/cgi-bin/cdsbib?1990RMxAA..21..381G"/>
    <hyperlink ref="AQ64126" r:id="rId16" display="http://cdsbib.u-strasbg.fr/cgi-bin/cdsbib?1990RMxAA..21..381G"/>
    <hyperlink ref="AP1840" r:id="rId17" display="http://cdsbib.u-strasbg.fr/cgi-bin/cdsbib?1990RMxAA..21..381G"/>
    <hyperlink ref="AP1858" r:id="rId18" display="http://cdsbib.u-strasbg.fr/cgi-bin/cdsbib?1990RMxAA..21..381G"/>
    <hyperlink ref="AP1859" r:id="rId19" display="http://cdsbib.u-strasbg.fr/cgi-bin/cdsbib?1990RMxAA..21..381G"/>
    <hyperlink ref="AP185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6"/>
  <sheetViews>
    <sheetView workbookViewId="0">
      <selection activeCell="A34" sqref="A34:C37"/>
    </sheetView>
  </sheetViews>
  <sheetFormatPr defaultRowHeight="12.75" x14ac:dyDescent="0.2"/>
  <cols>
    <col min="1" max="1" width="19.7109375" style="10" customWidth="1"/>
    <col min="2" max="2" width="4.42578125" style="4" customWidth="1"/>
    <col min="3" max="3" width="12.7109375" style="10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10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9" t="s">
        <v>50</v>
      </c>
      <c r="I1" s="11" t="s">
        <v>51</v>
      </c>
      <c r="J1" s="12" t="s">
        <v>52</v>
      </c>
    </row>
    <row r="2" spans="1:16" x14ac:dyDescent="0.2">
      <c r="I2" s="13" t="s">
        <v>53</v>
      </c>
      <c r="J2" s="14" t="s">
        <v>47</v>
      </c>
    </row>
    <row r="3" spans="1:16" x14ac:dyDescent="0.2">
      <c r="A3" s="15" t="s">
        <v>54</v>
      </c>
      <c r="I3" s="13" t="s">
        <v>55</v>
      </c>
      <c r="J3" s="14" t="s">
        <v>56</v>
      </c>
    </row>
    <row r="4" spans="1:16" x14ac:dyDescent="0.2">
      <c r="I4" s="13" t="s">
        <v>57</v>
      </c>
      <c r="J4" s="14" t="s">
        <v>56</v>
      </c>
    </row>
    <row r="5" spans="1:16" ht="13.5" thickBot="1" x14ac:dyDescent="0.25">
      <c r="I5" s="16" t="s">
        <v>58</v>
      </c>
      <c r="J5" s="17" t="s">
        <v>59</v>
      </c>
    </row>
    <row r="10" spans="1:16" ht="13.5" thickBot="1" x14ac:dyDescent="0.25"/>
    <row r="11" spans="1:16" ht="12.75" customHeight="1" thickBot="1" x14ac:dyDescent="0.25">
      <c r="A11" s="10" t="str">
        <f t="shared" ref="A11:A37" si="0">P11</f>
        <v>IBVS 2068 </v>
      </c>
      <c r="B11" s="5" t="str">
        <f t="shared" ref="B11:B37" si="1">IF(H11=INT(H11),"I","II")</f>
        <v>I</v>
      </c>
      <c r="C11" s="10">
        <f t="shared" ref="C11:C37" si="2">1*G11</f>
        <v>43936.485099999998</v>
      </c>
      <c r="D11" s="4" t="str">
        <f t="shared" ref="D11:D37" si="3">VLOOKUP(F11,I$1:J$5,2,FALSE)</f>
        <v>vis</v>
      </c>
      <c r="E11" s="18">
        <f>VLOOKUP(C11,Active!C$21:E$972,3,FALSE)</f>
        <v>2.138211692849697E-3</v>
      </c>
      <c r="F11" s="5" t="s">
        <v>58</v>
      </c>
      <c r="G11" s="4" t="str">
        <f t="shared" ref="G11:G37" si="4">MID(I11,3,LEN(I11)-3)</f>
        <v>43936.4851</v>
      </c>
      <c r="H11" s="10">
        <f t="shared" ref="H11:H37" si="5">1*K11</f>
        <v>0</v>
      </c>
      <c r="I11" s="19" t="s">
        <v>60</v>
      </c>
      <c r="J11" s="20" t="s">
        <v>61</v>
      </c>
      <c r="K11" s="19">
        <v>0</v>
      </c>
      <c r="L11" s="19" t="s">
        <v>62</v>
      </c>
      <c r="M11" s="20" t="s">
        <v>63</v>
      </c>
      <c r="N11" s="20" t="s">
        <v>64</v>
      </c>
      <c r="O11" s="21" t="s">
        <v>65</v>
      </c>
      <c r="P11" s="22" t="s">
        <v>66</v>
      </c>
    </row>
    <row r="12" spans="1:16" ht="12.75" customHeight="1" thickBot="1" x14ac:dyDescent="0.25">
      <c r="A12" s="10" t="str">
        <f t="shared" si="0"/>
        <v>IBVS 2068 </v>
      </c>
      <c r="B12" s="5" t="str">
        <f t="shared" si="1"/>
        <v>II</v>
      </c>
      <c r="C12" s="10">
        <f t="shared" si="2"/>
        <v>43937.351999999999</v>
      </c>
      <c r="D12" s="4" t="str">
        <f t="shared" si="3"/>
        <v>vis</v>
      </c>
      <c r="E12" s="18">
        <f>VLOOKUP(C12,Active!C$21:E$972,3,FALSE)</f>
        <v>0.50311543222621002</v>
      </c>
      <c r="F12" s="5" t="s">
        <v>58</v>
      </c>
      <c r="G12" s="4" t="str">
        <f t="shared" si="4"/>
        <v>43937.352</v>
      </c>
      <c r="H12" s="10">
        <f t="shared" si="5"/>
        <v>0.5</v>
      </c>
      <c r="I12" s="19" t="s">
        <v>67</v>
      </c>
      <c r="J12" s="20" t="s">
        <v>68</v>
      </c>
      <c r="K12" s="19">
        <v>0.5</v>
      </c>
      <c r="L12" s="19" t="s">
        <v>69</v>
      </c>
      <c r="M12" s="20" t="s">
        <v>63</v>
      </c>
      <c r="N12" s="20" t="s">
        <v>64</v>
      </c>
      <c r="O12" s="21" t="s">
        <v>65</v>
      </c>
      <c r="P12" s="22" t="s">
        <v>66</v>
      </c>
    </row>
    <row r="13" spans="1:16" ht="12.75" customHeight="1" thickBot="1" x14ac:dyDescent="0.25">
      <c r="A13" s="10" t="str">
        <f t="shared" si="0"/>
        <v>IBVS 2068 </v>
      </c>
      <c r="B13" s="5" t="str">
        <f t="shared" si="1"/>
        <v>I</v>
      </c>
      <c r="C13" s="10">
        <f t="shared" si="2"/>
        <v>44249.682999999997</v>
      </c>
      <c r="D13" s="4" t="str">
        <f t="shared" si="3"/>
        <v>vis</v>
      </c>
      <c r="E13" s="18">
        <f>VLOOKUP(C13,Active!C$21:E$972,3,FALSE)</f>
        <v>180.9976549018794</v>
      </c>
      <c r="F13" s="5" t="s">
        <v>58</v>
      </c>
      <c r="G13" s="4" t="str">
        <f t="shared" si="4"/>
        <v>44249.683</v>
      </c>
      <c r="H13" s="10">
        <f t="shared" si="5"/>
        <v>181</v>
      </c>
      <c r="I13" s="19" t="s">
        <v>70</v>
      </c>
      <c r="J13" s="20" t="s">
        <v>71</v>
      </c>
      <c r="K13" s="19">
        <v>181</v>
      </c>
      <c r="L13" s="19" t="s">
        <v>72</v>
      </c>
      <c r="M13" s="20" t="s">
        <v>63</v>
      </c>
      <c r="N13" s="20" t="s">
        <v>64</v>
      </c>
      <c r="O13" s="21" t="s">
        <v>65</v>
      </c>
      <c r="P13" s="22" t="s">
        <v>66</v>
      </c>
    </row>
    <row r="14" spans="1:16" ht="12.75" customHeight="1" thickBot="1" x14ac:dyDescent="0.25">
      <c r="A14" s="10" t="str">
        <f t="shared" si="0"/>
        <v>IBVS 2068 </v>
      </c>
      <c r="B14" s="5" t="str">
        <f t="shared" si="1"/>
        <v>I</v>
      </c>
      <c r="C14" s="10">
        <f t="shared" si="2"/>
        <v>44275.635499999997</v>
      </c>
      <c r="D14" s="4" t="str">
        <f t="shared" si="3"/>
        <v>vis</v>
      </c>
      <c r="E14" s="18">
        <f>VLOOKUP(C14,Active!C$21:E$972,3,FALSE)</f>
        <v>195.99547623753321</v>
      </c>
      <c r="F14" s="5" t="s">
        <v>58</v>
      </c>
      <c r="G14" s="4" t="str">
        <f t="shared" si="4"/>
        <v>44275.6355</v>
      </c>
      <c r="H14" s="10">
        <f t="shared" si="5"/>
        <v>196</v>
      </c>
      <c r="I14" s="19" t="s">
        <v>73</v>
      </c>
      <c r="J14" s="20" t="s">
        <v>74</v>
      </c>
      <c r="K14" s="19">
        <v>196</v>
      </c>
      <c r="L14" s="19" t="s">
        <v>75</v>
      </c>
      <c r="M14" s="20" t="s">
        <v>63</v>
      </c>
      <c r="N14" s="20" t="s">
        <v>64</v>
      </c>
      <c r="O14" s="21" t="s">
        <v>65</v>
      </c>
      <c r="P14" s="22" t="s">
        <v>66</v>
      </c>
    </row>
    <row r="15" spans="1:16" ht="12.75" customHeight="1" thickBot="1" x14ac:dyDescent="0.25">
      <c r="A15" s="10" t="str">
        <f t="shared" si="0"/>
        <v>IBVS 2068 </v>
      </c>
      <c r="B15" s="5" t="str">
        <f t="shared" si="1"/>
        <v>I</v>
      </c>
      <c r="C15" s="10">
        <f t="shared" si="2"/>
        <v>44334.47</v>
      </c>
      <c r="D15" s="4" t="str">
        <f t="shared" si="3"/>
        <v>vis</v>
      </c>
      <c r="E15" s="18">
        <f>VLOOKUP(C15,Active!C$21:E$972,3,FALSE)</f>
        <v>229.99564267131075</v>
      </c>
      <c r="F15" s="5" t="s">
        <v>58</v>
      </c>
      <c r="G15" s="4" t="str">
        <f t="shared" si="4"/>
        <v>44334.4700</v>
      </c>
      <c r="H15" s="10">
        <f t="shared" si="5"/>
        <v>230</v>
      </c>
      <c r="I15" s="19" t="s">
        <v>76</v>
      </c>
      <c r="J15" s="20" t="s">
        <v>77</v>
      </c>
      <c r="K15" s="19">
        <v>230</v>
      </c>
      <c r="L15" s="19" t="s">
        <v>78</v>
      </c>
      <c r="M15" s="20" t="s">
        <v>63</v>
      </c>
      <c r="N15" s="20" t="s">
        <v>64</v>
      </c>
      <c r="O15" s="21" t="s">
        <v>65</v>
      </c>
      <c r="P15" s="22" t="s">
        <v>66</v>
      </c>
    </row>
    <row r="16" spans="1:16" ht="12.75" customHeight="1" thickBot="1" x14ac:dyDescent="0.25">
      <c r="A16" s="10" t="str">
        <f t="shared" si="0"/>
        <v>IBVS 2068 </v>
      </c>
      <c r="B16" s="5" t="str">
        <f t="shared" si="1"/>
        <v>I</v>
      </c>
      <c r="C16" s="10">
        <f t="shared" si="2"/>
        <v>44557.703399999999</v>
      </c>
      <c r="D16" s="4" t="str">
        <f t="shared" si="3"/>
        <v>vis</v>
      </c>
      <c r="E16" s="18">
        <f>VLOOKUP(C16,Active!C$21:E$972,3,FALSE)</f>
        <v>359.00111996061156</v>
      </c>
      <c r="F16" s="5" t="s">
        <v>58</v>
      </c>
      <c r="G16" s="4" t="str">
        <f t="shared" si="4"/>
        <v>44557.7034</v>
      </c>
      <c r="H16" s="10">
        <f t="shared" si="5"/>
        <v>359</v>
      </c>
      <c r="I16" s="19" t="s">
        <v>79</v>
      </c>
      <c r="J16" s="20" t="s">
        <v>80</v>
      </c>
      <c r="K16" s="19">
        <v>359</v>
      </c>
      <c r="L16" s="19" t="s">
        <v>81</v>
      </c>
      <c r="M16" s="20" t="s">
        <v>63</v>
      </c>
      <c r="N16" s="20" t="s">
        <v>64</v>
      </c>
      <c r="O16" s="21" t="s">
        <v>65</v>
      </c>
      <c r="P16" s="22" t="s">
        <v>66</v>
      </c>
    </row>
    <row r="17" spans="1:16" ht="12.75" customHeight="1" thickBot="1" x14ac:dyDescent="0.25">
      <c r="A17" s="10" t="str">
        <f t="shared" si="0"/>
        <v>IBVS 2068 </v>
      </c>
      <c r="B17" s="5" t="str">
        <f t="shared" si="1"/>
        <v>II</v>
      </c>
      <c r="C17" s="10">
        <f t="shared" si="2"/>
        <v>44629.521800000002</v>
      </c>
      <c r="D17" s="4" t="str">
        <f t="shared" si="3"/>
        <v>vis</v>
      </c>
      <c r="E17" s="18">
        <f>VLOOKUP(C17,Active!C$21:E$972,3,FALSE)</f>
        <v>400.5046179593632</v>
      </c>
      <c r="F17" s="5" t="s">
        <v>58</v>
      </c>
      <c r="G17" s="4" t="str">
        <f t="shared" si="4"/>
        <v>44629.5218</v>
      </c>
      <c r="H17" s="10">
        <f t="shared" si="5"/>
        <v>400.5</v>
      </c>
      <c r="I17" s="19" t="s">
        <v>82</v>
      </c>
      <c r="J17" s="20" t="s">
        <v>83</v>
      </c>
      <c r="K17" s="19">
        <v>400.5</v>
      </c>
      <c r="L17" s="19" t="s">
        <v>84</v>
      </c>
      <c r="M17" s="20" t="s">
        <v>63</v>
      </c>
      <c r="N17" s="20" t="s">
        <v>64</v>
      </c>
      <c r="O17" s="21" t="s">
        <v>65</v>
      </c>
      <c r="P17" s="22" t="s">
        <v>66</v>
      </c>
    </row>
    <row r="18" spans="1:16" ht="12.75" customHeight="1" thickBot="1" x14ac:dyDescent="0.25">
      <c r="A18" s="10" t="str">
        <f t="shared" si="0"/>
        <v>IBVS 5690 </v>
      </c>
      <c r="B18" s="5" t="str">
        <f t="shared" si="1"/>
        <v>II</v>
      </c>
      <c r="C18" s="10">
        <f t="shared" si="2"/>
        <v>53499.651100000003</v>
      </c>
      <c r="D18" s="4" t="str">
        <f t="shared" si="3"/>
        <v>vis</v>
      </c>
      <c r="E18" s="18">
        <f>VLOOKUP(C18,Active!C$21:E$972,3,FALSE)</f>
        <v>5526.5084505593477</v>
      </c>
      <c r="F18" s="5" t="s">
        <v>58</v>
      </c>
      <c r="G18" s="4" t="str">
        <f t="shared" si="4"/>
        <v>53499.6511</v>
      </c>
      <c r="H18" s="10">
        <f t="shared" si="5"/>
        <v>5526.5</v>
      </c>
      <c r="I18" s="19" t="s">
        <v>93</v>
      </c>
      <c r="J18" s="20" t="s">
        <v>94</v>
      </c>
      <c r="K18" s="19">
        <v>5526.5</v>
      </c>
      <c r="L18" s="19" t="s">
        <v>95</v>
      </c>
      <c r="M18" s="20" t="s">
        <v>63</v>
      </c>
      <c r="N18" s="20" t="s">
        <v>64</v>
      </c>
      <c r="O18" s="21" t="s">
        <v>96</v>
      </c>
      <c r="P18" s="22" t="s">
        <v>97</v>
      </c>
    </row>
    <row r="19" spans="1:16" ht="12.75" customHeight="1" thickBot="1" x14ac:dyDescent="0.25">
      <c r="A19" s="10" t="str">
        <f t="shared" si="0"/>
        <v>IBVS 5690 </v>
      </c>
      <c r="B19" s="5" t="str">
        <f t="shared" si="1"/>
        <v>I</v>
      </c>
      <c r="C19" s="10">
        <f t="shared" si="2"/>
        <v>53550.703699999998</v>
      </c>
      <c r="D19" s="4" t="str">
        <f t="shared" si="3"/>
        <v>vis</v>
      </c>
      <c r="E19" s="18">
        <f>VLOOKUP(C19,Active!C$21:E$972,3,FALSE)</f>
        <v>5556.0114954883738</v>
      </c>
      <c r="F19" s="5" t="s">
        <v>58</v>
      </c>
      <c r="G19" s="4" t="str">
        <f t="shared" si="4"/>
        <v>53550.7037</v>
      </c>
      <c r="H19" s="10">
        <f t="shared" si="5"/>
        <v>5556</v>
      </c>
      <c r="I19" s="19" t="s">
        <v>98</v>
      </c>
      <c r="J19" s="20" t="s">
        <v>99</v>
      </c>
      <c r="K19" s="19">
        <v>5556</v>
      </c>
      <c r="L19" s="19" t="s">
        <v>100</v>
      </c>
      <c r="M19" s="20" t="s">
        <v>63</v>
      </c>
      <c r="N19" s="20" t="s">
        <v>64</v>
      </c>
      <c r="O19" s="21" t="s">
        <v>96</v>
      </c>
      <c r="P19" s="22" t="s">
        <v>97</v>
      </c>
    </row>
    <row r="20" spans="1:16" ht="12.75" customHeight="1" thickBot="1" x14ac:dyDescent="0.25">
      <c r="A20" s="10" t="str">
        <f t="shared" si="0"/>
        <v>IBVS 5933 </v>
      </c>
      <c r="B20" s="5" t="str">
        <f t="shared" si="1"/>
        <v>II</v>
      </c>
      <c r="C20" s="10">
        <f t="shared" si="2"/>
        <v>54508.488599999997</v>
      </c>
      <c r="D20" s="4" t="str">
        <f t="shared" si="3"/>
        <v>vis</v>
      </c>
      <c r="E20" s="18">
        <f>VLOOKUP(C20,Active!C$21:E$972,3,FALSE)</f>
        <v>6109.5106500279126</v>
      </c>
      <c r="F20" s="5" t="s">
        <v>58</v>
      </c>
      <c r="G20" s="4" t="str">
        <f t="shared" si="4"/>
        <v>54508.4886</v>
      </c>
      <c r="H20" s="10">
        <f t="shared" si="5"/>
        <v>6109.5</v>
      </c>
      <c r="I20" s="19" t="s">
        <v>107</v>
      </c>
      <c r="J20" s="20" t="s">
        <v>108</v>
      </c>
      <c r="K20" s="19">
        <v>6109.5</v>
      </c>
      <c r="L20" s="19" t="s">
        <v>109</v>
      </c>
      <c r="M20" s="20" t="s">
        <v>104</v>
      </c>
      <c r="N20" s="20" t="s">
        <v>110</v>
      </c>
      <c r="O20" s="21" t="s">
        <v>111</v>
      </c>
      <c r="P20" s="22" t="s">
        <v>112</v>
      </c>
    </row>
    <row r="21" spans="1:16" ht="12.75" customHeight="1" thickBot="1" x14ac:dyDescent="0.25">
      <c r="A21" s="10" t="str">
        <f t="shared" si="0"/>
        <v>IBVS 5933 </v>
      </c>
      <c r="B21" s="5" t="str">
        <f t="shared" si="1"/>
        <v>I</v>
      </c>
      <c r="C21" s="10">
        <f t="shared" si="2"/>
        <v>54514.546199999997</v>
      </c>
      <c r="D21" s="4" t="str">
        <f t="shared" si="3"/>
        <v>vis</v>
      </c>
      <c r="E21" s="18">
        <f>VLOOKUP(C21,Active!C$21:E$972,3,FALSE)</f>
        <v>6113.0113070945863</v>
      </c>
      <c r="F21" s="5" t="s">
        <v>58</v>
      </c>
      <c r="G21" s="4" t="str">
        <f t="shared" si="4"/>
        <v>54514.5462</v>
      </c>
      <c r="H21" s="10">
        <f t="shared" si="5"/>
        <v>6113</v>
      </c>
      <c r="I21" s="19" t="s">
        <v>113</v>
      </c>
      <c r="J21" s="20" t="s">
        <v>114</v>
      </c>
      <c r="K21" s="19">
        <v>6113</v>
      </c>
      <c r="L21" s="19" t="s">
        <v>115</v>
      </c>
      <c r="M21" s="20" t="s">
        <v>104</v>
      </c>
      <c r="N21" s="20" t="s">
        <v>110</v>
      </c>
      <c r="O21" s="21" t="s">
        <v>111</v>
      </c>
      <c r="P21" s="22" t="s">
        <v>112</v>
      </c>
    </row>
    <row r="22" spans="1:16" ht="12.75" customHeight="1" thickBot="1" x14ac:dyDescent="0.25">
      <c r="A22" s="10" t="str">
        <f t="shared" si="0"/>
        <v>IBVS 5933 </v>
      </c>
      <c r="B22" s="5" t="str">
        <f t="shared" si="1"/>
        <v>II</v>
      </c>
      <c r="C22" s="10">
        <f t="shared" si="2"/>
        <v>54515.413200000003</v>
      </c>
      <c r="D22" s="4" t="str">
        <f t="shared" si="3"/>
        <v>vis</v>
      </c>
      <c r="E22" s="18">
        <f>VLOOKUP(C22,Active!C$21:E$972,3,FALSE)</f>
        <v>6113.5123421046274</v>
      </c>
      <c r="F22" s="5" t="s">
        <v>58</v>
      </c>
      <c r="G22" s="4" t="str">
        <f t="shared" si="4"/>
        <v>54515.4132</v>
      </c>
      <c r="H22" s="10">
        <f t="shared" si="5"/>
        <v>6113.5</v>
      </c>
      <c r="I22" s="19" t="s">
        <v>116</v>
      </c>
      <c r="J22" s="20" t="s">
        <v>117</v>
      </c>
      <c r="K22" s="19">
        <v>6113.5</v>
      </c>
      <c r="L22" s="19" t="s">
        <v>118</v>
      </c>
      <c r="M22" s="20" t="s">
        <v>104</v>
      </c>
      <c r="N22" s="20" t="s">
        <v>58</v>
      </c>
      <c r="O22" s="21" t="s">
        <v>111</v>
      </c>
      <c r="P22" s="22" t="s">
        <v>112</v>
      </c>
    </row>
    <row r="23" spans="1:16" ht="12.75" customHeight="1" thickBot="1" x14ac:dyDescent="0.25">
      <c r="A23" s="10" t="str">
        <f t="shared" si="0"/>
        <v>IBVS 5933 </v>
      </c>
      <c r="B23" s="5" t="str">
        <f t="shared" si="1"/>
        <v>II</v>
      </c>
      <c r="C23" s="10">
        <f t="shared" si="2"/>
        <v>54944.563699999999</v>
      </c>
      <c r="D23" s="4" t="str">
        <f t="shared" si="3"/>
        <v>vis</v>
      </c>
      <c r="E23" s="18">
        <f>VLOOKUP(C23,Active!C$21:E$972,3,FALSE)</f>
        <v>6361.5162925952009</v>
      </c>
      <c r="F23" s="5" t="s">
        <v>58</v>
      </c>
      <c r="G23" s="4" t="str">
        <f t="shared" si="4"/>
        <v>54944.5637</v>
      </c>
      <c r="H23" s="10">
        <f t="shared" si="5"/>
        <v>6361.5</v>
      </c>
      <c r="I23" s="19" t="s">
        <v>119</v>
      </c>
      <c r="J23" s="20" t="s">
        <v>120</v>
      </c>
      <c r="K23" s="19">
        <v>6361.5</v>
      </c>
      <c r="L23" s="19" t="s">
        <v>121</v>
      </c>
      <c r="M23" s="20" t="s">
        <v>104</v>
      </c>
      <c r="N23" s="20" t="s">
        <v>58</v>
      </c>
      <c r="O23" s="21" t="s">
        <v>111</v>
      </c>
      <c r="P23" s="22" t="s">
        <v>112</v>
      </c>
    </row>
    <row r="24" spans="1:16" ht="12.75" customHeight="1" thickBot="1" x14ac:dyDescent="0.25">
      <c r="A24" s="10" t="str">
        <f t="shared" si="0"/>
        <v>IBVS 6114 </v>
      </c>
      <c r="B24" s="5" t="str">
        <f t="shared" si="1"/>
        <v>I</v>
      </c>
      <c r="C24" s="10">
        <f t="shared" si="2"/>
        <v>56023.492960000003</v>
      </c>
      <c r="D24" s="4" t="str">
        <f t="shared" si="3"/>
        <v>vis</v>
      </c>
      <c r="E24" s="18">
        <f>VLOOKUP(C24,Active!C$21:E$972,3,FALSE)</f>
        <v>6985.0241733500261</v>
      </c>
      <c r="F24" s="5" t="s">
        <v>58</v>
      </c>
      <c r="G24" s="4" t="str">
        <f t="shared" si="4"/>
        <v>56023.49296</v>
      </c>
      <c r="H24" s="10">
        <f t="shared" si="5"/>
        <v>6985</v>
      </c>
      <c r="I24" s="19" t="s">
        <v>128</v>
      </c>
      <c r="J24" s="20" t="s">
        <v>129</v>
      </c>
      <c r="K24" s="19">
        <v>6985</v>
      </c>
      <c r="L24" s="19" t="s">
        <v>130</v>
      </c>
      <c r="M24" s="20" t="s">
        <v>104</v>
      </c>
      <c r="N24" s="20" t="s">
        <v>51</v>
      </c>
      <c r="O24" s="21" t="s">
        <v>131</v>
      </c>
      <c r="P24" s="22" t="s">
        <v>132</v>
      </c>
    </row>
    <row r="25" spans="1:16" ht="12.75" customHeight="1" thickBot="1" x14ac:dyDescent="0.25">
      <c r="A25" s="10" t="str">
        <f t="shared" si="0"/>
        <v>IBVS 6114 </v>
      </c>
      <c r="B25" s="5" t="str">
        <f t="shared" si="1"/>
        <v>II</v>
      </c>
      <c r="C25" s="10">
        <f t="shared" si="2"/>
        <v>56043.391020000003</v>
      </c>
      <c r="D25" s="4" t="str">
        <f t="shared" si="3"/>
        <v>vis</v>
      </c>
      <c r="E25" s="18">
        <f>VLOOKUP(C25,Active!C$21:E$972,3,FALSE)</f>
        <v>6996.5231637673705</v>
      </c>
      <c r="F25" s="5" t="s">
        <v>58</v>
      </c>
      <c r="G25" s="4" t="str">
        <f t="shared" si="4"/>
        <v>56043.39102</v>
      </c>
      <c r="H25" s="10">
        <f t="shared" si="5"/>
        <v>6996.5</v>
      </c>
      <c r="I25" s="19" t="s">
        <v>133</v>
      </c>
      <c r="J25" s="20" t="s">
        <v>134</v>
      </c>
      <c r="K25" s="19">
        <v>6996.5</v>
      </c>
      <c r="L25" s="19" t="s">
        <v>135</v>
      </c>
      <c r="M25" s="20" t="s">
        <v>104</v>
      </c>
      <c r="N25" s="20" t="s">
        <v>32</v>
      </c>
      <c r="O25" s="21" t="s">
        <v>131</v>
      </c>
      <c r="P25" s="22" t="s">
        <v>132</v>
      </c>
    </row>
    <row r="26" spans="1:16" ht="12.75" customHeight="1" thickBot="1" x14ac:dyDescent="0.25">
      <c r="A26" s="10" t="str">
        <f t="shared" si="0"/>
        <v>IBVS 6114 </v>
      </c>
      <c r="B26" s="5" t="str">
        <f t="shared" si="1"/>
        <v>I</v>
      </c>
      <c r="C26" s="10">
        <f t="shared" si="2"/>
        <v>56272.671410000003</v>
      </c>
      <c r="D26" s="4" t="str">
        <f t="shared" si="3"/>
        <v>vis</v>
      </c>
      <c r="E26" s="18">
        <f>VLOOKUP(C26,Active!C$21:E$972,3,FALSE)</f>
        <v>7129.0231666568461</v>
      </c>
      <c r="F26" s="5" t="s">
        <v>58</v>
      </c>
      <c r="G26" s="4" t="str">
        <f t="shared" si="4"/>
        <v>56272.67141</v>
      </c>
      <c r="H26" s="10">
        <f t="shared" si="5"/>
        <v>7129</v>
      </c>
      <c r="I26" s="19" t="s">
        <v>136</v>
      </c>
      <c r="J26" s="20" t="s">
        <v>137</v>
      </c>
      <c r="K26" s="19">
        <v>7129</v>
      </c>
      <c r="L26" s="19" t="s">
        <v>138</v>
      </c>
      <c r="M26" s="20" t="s">
        <v>104</v>
      </c>
      <c r="N26" s="20" t="s">
        <v>51</v>
      </c>
      <c r="O26" s="21" t="s">
        <v>131</v>
      </c>
      <c r="P26" s="22" t="s">
        <v>132</v>
      </c>
    </row>
    <row r="27" spans="1:16" ht="12.75" customHeight="1" thickBot="1" x14ac:dyDescent="0.25">
      <c r="A27" s="10" t="str">
        <f t="shared" si="0"/>
        <v>IBVS 6114 </v>
      </c>
      <c r="B27" s="5" t="str">
        <f t="shared" si="1"/>
        <v>II</v>
      </c>
      <c r="C27" s="10">
        <f t="shared" si="2"/>
        <v>56285.649279999998</v>
      </c>
      <c r="D27" s="4" t="str">
        <f t="shared" si="3"/>
        <v>vis</v>
      </c>
      <c r="E27" s="18">
        <f>VLOOKUP(C27,Active!C$21:E$972,3,FALSE)</f>
        <v>7136.5230135146539</v>
      </c>
      <c r="F27" s="5" t="s">
        <v>58</v>
      </c>
      <c r="G27" s="4" t="str">
        <f t="shared" si="4"/>
        <v>56285.64928</v>
      </c>
      <c r="H27" s="10">
        <f t="shared" si="5"/>
        <v>7136.5</v>
      </c>
      <c r="I27" s="19" t="s">
        <v>139</v>
      </c>
      <c r="J27" s="20" t="s">
        <v>140</v>
      </c>
      <c r="K27" s="19">
        <v>7136.5</v>
      </c>
      <c r="L27" s="19" t="s">
        <v>141</v>
      </c>
      <c r="M27" s="20" t="s">
        <v>104</v>
      </c>
      <c r="N27" s="20" t="s">
        <v>51</v>
      </c>
      <c r="O27" s="21" t="s">
        <v>131</v>
      </c>
      <c r="P27" s="22" t="s">
        <v>132</v>
      </c>
    </row>
    <row r="28" spans="1:16" ht="12.75" customHeight="1" thickBot="1" x14ac:dyDescent="0.25">
      <c r="A28" s="10" t="str">
        <f t="shared" si="0"/>
        <v>IBVS 6114 </v>
      </c>
      <c r="B28" s="5" t="str">
        <f t="shared" si="1"/>
        <v>I</v>
      </c>
      <c r="C28" s="10">
        <f t="shared" si="2"/>
        <v>56357.463889999999</v>
      </c>
      <c r="D28" s="4" t="str">
        <f t="shared" si="3"/>
        <v>vis</v>
      </c>
      <c r="E28" s="18">
        <f>VLOOKUP(C28,Active!C$21:E$972,3,FALSE)</f>
        <v>7178.0243212911573</v>
      </c>
      <c r="F28" s="5" t="s">
        <v>58</v>
      </c>
      <c r="G28" s="4" t="str">
        <f t="shared" si="4"/>
        <v>56357.46389</v>
      </c>
      <c r="H28" s="10">
        <f t="shared" si="5"/>
        <v>7178</v>
      </c>
      <c r="I28" s="19" t="s">
        <v>142</v>
      </c>
      <c r="J28" s="20" t="s">
        <v>143</v>
      </c>
      <c r="K28" s="19">
        <v>7178</v>
      </c>
      <c r="L28" s="19" t="s">
        <v>144</v>
      </c>
      <c r="M28" s="20" t="s">
        <v>104</v>
      </c>
      <c r="N28" s="20" t="s">
        <v>125</v>
      </c>
      <c r="O28" s="21" t="s">
        <v>131</v>
      </c>
      <c r="P28" s="22" t="s">
        <v>132</v>
      </c>
    </row>
    <row r="29" spans="1:16" ht="12.75" customHeight="1" thickBot="1" x14ac:dyDescent="0.25">
      <c r="A29" s="10" t="str">
        <f t="shared" si="0"/>
        <v>IBVS 6114 </v>
      </c>
      <c r="B29" s="5" t="str">
        <f t="shared" si="1"/>
        <v>I</v>
      </c>
      <c r="C29" s="10">
        <f t="shared" si="2"/>
        <v>56390.332589999998</v>
      </c>
      <c r="D29" s="4" t="str">
        <f t="shared" si="3"/>
        <v>vis</v>
      </c>
      <c r="E29" s="18">
        <f>VLOOKUP(C29,Active!C$21:E$972,3,FALSE)</f>
        <v>7197.0189803850872</v>
      </c>
      <c r="F29" s="5" t="s">
        <v>58</v>
      </c>
      <c r="G29" s="4" t="str">
        <f t="shared" si="4"/>
        <v>56390.33259</v>
      </c>
      <c r="H29" s="10">
        <f t="shared" si="5"/>
        <v>7197</v>
      </c>
      <c r="I29" s="19" t="s">
        <v>145</v>
      </c>
      <c r="J29" s="20" t="s">
        <v>146</v>
      </c>
      <c r="K29" s="19">
        <v>7197</v>
      </c>
      <c r="L29" s="19" t="s">
        <v>147</v>
      </c>
      <c r="M29" s="20" t="s">
        <v>104</v>
      </c>
      <c r="N29" s="20" t="s">
        <v>51</v>
      </c>
      <c r="O29" s="21" t="s">
        <v>131</v>
      </c>
      <c r="P29" s="22" t="s">
        <v>132</v>
      </c>
    </row>
    <row r="30" spans="1:16" ht="12.75" customHeight="1" thickBot="1" x14ac:dyDescent="0.25">
      <c r="A30" s="10" t="str">
        <f t="shared" si="0"/>
        <v>IBVS 6114 </v>
      </c>
      <c r="B30" s="5" t="str">
        <f t="shared" si="1"/>
        <v>II</v>
      </c>
      <c r="C30" s="10">
        <f t="shared" si="2"/>
        <v>56460.43606</v>
      </c>
      <c r="D30" s="4" t="str">
        <f t="shared" si="3"/>
        <v>vis</v>
      </c>
      <c r="E30" s="18">
        <f>VLOOKUP(C30,Active!C$21:E$972,3,FALSE)</f>
        <v>7237.5314288224017</v>
      </c>
      <c r="F30" s="5" t="s">
        <v>58</v>
      </c>
      <c r="G30" s="4" t="str">
        <f t="shared" si="4"/>
        <v>56460.43606</v>
      </c>
      <c r="H30" s="10">
        <f t="shared" si="5"/>
        <v>7237.5</v>
      </c>
      <c r="I30" s="19" t="s">
        <v>148</v>
      </c>
      <c r="J30" s="20" t="s">
        <v>149</v>
      </c>
      <c r="K30" s="19">
        <v>7237.5</v>
      </c>
      <c r="L30" s="19" t="s">
        <v>150</v>
      </c>
      <c r="M30" s="20" t="s">
        <v>104</v>
      </c>
      <c r="N30" s="20" t="s">
        <v>51</v>
      </c>
      <c r="O30" s="21" t="s">
        <v>131</v>
      </c>
      <c r="P30" s="22" t="s">
        <v>132</v>
      </c>
    </row>
    <row r="31" spans="1:16" ht="12.75" customHeight="1" thickBot="1" x14ac:dyDescent="0.25">
      <c r="A31" s="10" t="str">
        <f t="shared" si="0"/>
        <v>IBVS 6114 </v>
      </c>
      <c r="B31" s="5" t="str">
        <f t="shared" si="1"/>
        <v>II</v>
      </c>
      <c r="C31" s="10">
        <f t="shared" si="2"/>
        <v>56638.657050000002</v>
      </c>
      <c r="D31" s="4" t="str">
        <f t="shared" si="3"/>
        <v>vis</v>
      </c>
      <c r="E31" s="18">
        <f>VLOOKUP(C31,Active!C$21:E$972,3,FALSE)</f>
        <v>7340.524457096496</v>
      </c>
      <c r="F31" s="5" t="s">
        <v>58</v>
      </c>
      <c r="G31" s="4" t="str">
        <f t="shared" si="4"/>
        <v>56638.65705</v>
      </c>
      <c r="H31" s="10">
        <f t="shared" si="5"/>
        <v>7340.5</v>
      </c>
      <c r="I31" s="19" t="s">
        <v>151</v>
      </c>
      <c r="J31" s="20" t="s">
        <v>152</v>
      </c>
      <c r="K31" s="19">
        <v>7340.5</v>
      </c>
      <c r="L31" s="19" t="s">
        <v>153</v>
      </c>
      <c r="M31" s="20" t="s">
        <v>104</v>
      </c>
      <c r="N31" s="20" t="s">
        <v>51</v>
      </c>
      <c r="O31" s="21" t="s">
        <v>131</v>
      </c>
      <c r="P31" s="22" t="s">
        <v>132</v>
      </c>
    </row>
    <row r="32" spans="1:16" ht="12.75" customHeight="1" thickBot="1" x14ac:dyDescent="0.25">
      <c r="A32" s="10" t="str">
        <f t="shared" si="0"/>
        <v>IBVS 6114 </v>
      </c>
      <c r="B32" s="5" t="str">
        <f t="shared" si="1"/>
        <v>II</v>
      </c>
      <c r="C32" s="10">
        <f t="shared" si="2"/>
        <v>56709.603840000003</v>
      </c>
      <c r="D32" s="4" t="str">
        <f t="shared" si="3"/>
        <v>vis</v>
      </c>
      <c r="E32" s="18">
        <f>VLOOKUP(C32,Active!C$21:E$972,3,FALSE)</f>
        <v>7381.5242559890194</v>
      </c>
      <c r="F32" s="5" t="s">
        <v>58</v>
      </c>
      <c r="G32" s="4" t="str">
        <f t="shared" si="4"/>
        <v>56709.60384</v>
      </c>
      <c r="H32" s="10">
        <f t="shared" si="5"/>
        <v>7381.5</v>
      </c>
      <c r="I32" s="19" t="s">
        <v>154</v>
      </c>
      <c r="J32" s="20" t="s">
        <v>155</v>
      </c>
      <c r="K32" s="19">
        <v>7381.5</v>
      </c>
      <c r="L32" s="19" t="s">
        <v>156</v>
      </c>
      <c r="M32" s="20" t="s">
        <v>104</v>
      </c>
      <c r="N32" s="20" t="s">
        <v>58</v>
      </c>
      <c r="O32" s="21" t="s">
        <v>131</v>
      </c>
      <c r="P32" s="22" t="s">
        <v>132</v>
      </c>
    </row>
    <row r="33" spans="1:16" ht="12.75" customHeight="1" thickBot="1" x14ac:dyDescent="0.25">
      <c r="A33" s="10" t="str">
        <f t="shared" si="0"/>
        <v>IBVS 6114 </v>
      </c>
      <c r="B33" s="5" t="str">
        <f t="shared" si="1"/>
        <v>I</v>
      </c>
      <c r="C33" s="10">
        <f t="shared" si="2"/>
        <v>56729.511910000001</v>
      </c>
      <c r="D33" s="4" t="str">
        <f t="shared" si="3"/>
        <v>vis</v>
      </c>
      <c r="E33" s="18">
        <f>VLOOKUP(C33,Active!C$21:E$972,3,FALSE)</f>
        <v>7393.0290311358322</v>
      </c>
      <c r="F33" s="5" t="s">
        <v>58</v>
      </c>
      <c r="G33" s="4" t="str">
        <f t="shared" si="4"/>
        <v>56729.51191</v>
      </c>
      <c r="H33" s="10">
        <f t="shared" si="5"/>
        <v>7393</v>
      </c>
      <c r="I33" s="19" t="s">
        <v>157</v>
      </c>
      <c r="J33" s="20" t="s">
        <v>158</v>
      </c>
      <c r="K33" s="19">
        <v>7393</v>
      </c>
      <c r="L33" s="19" t="s">
        <v>159</v>
      </c>
      <c r="M33" s="20" t="s">
        <v>104</v>
      </c>
      <c r="N33" s="20" t="s">
        <v>58</v>
      </c>
      <c r="O33" s="21" t="s">
        <v>131</v>
      </c>
      <c r="P33" s="22" t="s">
        <v>132</v>
      </c>
    </row>
    <row r="34" spans="1:16" ht="12.75" customHeight="1" thickBot="1" x14ac:dyDescent="0.25">
      <c r="A34" s="10" t="str">
        <f t="shared" si="0"/>
        <v>VSB 44 </v>
      </c>
      <c r="B34" s="5" t="str">
        <f t="shared" si="1"/>
        <v>II</v>
      </c>
      <c r="C34" s="10">
        <f t="shared" si="2"/>
        <v>53399.279699999999</v>
      </c>
      <c r="D34" s="4" t="str">
        <f t="shared" si="3"/>
        <v>vis</v>
      </c>
      <c r="E34" s="18">
        <f>VLOOKUP(C34,Active!C$21:E$972,3,FALSE)</f>
        <v>5468.5043151423542</v>
      </c>
      <c r="F34" s="5" t="s">
        <v>58</v>
      </c>
      <c r="G34" s="4" t="str">
        <f t="shared" si="4"/>
        <v>53399.2797</v>
      </c>
      <c r="H34" s="10">
        <f t="shared" si="5"/>
        <v>5468.5</v>
      </c>
      <c r="I34" s="19" t="s">
        <v>85</v>
      </c>
      <c r="J34" s="20" t="s">
        <v>86</v>
      </c>
      <c r="K34" s="19">
        <v>5468.5</v>
      </c>
      <c r="L34" s="19" t="s">
        <v>87</v>
      </c>
      <c r="M34" s="20" t="s">
        <v>63</v>
      </c>
      <c r="N34" s="20" t="s">
        <v>64</v>
      </c>
      <c r="O34" s="21" t="s">
        <v>88</v>
      </c>
      <c r="P34" s="22" t="s">
        <v>89</v>
      </c>
    </row>
    <row r="35" spans="1:16" ht="12.75" customHeight="1" thickBot="1" x14ac:dyDescent="0.25">
      <c r="A35" s="10" t="str">
        <f t="shared" si="0"/>
        <v>VSB 44 </v>
      </c>
      <c r="B35" s="5" t="str">
        <f t="shared" si="1"/>
        <v>I</v>
      </c>
      <c r="C35" s="10">
        <f t="shared" si="2"/>
        <v>53412.259599999998</v>
      </c>
      <c r="D35" s="4" t="str">
        <f t="shared" si="3"/>
        <v>vis</v>
      </c>
      <c r="E35" s="18">
        <f>VLOOKUP(C35,Active!C$21:E$972,3,FALSE)</f>
        <v>5476.0053351271199</v>
      </c>
      <c r="F35" s="5" t="s">
        <v>58</v>
      </c>
      <c r="G35" s="4" t="str">
        <f t="shared" si="4"/>
        <v>53412.2596</v>
      </c>
      <c r="H35" s="10">
        <f t="shared" si="5"/>
        <v>5476</v>
      </c>
      <c r="I35" s="19" t="s">
        <v>90</v>
      </c>
      <c r="J35" s="20" t="s">
        <v>91</v>
      </c>
      <c r="K35" s="19">
        <v>5476</v>
      </c>
      <c r="L35" s="19" t="s">
        <v>92</v>
      </c>
      <c r="M35" s="20" t="s">
        <v>63</v>
      </c>
      <c r="N35" s="20" t="s">
        <v>64</v>
      </c>
      <c r="O35" s="21" t="s">
        <v>88</v>
      </c>
      <c r="P35" s="22" t="s">
        <v>89</v>
      </c>
    </row>
    <row r="36" spans="1:16" ht="12.75" customHeight="1" thickBot="1" x14ac:dyDescent="0.25">
      <c r="A36" s="10" t="str">
        <f t="shared" si="0"/>
        <v>IBVS 5806 </v>
      </c>
      <c r="B36" s="5" t="str">
        <f t="shared" si="1"/>
        <v>I</v>
      </c>
      <c r="C36" s="10">
        <f t="shared" si="2"/>
        <v>54166.736700000001</v>
      </c>
      <c r="D36" s="4" t="str">
        <f t="shared" si="3"/>
        <v>vis</v>
      </c>
      <c r="E36" s="18">
        <f>VLOOKUP(C36,Active!C$21:E$972,3,FALSE)</f>
        <v>5912.0139180244332</v>
      </c>
      <c r="F36" s="5" t="s">
        <v>58</v>
      </c>
      <c r="G36" s="4" t="str">
        <f t="shared" si="4"/>
        <v>54166.7367</v>
      </c>
      <c r="H36" s="10">
        <f t="shared" si="5"/>
        <v>5912</v>
      </c>
      <c r="I36" s="19" t="s">
        <v>101</v>
      </c>
      <c r="J36" s="20" t="s">
        <v>102</v>
      </c>
      <c r="K36" s="19">
        <v>5912</v>
      </c>
      <c r="L36" s="19" t="s">
        <v>103</v>
      </c>
      <c r="M36" s="20" t="s">
        <v>104</v>
      </c>
      <c r="N36" s="20" t="s">
        <v>105</v>
      </c>
      <c r="O36" s="21" t="s">
        <v>96</v>
      </c>
      <c r="P36" s="22" t="s">
        <v>106</v>
      </c>
    </row>
    <row r="37" spans="1:16" ht="12.75" customHeight="1" thickBot="1" x14ac:dyDescent="0.25">
      <c r="A37" s="10" t="str">
        <f t="shared" si="0"/>
        <v>OEJV 0137 </v>
      </c>
      <c r="B37" s="5" t="str">
        <f t="shared" si="1"/>
        <v>I</v>
      </c>
      <c r="C37" s="10">
        <f t="shared" si="2"/>
        <v>55613.379800000002</v>
      </c>
      <c r="D37" s="4" t="str">
        <f t="shared" si="3"/>
        <v>vis</v>
      </c>
      <c r="E37" s="18" t="e">
        <f>VLOOKUP(C37,Active!C$21:E$972,3,FALSE)</f>
        <v>#N/A</v>
      </c>
      <c r="F37" s="5" t="s">
        <v>58</v>
      </c>
      <c r="G37" s="4" t="str">
        <f t="shared" si="4"/>
        <v>55613.3798</v>
      </c>
      <c r="H37" s="10">
        <f t="shared" si="5"/>
        <v>6748</v>
      </c>
      <c r="I37" s="19" t="s">
        <v>122</v>
      </c>
      <c r="J37" s="20" t="s">
        <v>123</v>
      </c>
      <c r="K37" s="19">
        <v>6748</v>
      </c>
      <c r="L37" s="19" t="s">
        <v>124</v>
      </c>
      <c r="M37" s="20" t="s">
        <v>104</v>
      </c>
      <c r="N37" s="20" t="s">
        <v>125</v>
      </c>
      <c r="O37" s="21" t="s">
        <v>126</v>
      </c>
      <c r="P37" s="22" t="s">
        <v>127</v>
      </c>
    </row>
    <row r="38" spans="1:16" x14ac:dyDescent="0.2">
      <c r="B38" s="5"/>
      <c r="E38" s="18"/>
      <c r="F38" s="5"/>
    </row>
    <row r="39" spans="1:16" x14ac:dyDescent="0.2">
      <c r="B39" s="5"/>
      <c r="E39" s="18"/>
      <c r="F39" s="5"/>
    </row>
    <row r="40" spans="1:16" x14ac:dyDescent="0.2">
      <c r="B40" s="5"/>
      <c r="E40" s="18"/>
      <c r="F40" s="5"/>
    </row>
    <row r="41" spans="1:16" x14ac:dyDescent="0.2">
      <c r="B41" s="5"/>
      <c r="E41" s="18"/>
      <c r="F41" s="5"/>
    </row>
    <row r="42" spans="1:16" x14ac:dyDescent="0.2">
      <c r="B42" s="5"/>
      <c r="E42" s="18"/>
      <c r="F42" s="5"/>
    </row>
    <row r="43" spans="1:16" x14ac:dyDescent="0.2">
      <c r="B43" s="5"/>
      <c r="E43" s="18"/>
      <c r="F43" s="5"/>
    </row>
    <row r="44" spans="1:16" x14ac:dyDescent="0.2">
      <c r="B44" s="5"/>
      <c r="E44" s="18"/>
      <c r="F44" s="5"/>
    </row>
    <row r="45" spans="1:16" x14ac:dyDescent="0.2">
      <c r="B45" s="5"/>
      <c r="E45" s="18"/>
      <c r="F45" s="5"/>
    </row>
    <row r="46" spans="1:16" x14ac:dyDescent="0.2">
      <c r="B46" s="5"/>
      <c r="E46" s="18"/>
      <c r="F46" s="5"/>
    </row>
    <row r="47" spans="1:16" x14ac:dyDescent="0.2">
      <c r="B47" s="5"/>
      <c r="E47" s="18"/>
      <c r="F47" s="5"/>
    </row>
    <row r="48" spans="1:16" x14ac:dyDescent="0.2">
      <c r="B48" s="5"/>
      <c r="E48" s="18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</sheetData>
  <phoneticPr fontId="8" type="noConversion"/>
  <hyperlinks>
    <hyperlink ref="P11" r:id="rId1" display="http://www.konkoly.hu/cgi-bin/IBVS?2068"/>
    <hyperlink ref="P12" r:id="rId2" display="http://www.konkoly.hu/cgi-bin/IBVS?2068"/>
    <hyperlink ref="P13" r:id="rId3" display="http://www.konkoly.hu/cgi-bin/IBVS?2068"/>
    <hyperlink ref="P14" r:id="rId4" display="http://www.konkoly.hu/cgi-bin/IBVS?2068"/>
    <hyperlink ref="P15" r:id="rId5" display="http://www.konkoly.hu/cgi-bin/IBVS?2068"/>
    <hyperlink ref="P16" r:id="rId6" display="http://www.konkoly.hu/cgi-bin/IBVS?2068"/>
    <hyperlink ref="P17" r:id="rId7" display="http://www.konkoly.hu/cgi-bin/IBVS?2068"/>
    <hyperlink ref="P34" r:id="rId8" display="http://vsolj.cetus-net.org/no44.pdf"/>
    <hyperlink ref="P35" r:id="rId9" display="http://vsolj.cetus-net.org/no44.pdf"/>
    <hyperlink ref="P18" r:id="rId10" display="http://www.konkoly.hu/cgi-bin/IBVS?5690"/>
    <hyperlink ref="P19" r:id="rId11" display="http://www.konkoly.hu/cgi-bin/IBVS?5690"/>
    <hyperlink ref="P36" r:id="rId12" display="http://www.konkoly.hu/cgi-bin/IBVS?5806"/>
    <hyperlink ref="P20" r:id="rId13" display="http://www.konkoly.hu/cgi-bin/IBVS?5933"/>
    <hyperlink ref="P21" r:id="rId14" display="http://www.konkoly.hu/cgi-bin/IBVS?5933"/>
    <hyperlink ref="P22" r:id="rId15" display="http://www.konkoly.hu/cgi-bin/IBVS?5933"/>
    <hyperlink ref="P23" r:id="rId16" display="http://www.konkoly.hu/cgi-bin/IBVS?5933"/>
    <hyperlink ref="P37" r:id="rId17" display="http://var.astro.cz/oejv/issues/oejv0137.pdf"/>
    <hyperlink ref="P24" r:id="rId18" display="http://www.konkoly.hu/cgi-bin/IBVS?6114"/>
    <hyperlink ref="P25" r:id="rId19" display="http://www.konkoly.hu/cgi-bin/IBVS?6114"/>
    <hyperlink ref="P26" r:id="rId20" display="http://www.konkoly.hu/cgi-bin/IBVS?6114"/>
    <hyperlink ref="P27" r:id="rId21" display="http://www.konkoly.hu/cgi-bin/IBVS?6114"/>
    <hyperlink ref="P28" r:id="rId22" display="http://www.konkoly.hu/cgi-bin/IBVS?6114"/>
    <hyperlink ref="P29" r:id="rId23" display="http://www.konkoly.hu/cgi-bin/IBVS?6114"/>
    <hyperlink ref="P30" r:id="rId24" display="http://www.konkoly.hu/cgi-bin/IBVS?6114"/>
    <hyperlink ref="P31" r:id="rId25" display="http://www.konkoly.hu/cgi-bin/IBVS?6114"/>
    <hyperlink ref="P32" r:id="rId26" display="http://www.konkoly.hu/cgi-bin/IBVS?6114"/>
    <hyperlink ref="P33" r:id="rId27" display="http://www.konkoly.hu/cgi-bin/IBVS?61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2024-03-09T03:27:45Z</dcterms:modified>
</cp:coreProperties>
</file>