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ED3F863-3BDF-49E0-AFD4-64E6113F83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30" i="1"/>
  <c r="F30" i="1" s="1"/>
  <c r="G30" i="1" s="1"/>
  <c r="K30" i="1" s="1"/>
  <c r="Q30" i="1"/>
  <c r="F12" i="1"/>
  <c r="E27" i="1"/>
  <c r="F27" i="1" s="1"/>
  <c r="G27" i="1" s="1"/>
  <c r="Q27" i="1"/>
  <c r="E28" i="1"/>
  <c r="F28" i="1" s="1"/>
  <c r="G28" i="1" s="1"/>
  <c r="Q28" i="1"/>
  <c r="E26" i="1"/>
  <c r="F26" i="1" s="1"/>
  <c r="G26" i="1" s="1"/>
  <c r="Q26" i="1"/>
  <c r="E22" i="1"/>
  <c r="F22" i="1" s="1"/>
  <c r="G22" i="1" s="1"/>
  <c r="E25" i="1"/>
  <c r="F25" i="1" s="1"/>
  <c r="G25" i="1" s="1"/>
  <c r="E24" i="1"/>
  <c r="F24" i="1" s="1"/>
  <c r="G24" i="1" s="1"/>
  <c r="E23" i="1"/>
  <c r="F23" i="1" s="1"/>
  <c r="G23" i="1" s="1"/>
  <c r="Q22" i="1"/>
  <c r="Q25" i="1"/>
  <c r="Q24" i="1"/>
  <c r="Q23" i="1"/>
  <c r="C21" i="1"/>
  <c r="A21" i="1"/>
  <c r="C13" i="1"/>
  <c r="D14" i="1"/>
  <c r="D13" i="1"/>
  <c r="C14" i="1"/>
  <c r="C17" i="1"/>
  <c r="Q21" i="1"/>
  <c r="E21" i="1"/>
  <c r="F21" i="1"/>
  <c r="G21" i="1" s="1"/>
  <c r="F13" i="1" l="1"/>
  <c r="S27" i="1"/>
  <c r="K27" i="1"/>
  <c r="K28" i="1"/>
  <c r="R28" i="1"/>
  <c r="S23" i="1"/>
  <c r="K23" i="1"/>
  <c r="R21" i="1"/>
  <c r="H21" i="1"/>
  <c r="S24" i="1"/>
  <c r="K24" i="1"/>
  <c r="K25" i="1"/>
  <c r="S25" i="1"/>
  <c r="K22" i="1"/>
  <c r="S22" i="1"/>
  <c r="K26" i="1"/>
  <c r="S26" i="1"/>
  <c r="C12" i="1"/>
  <c r="D12" i="1"/>
  <c r="D11" i="1"/>
  <c r="C11" i="1"/>
  <c r="O30" i="1" l="1"/>
  <c r="O29" i="1"/>
  <c r="P30" i="1"/>
  <c r="P29" i="1"/>
  <c r="P27" i="1"/>
  <c r="P28" i="1"/>
  <c r="O27" i="1"/>
  <c r="O28" i="1"/>
  <c r="C16" i="1"/>
  <c r="D18" i="1" s="1"/>
  <c r="O23" i="1"/>
  <c r="O24" i="1"/>
  <c r="O26" i="1"/>
  <c r="O22" i="1"/>
  <c r="C15" i="1"/>
  <c r="O21" i="1"/>
  <c r="O25" i="1"/>
  <c r="R19" i="1"/>
  <c r="E18" i="1" s="1"/>
  <c r="D16" i="1"/>
  <c r="P26" i="1"/>
  <c r="P24" i="1"/>
  <c r="D15" i="1"/>
  <c r="P25" i="1"/>
  <c r="P23" i="1"/>
  <c r="P21" i="1"/>
  <c r="P22" i="1"/>
  <c r="S19" i="1"/>
  <c r="E19" i="1" s="1"/>
  <c r="C18" i="1" l="1"/>
  <c r="F14" i="1"/>
  <c r="F15" i="1" s="1"/>
  <c r="F16" i="1" l="1"/>
</calcChain>
</file>

<file path=xl/sharedStrings.xml><?xml version="1.0" encoding="utf-8"?>
<sst xmlns="http://schemas.openxmlformats.org/spreadsheetml/2006/main" count="75" uniqueCount="62">
  <si>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</si>
  <si>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</si>
  <si>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</si>
  <si>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</si>
  <si>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</si>
  <si>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</si>
  <si>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</si>
  <si>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</si>
  <si>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</si>
  <si>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</si>
  <si>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</si>
  <si>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</si>
  <si>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</si>
  <si>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</si>
  <si>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</si>
  <si>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</si>
  <si>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</si>
  <si>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</si>
  <si>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</si>
  <si>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</si>
  <si>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</si>
  <si>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</si>
  <si>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</si>
  <si>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</si>
  <si>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</si>
  <si>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</si>
  <si>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</si>
  <si>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</si>
  <si>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</si>
  <si>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</si>
  <si>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</si>
  <si>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</si>
  <si>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Add cycle</t>
  </si>
  <si>
    <t>JD today</t>
  </si>
  <si>
    <t>Old Cycle</t>
  </si>
  <si>
    <t>New Cycle</t>
  </si>
  <si>
    <t>G0881-0920_Vir.xls</t>
  </si>
  <si>
    <t>Vir</t>
  </si>
  <si>
    <t>G0881-0920</t>
  </si>
  <si>
    <t>not avail.</t>
  </si>
  <si>
    <t>VSX</t>
  </si>
  <si>
    <t>IBVS 5945</t>
  </si>
  <si>
    <t>II</t>
  </si>
  <si>
    <t>IBVS 6029</t>
  </si>
  <si>
    <t>IBVS 5992</t>
  </si>
  <si>
    <t>My time zone &gt;&gt;&gt;&gt;&gt;&gt;</t>
  </si>
  <si>
    <t>JBAV, 60</t>
  </si>
  <si>
    <t>I</t>
  </si>
  <si>
    <t>V0624 Vir / GSC 0881-0920</t>
  </si>
  <si>
    <t>JBAV, 76</t>
  </si>
  <si>
    <t>CCD</t>
  </si>
  <si>
    <t>vis`</t>
  </si>
  <si>
    <t>PE</t>
  </si>
  <si>
    <t>BAV 91 Feb 2024</t>
  </si>
  <si>
    <t xml:space="preserve">Mag </t>
  </si>
  <si>
    <t>Next ToM-P</t>
  </si>
  <si>
    <t>Next ToM-S</t>
  </si>
  <si>
    <t>12.00-12.45</t>
  </si>
  <si>
    <t>VSX 2</t>
  </si>
  <si>
    <t>EW</t>
  </si>
  <si>
    <t>VSX 1</t>
  </si>
  <si>
    <t>eccentric or wrong period?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</si>
</sst>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56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10" fillId="0" borderId="0" xfId="0" applyFont="1" applyAlignment="1">
      <alignment horizontal="center"/>
    </xf>
    <xf numFmtId="0" fontId="5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3" xfId="0" applyFont="1" applyBorder="1" applyAlignment="1"/>
    <xf numFmtId="0" fontId="15" fillId="0" borderId="4" xfId="0" applyFont="1" applyBorder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22" fontId="10" fillId="0" borderId="9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right" vertical="center"/>
    </xf>
    <xf numFmtId="22" fontId="10" fillId="0" borderId="11" xfId="0" applyNumberFormat="1" applyFont="1" applyBorder="1" applyAlignment="1">
      <alignment horizontal="right" vertical="center"/>
    </xf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V0624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29032258064516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45161290322581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5.5999999999999999E-3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5.5999999999999999E-3</c:v>
                  </c:pt>
                  <c:pt idx="6">
                    <c:v>5.5999999999999999E-3</c:v>
                  </c:pt>
                  <c:pt idx="7">
                    <c:v>5.5999999999999999E-3</c:v>
                  </c:pt>
                  <c:pt idx="8">
                    <c:v>5.5999999999999999E-3</c:v>
                  </c:pt>
                  <c:pt idx="9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32-4BB8-9C4C-6F2B4D4D8C5E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vis`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32-4BB8-9C4C-6F2B4D4D8C5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32-4BB8-9C4C-6F2B4D4D8C5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1">
                  <c:v>-6.7925002076663077E-3</c:v>
                </c:pt>
                <c:pt idx="2">
                  <c:v>-3.2525002025067806E-3</c:v>
                </c:pt>
                <c:pt idx="3">
                  <c:v>-3.5025001998292282E-3</c:v>
                </c:pt>
                <c:pt idx="4">
                  <c:v>-8.1775002036010846E-3</c:v>
                </c:pt>
                <c:pt idx="5">
                  <c:v>-2.9195000206527766E-2</c:v>
                </c:pt>
                <c:pt idx="6">
                  <c:v>-3.0462500202702358E-2</c:v>
                </c:pt>
                <c:pt idx="7">
                  <c:v>-3.263500019966159E-2</c:v>
                </c:pt>
                <c:pt idx="8">
                  <c:v>-3.292250020604115E-2</c:v>
                </c:pt>
                <c:pt idx="9">
                  <c:v>-3.5047500205109827E-2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32-4BB8-9C4C-6F2B4D4D8C5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32-4BB8-9C4C-6F2B4D4D8C5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32-4BB8-9C4C-6F2B4D4D8C5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32-4BB8-9C4C-6F2B4D4D8C5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0</c:v>
                </c:pt>
                <c:pt idx="1">
                  <c:v>-4.2975454349705724E-3</c:v>
                </c:pt>
                <c:pt idx="2">
                  <c:v>-6.4963485222411035E-3</c:v>
                </c:pt>
                <c:pt idx="3">
                  <c:v>-8.9028726384934136E-3</c:v>
                </c:pt>
                <c:pt idx="4">
                  <c:v>-9.3461797125398913E-3</c:v>
                </c:pt>
                <c:pt idx="5">
                  <c:v>-3.0730046372901866E-2</c:v>
                </c:pt>
                <c:pt idx="6">
                  <c:v>-3.2633733608021458E-2</c:v>
                </c:pt>
                <c:pt idx="7">
                  <c:v>-3.263500019966159E-2</c:v>
                </c:pt>
                <c:pt idx="8">
                  <c:v>-3.5035191357713234E-2</c:v>
                </c:pt>
                <c:pt idx="9">
                  <c:v>-3.5503830264562365E-2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DE-4F78-8AA5-94BC7998C05F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1.6885809533476355E-3</c:v>
                </c:pt>
                <c:pt idx="1">
                  <c:v>-2.6067332693962466E-3</c:v>
                </c:pt>
                <c:pt idx="2">
                  <c:v>-4.8043947756395058E-3</c:v>
                </c:pt>
                <c:pt idx="3">
                  <c:v>-7.2096694656522894E-3</c:v>
                </c:pt>
                <c:pt idx="4">
                  <c:v>-7.6527463822335922E-3</c:v>
                </c:pt>
                <c:pt idx="5">
                  <c:v>-2.9025510904068238E-2</c:v>
                </c:pt>
                <c:pt idx="6">
                  <c:v>-3.0928209777273088E-2</c:v>
                </c:pt>
                <c:pt idx="7">
                  <c:v>-3.0929475711320462E-2</c:v>
                </c:pt>
                <c:pt idx="8">
                  <c:v>-3.3328420731096375E-2</c:v>
                </c:pt>
                <c:pt idx="9">
                  <c:v>-3.3796816328625176E-2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DE-4F78-8AA5-94BC7998C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857496"/>
        <c:axId val="1"/>
      </c:scatterChart>
      <c:valAx>
        <c:axId val="874857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064516129031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857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806451612903228"/>
          <c:y val="0.92097264437689974"/>
          <c:w val="0.64193543603659708"/>
          <c:h val="5.87030359522816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V0624 Vir - Prim. O-C Diagr.</a:t>
            </a:r>
          </a:p>
        </c:rich>
      </c:tx>
      <c:layout>
        <c:manualLayout>
          <c:xMode val="edge"/>
          <c:yMode val="edge"/>
          <c:x val="0.2349274531951697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7">
                  <c:v>-3.263500019966159E-2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57-48E0-8DC0-EE002EB92334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0</c:v>
                </c:pt>
                <c:pt idx="1">
                  <c:v>-4.2975454349705724E-3</c:v>
                </c:pt>
                <c:pt idx="2">
                  <c:v>-6.4963485222411035E-3</c:v>
                </c:pt>
                <c:pt idx="3">
                  <c:v>-8.9028726384934136E-3</c:v>
                </c:pt>
                <c:pt idx="4">
                  <c:v>-9.3461797125398913E-3</c:v>
                </c:pt>
                <c:pt idx="5">
                  <c:v>-3.0730046372901866E-2</c:v>
                </c:pt>
                <c:pt idx="6">
                  <c:v>-3.2633733608021458E-2</c:v>
                </c:pt>
                <c:pt idx="7">
                  <c:v>-3.263500019966159E-2</c:v>
                </c:pt>
                <c:pt idx="8">
                  <c:v>-3.5035191357713234E-2</c:v>
                </c:pt>
                <c:pt idx="9">
                  <c:v>-3.5503830264562365E-2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57-48E0-8DC0-EE002EB92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858152"/>
        <c:axId val="1"/>
      </c:scatterChart>
      <c:valAx>
        <c:axId val="874858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858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V0624</a:t>
            </a:r>
            <a:r>
              <a:rPr lang="en-AU" baseline="0"/>
              <a:t> Vir</a:t>
            </a:r>
            <a:r>
              <a:rPr lang="en-AU"/>
              <a:t> - Sec. O-C Diagr.</a:t>
            </a:r>
          </a:p>
        </c:rich>
      </c:tx>
      <c:layout>
        <c:manualLayout>
          <c:xMode val="edge"/>
          <c:yMode val="edge"/>
          <c:x val="0.2448981734426053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7142934015200504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1">
                  <c:v>-6.7925002076663077E-3</c:v>
                </c:pt>
                <c:pt idx="2">
                  <c:v>-3.2525002025067806E-3</c:v>
                </c:pt>
                <c:pt idx="3">
                  <c:v>-3.5025001998292282E-3</c:v>
                </c:pt>
                <c:pt idx="4">
                  <c:v>-8.1775002036010846E-3</c:v>
                </c:pt>
                <c:pt idx="5">
                  <c:v>-2.9195000206527766E-2</c:v>
                </c:pt>
                <c:pt idx="6">
                  <c:v>-3.0462500202702358E-2</c:v>
                </c:pt>
                <c:pt idx="8">
                  <c:v>-3.292250020604115E-2</c:v>
                </c:pt>
                <c:pt idx="9">
                  <c:v>-3.5047500205109827E-2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B5-4154-BB07-B1F9E97A07DD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1696.5</c:v>
                </c:pt>
                <c:pt idx="2">
                  <c:v>2564.5</c:v>
                </c:pt>
                <c:pt idx="3">
                  <c:v>3514.5</c:v>
                </c:pt>
                <c:pt idx="4">
                  <c:v>3689.5</c:v>
                </c:pt>
                <c:pt idx="5">
                  <c:v>12131</c:v>
                </c:pt>
                <c:pt idx="6">
                  <c:v>12882.5</c:v>
                </c:pt>
                <c:pt idx="7">
                  <c:v>12883</c:v>
                </c:pt>
                <c:pt idx="8">
                  <c:v>13830.5</c:v>
                </c:pt>
                <c:pt idx="9">
                  <c:v>14015.5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1.6885809533476355E-3</c:v>
                </c:pt>
                <c:pt idx="1">
                  <c:v>-2.6067332693962466E-3</c:v>
                </c:pt>
                <c:pt idx="2">
                  <c:v>-4.8043947756395058E-3</c:v>
                </c:pt>
                <c:pt idx="3">
                  <c:v>-7.2096694656522894E-3</c:v>
                </c:pt>
                <c:pt idx="4">
                  <c:v>-7.6527463822335922E-3</c:v>
                </c:pt>
                <c:pt idx="5">
                  <c:v>-2.9025510904068238E-2</c:v>
                </c:pt>
                <c:pt idx="6">
                  <c:v>-3.0928209777273088E-2</c:v>
                </c:pt>
                <c:pt idx="7">
                  <c:v>-3.0929475711320462E-2</c:v>
                </c:pt>
                <c:pt idx="8">
                  <c:v>-3.3328420731096375E-2</c:v>
                </c:pt>
                <c:pt idx="9">
                  <c:v>-3.3796816328625176E-2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B5-4154-BB07-B1F9E97A0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994136"/>
        <c:axId val="1"/>
      </c:scatterChart>
      <c:valAx>
        <c:axId val="512994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718570892924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994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183716321174139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9525</xdr:rowOff>
    </xdr:from>
    <xdr:to>
      <xdr:col>17</xdr:col>
      <xdr:colOff>609600</xdr:colOff>
      <xdr:row>18</xdr:row>
      <xdr:rowOff>57150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09F42327-9870-8781-8549-16CE0DE42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10</xdr:col>
      <xdr:colOff>552450</xdr:colOff>
      <xdr:row>21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1847C0-09BC-FBC3-D478-16CFF7F8C2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21</xdr:row>
      <xdr:rowOff>152400</xdr:rowOff>
    </xdr:from>
    <xdr:to>
      <xdr:col>10</xdr:col>
      <xdr:colOff>476249</xdr:colOff>
      <xdr:row>41</xdr:row>
      <xdr:rowOff>133350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62F015A-B7BA-7DA0-4809-3E7D0962A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6.7109375" customWidth="1"/>
    <col min="2" max="2" width="3.85546875" customWidth="1"/>
    <col min="3" max="4" width="13.5703125" customWidth="1"/>
    <col min="5" max="5" width="11.7109375" customWidth="1"/>
    <col min="6" max="6" width="16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7" t="s">
        <v>48</v>
      </c>
      <c r="E1" t="s">
        <v>36</v>
      </c>
    </row>
    <row r="2" spans="1:6" ht="12.95" customHeight="1" x14ac:dyDescent="0.2">
      <c r="A2" t="s">
        <v>17</v>
      </c>
      <c r="B2" s="8" t="s">
        <v>59</v>
      </c>
      <c r="D2" t="s">
        <v>37</v>
      </c>
      <c r="E2" t="s">
        <v>38</v>
      </c>
    </row>
    <row r="3" spans="1:6" ht="12.95" customHeight="1" thickBot="1" x14ac:dyDescent="0.25">
      <c r="C3" s="9"/>
    </row>
    <row r="4" spans="1:6" ht="12.95" customHeight="1" thickTop="1" thickBot="1" x14ac:dyDescent="0.25">
      <c r="A4" s="5" t="s">
        <v>0</v>
      </c>
      <c r="C4" s="2" t="s">
        <v>39</v>
      </c>
      <c r="D4" s="3" t="s">
        <v>39</v>
      </c>
    </row>
    <row r="5" spans="1:6" ht="12.95" customHeight="1" thickTop="1" x14ac:dyDescent="0.2">
      <c r="A5" s="25" t="s">
        <v>45</v>
      </c>
      <c r="B5" s="19"/>
      <c r="C5" s="26">
        <v>-9.5</v>
      </c>
      <c r="D5" s="19"/>
      <c r="E5" s="52"/>
    </row>
    <row r="6" spans="1:6" ht="12.95" customHeight="1" x14ac:dyDescent="0.2">
      <c r="A6" s="5" t="s">
        <v>1</v>
      </c>
      <c r="E6" s="53" t="s">
        <v>60</v>
      </c>
    </row>
    <row r="7" spans="1:6" ht="12.95" customHeight="1" x14ac:dyDescent="0.2">
      <c r="A7" t="s">
        <v>2</v>
      </c>
      <c r="C7">
        <v>54623.595000000205</v>
      </c>
      <c r="D7" t="s">
        <v>40</v>
      </c>
      <c r="E7" s="54"/>
    </row>
    <row r="8" spans="1:6" ht="12.95" customHeight="1" x14ac:dyDescent="0.2">
      <c r="A8" t="s">
        <v>3</v>
      </c>
      <c r="C8">
        <v>0.38734499999999999</v>
      </c>
      <c r="D8" s="51" t="s">
        <v>58</v>
      </c>
      <c r="E8" s="55">
        <v>0.47071000000000002</v>
      </c>
      <c r="F8" s="51" t="s">
        <v>61</v>
      </c>
    </row>
    <row r="9" spans="1:6" ht="12.95" customHeight="1" x14ac:dyDescent="0.2">
      <c r="A9" s="17" t="s">
        <v>29</v>
      </c>
      <c r="B9" s="17"/>
      <c r="C9" s="18">
        <v>21</v>
      </c>
      <c r="D9" s="18">
        <v>21</v>
      </c>
    </row>
    <row r="10" spans="1:6" ht="12.95" customHeight="1" thickBot="1" x14ac:dyDescent="0.25">
      <c r="A10" s="19"/>
      <c r="B10" s="19"/>
      <c r="C10" s="4" t="s">
        <v>19</v>
      </c>
      <c r="D10" s="4" t="s">
        <v>20</v>
      </c>
      <c r="E10" s="47" t="s">
        <v>54</v>
      </c>
      <c r="F10" s="48" t="s">
        <v>57</v>
      </c>
    </row>
    <row r="11" spans="1:6" ht="12.95" customHeight="1" x14ac:dyDescent="0.2">
      <c r="A11" s="19" t="s">
        <v>14</v>
      </c>
      <c r="B11" s="19"/>
      <c r="C11" s="20">
        <f ca="1">INTERCEPT(INDIRECT(C14):R$935,INDIRECT(C13):$F$935)</f>
        <v>0</v>
      </c>
      <c r="D11" s="20">
        <f ca="1">INTERCEPT(INDIRECT(D14):S$935,INDIRECT(D13):$F$935)</f>
        <v>1.6885809533476355E-3</v>
      </c>
      <c r="E11" s="45" t="s">
        <v>32</v>
      </c>
      <c r="F11" s="49">
        <v>1</v>
      </c>
    </row>
    <row r="12" spans="1:6" ht="12.95" customHeight="1" x14ac:dyDescent="0.2">
      <c r="A12" s="19" t="s">
        <v>15</v>
      </c>
      <c r="B12" s="19"/>
      <c r="C12" s="20">
        <f ca="1">SLOPE(INDIRECT(C14):R$935,INDIRECT(C13):$F$935)</f>
        <v>-2.5331832802655894E-6</v>
      </c>
      <c r="D12" s="20">
        <f ca="1">SLOPE(INDIRECT(D14):S$935,INDIRECT(D13):$F$935)</f>
        <v>-2.5318680947502988E-6</v>
      </c>
      <c r="E12" s="45" t="s">
        <v>33</v>
      </c>
      <c r="F12" s="42">
        <f ca="1">NOW()+15018.5+$C$5/24</f>
        <v>60547.831209837961</v>
      </c>
    </row>
    <row r="13" spans="1:6" ht="12.95" customHeight="1" x14ac:dyDescent="0.2">
      <c r="A13" s="17" t="s">
        <v>30</v>
      </c>
      <c r="B13" s="17"/>
      <c r="C13" s="18" t="str">
        <f>"F"&amp;C9</f>
        <v>F21</v>
      </c>
      <c r="D13" s="18" t="str">
        <f>"F"&amp;D9</f>
        <v>F21</v>
      </c>
      <c r="E13" s="45" t="s">
        <v>34</v>
      </c>
      <c r="F13" s="42">
        <f ca="1">ROUND(2*($F$12-$C$7)/$C$8,0)/2+$F$11</f>
        <v>15295.5</v>
      </c>
    </row>
    <row r="14" spans="1:6" ht="12.95" customHeight="1" x14ac:dyDescent="0.2">
      <c r="A14" s="17" t="s">
        <v>31</v>
      </c>
      <c r="B14" s="17"/>
      <c r="C14" s="18" t="str">
        <f>"R"&amp;C9</f>
        <v>R21</v>
      </c>
      <c r="D14" s="18" t="str">
        <f>"S"&amp;D9</f>
        <v>S21</v>
      </c>
      <c r="E14" s="45" t="s">
        <v>35</v>
      </c>
      <c r="F14" s="43">
        <f ca="1">ROUND(2*($F$12-$C$15)/$C$16,0)/2+$F$11</f>
        <v>1280.5</v>
      </c>
    </row>
    <row r="15" spans="1:6" ht="12.95" customHeight="1" x14ac:dyDescent="0.2">
      <c r="A15" s="21" t="s">
        <v>16</v>
      </c>
      <c r="B15" s="19"/>
      <c r="C15" s="22">
        <f ca="1">($C7+C11)+($C8+C12)*INT(MAX($F21:$F3533))</f>
        <v>60052.199672436531</v>
      </c>
      <c r="D15" s="22">
        <f ca="1">($C7+D11)+($C8+D12)*INT(MAX($F21:$F3533))</f>
        <v>60052.201379449813</v>
      </c>
      <c r="E15" s="45" t="s">
        <v>55</v>
      </c>
      <c r="F15" s="44">
        <f ca="1">+$C$15+$C$16*$F$14-15018.5-$C$5/24</f>
        <v>45530.087534528677</v>
      </c>
    </row>
    <row r="16" spans="1:6" ht="12.95" customHeight="1" x14ac:dyDescent="0.2">
      <c r="A16" s="23" t="s">
        <v>4</v>
      </c>
      <c r="B16" s="19"/>
      <c r="C16" s="24">
        <f ca="1">+$C8+C12</f>
        <v>0.38734246681671974</v>
      </c>
      <c r="D16" s="20">
        <f ca="1">+$C8+D12</f>
        <v>0.38734246813190526</v>
      </c>
      <c r="E16" s="46" t="s">
        <v>56</v>
      </c>
      <c r="F16" s="50">
        <f ca="1">+($D$15+$D$16*$F$14)-($D$16/2)-15018.5-$C$5/24</f>
        <v>45529.895571991983</v>
      </c>
    </row>
    <row r="17" spans="1:19" ht="12.95" customHeight="1" thickBot="1" x14ac:dyDescent="0.25">
      <c r="A17" s="16" t="s">
        <v>28</v>
      </c>
      <c r="C17">
        <f>COUNT(C21:C1247)</f>
        <v>10</v>
      </c>
    </row>
    <row r="18" spans="1:19" ht="12.95" customHeight="1" thickTop="1" thickBot="1" x14ac:dyDescent="0.25">
      <c r="A18" s="5" t="s">
        <v>22</v>
      </c>
      <c r="C18" s="2">
        <f ca="1">+C15</f>
        <v>60052.199672436531</v>
      </c>
      <c r="D18" s="3">
        <f ca="1">+C16</f>
        <v>0.38734246681671974</v>
      </c>
      <c r="E18" s="27">
        <f>R19</f>
        <v>2</v>
      </c>
    </row>
    <row r="19" spans="1:19" ht="12.95" customHeight="1" thickTop="1" thickBot="1" x14ac:dyDescent="0.25">
      <c r="A19" s="5" t="s">
        <v>23</v>
      </c>
      <c r="C19" s="33">
        <v>55616.938000000002</v>
      </c>
      <c r="D19" s="34">
        <v>0.47071884851646068</v>
      </c>
      <c r="E19" s="27">
        <f>S19</f>
        <v>8</v>
      </c>
      <c r="R19">
        <f>COUNT(R21:R322)</f>
        <v>2</v>
      </c>
      <c r="S19">
        <f>COUNT(S21:S322)</f>
        <v>8</v>
      </c>
    </row>
    <row r="20" spans="1:19" ht="12.95" customHeight="1" thickTop="1" thickBot="1" x14ac:dyDescent="0.25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11</v>
      </c>
      <c r="I20" s="7" t="s">
        <v>51</v>
      </c>
      <c r="J20" s="7" t="s">
        <v>52</v>
      </c>
      <c r="K20" s="7" t="s">
        <v>50</v>
      </c>
      <c r="L20" s="7" t="s">
        <v>26</v>
      </c>
      <c r="M20" s="7" t="s">
        <v>18</v>
      </c>
      <c r="N20" s="7" t="s">
        <v>21</v>
      </c>
      <c r="O20" s="7" t="s">
        <v>24</v>
      </c>
      <c r="P20" s="6" t="s">
        <v>25</v>
      </c>
      <c r="Q20" s="4" t="s">
        <v>13</v>
      </c>
      <c r="R20" s="6" t="s">
        <v>19</v>
      </c>
      <c r="S20" s="6" t="s">
        <v>20</v>
      </c>
    </row>
    <row r="21" spans="1:19" ht="12.95" customHeight="1" x14ac:dyDescent="0.2">
      <c r="A21" t="str">
        <f>D7</f>
        <v>VSX</v>
      </c>
      <c r="C21" s="12">
        <f>C$7</f>
        <v>54623.595000000205</v>
      </c>
      <c r="D21" s="12" t="s">
        <v>27</v>
      </c>
      <c r="E21">
        <f t="shared" ref="E21:E26" si="0">+(C21-C$7)/C$8</f>
        <v>0</v>
      </c>
      <c r="F21">
        <f t="shared" ref="F21:F28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P26" ca="1" si="3">+C$11+C$12*$F21</f>
        <v>0</v>
      </c>
      <c r="P21">
        <f t="shared" ca="1" si="3"/>
        <v>1.6885809533476355E-3</v>
      </c>
      <c r="Q21" s="1">
        <f t="shared" ref="Q21:Q26" si="4">+C21-15018.5</f>
        <v>39605.095000000205</v>
      </c>
      <c r="R21">
        <f>G21</f>
        <v>0</v>
      </c>
    </row>
    <row r="22" spans="1:19" ht="12.95" customHeight="1" x14ac:dyDescent="0.2">
      <c r="A22" s="15" t="s">
        <v>41</v>
      </c>
      <c r="B22" s="28" t="s">
        <v>47</v>
      </c>
      <c r="C22" s="15">
        <v>55280.718999999997</v>
      </c>
      <c r="D22" s="15">
        <v>5.0000000000000001E-4</v>
      </c>
      <c r="E22">
        <f t="shared" si="0"/>
        <v>1696.4824639527874</v>
      </c>
      <c r="F22">
        <f t="shared" si="1"/>
        <v>1696.5</v>
      </c>
      <c r="G22">
        <f t="shared" si="2"/>
        <v>-6.7925002076663077E-3</v>
      </c>
      <c r="K22">
        <f t="shared" ref="K22:K28" si="5">+G22</f>
        <v>-6.7925002076663077E-3</v>
      </c>
      <c r="O22">
        <f t="shared" ca="1" si="3"/>
        <v>-4.2975454349705724E-3</v>
      </c>
      <c r="P22">
        <f t="shared" ca="1" si="3"/>
        <v>-2.6067332693962466E-3</v>
      </c>
      <c r="Q22" s="1">
        <f t="shared" si="4"/>
        <v>40262.218999999997</v>
      </c>
      <c r="S22">
        <f>G22</f>
        <v>-6.7925002076663077E-3</v>
      </c>
    </row>
    <row r="23" spans="1:19" ht="12.95" customHeight="1" x14ac:dyDescent="0.2">
      <c r="A23" s="31" t="s">
        <v>44</v>
      </c>
      <c r="B23" s="32" t="s">
        <v>42</v>
      </c>
      <c r="C23" s="31">
        <v>55616.938000000002</v>
      </c>
      <c r="D23" s="31">
        <v>1E-4</v>
      </c>
      <c r="E23">
        <f t="shared" si="0"/>
        <v>2564.4916030923259</v>
      </c>
      <c r="F23">
        <f t="shared" si="1"/>
        <v>2564.5</v>
      </c>
      <c r="G23">
        <f t="shared" si="2"/>
        <v>-3.2525002025067806E-3</v>
      </c>
      <c r="K23">
        <f t="shared" si="5"/>
        <v>-3.2525002025067806E-3</v>
      </c>
      <c r="O23">
        <f t="shared" ca="1" si="3"/>
        <v>-6.4963485222411035E-3</v>
      </c>
      <c r="P23">
        <f t="shared" ca="1" si="3"/>
        <v>-4.8043947756395058E-3</v>
      </c>
      <c r="Q23" s="1">
        <f t="shared" si="4"/>
        <v>40598.438000000002</v>
      </c>
      <c r="S23">
        <f>G23</f>
        <v>-3.2525002025067806E-3</v>
      </c>
    </row>
    <row r="24" spans="1:19" ht="12.95" customHeight="1" x14ac:dyDescent="0.2">
      <c r="A24" s="29" t="s">
        <v>43</v>
      </c>
      <c r="B24" s="30" t="s">
        <v>47</v>
      </c>
      <c r="C24" s="29">
        <v>55984.915500000003</v>
      </c>
      <c r="D24" s="29">
        <v>6.9999999999999999E-4</v>
      </c>
      <c r="E24">
        <f t="shared" si="0"/>
        <v>3514.4909576728701</v>
      </c>
      <c r="F24">
        <f t="shared" si="1"/>
        <v>3514.5</v>
      </c>
      <c r="G24">
        <f t="shared" si="2"/>
        <v>-3.5025001998292282E-3</v>
      </c>
      <c r="K24">
        <f t="shared" si="5"/>
        <v>-3.5025001998292282E-3</v>
      </c>
      <c r="O24">
        <f t="shared" ca="1" si="3"/>
        <v>-8.9028726384934136E-3</v>
      </c>
      <c r="P24">
        <f t="shared" ca="1" si="3"/>
        <v>-7.2096694656522894E-3</v>
      </c>
      <c r="Q24" s="1">
        <f t="shared" si="4"/>
        <v>40966.415500000003</v>
      </c>
      <c r="S24">
        <f>G24</f>
        <v>-3.5025001998292282E-3</v>
      </c>
    </row>
    <row r="25" spans="1:19" ht="12.95" customHeight="1" x14ac:dyDescent="0.2">
      <c r="A25" s="29" t="s">
        <v>43</v>
      </c>
      <c r="B25" s="30" t="s">
        <v>47</v>
      </c>
      <c r="C25" s="29">
        <v>56052.696199999998</v>
      </c>
      <c r="D25" s="29">
        <v>2.0000000000000001E-4</v>
      </c>
      <c r="E25">
        <f t="shared" si="0"/>
        <v>3689.4788883289925</v>
      </c>
      <c r="F25">
        <f t="shared" si="1"/>
        <v>3689.5</v>
      </c>
      <c r="G25">
        <f t="shared" si="2"/>
        <v>-8.1775002036010846E-3</v>
      </c>
      <c r="K25">
        <f t="shared" si="5"/>
        <v>-8.1775002036010846E-3</v>
      </c>
      <c r="O25">
        <f t="shared" ca="1" si="3"/>
        <v>-9.3461797125398913E-3</v>
      </c>
      <c r="P25">
        <f t="shared" ca="1" si="3"/>
        <v>-7.6527463822335922E-3</v>
      </c>
      <c r="Q25" s="1">
        <f t="shared" si="4"/>
        <v>41034.196199999998</v>
      </c>
      <c r="S25">
        <f>G25</f>
        <v>-8.1775002036010846E-3</v>
      </c>
    </row>
    <row r="26" spans="1:19" ht="12.95" customHeight="1" x14ac:dyDescent="0.2">
      <c r="A26" s="35" t="s">
        <v>46</v>
      </c>
      <c r="B26" s="36" t="s">
        <v>42</v>
      </c>
      <c r="C26" s="38">
        <v>59322.447999999997</v>
      </c>
      <c r="D26" s="39">
        <v>5.5999999999999999E-3</v>
      </c>
      <c r="E26">
        <f t="shared" si="0"/>
        <v>12130.924627915145</v>
      </c>
      <c r="F26">
        <f t="shared" si="1"/>
        <v>12131</v>
      </c>
      <c r="G26">
        <f t="shared" si="2"/>
        <v>-2.9195000206527766E-2</v>
      </c>
      <c r="K26">
        <f t="shared" si="5"/>
        <v>-2.9195000206527766E-2</v>
      </c>
      <c r="O26">
        <f t="shared" ca="1" si="3"/>
        <v>-3.0730046372901866E-2</v>
      </c>
      <c r="P26">
        <f t="shared" ca="1" si="3"/>
        <v>-2.9025510904068238E-2</v>
      </c>
      <c r="Q26" s="1">
        <f t="shared" si="4"/>
        <v>44303.947999999997</v>
      </c>
      <c r="S26">
        <f>G26</f>
        <v>-2.9195000206527766E-2</v>
      </c>
    </row>
    <row r="27" spans="1:19" ht="12.95" customHeight="1" x14ac:dyDescent="0.2">
      <c r="A27" s="35" t="s">
        <v>49</v>
      </c>
      <c r="B27" s="36" t="s">
        <v>47</v>
      </c>
      <c r="C27" s="40">
        <v>59613.536500000002</v>
      </c>
      <c r="D27" s="39">
        <v>5.5999999999999999E-3</v>
      </c>
      <c r="E27">
        <f t="shared" ref="E27:E28" si="6">+(C27-C$7)/C$8</f>
        <v>12882.421355638506</v>
      </c>
      <c r="F27">
        <f t="shared" si="1"/>
        <v>12882.5</v>
      </c>
      <c r="G27">
        <f t="shared" ref="G27:G28" si="7">+C27-(C$7+F27*C$8)</f>
        <v>-3.0462500202702358E-2</v>
      </c>
      <c r="K27">
        <f t="shared" si="5"/>
        <v>-3.0462500202702358E-2</v>
      </c>
      <c r="O27">
        <f t="shared" ref="O27:O28" ca="1" si="8">+C$11+C$12*$F27</f>
        <v>-3.2633733608021458E-2</v>
      </c>
      <c r="P27">
        <f t="shared" ref="P27:P28" ca="1" si="9">+D$11+D$12*$F27</f>
        <v>-3.0928209777273088E-2</v>
      </c>
      <c r="Q27" s="1">
        <f t="shared" ref="Q27:Q28" si="10">+C27-15018.5</f>
        <v>44595.036500000002</v>
      </c>
      <c r="S27">
        <f>G27</f>
        <v>-3.0462500202702358E-2</v>
      </c>
    </row>
    <row r="28" spans="1:19" ht="12.95" customHeight="1" x14ac:dyDescent="0.2">
      <c r="A28" s="35" t="s">
        <v>49</v>
      </c>
      <c r="B28" s="36" t="s">
        <v>47</v>
      </c>
      <c r="C28" s="40">
        <v>59613.728000000003</v>
      </c>
      <c r="D28" s="39">
        <v>5.5999999999999999E-3</v>
      </c>
      <c r="E28">
        <f t="shared" si="6"/>
        <v>12882.915746943418</v>
      </c>
      <c r="F28">
        <f t="shared" si="1"/>
        <v>12883</v>
      </c>
      <c r="G28">
        <f t="shared" si="7"/>
        <v>-3.263500019966159E-2</v>
      </c>
      <c r="K28">
        <f t="shared" si="5"/>
        <v>-3.263500019966159E-2</v>
      </c>
      <c r="O28">
        <f t="shared" ca="1" si="8"/>
        <v>-3.263500019966159E-2</v>
      </c>
      <c r="P28">
        <f t="shared" ca="1" si="9"/>
        <v>-3.0929475711320462E-2</v>
      </c>
      <c r="Q28" s="1">
        <f t="shared" si="10"/>
        <v>44595.228000000003</v>
      </c>
      <c r="R28">
        <f>G28</f>
        <v>-3.263500019966159E-2</v>
      </c>
    </row>
    <row r="29" spans="1:19" ht="12.95" customHeight="1" x14ac:dyDescent="0.2">
      <c r="A29" s="39" t="s">
        <v>53</v>
      </c>
      <c r="B29" s="41" t="s">
        <v>47</v>
      </c>
      <c r="C29" s="39">
        <v>59980.737099999998</v>
      </c>
      <c r="D29" s="39">
        <v>5.5999999999999999E-3</v>
      </c>
      <c r="E29">
        <f t="shared" ref="E29:E30" si="11">+(C29-C$7)/C$8</f>
        <v>13830.415004711029</v>
      </c>
      <c r="F29">
        <f t="shared" ref="F29:F30" si="12">ROUND(2*E29,0)/2</f>
        <v>13830.5</v>
      </c>
      <c r="G29">
        <f t="shared" ref="G29:G30" si="13">+C29-(C$7+F29*C$8)</f>
        <v>-3.292250020604115E-2</v>
      </c>
      <c r="K29">
        <f t="shared" ref="K29:K30" si="14">+G29</f>
        <v>-3.292250020604115E-2</v>
      </c>
      <c r="O29">
        <f t="shared" ref="O29:O30" ca="1" si="15">+C$11+C$12*$F29</f>
        <v>-3.5035191357713234E-2</v>
      </c>
      <c r="P29">
        <f t="shared" ref="P29:P30" ca="1" si="16">+D$11+D$12*$F29</f>
        <v>-3.3328420731096375E-2</v>
      </c>
      <c r="Q29" s="1">
        <f t="shared" ref="Q29:Q30" si="17">+C29-15018.5</f>
        <v>44962.237099999998</v>
      </c>
      <c r="S29">
        <v>-3.292250020604115E-2</v>
      </c>
    </row>
    <row r="30" spans="1:19" ht="12.95" customHeight="1" x14ac:dyDescent="0.2">
      <c r="A30" s="39" t="s">
        <v>53</v>
      </c>
      <c r="B30" s="41" t="s">
        <v>47</v>
      </c>
      <c r="C30" s="39">
        <v>60052.393799999998</v>
      </c>
      <c r="D30" s="39">
        <v>5.5999999999999999E-3</v>
      </c>
      <c r="E30">
        <f t="shared" si="11"/>
        <v>14015.409518645634</v>
      </c>
      <c r="F30">
        <f t="shared" si="12"/>
        <v>14015.5</v>
      </c>
      <c r="G30">
        <f t="shared" si="13"/>
        <v>-3.5047500205109827E-2</v>
      </c>
      <c r="K30">
        <f t="shared" si="14"/>
        <v>-3.5047500205109827E-2</v>
      </c>
      <c r="O30">
        <f t="shared" ca="1" si="15"/>
        <v>-3.5503830264562365E-2</v>
      </c>
      <c r="P30">
        <f t="shared" ca="1" si="16"/>
        <v>-3.3796816328625176E-2</v>
      </c>
      <c r="Q30" s="1">
        <f t="shared" si="17"/>
        <v>45033.893799999998</v>
      </c>
      <c r="S30">
        <v>-3.5047500205109827E-2</v>
      </c>
    </row>
    <row r="31" spans="1:19" ht="12.95" customHeight="1" x14ac:dyDescent="0.2">
      <c r="A31" s="13"/>
      <c r="B31" s="14"/>
      <c r="C31" s="10"/>
      <c r="D31" s="10"/>
      <c r="Q31" s="1"/>
    </row>
    <row r="32" spans="1:19" ht="12.95" customHeight="1" x14ac:dyDescent="0.2">
      <c r="A32" s="13"/>
      <c r="B32" s="14"/>
      <c r="C32" s="10"/>
      <c r="D32" s="10"/>
      <c r="Q32" s="1"/>
    </row>
    <row r="33" spans="1:17" ht="12.95" customHeight="1" x14ac:dyDescent="0.2">
      <c r="A33" s="15"/>
      <c r="B33" s="11"/>
      <c r="C33" s="10"/>
      <c r="D33" s="12"/>
      <c r="Q33" s="1"/>
    </row>
    <row r="34" spans="1:17" ht="12.95" customHeight="1" x14ac:dyDescent="0.2">
      <c r="A34" s="15"/>
      <c r="B34" s="11"/>
      <c r="C34" s="10"/>
      <c r="D34" s="12"/>
      <c r="Q34" s="1"/>
    </row>
    <row r="35" spans="1:17" ht="12.95" customHeight="1" x14ac:dyDescent="0.2">
      <c r="A35" s="15"/>
      <c r="B35" s="11"/>
      <c r="C35" s="10"/>
      <c r="D35" s="12"/>
      <c r="Q35" s="1"/>
    </row>
    <row r="36" spans="1:17" ht="12.95" customHeight="1" x14ac:dyDescent="0.2"/>
  </sheetData>
  <sortState xmlns:xlrd2="http://schemas.microsoft.com/office/spreadsheetml/2017/richdata2" ref="A21:S26">
    <sortCondition ref="C21:C26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8B38-D5EE-4045-B784-8C6403521A99}">
  <dimension ref="A1"/>
  <sheetViews>
    <sheetView workbookViewId="0">
      <selection activeCell="B46" sqref="B45:B46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2024-08-25T07:56:56Z</dcterms:modified>
</cp:coreProperties>
</file>