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FD8C64-07D0-4769-9F74-53798A99B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U28" i="1"/>
  <c r="E29" i="1"/>
  <c r="F29" i="1"/>
  <c r="G29" i="1"/>
  <c r="H29" i="1"/>
  <c r="E30" i="1"/>
  <c r="F30" i="1"/>
  <c r="G30" i="1"/>
  <c r="H30" i="1"/>
  <c r="E31" i="1"/>
  <c r="F31" i="1"/>
  <c r="G31" i="1"/>
  <c r="K31" i="1"/>
  <c r="E9" i="1"/>
  <c r="D9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C17" i="1"/>
  <c r="Q21" i="1"/>
  <c r="C11" i="1"/>
  <c r="C12" i="1"/>
  <c r="F15" i="1" l="1"/>
  <c r="C16" i="1"/>
  <c r="D18" i="1" s="1"/>
  <c r="O23" i="1"/>
  <c r="O24" i="1"/>
  <c r="O29" i="1"/>
  <c r="O25" i="1"/>
  <c r="O21" i="1"/>
  <c r="O27" i="1"/>
  <c r="O26" i="1"/>
  <c r="O28" i="1"/>
  <c r="C15" i="1"/>
  <c r="O31" i="1"/>
  <c r="O30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<sst xmlns="http://schemas.openxmlformats.org/spreadsheetml/2006/main" count="156" uniqueCount="95">
  <si>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</si>
  <si>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</si>
  <si>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</si>
  <si>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</si>
  <si>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</si>
  <si>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</si>
  <si>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</si>
  <si>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</si>
  <si>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</si>
  <si>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</si>
  <si>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</si>
  <si>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</si>
  <si>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</si>
  <si>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</si>
  <si>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</si>
  <si>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</si>
  <si>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</si>
  <si>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</si>
  <si>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</si>
  <si>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</si>
  <si>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</si>
  <si>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</si>
  <si>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</si>
  <si>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</si>
  <si>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</si>
  <si>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</si>
  <si>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</si>
  <si>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</si>
  <si>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</si>
  <si>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</si>
  <si>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</si>
  <si>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</si>
  <si>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</si>
  <si>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</si>
  <si>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</si>
  <si>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</si>
  <si>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</si>
  <si>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</si>
  <si>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</si>
  <si>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</si>
  <si>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</si>
  <si>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</si>
  <si>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</si>
  <si>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</si>
  <si>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</si>
  <si>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</si>
  <si>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</si>
  <si>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AD Vul</t>
  </si>
  <si>
    <t>EA</t>
  </si>
  <si>
    <t>GCVS 4</t>
  </si>
  <si>
    <t>AD Vul / GSC 25301.5</t>
  </si>
  <si>
    <t>2425301.610 </t>
  </si>
  <si>
    <t> 25.02.1928 02:38 </t>
  </si>
  <si>
    <t> 0.110 </t>
  </si>
  <si>
    <t>P </t>
  </si>
  <si>
    <t> P.Ahnert </t>
  </si>
  <si>
    <t> KVBB 24.60 </t>
  </si>
  <si>
    <t>2425624.712 </t>
  </si>
  <si>
    <t> 13.01.1929 05:05 </t>
  </si>
  <si>
    <t> -0.005 </t>
  </si>
  <si>
    <t>2425718.518 </t>
  </si>
  <si>
    <t> 17.04.1929 00:25 </t>
  </si>
  <si>
    <t> -0.036 </t>
  </si>
  <si>
    <t>2425791.465 </t>
  </si>
  <si>
    <t> 28.06.1929 23:09 </t>
  </si>
  <si>
    <t> -0.073 </t>
  </si>
  <si>
    <t>2428043.616 </t>
  </si>
  <si>
    <t> 29.08.1935 02:47 </t>
  </si>
  <si>
    <t> -0.012 </t>
  </si>
  <si>
    <t>V </t>
  </si>
  <si>
    <t> J.Kordylewski </t>
  </si>
  <si>
    <t> AA 26.347 </t>
  </si>
  <si>
    <t>2428366.790 </t>
  </si>
  <si>
    <t> 17.07.1936 06:57 </t>
  </si>
  <si>
    <t> -0.055 </t>
  </si>
  <si>
    <t>2428803.708 </t>
  </si>
  <si>
    <t> 27.09.1937 04:59 </t>
  </si>
  <si>
    <t> -1.043 </t>
  </si>
  <si>
    <t>2429784.800 </t>
  </si>
  <si>
    <t> 04.06.1940 07:12 </t>
  </si>
  <si>
    <t> -0.027 </t>
  </si>
  <si>
    <t>2429847.385 </t>
  </si>
  <si>
    <t> 05.08.1940 21:14 </t>
  </si>
  <si>
    <t> -0.000 </t>
  </si>
  <si>
    <t>2455850.262 </t>
  </si>
  <si>
    <t> 15.10.2011 18:17 </t>
  </si>
  <si>
    <t> -0.420 </t>
  </si>
  <si>
    <t>C </t>
  </si>
  <si>
    <t> K.Kasai </t>
  </si>
  <si>
    <t>VSB 53 </t>
  </si>
  <si>
    <t>I</t>
  </si>
  <si>
    <t xml:space="preserve">Mag </t>
  </si>
  <si>
    <t>Next ToM-P</t>
  </si>
  <si>
    <t>Next ToM-S</t>
  </si>
  <si>
    <t>12.80-14.40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</si>
</sst>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6" fillId="4" borderId="13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15" fillId="5" borderId="1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22" fontId="23" fillId="0" borderId="18" xfId="0" applyNumberFormat="1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0" fillId="0" borderId="0" xfId="0" applyNumberForma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 applyAlignment="1"/>
    <xf numFmtId="0" fontId="0" fillId="0" borderId="0" xfId="0" applyNumberForma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Vul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0.11000000000058208</c:v>
                </c:pt>
                <c:pt idx="2">
                  <c:v>-4.6020000008866191E-3</c:v>
                </c:pt>
                <c:pt idx="3">
                  <c:v>-3.568000000086613E-2</c:v>
                </c:pt>
                <c:pt idx="4">
                  <c:v>-7.3073999999905936E-2</c:v>
                </c:pt>
                <c:pt idx="5">
                  <c:v>-1.1945999998715706E-2</c:v>
                </c:pt>
                <c:pt idx="6">
                  <c:v>-5.4548000000067987E-2</c:v>
                </c:pt>
                <c:pt idx="8">
                  <c:v>-2.7060000000346918E-2</c:v>
                </c:pt>
                <c:pt idx="9">
                  <c:v>-1.1200000153621659E-4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7-45A4-93D5-C60B9AAA47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E7-45A4-93D5-C60B9AAA47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E7-45A4-93D5-C60B9AAA47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-0.42005999999673804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E7-45A4-93D5-C60B9AAA47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E7-45A4-93D5-C60B9AAA47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E7-45A4-93D5-C60B9AAA47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E7-45A4-93D5-C60B9AAA47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1.3301471296903039E-2</c:v>
                </c:pt>
                <c:pt idx="1">
                  <c:v>1.3301471296903039E-2</c:v>
                </c:pt>
                <c:pt idx="2">
                  <c:v>8.7939789904854897E-3</c:v>
                </c:pt>
                <c:pt idx="3">
                  <c:v>7.4853521918481353E-3</c:v>
                </c:pt>
                <c:pt idx="4">
                  <c:v>6.4675313484635275E-3</c:v>
                </c:pt>
                <c:pt idx="5">
                  <c:v>-2.493951181883295E-2</c:v>
                </c:pt>
                <c:pt idx="6">
                  <c:v>-2.9447004125250503E-2</c:v>
                </c:pt>
                <c:pt idx="7">
                  <c:v>-3.555392918555815E-2</c:v>
                </c:pt>
                <c:pt idx="8">
                  <c:v>-4.9221809082437173E-2</c:v>
                </c:pt>
                <c:pt idx="9">
                  <c:v>-5.0094226948195403E-2</c:v>
                </c:pt>
                <c:pt idx="10">
                  <c:v>-0.41272925314836861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E7-45A4-93D5-C60B9AAA474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40</c:v>
                </c:pt>
                <c:pt idx="4">
                  <c:v>47</c:v>
                </c:pt>
                <c:pt idx="5">
                  <c:v>263</c:v>
                </c:pt>
                <c:pt idx="6">
                  <c:v>294</c:v>
                </c:pt>
                <c:pt idx="7">
                  <c:v>336</c:v>
                </c:pt>
                <c:pt idx="8">
                  <c:v>430</c:v>
                </c:pt>
                <c:pt idx="9">
                  <c:v>436</c:v>
                </c:pt>
                <c:pt idx="10">
                  <c:v>2930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-1.042912000000797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E7-45A4-93D5-C60B9AAA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395296"/>
        <c:axId val="1"/>
      </c:scatterChart>
      <c:valAx>
        <c:axId val="82139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395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90669B-97E5-687C-D9CD-156CE272C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5" customFormat="1" ht="20.25" x14ac:dyDescent="0.2">
      <c r="A1" s="53" t="s">
        <v>50</v>
      </c>
      <c r="F1" s="22" t="s">
        <v>47</v>
      </c>
      <c r="G1" s="6">
        <v>19.040389999999999</v>
      </c>
      <c r="H1" s="7">
        <v>24.333100000000002</v>
      </c>
      <c r="I1" s="8">
        <v>25301.5</v>
      </c>
      <c r="J1" s="8">
        <v>10.426342</v>
      </c>
      <c r="K1" s="5" t="s">
        <v>48</v>
      </c>
      <c r="L1" s="7"/>
      <c r="M1" s="8">
        <v>25301.5</v>
      </c>
      <c r="N1" s="8">
        <v>10.426342</v>
      </c>
      <c r="O1" s="7" t="s">
        <v>48</v>
      </c>
    </row>
    <row r="2" spans="1:15" s="25" customFormat="1" ht="12.95" customHeight="1" x14ac:dyDescent="0.2">
      <c r="A2" s="25" t="s">
        <v>23</v>
      </c>
      <c r="B2" s="25" t="s">
        <v>48</v>
      </c>
      <c r="C2" s="26"/>
      <c r="D2" s="27"/>
    </row>
    <row r="3" spans="1:15" s="25" customFormat="1" ht="12.95" customHeight="1" thickBot="1" x14ac:dyDescent="0.25"/>
    <row r="4" spans="1:15" s="25" customFormat="1" ht="12.95" customHeight="1" thickTop="1" thickBot="1" x14ac:dyDescent="0.25">
      <c r="A4" s="28" t="s">
        <v>0</v>
      </c>
      <c r="C4" s="29">
        <v>25301.5</v>
      </c>
      <c r="D4" s="30">
        <v>10.426342</v>
      </c>
    </row>
    <row r="5" spans="1:15" s="25" customFormat="1" ht="12.95" customHeight="1" thickTop="1" x14ac:dyDescent="0.2">
      <c r="A5" s="31" t="s">
        <v>28</v>
      </c>
      <c r="C5" s="32">
        <v>-9.5</v>
      </c>
      <c r="D5" s="25" t="s">
        <v>29</v>
      </c>
    </row>
    <row r="6" spans="1:15" s="25" customFormat="1" ht="12.95" customHeight="1" x14ac:dyDescent="0.2">
      <c r="A6" s="28" t="s">
        <v>1</v>
      </c>
    </row>
    <row r="7" spans="1:15" s="25" customFormat="1" ht="12.95" customHeight="1" x14ac:dyDescent="0.2">
      <c r="A7" s="25" t="s">
        <v>2</v>
      </c>
      <c r="C7" s="54">
        <v>25301.5</v>
      </c>
      <c r="D7" s="34" t="s">
        <v>49</v>
      </c>
    </row>
    <row r="8" spans="1:15" s="25" customFormat="1" ht="12.95" customHeight="1" x14ac:dyDescent="0.2">
      <c r="A8" s="25" t="s">
        <v>3</v>
      </c>
      <c r="C8" s="54">
        <v>10.426342</v>
      </c>
      <c r="D8" s="34" t="s">
        <v>49</v>
      </c>
    </row>
    <row r="9" spans="1:15" s="25" customFormat="1" ht="12.95" customHeight="1" x14ac:dyDescent="0.2">
      <c r="A9" s="35" t="s">
        <v>31</v>
      </c>
      <c r="C9" s="36">
        <v>21</v>
      </c>
      <c r="D9" s="37" t="str">
        <f>"F"&amp;C9</f>
        <v>F21</v>
      </c>
      <c r="E9" s="38" t="str">
        <f>"G"&amp;C9</f>
        <v>G21</v>
      </c>
    </row>
    <row r="10" spans="1:15" s="25" customFormat="1" ht="12.95" customHeight="1" thickBot="1" x14ac:dyDescent="0.25">
      <c r="C10" s="39" t="s">
        <v>19</v>
      </c>
      <c r="D10" s="39" t="s">
        <v>20</v>
      </c>
    </row>
    <row r="11" spans="1:15" s="25" customFormat="1" ht="12.95" customHeight="1" x14ac:dyDescent="0.2">
      <c r="A11" s="25" t="s">
        <v>15</v>
      </c>
      <c r="C11" s="38">
        <f ca="1">INTERCEPT(INDIRECT($E$9):G992,INDIRECT($D$9):F992)</f>
        <v>1.3301471296903039E-2</v>
      </c>
      <c r="D11" s="27"/>
    </row>
    <row r="12" spans="1:15" s="25" customFormat="1" ht="12.95" customHeight="1" x14ac:dyDescent="0.2">
      <c r="A12" s="25" t="s">
        <v>16</v>
      </c>
      <c r="C12" s="38">
        <f ca="1">SLOPE(INDIRECT($E$9):G992,INDIRECT($D$9):F992)</f>
        <v>-1.4540297762637258E-4</v>
      </c>
      <c r="D12" s="27"/>
      <c r="E12" s="55" t="s">
        <v>91</v>
      </c>
      <c r="F12" s="56" t="s">
        <v>94</v>
      </c>
    </row>
    <row r="13" spans="1:15" s="25" customFormat="1" ht="12.95" customHeight="1" x14ac:dyDescent="0.2">
      <c r="A13" s="25" t="s">
        <v>18</v>
      </c>
      <c r="C13" s="27" t="s">
        <v>13</v>
      </c>
      <c r="E13" s="57" t="s">
        <v>33</v>
      </c>
      <c r="F13" s="58">
        <v>1</v>
      </c>
    </row>
    <row r="14" spans="1:15" s="25" customFormat="1" ht="12.95" customHeight="1" x14ac:dyDescent="0.2">
      <c r="E14" s="57" t="s">
        <v>30</v>
      </c>
      <c r="F14" s="59">
        <f ca="1">NOW()+15018.5+$C$5/24</f>
        <v>60511.656334374995</v>
      </c>
    </row>
    <row r="15" spans="1:15" s="25" customFormat="1" ht="12.95" customHeight="1" x14ac:dyDescent="0.2">
      <c r="A15" s="40" t="s">
        <v>17</v>
      </c>
      <c r="C15" s="41">
        <f ca="1">(C7+C11)+(C8+C12)*INT(MAX(F21:F3533))</f>
        <v>55850.269330746851</v>
      </c>
      <c r="E15" s="57" t="s">
        <v>34</v>
      </c>
      <c r="F15" s="59">
        <f ca="1">ROUND(2*($F$14-$C$7)/$C$8,0)/2+$F$13</f>
        <v>3378</v>
      </c>
    </row>
    <row r="16" spans="1:15" s="25" customFormat="1" ht="12.95" customHeight="1" x14ac:dyDescent="0.2">
      <c r="A16" s="28" t="s">
        <v>4</v>
      </c>
      <c r="C16" s="43">
        <f ca="1">+C8+C12</f>
        <v>10.426196597022374</v>
      </c>
      <c r="E16" s="57" t="s">
        <v>35</v>
      </c>
      <c r="F16" s="59">
        <f ca="1">ROUND(2*($F$14-$C$15)/$C$16,0)/2+$F$13</f>
        <v>448</v>
      </c>
    </row>
    <row r="17" spans="1:21" s="25" customFormat="1" ht="12.95" customHeight="1" thickBot="1" x14ac:dyDescent="0.25">
      <c r="A17" s="42" t="s">
        <v>27</v>
      </c>
      <c r="C17" s="25">
        <f>COUNT(C21:C2191)</f>
        <v>11</v>
      </c>
      <c r="E17" s="57" t="s">
        <v>92</v>
      </c>
      <c r="F17" s="60">
        <f ca="1">+$C$15+$C$16*$F$16-15018.5-$C$5/24</f>
        <v>45503.101239546209</v>
      </c>
    </row>
    <row r="18" spans="1:21" s="25" customFormat="1" ht="12.95" customHeight="1" thickTop="1" thickBot="1" x14ac:dyDescent="0.25">
      <c r="A18" s="28" t="s">
        <v>5</v>
      </c>
      <c r="C18" s="44">
        <f ca="1">+C15</f>
        <v>55850.269330746851</v>
      </c>
      <c r="D18" s="45">
        <f ca="1">+C16</f>
        <v>10.426196597022374</v>
      </c>
      <c r="E18" s="62" t="s">
        <v>93</v>
      </c>
      <c r="F18" s="61">
        <f ca="1">+($C$15+$C$16*$F$16)-($C$16/2)-15018.5-$C$5/24</f>
        <v>45497.888141247699</v>
      </c>
    </row>
    <row r="19" spans="1:21" s="25" customFormat="1" ht="12.95" customHeight="1" thickTop="1" x14ac:dyDescent="0.2">
      <c r="E19" s="42"/>
      <c r="F19" s="46"/>
    </row>
    <row r="20" spans="1:21" s="25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12</v>
      </c>
      <c r="E20" s="39" t="s">
        <v>9</v>
      </c>
      <c r="F20" s="39" t="s">
        <v>10</v>
      </c>
      <c r="G20" s="39" t="s">
        <v>11</v>
      </c>
      <c r="H20" s="47" t="s">
        <v>36</v>
      </c>
      <c r="I20" s="47" t="s">
        <v>37</v>
      </c>
      <c r="J20" s="47" t="s">
        <v>38</v>
      </c>
      <c r="K20" s="47" t="s">
        <v>39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9" t="s">
        <v>14</v>
      </c>
      <c r="U20" s="49" t="s">
        <v>32</v>
      </c>
    </row>
    <row r="21" spans="1:21" s="25" customFormat="1" ht="12.95" customHeight="1" x14ac:dyDescent="0.2">
      <c r="A21" s="63" t="s">
        <v>49</v>
      </c>
      <c r="C21" s="33">
        <v>25301.5</v>
      </c>
      <c r="D21" s="33" t="s">
        <v>13</v>
      </c>
      <c r="E21" s="25">
        <f>+(C21-C$7)/C$8</f>
        <v>0</v>
      </c>
      <c r="F21" s="25">
        <f>ROUND(2*E21,0)/2</f>
        <v>0</v>
      </c>
      <c r="G21" s="25">
        <f>+C21-(C$7+F21*C$8)</f>
        <v>0</v>
      </c>
      <c r="H21" s="25">
        <f>+G21</f>
        <v>0</v>
      </c>
      <c r="O21" s="25">
        <f ca="1">+C$11+C$12*$F21</f>
        <v>1.3301471296903039E-2</v>
      </c>
      <c r="Q21" s="50">
        <f>+C21-15018.5</f>
        <v>10283</v>
      </c>
    </row>
    <row r="22" spans="1:21" s="25" customFormat="1" ht="12.95" customHeight="1" x14ac:dyDescent="0.2">
      <c r="A22" s="64" t="s">
        <v>56</v>
      </c>
      <c r="B22" s="51" t="s">
        <v>90</v>
      </c>
      <c r="C22" s="52">
        <v>25301.61</v>
      </c>
      <c r="D22" s="33"/>
      <c r="E22" s="25">
        <f t="shared" ref="E22:E31" si="0">+(C22-C$7)/C$8</f>
        <v>1.055020063609865E-2</v>
      </c>
      <c r="F22" s="25">
        <f t="shared" ref="F22:F31" si="1">ROUND(2*E22,0)/2</f>
        <v>0</v>
      </c>
      <c r="G22" s="25">
        <f t="shared" ref="G22:G31" si="2">+C22-(C$7+F22*C$8)</f>
        <v>0.11000000000058208</v>
      </c>
      <c r="H22" s="25">
        <f t="shared" ref="H22:H30" si="3">+G22</f>
        <v>0.11000000000058208</v>
      </c>
      <c r="O22" s="25">
        <f t="shared" ref="O22:O31" ca="1" si="4">+C$11+C$12*$F22</f>
        <v>1.3301471296903039E-2</v>
      </c>
      <c r="Q22" s="50">
        <f t="shared" ref="Q22:Q31" si="5">+C22-15018.5</f>
        <v>10283.11</v>
      </c>
    </row>
    <row r="23" spans="1:21" s="25" customFormat="1" ht="12.95" customHeight="1" x14ac:dyDescent="0.2">
      <c r="A23" s="64" t="s">
        <v>56</v>
      </c>
      <c r="B23" s="51" t="s">
        <v>90</v>
      </c>
      <c r="C23" s="52">
        <v>25624.712</v>
      </c>
      <c r="D23" s="33"/>
      <c r="E23" s="25">
        <f t="shared" si="0"/>
        <v>30.999558617969708</v>
      </c>
      <c r="F23" s="25">
        <f t="shared" si="1"/>
        <v>31</v>
      </c>
      <c r="G23" s="25">
        <f t="shared" si="2"/>
        <v>-4.6020000008866191E-3</v>
      </c>
      <c r="H23" s="25">
        <f t="shared" si="3"/>
        <v>-4.6020000008866191E-3</v>
      </c>
      <c r="O23" s="25">
        <f t="shared" ca="1" si="4"/>
        <v>8.7939789904854897E-3</v>
      </c>
      <c r="Q23" s="50">
        <f t="shared" si="5"/>
        <v>10606.212</v>
      </c>
    </row>
    <row r="24" spans="1:21" x14ac:dyDescent="0.2">
      <c r="A24" s="65" t="s">
        <v>56</v>
      </c>
      <c r="B24" s="24" t="s">
        <v>90</v>
      </c>
      <c r="C24" s="23">
        <v>25718.518</v>
      </c>
      <c r="D24" s="3"/>
      <c r="E24">
        <f t="shared" si="0"/>
        <v>39.996577898557327</v>
      </c>
      <c r="F24">
        <f t="shared" si="1"/>
        <v>40</v>
      </c>
      <c r="G24">
        <f t="shared" si="2"/>
        <v>-3.568000000086613E-2</v>
      </c>
      <c r="H24">
        <f t="shared" si="3"/>
        <v>-3.568000000086613E-2</v>
      </c>
      <c r="O24">
        <f t="shared" ca="1" si="4"/>
        <v>7.4853521918481353E-3</v>
      </c>
      <c r="Q24" s="1">
        <f t="shared" si="5"/>
        <v>10700.018</v>
      </c>
    </row>
    <row r="25" spans="1:21" x14ac:dyDescent="0.2">
      <c r="A25" s="65" t="s">
        <v>56</v>
      </c>
      <c r="B25" s="24" t="s">
        <v>90</v>
      </c>
      <c r="C25" s="23">
        <v>25791.465</v>
      </c>
      <c r="D25" s="3"/>
      <c r="E25">
        <f t="shared" si="0"/>
        <v>46.992991405806578</v>
      </c>
      <c r="F25">
        <f t="shared" si="1"/>
        <v>47</v>
      </c>
      <c r="G25">
        <f t="shared" si="2"/>
        <v>-7.3073999999905936E-2</v>
      </c>
      <c r="H25">
        <f t="shared" si="3"/>
        <v>-7.3073999999905936E-2</v>
      </c>
      <c r="O25">
        <f t="shared" ca="1" si="4"/>
        <v>6.4675313484635275E-3</v>
      </c>
      <c r="Q25" s="1">
        <f t="shared" si="5"/>
        <v>10772.965</v>
      </c>
    </row>
    <row r="26" spans="1:21" x14ac:dyDescent="0.2">
      <c r="A26" s="65" t="s">
        <v>71</v>
      </c>
      <c r="B26" s="24" t="s">
        <v>90</v>
      </c>
      <c r="C26" s="23">
        <v>28043.616000000002</v>
      </c>
      <c r="D26" s="3"/>
      <c r="E26">
        <f t="shared" si="0"/>
        <v>262.9988542482111</v>
      </c>
      <c r="F26">
        <f t="shared" si="1"/>
        <v>263</v>
      </c>
      <c r="G26">
        <f t="shared" si="2"/>
        <v>-1.1945999998715706E-2</v>
      </c>
      <c r="H26">
        <f t="shared" si="3"/>
        <v>-1.1945999998715706E-2</v>
      </c>
      <c r="O26">
        <f t="shared" ca="1" si="4"/>
        <v>-2.493951181883295E-2</v>
      </c>
      <c r="Q26" s="1">
        <f t="shared" si="5"/>
        <v>13025.116000000002</v>
      </c>
    </row>
    <row r="27" spans="1:21" x14ac:dyDescent="0.2">
      <c r="A27" s="65" t="s">
        <v>71</v>
      </c>
      <c r="B27" s="24" t="s">
        <v>90</v>
      </c>
      <c r="C27" s="23">
        <v>28366.79</v>
      </c>
      <c r="D27" s="3"/>
      <c r="E27">
        <f t="shared" si="0"/>
        <v>293.99476825141556</v>
      </c>
      <c r="F27">
        <f t="shared" si="1"/>
        <v>294</v>
      </c>
      <c r="G27">
        <f t="shared" si="2"/>
        <v>-5.4548000000067987E-2</v>
      </c>
      <c r="H27">
        <f t="shared" si="3"/>
        <v>-5.4548000000067987E-2</v>
      </c>
      <c r="O27">
        <f t="shared" ca="1" si="4"/>
        <v>-2.9447004125250503E-2</v>
      </c>
      <c r="Q27" s="1">
        <f t="shared" si="5"/>
        <v>13348.29</v>
      </c>
    </row>
    <row r="28" spans="1:21" x14ac:dyDescent="0.2">
      <c r="A28" s="65" t="s">
        <v>71</v>
      </c>
      <c r="B28" s="24" t="s">
        <v>90</v>
      </c>
      <c r="C28" s="23">
        <v>28803.707999999999</v>
      </c>
      <c r="D28" s="3"/>
      <c r="E28">
        <f t="shared" si="0"/>
        <v>335.89997335594774</v>
      </c>
      <c r="F28">
        <f>ROUND(2*E28,0)/2</f>
        <v>336</v>
      </c>
      <c r="O28">
        <f ca="1">+C$11+C$12*$F28</f>
        <v>-3.555392918555815E-2</v>
      </c>
      <c r="Q28" s="1">
        <f t="shared" si="5"/>
        <v>13785.207999999999</v>
      </c>
      <c r="U28">
        <f>+C28-(C$7+F28*C$8)</f>
        <v>-1.042912000000797</v>
      </c>
    </row>
    <row r="29" spans="1:21" x14ac:dyDescent="0.2">
      <c r="A29" s="65" t="s">
        <v>56</v>
      </c>
      <c r="B29" s="24" t="s">
        <v>90</v>
      </c>
      <c r="C29" s="23">
        <v>29784.799999999999</v>
      </c>
      <c r="D29" s="3"/>
      <c r="E29">
        <f t="shared" si="0"/>
        <v>429.99740465064349</v>
      </c>
      <c r="F29">
        <f t="shared" si="1"/>
        <v>430</v>
      </c>
      <c r="G29">
        <f t="shared" si="2"/>
        <v>-2.7060000000346918E-2</v>
      </c>
      <c r="H29">
        <f t="shared" si="3"/>
        <v>-2.7060000000346918E-2</v>
      </c>
      <c r="O29">
        <f t="shared" ca="1" si="4"/>
        <v>-4.9221809082437173E-2</v>
      </c>
      <c r="Q29" s="1">
        <f t="shared" si="5"/>
        <v>14766.3</v>
      </c>
    </row>
    <row r="30" spans="1:21" x14ac:dyDescent="0.2">
      <c r="A30" s="65" t="s">
        <v>56</v>
      </c>
      <c r="B30" s="24" t="s">
        <v>90</v>
      </c>
      <c r="C30" s="23">
        <v>29847.384999999998</v>
      </c>
      <c r="D30" s="3"/>
      <c r="E30">
        <f t="shared" si="0"/>
        <v>435.9999892579774</v>
      </c>
      <c r="F30">
        <f t="shared" si="1"/>
        <v>436</v>
      </c>
      <c r="G30">
        <f t="shared" si="2"/>
        <v>-1.1200000153621659E-4</v>
      </c>
      <c r="H30">
        <f t="shared" si="3"/>
        <v>-1.1200000153621659E-4</v>
      </c>
      <c r="O30">
        <f t="shared" ca="1" si="4"/>
        <v>-5.0094226948195403E-2</v>
      </c>
      <c r="Q30" s="1">
        <f t="shared" si="5"/>
        <v>14828.884999999998</v>
      </c>
    </row>
    <row r="31" spans="1:21" x14ac:dyDescent="0.2">
      <c r="A31" s="65" t="s">
        <v>89</v>
      </c>
      <c r="B31" s="24" t="s">
        <v>90</v>
      </c>
      <c r="C31" s="23">
        <v>55850.262000000002</v>
      </c>
      <c r="D31" s="3"/>
      <c r="E31">
        <f t="shared" si="0"/>
        <v>2929.9597116610985</v>
      </c>
      <c r="F31">
        <f t="shared" si="1"/>
        <v>2930</v>
      </c>
      <c r="G31">
        <f t="shared" si="2"/>
        <v>-0.42005999999673804</v>
      </c>
      <c r="K31">
        <f>+G31</f>
        <v>-0.42005999999673804</v>
      </c>
      <c r="O31">
        <f t="shared" ca="1" si="4"/>
        <v>-0.41272925314836861</v>
      </c>
      <c r="Q31" s="1">
        <f t="shared" si="5"/>
        <v>40831.762000000002</v>
      </c>
    </row>
    <row r="32" spans="1:21" x14ac:dyDescent="0.2">
      <c r="A32" s="66"/>
      <c r="B32" s="2"/>
      <c r="C32" s="3"/>
      <c r="D32" s="3"/>
      <c r="Q32" s="1"/>
    </row>
    <row r="33" spans="1:17" x14ac:dyDescent="0.2">
      <c r="A33" s="66"/>
      <c r="C33" s="3"/>
      <c r="D33" s="3"/>
      <c r="Q33" s="1"/>
    </row>
    <row r="34" spans="1:17" x14ac:dyDescent="0.2">
      <c r="C34" s="3"/>
      <c r="D34" s="3"/>
    </row>
    <row r="35" spans="1:17" x14ac:dyDescent="0.2">
      <c r="C35" s="3"/>
      <c r="D35" s="3"/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1"/>
  <sheetViews>
    <sheetView workbookViewId="0">
      <selection activeCell="A11" sqref="A11:C2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9" t="s">
        <v>40</v>
      </c>
      <c r="I1" s="10" t="s">
        <v>41</v>
      </c>
      <c r="J1" s="11" t="s">
        <v>39</v>
      </c>
    </row>
    <row r="2" spans="1:16" x14ac:dyDescent="0.2">
      <c r="I2" s="12" t="s">
        <v>42</v>
      </c>
      <c r="J2" s="13" t="s">
        <v>38</v>
      </c>
    </row>
    <row r="3" spans="1:16" x14ac:dyDescent="0.2">
      <c r="A3" s="14" t="s">
        <v>43</v>
      </c>
      <c r="I3" s="12" t="s">
        <v>44</v>
      </c>
      <c r="J3" s="13" t="s">
        <v>36</v>
      </c>
    </row>
    <row r="4" spans="1:16" x14ac:dyDescent="0.2">
      <c r="I4" s="12" t="s">
        <v>45</v>
      </c>
      <c r="J4" s="13" t="s">
        <v>36</v>
      </c>
    </row>
    <row r="5" spans="1:16" ht="13.5" thickBot="1" x14ac:dyDescent="0.25">
      <c r="I5" s="15" t="s">
        <v>46</v>
      </c>
      <c r="J5" s="16" t="s">
        <v>37</v>
      </c>
    </row>
    <row r="10" spans="1:16" ht="13.5" thickBot="1" x14ac:dyDescent="0.25"/>
    <row r="11" spans="1:16" ht="12.75" customHeight="1" thickBot="1" x14ac:dyDescent="0.25">
      <c r="A11" s="3" t="str">
        <f t="shared" ref="A11:A20" si="0">P11</f>
        <v> KVBB 24.60 </v>
      </c>
      <c r="B11" s="2" t="str">
        <f t="shared" ref="B11:B20" si="1">IF(H11=INT(H11),"I","II")</f>
        <v>I</v>
      </c>
      <c r="C11" s="3">
        <f t="shared" ref="C11:C20" si="2">1*G11</f>
        <v>25301.61</v>
      </c>
      <c r="D11" s="4" t="str">
        <f t="shared" ref="D11:D20" si="3">VLOOKUP(F11,I$1:J$5,2,FALSE)</f>
        <v>vis</v>
      </c>
      <c r="E11" s="17">
        <f>VLOOKUP(C11,Active!C$21:E$973,3,FALSE)</f>
        <v>1.055020063609865E-2</v>
      </c>
      <c r="F11" s="2" t="s">
        <v>46</v>
      </c>
      <c r="G11" s="4" t="str">
        <f t="shared" ref="G11:G20" si="4">MID(I11,3,LEN(I11)-3)</f>
        <v>25301.610</v>
      </c>
      <c r="H11" s="3">
        <f t="shared" ref="H11:H20" si="5">1*K11</f>
        <v>0</v>
      </c>
      <c r="I11" s="18" t="s">
        <v>51</v>
      </c>
      <c r="J11" s="19" t="s">
        <v>52</v>
      </c>
      <c r="K11" s="18">
        <v>0</v>
      </c>
      <c r="L11" s="18" t="s">
        <v>53</v>
      </c>
      <c r="M11" s="19" t="s">
        <v>54</v>
      </c>
      <c r="N11" s="19"/>
      <c r="O11" s="20" t="s">
        <v>55</v>
      </c>
      <c r="P11" s="20" t="s">
        <v>56</v>
      </c>
    </row>
    <row r="12" spans="1:16" ht="12.75" customHeight="1" thickBot="1" x14ac:dyDescent="0.25">
      <c r="A12" s="3" t="str">
        <f t="shared" si="0"/>
        <v> KVBB 24.60 </v>
      </c>
      <c r="B12" s="2" t="str">
        <f t="shared" si="1"/>
        <v>I</v>
      </c>
      <c r="C12" s="3">
        <f t="shared" si="2"/>
        <v>25624.712</v>
      </c>
      <c r="D12" s="4" t="str">
        <f t="shared" si="3"/>
        <v>vis</v>
      </c>
      <c r="E12" s="17">
        <f>VLOOKUP(C12,Active!C$21:E$973,3,FALSE)</f>
        <v>30.999558617969708</v>
      </c>
      <c r="F12" s="2" t="s">
        <v>46</v>
      </c>
      <c r="G12" s="4" t="str">
        <f t="shared" si="4"/>
        <v>25624.712</v>
      </c>
      <c r="H12" s="3">
        <f t="shared" si="5"/>
        <v>31</v>
      </c>
      <c r="I12" s="18" t="s">
        <v>57</v>
      </c>
      <c r="J12" s="19" t="s">
        <v>58</v>
      </c>
      <c r="K12" s="18">
        <v>31</v>
      </c>
      <c r="L12" s="18" t="s">
        <v>59</v>
      </c>
      <c r="M12" s="19" t="s">
        <v>54</v>
      </c>
      <c r="N12" s="19"/>
      <c r="O12" s="20" t="s">
        <v>55</v>
      </c>
      <c r="P12" s="20" t="s">
        <v>56</v>
      </c>
    </row>
    <row r="13" spans="1:16" ht="12.75" customHeight="1" thickBot="1" x14ac:dyDescent="0.25">
      <c r="A13" s="3" t="str">
        <f t="shared" si="0"/>
        <v> KVBB 24.60 </v>
      </c>
      <c r="B13" s="2" t="str">
        <f t="shared" si="1"/>
        <v>I</v>
      </c>
      <c r="C13" s="3">
        <f t="shared" si="2"/>
        <v>25718.518</v>
      </c>
      <c r="D13" s="4" t="str">
        <f t="shared" si="3"/>
        <v>vis</v>
      </c>
      <c r="E13" s="17">
        <f>VLOOKUP(C13,Active!C$21:E$973,3,FALSE)</f>
        <v>39.996577898557327</v>
      </c>
      <c r="F13" s="2" t="s">
        <v>46</v>
      </c>
      <c r="G13" s="4" t="str">
        <f t="shared" si="4"/>
        <v>25718.518</v>
      </c>
      <c r="H13" s="3">
        <f t="shared" si="5"/>
        <v>40</v>
      </c>
      <c r="I13" s="18" t="s">
        <v>60</v>
      </c>
      <c r="J13" s="19" t="s">
        <v>61</v>
      </c>
      <c r="K13" s="18">
        <v>40</v>
      </c>
      <c r="L13" s="18" t="s">
        <v>62</v>
      </c>
      <c r="M13" s="19" t="s">
        <v>54</v>
      </c>
      <c r="N13" s="19"/>
      <c r="O13" s="20" t="s">
        <v>55</v>
      </c>
      <c r="P13" s="20" t="s">
        <v>56</v>
      </c>
    </row>
    <row r="14" spans="1:16" ht="12.75" customHeight="1" thickBot="1" x14ac:dyDescent="0.25">
      <c r="A14" s="3" t="str">
        <f t="shared" si="0"/>
        <v> KVBB 24.60 </v>
      </c>
      <c r="B14" s="2" t="str">
        <f t="shared" si="1"/>
        <v>I</v>
      </c>
      <c r="C14" s="3">
        <f t="shared" si="2"/>
        <v>25791.465</v>
      </c>
      <c r="D14" s="4" t="str">
        <f t="shared" si="3"/>
        <v>vis</v>
      </c>
      <c r="E14" s="17">
        <f>VLOOKUP(C14,Active!C$21:E$973,3,FALSE)</f>
        <v>46.992991405806578</v>
      </c>
      <c r="F14" s="2" t="s">
        <v>46</v>
      </c>
      <c r="G14" s="4" t="str">
        <f t="shared" si="4"/>
        <v>25791.465</v>
      </c>
      <c r="H14" s="3">
        <f t="shared" si="5"/>
        <v>47</v>
      </c>
      <c r="I14" s="18" t="s">
        <v>63</v>
      </c>
      <c r="J14" s="19" t="s">
        <v>64</v>
      </c>
      <c r="K14" s="18">
        <v>47</v>
      </c>
      <c r="L14" s="18" t="s">
        <v>65</v>
      </c>
      <c r="M14" s="19" t="s">
        <v>54</v>
      </c>
      <c r="N14" s="19"/>
      <c r="O14" s="20" t="s">
        <v>55</v>
      </c>
      <c r="P14" s="20" t="s">
        <v>56</v>
      </c>
    </row>
    <row r="15" spans="1:16" ht="12.75" customHeight="1" thickBot="1" x14ac:dyDescent="0.25">
      <c r="A15" s="3" t="str">
        <f t="shared" si="0"/>
        <v> AA 26.347 </v>
      </c>
      <c r="B15" s="2" t="str">
        <f t="shared" si="1"/>
        <v>I</v>
      </c>
      <c r="C15" s="3">
        <f t="shared" si="2"/>
        <v>28043.616000000002</v>
      </c>
      <c r="D15" s="4" t="str">
        <f t="shared" si="3"/>
        <v>vis</v>
      </c>
      <c r="E15" s="17">
        <f>VLOOKUP(C15,Active!C$21:E$973,3,FALSE)</f>
        <v>262.9988542482111</v>
      </c>
      <c r="F15" s="2" t="s">
        <v>46</v>
      </c>
      <c r="G15" s="4" t="str">
        <f t="shared" si="4"/>
        <v>28043.616</v>
      </c>
      <c r="H15" s="3">
        <f t="shared" si="5"/>
        <v>263</v>
      </c>
      <c r="I15" s="18" t="s">
        <v>66</v>
      </c>
      <c r="J15" s="19" t="s">
        <v>67</v>
      </c>
      <c r="K15" s="18">
        <v>263</v>
      </c>
      <c r="L15" s="18" t="s">
        <v>68</v>
      </c>
      <c r="M15" s="19" t="s">
        <v>69</v>
      </c>
      <c r="N15" s="19"/>
      <c r="O15" s="20" t="s">
        <v>70</v>
      </c>
      <c r="P15" s="20" t="s">
        <v>71</v>
      </c>
    </row>
    <row r="16" spans="1:16" ht="12.75" customHeight="1" thickBot="1" x14ac:dyDescent="0.25">
      <c r="A16" s="3" t="str">
        <f t="shared" si="0"/>
        <v> AA 26.347 </v>
      </c>
      <c r="B16" s="2" t="str">
        <f t="shared" si="1"/>
        <v>I</v>
      </c>
      <c r="C16" s="3">
        <f t="shared" si="2"/>
        <v>28366.79</v>
      </c>
      <c r="D16" s="4" t="str">
        <f t="shared" si="3"/>
        <v>vis</v>
      </c>
      <c r="E16" s="17">
        <f>VLOOKUP(C16,Active!C$21:E$973,3,FALSE)</f>
        <v>293.99476825141556</v>
      </c>
      <c r="F16" s="2" t="s">
        <v>46</v>
      </c>
      <c r="G16" s="4" t="str">
        <f t="shared" si="4"/>
        <v>28366.790</v>
      </c>
      <c r="H16" s="3">
        <f t="shared" si="5"/>
        <v>294</v>
      </c>
      <c r="I16" s="18" t="s">
        <v>72</v>
      </c>
      <c r="J16" s="19" t="s">
        <v>73</v>
      </c>
      <c r="K16" s="18">
        <v>294</v>
      </c>
      <c r="L16" s="18" t="s">
        <v>74</v>
      </c>
      <c r="M16" s="19" t="s">
        <v>69</v>
      </c>
      <c r="N16" s="19"/>
      <c r="O16" s="20" t="s">
        <v>70</v>
      </c>
      <c r="P16" s="20" t="s">
        <v>71</v>
      </c>
    </row>
    <row r="17" spans="1:16" ht="12.75" customHeight="1" thickBot="1" x14ac:dyDescent="0.25">
      <c r="A17" s="3" t="str">
        <f t="shared" si="0"/>
        <v> AA 26.347 </v>
      </c>
      <c r="B17" s="2" t="str">
        <f t="shared" si="1"/>
        <v>I</v>
      </c>
      <c r="C17" s="3">
        <f t="shared" si="2"/>
        <v>28803.707999999999</v>
      </c>
      <c r="D17" s="4" t="str">
        <f t="shared" si="3"/>
        <v>vis</v>
      </c>
      <c r="E17" s="17">
        <f>VLOOKUP(C17,Active!C$21:E$973,3,FALSE)</f>
        <v>335.89997335594774</v>
      </c>
      <c r="F17" s="2" t="s">
        <v>46</v>
      </c>
      <c r="G17" s="4" t="str">
        <f t="shared" si="4"/>
        <v>28803.708</v>
      </c>
      <c r="H17" s="3">
        <f t="shared" si="5"/>
        <v>336</v>
      </c>
      <c r="I17" s="18" t="s">
        <v>75</v>
      </c>
      <c r="J17" s="19" t="s">
        <v>76</v>
      </c>
      <c r="K17" s="18">
        <v>336</v>
      </c>
      <c r="L17" s="18" t="s">
        <v>77</v>
      </c>
      <c r="M17" s="19" t="s">
        <v>69</v>
      </c>
      <c r="N17" s="19"/>
      <c r="O17" s="20" t="s">
        <v>70</v>
      </c>
      <c r="P17" s="20" t="s">
        <v>71</v>
      </c>
    </row>
    <row r="18" spans="1:16" ht="12.75" customHeight="1" thickBot="1" x14ac:dyDescent="0.25">
      <c r="A18" s="3" t="str">
        <f t="shared" si="0"/>
        <v> KVBB 24.60 </v>
      </c>
      <c r="B18" s="2" t="str">
        <f t="shared" si="1"/>
        <v>I</v>
      </c>
      <c r="C18" s="3">
        <f t="shared" si="2"/>
        <v>29784.799999999999</v>
      </c>
      <c r="D18" s="4" t="str">
        <f t="shared" si="3"/>
        <v>vis</v>
      </c>
      <c r="E18" s="17">
        <f>VLOOKUP(C18,Active!C$21:E$973,3,FALSE)</f>
        <v>429.99740465064349</v>
      </c>
      <c r="F18" s="2" t="s">
        <v>46</v>
      </c>
      <c r="G18" s="4" t="str">
        <f t="shared" si="4"/>
        <v>29784.800</v>
      </c>
      <c r="H18" s="3">
        <f t="shared" si="5"/>
        <v>430</v>
      </c>
      <c r="I18" s="18" t="s">
        <v>78</v>
      </c>
      <c r="J18" s="19" t="s">
        <v>79</v>
      </c>
      <c r="K18" s="18">
        <v>430</v>
      </c>
      <c r="L18" s="18" t="s">
        <v>80</v>
      </c>
      <c r="M18" s="19" t="s">
        <v>54</v>
      </c>
      <c r="N18" s="19"/>
      <c r="O18" s="20" t="s">
        <v>55</v>
      </c>
      <c r="P18" s="20" t="s">
        <v>56</v>
      </c>
    </row>
    <row r="19" spans="1:16" ht="12.75" customHeight="1" thickBot="1" x14ac:dyDescent="0.25">
      <c r="A19" s="3" t="str">
        <f t="shared" si="0"/>
        <v> KVBB 24.60 </v>
      </c>
      <c r="B19" s="2" t="str">
        <f t="shared" si="1"/>
        <v>I</v>
      </c>
      <c r="C19" s="3">
        <f t="shared" si="2"/>
        <v>29847.384999999998</v>
      </c>
      <c r="D19" s="4" t="str">
        <f t="shared" si="3"/>
        <v>vis</v>
      </c>
      <c r="E19" s="17">
        <f>VLOOKUP(C19,Active!C$21:E$973,3,FALSE)</f>
        <v>435.9999892579774</v>
      </c>
      <c r="F19" s="2" t="s">
        <v>46</v>
      </c>
      <c r="G19" s="4" t="str">
        <f t="shared" si="4"/>
        <v>29847.385</v>
      </c>
      <c r="H19" s="3">
        <f t="shared" si="5"/>
        <v>436</v>
      </c>
      <c r="I19" s="18" t="s">
        <v>81</v>
      </c>
      <c r="J19" s="19" t="s">
        <v>82</v>
      </c>
      <c r="K19" s="18">
        <v>436</v>
      </c>
      <c r="L19" s="18" t="s">
        <v>83</v>
      </c>
      <c r="M19" s="19" t="s">
        <v>54</v>
      </c>
      <c r="N19" s="19"/>
      <c r="O19" s="20" t="s">
        <v>55</v>
      </c>
      <c r="P19" s="20" t="s">
        <v>56</v>
      </c>
    </row>
    <row r="20" spans="1:16" ht="12.75" customHeight="1" thickBot="1" x14ac:dyDescent="0.25">
      <c r="A20" s="3" t="str">
        <f t="shared" si="0"/>
        <v>VSB 53 </v>
      </c>
      <c r="B20" s="2" t="str">
        <f t="shared" si="1"/>
        <v>I</v>
      </c>
      <c r="C20" s="3">
        <f t="shared" si="2"/>
        <v>55850.262000000002</v>
      </c>
      <c r="D20" s="4" t="str">
        <f t="shared" si="3"/>
        <v>vis</v>
      </c>
      <c r="E20" s="17">
        <f>VLOOKUP(C20,Active!C$21:E$973,3,FALSE)</f>
        <v>2929.9597116610985</v>
      </c>
      <c r="F20" s="2" t="s">
        <v>46</v>
      </c>
      <c r="G20" s="4" t="str">
        <f t="shared" si="4"/>
        <v>55850.262</v>
      </c>
      <c r="H20" s="3">
        <f t="shared" si="5"/>
        <v>2930</v>
      </c>
      <c r="I20" s="18" t="s">
        <v>84</v>
      </c>
      <c r="J20" s="19" t="s">
        <v>85</v>
      </c>
      <c r="K20" s="18">
        <v>2930</v>
      </c>
      <c r="L20" s="18" t="s">
        <v>86</v>
      </c>
      <c r="M20" s="19" t="s">
        <v>87</v>
      </c>
      <c r="N20" s="19" t="s">
        <v>46</v>
      </c>
      <c r="O20" s="20" t="s">
        <v>88</v>
      </c>
      <c r="P20" s="21" t="s">
        <v>89</v>
      </c>
    </row>
    <row r="21" spans="1:16" x14ac:dyDescent="0.2">
      <c r="B21" s="2"/>
      <c r="E21" s="17"/>
      <c r="F21" s="2"/>
    </row>
    <row r="22" spans="1:16" x14ac:dyDescent="0.2">
      <c r="B22" s="2"/>
      <c r="E22" s="17"/>
      <c r="F22" s="2"/>
    </row>
    <row r="23" spans="1:16" x14ac:dyDescent="0.2">
      <c r="B23" s="2"/>
      <c r="E23" s="17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</sheetData>
  <phoneticPr fontId="7" type="noConversion"/>
  <hyperlinks>
    <hyperlink ref="A3" r:id="rId1" xr:uid="{00000000-0004-0000-0100-000000000000}"/>
    <hyperlink ref="P20" r:id="rId2" display="http://vsolj.cetus-net.org/vsoljno53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2024-07-20T03:45:07Z</dcterms:modified>
</cp:coreProperties>
</file>