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5E2505-3D04-412D-85BD-34E4A60BF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 s="1"/>
  <c r="G22" i="1" s="1"/>
  <c r="K22" i="1" s="1"/>
  <c r="Q22" i="1"/>
  <c r="A21" i="1"/>
  <c r="C21" i="1"/>
  <c r="C17" i="1" s="1"/>
  <c r="F14" i="1"/>
  <c r="F15" i="1" s="1"/>
  <c r="Q21" i="1" l="1"/>
  <c r="E21" i="1"/>
  <c r="F21" i="1" s="1"/>
  <c r="G21" i="1" s="1"/>
  <c r="C12" i="1"/>
  <c r="C11" i="1"/>
  <c r="O22" i="1" l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<sst xmlns="http://schemas.openxmlformats.org/spreadsheetml/2006/main" count="62" uniqueCount="56">
  <si>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</si>
  <si>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</si>
  <si>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</si>
  <si>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</si>
  <si>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</si>
  <si>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</si>
  <si>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</si>
  <si>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</si>
  <si>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</si>
  <si>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</si>
  <si>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</si>
  <si>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</si>
  <si>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</si>
  <si>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</si>
  <si>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</si>
  <si>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</si>
  <si>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</si>
  <si>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</si>
  <si>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</si>
  <si>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</si>
  <si>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</si>
  <si>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</si>
  <si>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</si>
  <si>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</si>
  <si>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</si>
  <si>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</si>
  <si>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</si>
  <si>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</si>
  <si>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</si>
  <si>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</si>
  <si>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</si>
  <si>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</si>
  <si>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</si>
  <si>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</si>
  <si>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</si>
  <si>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</si>
  <si>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</si>
  <si>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</si>
  <si>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</si>
  <si>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</si>
  <si>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</si>
  <si>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</si>
  <si>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V0560 Vul</t>
  </si>
  <si>
    <t>2015b</t>
  </si>
  <si>
    <t>G2133-2623</t>
  </si>
  <si>
    <t>EB</t>
  </si>
  <si>
    <t>JBAV, 60</t>
  </si>
  <si>
    <t>I</t>
  </si>
  <si>
    <t>F21</t>
  </si>
  <si>
    <t>G21</t>
  </si>
  <si>
    <t>IBVS 6010</t>
  </si>
  <si>
    <t>VSX</t>
  </si>
  <si>
    <t>Next ToM-P</t>
  </si>
  <si>
    <t>Next ToM-S</t>
  </si>
  <si>
    <t xml:space="preserve">Mag </t>
  </si>
  <si>
    <t>11.28-11.66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</si>
</sst>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V0560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2.6804999994055834E-2</c:v>
                </c:pt>
                <c:pt idx="2">
                  <c:v>7.9795000005105976E-2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-2.3936826445775036E-3</c:v>
                </c:pt>
                <c:pt idx="1">
                  <c:v>3.0885590724197449E-2</c:v>
                </c:pt>
                <c:pt idx="2">
                  <c:v>7.8108091919541878E-2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2471.5</c:v>
                </c:pt>
                <c:pt idx="2">
                  <c:v>5978.5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3" customFormat="1" ht="20.25" x14ac:dyDescent="0.2">
      <c r="A1" s="40" t="s">
        <v>42</v>
      </c>
      <c r="F1" s="7" t="s">
        <v>42</v>
      </c>
      <c r="G1" s="41" t="s">
        <v>43</v>
      </c>
      <c r="H1" s="3"/>
      <c r="I1" s="4" t="s">
        <v>44</v>
      </c>
      <c r="J1" s="8" t="s">
        <v>42</v>
      </c>
      <c r="K1" s="42">
        <v>19.313700000000001</v>
      </c>
      <c r="L1" s="43">
        <v>26.354199999999999</v>
      </c>
      <c r="M1" s="5">
        <v>55555.5</v>
      </c>
      <c r="N1" s="5">
        <v>1.1105661538461802</v>
      </c>
      <c r="O1" s="6" t="s">
        <v>45</v>
      </c>
    </row>
    <row r="2" spans="1:15" s="13" customFormat="1" ht="12.95" customHeight="1" x14ac:dyDescent="0.2">
      <c r="A2" s="13" t="s">
        <v>23</v>
      </c>
      <c r="B2" s="13" t="s">
        <v>45</v>
      </c>
      <c r="C2" s="14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 t="s">
        <v>36</v>
      </c>
      <c r="D4" s="18" t="s">
        <v>36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4">
        <v>52736.14</v>
      </c>
      <c r="D7" s="22" t="s">
        <v>51</v>
      </c>
    </row>
    <row r="8" spans="1:15" s="13" customFormat="1" ht="12.95" customHeight="1" x14ac:dyDescent="0.2">
      <c r="A8" s="13" t="s">
        <v>3</v>
      </c>
      <c r="C8" s="44">
        <v>1.1115299999999999</v>
      </c>
      <c r="D8" s="22" t="s">
        <v>51</v>
      </c>
    </row>
    <row r="9" spans="1:15" s="13" customFormat="1" ht="12.95" customHeight="1" x14ac:dyDescent="0.2">
      <c r="A9" s="23" t="s">
        <v>31</v>
      </c>
      <c r="B9" s="24">
        <v>21</v>
      </c>
      <c r="C9" s="25" t="s">
        <v>48</v>
      </c>
      <c r="D9" s="26" t="s">
        <v>49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INTERCEPT(INDIRECT($D$9):G992,INDIRECT($C$9):F992)</f>
        <v>-2.3936826445775036E-3</v>
      </c>
      <c r="D11" s="15"/>
    </row>
    <row r="12" spans="1:15" s="13" customFormat="1" ht="12.95" customHeight="1" x14ac:dyDescent="0.2">
      <c r="A12" s="13" t="s">
        <v>16</v>
      </c>
      <c r="C12" s="26">
        <f ca="1">SLOPE(INDIRECT($D$9):G992,INDIRECT($C$9):F992)</f>
        <v>1.346521277312359E-5</v>
      </c>
      <c r="D12" s="15"/>
      <c r="E12" s="47" t="s">
        <v>54</v>
      </c>
      <c r="F12" s="48" t="s">
        <v>55</v>
      </c>
    </row>
    <row r="13" spans="1:15" s="13" customFormat="1" ht="12.95" customHeight="1" x14ac:dyDescent="0.2">
      <c r="A13" s="13" t="s">
        <v>18</v>
      </c>
      <c r="C13" s="15" t="s">
        <v>13</v>
      </c>
      <c r="E13" s="49" t="s">
        <v>33</v>
      </c>
      <c r="F13" s="50">
        <v>1</v>
      </c>
    </row>
    <row r="14" spans="1:15" s="13" customFormat="1" ht="12.95" customHeight="1" x14ac:dyDescent="0.2">
      <c r="E14" s="49" t="s">
        <v>30</v>
      </c>
      <c r="F14" s="51">
        <f ca="1">NOW()+15018.5+$C$5/24</f>
        <v>60519.754596412036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59380.944441359308</v>
      </c>
      <c r="E15" s="49" t="s">
        <v>34</v>
      </c>
      <c r="F15" s="51">
        <f ca="1">ROUND(2*(F14-$C$7)/$C$8,0)/2+F13</f>
        <v>7003.5</v>
      </c>
    </row>
    <row r="16" spans="1:15" s="13" customFormat="1" ht="12.95" customHeight="1" x14ac:dyDescent="0.2">
      <c r="A16" s="16" t="s">
        <v>4</v>
      </c>
      <c r="C16" s="31">
        <f ca="1">+C8+C12</f>
        <v>1.1115434652127731</v>
      </c>
      <c r="E16" s="49" t="s">
        <v>35</v>
      </c>
      <c r="F16" s="52">
        <f ca="1">ROUND(2*(F14-$C$15)/$C$16,0)/2+F13</f>
        <v>1025.5</v>
      </c>
    </row>
    <row r="17" spans="1:21" s="13" customFormat="1" ht="12.95" customHeight="1" thickBot="1" x14ac:dyDescent="0.25">
      <c r="A17" s="28" t="s">
        <v>27</v>
      </c>
      <c r="C17" s="13">
        <f>COUNT(C21:C2191)</f>
        <v>3</v>
      </c>
      <c r="E17" s="49" t="s">
        <v>52</v>
      </c>
      <c r="F17" s="53">
        <f ca="1">+$C$15+$C$16*$F$16-15018.5-$C$5/24</f>
        <v>45502.728098268344</v>
      </c>
    </row>
    <row r="18" spans="1:21" s="13" customFormat="1" ht="12.95" customHeight="1" thickTop="1" thickBot="1" x14ac:dyDescent="0.25">
      <c r="A18" s="16" t="s">
        <v>5</v>
      </c>
      <c r="C18" s="32">
        <f ca="1">+C15</f>
        <v>59380.944441359308</v>
      </c>
      <c r="D18" s="33">
        <f ca="1">+C16</f>
        <v>1.1115434652127731</v>
      </c>
      <c r="E18" s="55" t="s">
        <v>53</v>
      </c>
      <c r="F18" s="54">
        <f ca="1">+($C$15+$C$16*$F$16)-($C$16/2)-15018.5-$C$5/24</f>
        <v>45502.172326535736</v>
      </c>
    </row>
    <row r="19" spans="1:21" s="13" customFormat="1" ht="12.95" customHeight="1" thickTop="1" x14ac:dyDescent="0.2">
      <c r="F19" s="34" t="s">
        <v>41</v>
      </c>
    </row>
    <row r="20" spans="1:21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7" t="s">
        <v>14</v>
      </c>
      <c r="U20" s="37" t="s">
        <v>32</v>
      </c>
    </row>
    <row r="21" spans="1:21" s="13" customFormat="1" ht="12.95" customHeight="1" x14ac:dyDescent="0.2">
      <c r="A21" s="13" t="str">
        <f>$D$7</f>
        <v>VSX</v>
      </c>
      <c r="C21" s="21">
        <f>$C$7</f>
        <v>52736.14</v>
      </c>
      <c r="D21" s="21"/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-2.3936826445775036E-3</v>
      </c>
      <c r="Q21" s="38">
        <f>+C21-15018.5</f>
        <v>37717.64</v>
      </c>
    </row>
    <row r="22" spans="1:21" s="13" customFormat="1" ht="12.95" customHeight="1" x14ac:dyDescent="0.2">
      <c r="A22" s="11" t="s">
        <v>50</v>
      </c>
      <c r="B22" s="12" t="s">
        <v>47</v>
      </c>
      <c r="C22" s="11">
        <v>55483.313199999997</v>
      </c>
      <c r="D22" s="11">
        <v>4.0000000000000002E-4</v>
      </c>
      <c r="E22" s="13">
        <f>+(C22-C$7)/C$8</f>
        <v>2471.5241154084888</v>
      </c>
      <c r="F22" s="13">
        <f>ROUND(2*E22,0)/2</f>
        <v>2471.5</v>
      </c>
      <c r="G22" s="13">
        <f>+C22-(C$7+F22*C$8)</f>
        <v>2.6804999994055834E-2</v>
      </c>
      <c r="K22" s="13">
        <f>+G22</f>
        <v>2.6804999994055834E-2</v>
      </c>
      <c r="O22" s="13">
        <f ca="1">+C$11+C$12*$F22</f>
        <v>3.0885590724197449E-2</v>
      </c>
      <c r="Q22" s="38">
        <f>+C22-15018.5</f>
        <v>40464.813199999997</v>
      </c>
    </row>
    <row r="23" spans="1:21" s="13" customFormat="1" ht="12.95" customHeight="1" x14ac:dyDescent="0.2">
      <c r="A23" s="9" t="s">
        <v>46</v>
      </c>
      <c r="B23" s="10" t="s">
        <v>47</v>
      </c>
      <c r="C23" s="45">
        <v>59381.501900000003</v>
      </c>
      <c r="D23" s="46">
        <v>1.6000000000000001E-3</v>
      </c>
      <c r="E23" s="13">
        <f>+(C23-C$7)/C$8</f>
        <v>5978.5717884357637</v>
      </c>
      <c r="F23" s="13">
        <f>ROUND(2*E23,0)/2</f>
        <v>5978.5</v>
      </c>
      <c r="G23" s="13">
        <f>+C23-(C$7+F23*C$8)</f>
        <v>7.9795000005105976E-2</v>
      </c>
      <c r="K23" s="13">
        <f>+G23</f>
        <v>7.9795000005105976E-2</v>
      </c>
      <c r="O23" s="13">
        <f ca="1">+C$11+C$12*$F23</f>
        <v>7.8108091919541878E-2</v>
      </c>
      <c r="Q23" s="38">
        <f>+C23-15018.5</f>
        <v>44363.001900000003</v>
      </c>
    </row>
    <row r="24" spans="1:21" s="13" customFormat="1" ht="12.95" customHeight="1" x14ac:dyDescent="0.2">
      <c r="C24" s="21"/>
      <c r="D24" s="21"/>
      <c r="Q24" s="39"/>
    </row>
    <row r="25" spans="1:21" s="13" customFormat="1" ht="12.95" customHeight="1" x14ac:dyDescent="0.2">
      <c r="C25" s="21"/>
      <c r="D25" s="21"/>
      <c r="Q25" s="39"/>
    </row>
    <row r="26" spans="1:21" s="13" customFormat="1" ht="12.95" customHeight="1" x14ac:dyDescent="0.2">
      <c r="C26" s="21"/>
      <c r="D26" s="21"/>
      <c r="Q26" s="39"/>
    </row>
    <row r="27" spans="1:21" s="13" customFormat="1" ht="12.95" customHeight="1" x14ac:dyDescent="0.2">
      <c r="C27" s="21"/>
      <c r="D27" s="21"/>
      <c r="Q27" s="39"/>
    </row>
    <row r="28" spans="1:21" s="13" customFormat="1" ht="12.95" customHeight="1" x14ac:dyDescent="0.2">
      <c r="C28" s="21"/>
      <c r="D28" s="21"/>
      <c r="Q28" s="39"/>
    </row>
    <row r="29" spans="1:21" s="13" customFormat="1" ht="12.95" customHeight="1" x14ac:dyDescent="0.2">
      <c r="C29" s="21"/>
      <c r="D29" s="21"/>
      <c r="Q29" s="39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W30">
    <sortCondition ref="C21:C30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2024-07-28T06:06:37Z</dcterms:modified>
</cp:coreProperties>
</file>