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C2527D-2016-4FA3-A3C6-F1B049682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E29" i="1" l="1"/>
  <c r="F29" i="1" s="1"/>
  <c r="G29" i="1" s="1"/>
  <c r="K29" i="1" s="1"/>
  <c r="Q29" i="1"/>
  <c r="E26" i="1"/>
  <c r="F26" i="1"/>
  <c r="G26" i="1"/>
  <c r="K26" i="1"/>
  <c r="E27" i="1"/>
  <c r="F27" i="1"/>
  <c r="G27" i="1"/>
  <c r="K27" i="1"/>
  <c r="E28" i="1"/>
  <c r="F28" i="1"/>
  <c r="G28" i="1"/>
  <c r="K28" i="1"/>
  <c r="Q26" i="1"/>
  <c r="Q27" i="1"/>
  <c r="Q28" i="1"/>
  <c r="E25" i="1"/>
  <c r="F25" i="1"/>
  <c r="G25" i="1"/>
  <c r="K25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J23" i="1"/>
  <c r="E24" i="1"/>
  <c r="F24" i="1"/>
  <c r="G24" i="1"/>
  <c r="J24" i="1"/>
  <c r="Q25" i="1"/>
  <c r="Q24" i="1"/>
  <c r="Q23" i="1"/>
  <c r="Q22" i="1"/>
  <c r="C17" i="1"/>
  <c r="Q21" i="1"/>
  <c r="C12" i="1"/>
  <c r="C11" i="1"/>
  <c r="O29" i="1" l="1"/>
  <c r="C16" i="1"/>
  <c r="D18" i="1" s="1"/>
  <c r="C15" i="1"/>
  <c r="O22" i="1"/>
  <c r="O23" i="1"/>
  <c r="O24" i="1"/>
  <c r="O26" i="1"/>
  <c r="O25" i="1"/>
  <c r="O28" i="1"/>
  <c r="O27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<sst xmlns="http://schemas.openxmlformats.org/spreadsheetml/2006/main" count="64" uniqueCount="55">
  <si>
    <t>PE</t>
  </si>
  <si>
    <t>IBVS 6196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</si>
  <si>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</si>
  <si>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</si>
  <si>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</si>
  <si>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</si>
  <si>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</si>
  <si>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</si>
  <si>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</si>
  <si>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</si>
  <si>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</si>
  <si>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</si>
  <si>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</si>
  <si>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</si>
  <si>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</si>
  <si>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</si>
  <si>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</si>
  <si>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</si>
  <si>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</si>
  <si>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</si>
  <si>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</si>
  <si>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</si>
  <si>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</si>
  <si>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</si>
  <si>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</si>
  <si>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</si>
  <si>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</si>
  <si>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</si>
  <si>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</si>
  <si>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</si>
  <si>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</si>
  <si>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</si>
  <si>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</si>
  <si>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</si>
  <si>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</si>
  <si>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</si>
  <si>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</si>
  <si>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</si>
  <si>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</si>
  <si>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</si>
  <si>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</si>
  <si>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</si>
  <si>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V0547 And / GSC 2816-2019</t>
  </si>
  <si>
    <t>EA/RS</t>
  </si>
  <si>
    <t>GCVS 4</t>
  </si>
  <si>
    <t>IBVS 6118</t>
  </si>
  <si>
    <t>I</t>
  </si>
  <si>
    <t>IBVS 6152</t>
  </si>
  <si>
    <t>vis</t>
  </si>
  <si>
    <t>OEJV 0179</t>
  </si>
  <si>
    <t>JBAV 96</t>
  </si>
  <si>
    <t xml:space="preserve">Mag </t>
  </si>
  <si>
    <t>Next ToM-P</t>
  </si>
  <si>
    <t>Next ToM-S</t>
  </si>
  <si>
    <t>11.38-11.76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</si>
</sst>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15" fillId="0" borderId="0"/>
    <xf numFmtId="0" fontId="15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10" fillId="0" borderId="0" xfId="0" applyFont="1" applyAlignment="1"/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7" fillId="24" borderId="0" xfId="0" applyFont="1" applyFill="1" applyAlignment="1"/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165" fontId="36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35" fillId="25" borderId="12" xfId="0" applyFont="1" applyFill="1" applyBorder="1" applyAlignment="1">
      <alignment horizontal="right"/>
    </xf>
    <xf numFmtId="0" fontId="35" fillId="25" borderId="13" xfId="0" applyFont="1" applyFill="1" applyBorder="1" applyAlignment="1"/>
    <xf numFmtId="0" fontId="37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38" fillId="0" borderId="15" xfId="0" applyFont="1" applyBorder="1" applyAlignment="1">
      <alignment horizontal="right" vertical="center"/>
    </xf>
    <xf numFmtId="22" fontId="38" fillId="0" borderId="15" xfId="0" applyNumberFormat="1" applyFont="1" applyBorder="1" applyAlignment="1">
      <alignment horizontal="right" vertical="center"/>
    </xf>
    <xf numFmtId="0" fontId="37" fillId="0" borderId="16" xfId="0" applyFont="1" applyBorder="1" applyAlignment="1">
      <alignment horizontal="right" vertical="center"/>
    </xf>
    <xf numFmtId="22" fontId="38" fillId="0" borderId="17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V0547 And - O-C Diagr.</a:t>
            </a:r>
          </a:p>
        </c:rich>
      </c:tx>
      <c:layout>
        <c:manualLayout>
          <c:xMode val="edge"/>
          <c:yMode val="edge"/>
          <c:x val="0.376044860687678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8448162245496"/>
          <c:y val="0.14035127795846455"/>
          <c:w val="0.842618957430414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0-471D-B727-E43BDFF978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F0-471D-B727-E43BDFF978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2.6166999999986729</c:v>
                </c:pt>
                <c:pt idx="3">
                  <c:v>2.7793000000019674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F0-471D-B727-E43BDFF978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2.6187380731498706</c:v>
                </c:pt>
                <c:pt idx="4">
                  <c:v>2.9484000000011292</c:v>
                </c:pt>
                <c:pt idx="5">
                  <c:v>3.1671700000078999</c:v>
                </c:pt>
                <c:pt idx="6">
                  <c:v>3.1671700000078999</c:v>
                </c:pt>
                <c:pt idx="7">
                  <c:v>3.3201500000068336</c:v>
                </c:pt>
                <c:pt idx="8">
                  <c:v>2.5177000002149725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F0-471D-B727-E43BDFF978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F0-471D-B727-E43BDFF978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F0-471D-B727-E43BDFF978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F0-471D-B727-E43BDFF978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0.68406978100428129</c:v>
                </c:pt>
                <c:pt idx="1">
                  <c:v>2.49534733489158</c:v>
                </c:pt>
                <c:pt idx="2">
                  <c:v>2.5129736248282022</c:v>
                </c:pt>
                <c:pt idx="3">
                  <c:v>2.6180263128504704</c:v>
                </c:pt>
                <c:pt idx="4">
                  <c:v>2.7414103424068261</c:v>
                </c:pt>
                <c:pt idx="5">
                  <c:v>2.7607992613371106</c:v>
                </c:pt>
                <c:pt idx="6">
                  <c:v>2.7607992613371106</c:v>
                </c:pt>
                <c:pt idx="7">
                  <c:v>2.7607992613371106</c:v>
                </c:pt>
                <c:pt idx="8">
                  <c:v>3.8011028933965538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F0-471D-B727-E43BDFF978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  <c:pt idx="8">
                  <c:v>4421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F0-471D-B727-E43BDFF9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46032"/>
        <c:axId val="1"/>
      </c:scatterChart>
      <c:valAx>
        <c:axId val="69834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44150052273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34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37619078952177"/>
          <c:y val="0.92397937099967764"/>
          <c:w val="0.6615603272432172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93503A-DDB0-A5D6-1BD9-36C1B5E35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28</v>
      </c>
      <c r="B2" s="28" t="s">
        <v>43</v>
      </c>
      <c r="D2" s="3"/>
    </row>
    <row r="3" spans="1:6" ht="13.5" thickBot="1"/>
    <row r="4" spans="1:6" ht="14.25" thickTop="1" thickBot="1">
      <c r="A4" s="5" t="s">
        <v>5</v>
      </c>
      <c r="C4" s="8">
        <v>51574.627999999997</v>
      </c>
      <c r="D4" s="9">
        <v>1.9530000000000001</v>
      </c>
    </row>
    <row r="5" spans="1:6" ht="13.5" thickTop="1">
      <c r="A5" s="11" t="s">
        <v>33</v>
      </c>
      <c r="B5" s="12"/>
      <c r="C5" s="13">
        <v>-9.5</v>
      </c>
      <c r="D5" s="12" t="s">
        <v>34</v>
      </c>
      <c r="E5" s="12"/>
    </row>
    <row r="6" spans="1:6">
      <c r="A6" s="5" t="s">
        <v>6</v>
      </c>
    </row>
    <row r="7" spans="1:6">
      <c r="A7" t="s">
        <v>7</v>
      </c>
      <c r="C7" s="29">
        <v>51574.627999999997</v>
      </c>
      <c r="D7" s="27" t="s">
        <v>44</v>
      </c>
    </row>
    <row r="8" spans="1:6">
      <c r="A8" t="s">
        <v>8</v>
      </c>
      <c r="C8" s="29">
        <v>1.9530000000000001</v>
      </c>
      <c r="D8" s="27" t="s">
        <v>44</v>
      </c>
    </row>
    <row r="9" spans="1:6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2"/>
      <c r="B10" s="12"/>
      <c r="C10" s="4" t="s">
        <v>24</v>
      </c>
      <c r="D10" s="4" t="s">
        <v>25</v>
      </c>
      <c r="E10" s="12"/>
    </row>
    <row r="11" spans="1:6">
      <c r="A11" s="12" t="s">
        <v>20</v>
      </c>
      <c r="B11" s="12"/>
      <c r="C11" s="21">
        <f ca="1">INTERCEPT(INDIRECT($D$9):G992,INDIRECT($C$9):F992)</f>
        <v>0.68406978100428129</v>
      </c>
      <c r="D11" s="3"/>
      <c r="E11" s="12"/>
    </row>
    <row r="12" spans="1:6">
      <c r="A12" s="12" t="s">
        <v>21</v>
      </c>
      <c r="B12" s="12"/>
      <c r="C12" s="21">
        <f ca="1">SLOPE(INDIRECT($D$9):G992,INDIRECT($C$9):F992)</f>
        <v>7.0505159746488859E-4</v>
      </c>
      <c r="D12" s="3"/>
      <c r="E12" s="47" t="s">
        <v>51</v>
      </c>
      <c r="F12" s="48" t="s">
        <v>54</v>
      </c>
    </row>
    <row r="13" spans="1:6">
      <c r="A13" s="12" t="s">
        <v>23</v>
      </c>
      <c r="B13" s="12"/>
      <c r="C13" s="3" t="s">
        <v>18</v>
      </c>
      <c r="E13" s="49" t="s">
        <v>37</v>
      </c>
      <c r="F13" s="50">
        <v>1</v>
      </c>
    </row>
    <row r="14" spans="1:6">
      <c r="A14" s="12"/>
      <c r="B14" s="12"/>
      <c r="C14" s="12"/>
      <c r="E14" s="49" t="s">
        <v>35</v>
      </c>
      <c r="F14" s="51">
        <f ca="1">NOW()+15018.5+$C$5/24</f>
        <v>60676.809795370369</v>
      </c>
    </row>
    <row r="15" spans="1:6">
      <c r="A15" s="14" t="s">
        <v>22</v>
      </c>
      <c r="B15" s="12"/>
      <c r="C15" s="15">
        <f ca="1">(C7+C11)+(C8+C12)*INT(MAX(F21:F3533))</f>
        <v>60212.642102893391</v>
      </c>
      <c r="E15" s="49" t="s">
        <v>38</v>
      </c>
      <c r="F15" s="51">
        <f ca="1">ROUND(2*($F$14-$C$7)/$C$8,0)/2+$F$13</f>
        <v>4661.5</v>
      </c>
    </row>
    <row r="16" spans="1:6">
      <c r="A16" s="17" t="s">
        <v>9</v>
      </c>
      <c r="B16" s="12"/>
      <c r="C16" s="18">
        <f ca="1">+C8+C12</f>
        <v>1.953705051597465</v>
      </c>
      <c r="E16" s="49" t="s">
        <v>39</v>
      </c>
      <c r="F16" s="51">
        <f ca="1">ROUND(2*($F$14-$C$15)/$C$16,0)/2+$F$13</f>
        <v>238.5</v>
      </c>
    </row>
    <row r="17" spans="1:21" ht="13.5" thickBot="1">
      <c r="A17" s="16" t="s">
        <v>32</v>
      </c>
      <c r="B17" s="12"/>
      <c r="C17" s="12">
        <f>COUNT(C21:C2191)</f>
        <v>9</v>
      </c>
      <c r="E17" s="49" t="s">
        <v>52</v>
      </c>
      <c r="F17" s="52">
        <f ca="1">+$C$15+$C$16*$F$16-15018.5-$C$5/24</f>
        <v>45660.496591032723</v>
      </c>
    </row>
    <row r="18" spans="1:21" ht="14.25" thickTop="1" thickBot="1">
      <c r="A18" s="17" t="s">
        <v>10</v>
      </c>
      <c r="B18" s="12"/>
      <c r="C18" s="20">
        <f ca="1">+C15</f>
        <v>60212.642102893391</v>
      </c>
      <c r="D18" s="46">
        <f ca="1">+C16</f>
        <v>1.953705051597465</v>
      </c>
      <c r="E18" s="53" t="s">
        <v>53</v>
      </c>
      <c r="F18" s="54">
        <f ca="1">+($C$15+$C$16*$F$16)-($C$16/2)-15018.5-$C$5/24</f>
        <v>45659.519738506926</v>
      </c>
    </row>
    <row r="19" spans="1:21" ht="13.5" thickTop="1">
      <c r="E19" s="16"/>
      <c r="F19" s="19"/>
    </row>
    <row r="20" spans="1:21" ht="13.5" thickBot="1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48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41</v>
      </c>
    </row>
    <row r="21" spans="1:21">
      <c r="A21" s="27" t="s">
        <v>44</v>
      </c>
      <c r="C21" s="10">
        <f>+C7</f>
        <v>51574.627999999997</v>
      </c>
      <c r="D21" s="10" t="s">
        <v>18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I21">
        <f>+G21</f>
        <v>0</v>
      </c>
      <c r="O21">
        <f t="shared" ref="O21:O28" ca="1" si="2">+C$11+C$12*$F21</f>
        <v>0.68406978100428129</v>
      </c>
      <c r="Q21" s="2">
        <f t="shared" ref="Q21:Q28" si="3">+C21-15018.5</f>
        <v>36556.127999999997</v>
      </c>
    </row>
    <row r="22" spans="1:21">
      <c r="A22" t="s">
        <v>40</v>
      </c>
      <c r="C22" s="10">
        <v>56594.503738073145</v>
      </c>
      <c r="D22" s="10"/>
      <c r="E22">
        <f t="shared" si="0"/>
        <v>2570.3408797097532</v>
      </c>
      <c r="F22" s="36">
        <f t="shared" ref="F22:F28" si="4">ROUND(2*E22,0)/2-1.5</f>
        <v>2569</v>
      </c>
      <c r="G22">
        <f t="shared" si="1"/>
        <v>2.6187380731498706</v>
      </c>
      <c r="K22">
        <f>+G22</f>
        <v>2.6187380731498706</v>
      </c>
      <c r="O22">
        <f t="shared" ca="1" si="2"/>
        <v>2.49534733489158</v>
      </c>
      <c r="Q22" s="2">
        <f t="shared" si="3"/>
        <v>41576.003738073145</v>
      </c>
    </row>
    <row r="23" spans="1:21">
      <c r="A23" s="31" t="s">
        <v>45</v>
      </c>
      <c r="B23" s="32" t="s">
        <v>46</v>
      </c>
      <c r="C23" s="33">
        <v>56643.326699999998</v>
      </c>
      <c r="D23" s="34">
        <v>2.9999999999999997E-4</v>
      </c>
      <c r="E23">
        <f t="shared" si="0"/>
        <v>2595.3398361495138</v>
      </c>
      <c r="F23" s="36">
        <f t="shared" si="4"/>
        <v>2594</v>
      </c>
      <c r="G23">
        <f t="shared" si="1"/>
        <v>2.6166999999986729</v>
      </c>
      <c r="J23">
        <f>+G23</f>
        <v>2.6166999999986729</v>
      </c>
      <c r="O23">
        <f t="shared" ca="1" si="2"/>
        <v>2.5129736248282022</v>
      </c>
      <c r="Q23" s="2">
        <f t="shared" si="3"/>
        <v>41624.826699999998</v>
      </c>
    </row>
    <row r="24" spans="1:21">
      <c r="A24" s="30" t="s">
        <v>47</v>
      </c>
      <c r="B24" s="35"/>
      <c r="C24" s="30">
        <v>56934.486299999997</v>
      </c>
      <c r="D24" s="30">
        <v>9.7000000000000003E-3</v>
      </c>
      <c r="E24">
        <f t="shared" si="0"/>
        <v>2744.4230926779314</v>
      </c>
      <c r="F24" s="36">
        <f t="shared" si="4"/>
        <v>2743</v>
      </c>
      <c r="G24">
        <f t="shared" si="1"/>
        <v>2.7793000000019674</v>
      </c>
      <c r="J24">
        <f>+G24</f>
        <v>2.7793000000019674</v>
      </c>
      <c r="O24">
        <f t="shared" ca="1" si="2"/>
        <v>2.6180263128504704</v>
      </c>
      <c r="Q24" s="2">
        <f t="shared" si="3"/>
        <v>41915.986299999997</v>
      </c>
    </row>
    <row r="25" spans="1:21">
      <c r="A25" s="37" t="s">
        <v>1</v>
      </c>
      <c r="B25" s="38" t="s">
        <v>46</v>
      </c>
      <c r="C25" s="39">
        <v>57276.430399999997</v>
      </c>
      <c r="D25" s="39">
        <v>1.2800000000000001E-2</v>
      </c>
      <c r="E25">
        <f t="shared" si="0"/>
        <v>2919.5096774193548</v>
      </c>
      <c r="F25" s="36">
        <f t="shared" si="4"/>
        <v>2918</v>
      </c>
      <c r="G25">
        <f t="shared" si="1"/>
        <v>2.9484000000011292</v>
      </c>
      <c r="K25">
        <f>+G25</f>
        <v>2.9484000000011292</v>
      </c>
      <c r="O25">
        <f t="shared" ca="1" si="2"/>
        <v>2.7414103424068261</v>
      </c>
      <c r="Q25" s="2">
        <f t="shared" si="3"/>
        <v>42257.930399999997</v>
      </c>
    </row>
    <row r="26" spans="1:21">
      <c r="A26" s="40" t="s">
        <v>49</v>
      </c>
      <c r="B26" s="41" t="s">
        <v>46</v>
      </c>
      <c r="C26" s="42">
        <v>57330.356670000001</v>
      </c>
      <c r="D26" s="42">
        <v>2.0000000000000001E-4</v>
      </c>
      <c r="E26">
        <f t="shared" si="0"/>
        <v>2947.1216948284709</v>
      </c>
      <c r="F26" s="36">
        <f t="shared" si="4"/>
        <v>2945.5</v>
      </c>
      <c r="G26">
        <f t="shared" si="1"/>
        <v>3.1671700000078999</v>
      </c>
      <c r="K26">
        <f>+G26</f>
        <v>3.1671700000078999</v>
      </c>
      <c r="O26">
        <f t="shared" ca="1" si="2"/>
        <v>2.7607992613371106</v>
      </c>
      <c r="Q26" s="2">
        <f t="shared" si="3"/>
        <v>42311.856670000001</v>
      </c>
    </row>
    <row r="27" spans="1:21">
      <c r="A27" s="40" t="s">
        <v>49</v>
      </c>
      <c r="B27" s="41" t="s">
        <v>46</v>
      </c>
      <c r="C27" s="42">
        <v>57330.356670000001</v>
      </c>
      <c r="D27" s="42">
        <v>2.0000000000000001E-4</v>
      </c>
      <c r="E27">
        <f t="shared" si="0"/>
        <v>2947.1216948284709</v>
      </c>
      <c r="F27" s="36">
        <f t="shared" si="4"/>
        <v>2945.5</v>
      </c>
      <c r="G27">
        <f t="shared" si="1"/>
        <v>3.1671700000078999</v>
      </c>
      <c r="K27">
        <f>+G27</f>
        <v>3.1671700000078999</v>
      </c>
      <c r="O27">
        <f t="shared" ca="1" si="2"/>
        <v>2.7607992613371106</v>
      </c>
      <c r="Q27" s="2">
        <f t="shared" si="3"/>
        <v>42311.856670000001</v>
      </c>
    </row>
    <row r="28" spans="1:21">
      <c r="A28" s="40" t="s">
        <v>49</v>
      </c>
      <c r="B28" s="41" t="s">
        <v>2</v>
      </c>
      <c r="C28" s="42">
        <v>57330.50965</v>
      </c>
      <c r="D28" s="42">
        <v>2.9999999999999997E-4</v>
      </c>
      <c r="E28">
        <f t="shared" si="0"/>
        <v>2947.2000256016399</v>
      </c>
      <c r="F28" s="36">
        <f t="shared" si="4"/>
        <v>2945.5</v>
      </c>
      <c r="G28">
        <f t="shared" si="1"/>
        <v>3.3201500000068336</v>
      </c>
      <c r="K28">
        <f>+G28</f>
        <v>3.3201500000068336</v>
      </c>
      <c r="O28">
        <f t="shared" ca="1" si="2"/>
        <v>2.7607992613371106</v>
      </c>
      <c r="Q28" s="2">
        <f t="shared" si="3"/>
        <v>42312.00965</v>
      </c>
    </row>
    <row r="29" spans="1:21">
      <c r="A29" s="43" t="s">
        <v>50</v>
      </c>
      <c r="B29" s="44" t="s">
        <v>46</v>
      </c>
      <c r="C29" s="45">
        <v>60211.358700000215</v>
      </c>
      <c r="D29" s="43">
        <v>5.0000000000000001E-4</v>
      </c>
      <c r="E29">
        <f t="shared" ref="E29" si="5">+(C29-C$7)/C$8</f>
        <v>4422.2891449053859</v>
      </c>
      <c r="F29" s="36">
        <f t="shared" ref="F29" si="6">ROUND(2*E29,0)/2-1.5</f>
        <v>4421</v>
      </c>
      <c r="G29">
        <f t="shared" ref="G29" si="7">+C29-(C$7+F29*C$8)</f>
        <v>2.5177000002149725</v>
      </c>
      <c r="K29">
        <f>+G29</f>
        <v>2.5177000002149725</v>
      </c>
      <c r="O29">
        <f t="shared" ref="O29" ca="1" si="8">+C$11+C$12*$F29</f>
        <v>3.8011028933965538</v>
      </c>
      <c r="Q29" s="2">
        <f t="shared" ref="Q29" si="9">+C29-15018.5</f>
        <v>45192.858700000215</v>
      </c>
    </row>
    <row r="30" spans="1:21">
      <c r="C30" s="10"/>
      <c r="D30" s="10"/>
      <c r="Q30" s="2"/>
    </row>
    <row r="31" spans="1:21">
      <c r="C31" s="10"/>
      <c r="D31" s="10"/>
      <c r="Q31" s="2"/>
    </row>
    <row r="32" spans="1:21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hyperlinks>
    <hyperlink ref="H350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2025-01-01T06:26:06Z</dcterms:modified>
</cp:coreProperties>
</file>