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9E6503-FAE9-4599-B5DC-3DAF0AEEC064}" xr6:coauthVersionLast="47" xr6:coauthVersionMax="47" xr10:uidLastSave="{00000000-0000-0000-0000-000000000000}"/>
  <bookViews>
    <workbookView xWindow="12810" yWindow="630" windowWidth="15240" windowHeight="14655" xr2:uid="{00000000-000D-0000-FFFF-FFFF00000000}"/>
  </bookViews>
  <sheets>
    <sheet name="Active" sheetId="1" r:id="rId1"/>
    <sheet name="B" sheetId="2" r:id="rId2"/>
    <sheet name="BAV" sheetId="3" r:id="rId3"/>
  </sheets>
  <definedNames>
    <definedName name="solver_adj" localSheetId="0" hidden="1">Active!$C$11:$C$12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Active!$C$13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C15" i="1" l="1"/>
  <c r="F4" i="1" l="1"/>
  <c r="E112" i="1"/>
  <c r="F112" i="1" s="1"/>
  <c r="P112" i="1"/>
  <c r="E111" i="1"/>
  <c r="F111" i="1" s="1"/>
  <c r="P111" i="1"/>
  <c r="E110" i="1"/>
  <c r="F110" i="1" s="1"/>
  <c r="N110" i="1" s="1"/>
  <c r="P110" i="1"/>
  <c r="E108" i="1"/>
  <c r="F108" i="1" s="1"/>
  <c r="P108" i="1"/>
  <c r="E104" i="1"/>
  <c r="F104" i="1" s="1"/>
  <c r="P104" i="1"/>
  <c r="E109" i="1"/>
  <c r="F109" i="1" s="1"/>
  <c r="P109" i="1"/>
  <c r="C17" i="1"/>
  <c r="D9" i="1"/>
  <c r="C9" i="1"/>
  <c r="E102" i="1"/>
  <c r="F102" i="1" s="1"/>
  <c r="E103" i="1"/>
  <c r="F103" i="1" s="1"/>
  <c r="E105" i="1"/>
  <c r="F105" i="1" s="1"/>
  <c r="E106" i="1"/>
  <c r="F106" i="1" s="1"/>
  <c r="E107" i="1"/>
  <c r="F107" i="1" s="1"/>
  <c r="E22" i="1"/>
  <c r="F22" i="1" s="1"/>
  <c r="E23" i="1"/>
  <c r="F23" i="1" s="1"/>
  <c r="Q23" i="1" s="1"/>
  <c r="E24" i="1"/>
  <c r="F24" i="1" s="1"/>
  <c r="Q24" i="1" s="1"/>
  <c r="E25" i="1"/>
  <c r="E58" i="3" s="1"/>
  <c r="E28" i="1"/>
  <c r="F28" i="1" s="1"/>
  <c r="E30" i="1"/>
  <c r="F30" i="1" s="1"/>
  <c r="E32" i="1"/>
  <c r="F32" i="1" s="1"/>
  <c r="E55" i="1"/>
  <c r="F55" i="1"/>
  <c r="G55" i="1" s="1"/>
  <c r="J55" i="1" s="1"/>
  <c r="E59" i="1"/>
  <c r="F59" i="1" s="1"/>
  <c r="E61" i="1"/>
  <c r="F61" i="1" s="1"/>
  <c r="E62" i="1"/>
  <c r="F62" i="1" s="1"/>
  <c r="E63" i="1"/>
  <c r="F63" i="1" s="1"/>
  <c r="E65" i="1"/>
  <c r="F65" i="1" s="1"/>
  <c r="E67" i="1"/>
  <c r="F67" i="1" s="1"/>
  <c r="E69" i="1"/>
  <c r="F69" i="1" s="1"/>
  <c r="E71" i="1"/>
  <c r="F71" i="1" s="1"/>
  <c r="E82" i="1"/>
  <c r="F82" i="1" s="1"/>
  <c r="E83" i="1"/>
  <c r="F83" i="1" s="1"/>
  <c r="G83" i="1" s="1"/>
  <c r="I83" i="1" s="1"/>
  <c r="E84" i="1"/>
  <c r="F84" i="1" s="1"/>
  <c r="E87" i="1"/>
  <c r="F87" i="1" s="1"/>
  <c r="E88" i="1"/>
  <c r="F88" i="1" s="1"/>
  <c r="E92" i="1"/>
  <c r="F92" i="1" s="1"/>
  <c r="E93" i="1"/>
  <c r="F93" i="1" s="1"/>
  <c r="E94" i="1"/>
  <c r="F94" i="1" s="1"/>
  <c r="N94" i="1" s="1"/>
  <c r="E95" i="1"/>
  <c r="F95" i="1" s="1"/>
  <c r="E96" i="1"/>
  <c r="F96" i="1" s="1"/>
  <c r="E97" i="1"/>
  <c r="F97" i="1" s="1"/>
  <c r="E98" i="1"/>
  <c r="F98" i="1" s="1"/>
  <c r="N98" i="1" s="1"/>
  <c r="E99" i="1"/>
  <c r="F99" i="1" s="1"/>
  <c r="E100" i="1"/>
  <c r="E84" i="3" s="1"/>
  <c r="F100" i="1"/>
  <c r="N100" i="1" s="1"/>
  <c r="E101" i="1"/>
  <c r="E85" i="3" s="1"/>
  <c r="E56" i="1"/>
  <c r="F56" i="1" s="1"/>
  <c r="E60" i="1"/>
  <c r="F60" i="1" s="1"/>
  <c r="E66" i="1"/>
  <c r="F66" i="1"/>
  <c r="N66" i="1" s="1"/>
  <c r="E70" i="1"/>
  <c r="F70" i="1"/>
  <c r="N70" i="1" s="1"/>
  <c r="E73" i="1"/>
  <c r="F73" i="1" s="1"/>
  <c r="E85" i="1"/>
  <c r="F85" i="1" s="1"/>
  <c r="N85" i="1" s="1"/>
  <c r="E86" i="1"/>
  <c r="F86" i="1" s="1"/>
  <c r="E89" i="1"/>
  <c r="F89" i="1" s="1"/>
  <c r="E90" i="1"/>
  <c r="F90" i="1" s="1"/>
  <c r="E91" i="1"/>
  <c r="F91" i="1" s="1"/>
  <c r="G91" i="1" s="1"/>
  <c r="J91" i="1" s="1"/>
  <c r="E57" i="1"/>
  <c r="F57" i="1" s="1"/>
  <c r="E58" i="1"/>
  <c r="F58" i="1"/>
  <c r="N58" i="1" s="1"/>
  <c r="E64" i="1"/>
  <c r="E39" i="3" s="1"/>
  <c r="E68" i="1"/>
  <c r="F68" i="1" s="1"/>
  <c r="N68" i="1" s="1"/>
  <c r="E72" i="1"/>
  <c r="F72" i="1" s="1"/>
  <c r="E74" i="1"/>
  <c r="F74" i="1" s="1"/>
  <c r="E75" i="1"/>
  <c r="F75" i="1" s="1"/>
  <c r="E76" i="1"/>
  <c r="F76" i="1" s="1"/>
  <c r="E77" i="1"/>
  <c r="F77" i="1" s="1"/>
  <c r="E78" i="1"/>
  <c r="F78" i="1" s="1"/>
  <c r="N78" i="1" s="1"/>
  <c r="E79" i="1"/>
  <c r="F79" i="1" s="1"/>
  <c r="G79" i="1" s="1"/>
  <c r="E80" i="1"/>
  <c r="F80" i="1" s="1"/>
  <c r="E81" i="1"/>
  <c r="F81" i="1"/>
  <c r="N81" i="1" s="1"/>
  <c r="E26" i="1"/>
  <c r="F26" i="1" s="1"/>
  <c r="E27" i="1"/>
  <c r="F27" i="1" s="1"/>
  <c r="E29" i="1"/>
  <c r="E12" i="3" s="1"/>
  <c r="E31" i="1"/>
  <c r="F31" i="1" s="1"/>
  <c r="E33" i="1"/>
  <c r="F33" i="1" s="1"/>
  <c r="E34" i="1"/>
  <c r="E15" i="3" s="1"/>
  <c r="E35" i="1"/>
  <c r="F35" i="1" s="1"/>
  <c r="G35" i="1" s="1"/>
  <c r="I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E23" i="3" s="1"/>
  <c r="F42" i="1"/>
  <c r="N42" i="1" s="1"/>
  <c r="E43" i="1"/>
  <c r="F43" i="1" s="1"/>
  <c r="E44" i="1"/>
  <c r="E25" i="3" s="1"/>
  <c r="E45" i="1"/>
  <c r="F45" i="1" s="1"/>
  <c r="N45" i="1" s="1"/>
  <c r="E46" i="1"/>
  <c r="E27" i="3" s="1"/>
  <c r="E47" i="1"/>
  <c r="F47" i="1" s="1"/>
  <c r="E48" i="1"/>
  <c r="F48" i="1" s="1"/>
  <c r="E49" i="1"/>
  <c r="F49" i="1" s="1"/>
  <c r="E50" i="1"/>
  <c r="E31" i="3" s="1"/>
  <c r="E51" i="1"/>
  <c r="F51" i="1" s="1"/>
  <c r="G51" i="1" s="1"/>
  <c r="I51" i="1" s="1"/>
  <c r="E52" i="1"/>
  <c r="F52" i="1" s="1"/>
  <c r="E53" i="1"/>
  <c r="F53" i="1" s="1"/>
  <c r="E54" i="1"/>
  <c r="F54" i="1" s="1"/>
  <c r="G54" i="1" s="1"/>
  <c r="I54" i="1" s="1"/>
  <c r="E21" i="1"/>
  <c r="F21" i="1" s="1"/>
  <c r="P22" i="1"/>
  <c r="P23" i="1"/>
  <c r="P24" i="1"/>
  <c r="P25" i="1"/>
  <c r="P28" i="1"/>
  <c r="P30" i="1"/>
  <c r="P32" i="1"/>
  <c r="P55" i="1"/>
  <c r="P59" i="1"/>
  <c r="P61" i="1"/>
  <c r="P62" i="1"/>
  <c r="P63" i="1"/>
  <c r="P65" i="1"/>
  <c r="P67" i="1"/>
  <c r="P69" i="1"/>
  <c r="P71" i="1"/>
  <c r="P82" i="1"/>
  <c r="P83" i="1"/>
  <c r="P84" i="1"/>
  <c r="P87" i="1"/>
  <c r="P88" i="1"/>
  <c r="P92" i="1"/>
  <c r="P93" i="1"/>
  <c r="P94" i="1"/>
  <c r="P95" i="1"/>
  <c r="P96" i="1"/>
  <c r="P97" i="1"/>
  <c r="P98" i="1"/>
  <c r="P99" i="1"/>
  <c r="P100" i="1"/>
  <c r="P101" i="1"/>
  <c r="P102" i="1"/>
  <c r="P103" i="1"/>
  <c r="P105" i="1"/>
  <c r="P106" i="1"/>
  <c r="P107" i="1"/>
  <c r="G56" i="3"/>
  <c r="C56" i="3"/>
  <c r="G57" i="3"/>
  <c r="C57" i="3"/>
  <c r="G58" i="3"/>
  <c r="C58" i="3"/>
  <c r="G11" i="3"/>
  <c r="C11" i="3"/>
  <c r="G59" i="3"/>
  <c r="C59" i="3"/>
  <c r="E59" i="3"/>
  <c r="G12" i="3"/>
  <c r="C12" i="3"/>
  <c r="G60" i="3"/>
  <c r="C60" i="3"/>
  <c r="G13" i="3"/>
  <c r="C13" i="3"/>
  <c r="G61" i="3"/>
  <c r="C61" i="3"/>
  <c r="E61" i="3"/>
  <c r="G14" i="3"/>
  <c r="C14" i="3"/>
  <c r="E14" i="3"/>
  <c r="G15" i="3"/>
  <c r="C15" i="3"/>
  <c r="G16" i="3"/>
  <c r="C16" i="3"/>
  <c r="E16" i="3"/>
  <c r="G17" i="3"/>
  <c r="C17" i="3"/>
  <c r="G18" i="3"/>
  <c r="C18" i="3"/>
  <c r="G19" i="3"/>
  <c r="C19" i="3"/>
  <c r="G20" i="3"/>
  <c r="C20" i="3"/>
  <c r="G21" i="3"/>
  <c r="C21" i="3"/>
  <c r="E21" i="3"/>
  <c r="G22" i="3"/>
  <c r="C22" i="3"/>
  <c r="E22" i="3"/>
  <c r="G23" i="3"/>
  <c r="C23" i="3"/>
  <c r="G24" i="3"/>
  <c r="C24" i="3"/>
  <c r="G25" i="3"/>
  <c r="C25" i="3"/>
  <c r="G26" i="3"/>
  <c r="C26" i="3"/>
  <c r="E26" i="3"/>
  <c r="G27" i="3"/>
  <c r="C27" i="3"/>
  <c r="G28" i="3"/>
  <c r="C28" i="3"/>
  <c r="E28" i="3"/>
  <c r="G29" i="3"/>
  <c r="C29" i="3"/>
  <c r="G30" i="3"/>
  <c r="C30" i="3"/>
  <c r="G31" i="3"/>
  <c r="C31" i="3"/>
  <c r="G32" i="3"/>
  <c r="C32" i="3"/>
  <c r="G33" i="3"/>
  <c r="C33" i="3"/>
  <c r="E33" i="3"/>
  <c r="G34" i="3"/>
  <c r="C34" i="3"/>
  <c r="E34" i="3"/>
  <c r="G35" i="3"/>
  <c r="C35" i="3"/>
  <c r="G62" i="3"/>
  <c r="C62" i="3"/>
  <c r="E62" i="3"/>
  <c r="G36" i="3"/>
  <c r="C36" i="3"/>
  <c r="E36" i="3"/>
  <c r="G37" i="3"/>
  <c r="C37" i="3"/>
  <c r="G38" i="3"/>
  <c r="C38" i="3"/>
  <c r="E38" i="3"/>
  <c r="G63" i="3"/>
  <c r="C63" i="3"/>
  <c r="G64" i="3"/>
  <c r="C64" i="3"/>
  <c r="G65" i="3"/>
  <c r="C65" i="3"/>
  <c r="G66" i="3"/>
  <c r="C66" i="3"/>
  <c r="G39" i="3"/>
  <c r="C39" i="3"/>
  <c r="G67" i="3"/>
  <c r="C67" i="3"/>
  <c r="E67" i="3"/>
  <c r="G68" i="3"/>
  <c r="C68" i="3"/>
  <c r="E68" i="3"/>
  <c r="G40" i="3"/>
  <c r="C40" i="3"/>
  <c r="E40" i="3"/>
  <c r="G69" i="3"/>
  <c r="C69" i="3"/>
  <c r="G70" i="3"/>
  <c r="C70" i="3"/>
  <c r="E70" i="3"/>
  <c r="G41" i="3"/>
  <c r="C41" i="3"/>
  <c r="E41" i="3"/>
  <c r="G42" i="3"/>
  <c r="C42" i="3"/>
  <c r="G43" i="3"/>
  <c r="C43" i="3"/>
  <c r="E43" i="3"/>
  <c r="G44" i="3"/>
  <c r="C44" i="3"/>
  <c r="G45" i="3"/>
  <c r="C45" i="3"/>
  <c r="G46" i="3"/>
  <c r="C46" i="3"/>
  <c r="G47" i="3"/>
  <c r="C47" i="3"/>
  <c r="G48" i="3"/>
  <c r="C48" i="3"/>
  <c r="E48" i="3"/>
  <c r="G49" i="3"/>
  <c r="C49" i="3"/>
  <c r="E49" i="3"/>
  <c r="G71" i="3"/>
  <c r="C71" i="3"/>
  <c r="G72" i="3"/>
  <c r="C72" i="3"/>
  <c r="G73" i="3"/>
  <c r="C73" i="3"/>
  <c r="G50" i="3"/>
  <c r="C50" i="3"/>
  <c r="E50" i="3"/>
  <c r="G51" i="3"/>
  <c r="C51" i="3"/>
  <c r="E51" i="3"/>
  <c r="G74" i="3"/>
  <c r="C74" i="3"/>
  <c r="E74" i="3"/>
  <c r="G75" i="3"/>
  <c r="C75" i="3"/>
  <c r="E75" i="3"/>
  <c r="G52" i="3"/>
  <c r="C52" i="3"/>
  <c r="E52" i="3"/>
  <c r="G53" i="3"/>
  <c r="C53" i="3"/>
  <c r="E53" i="3"/>
  <c r="G54" i="3"/>
  <c r="C54" i="3"/>
  <c r="G76" i="3"/>
  <c r="C76" i="3"/>
  <c r="G77" i="3"/>
  <c r="C77" i="3"/>
  <c r="G78" i="3"/>
  <c r="C78" i="3"/>
  <c r="G79" i="3"/>
  <c r="C79" i="3"/>
  <c r="G80" i="3"/>
  <c r="C80" i="3"/>
  <c r="E80" i="3"/>
  <c r="G81" i="3"/>
  <c r="C81" i="3"/>
  <c r="E81" i="3"/>
  <c r="G82" i="3"/>
  <c r="C82" i="3"/>
  <c r="G83" i="3"/>
  <c r="C83" i="3"/>
  <c r="G84" i="3"/>
  <c r="C84" i="3"/>
  <c r="G85" i="3"/>
  <c r="C85" i="3"/>
  <c r="G86" i="3"/>
  <c r="C86" i="3"/>
  <c r="E86" i="3"/>
  <c r="G87" i="3"/>
  <c r="C87" i="3"/>
  <c r="G88" i="3"/>
  <c r="C88" i="3"/>
  <c r="G89" i="3"/>
  <c r="C89" i="3"/>
  <c r="G90" i="3"/>
  <c r="C90" i="3"/>
  <c r="E90" i="3"/>
  <c r="G55" i="3"/>
  <c r="C55" i="3"/>
  <c r="E55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F82" i="3"/>
  <c r="D82" i="3"/>
  <c r="A82" i="3"/>
  <c r="H81" i="3"/>
  <c r="F81" i="3"/>
  <c r="D81" i="3"/>
  <c r="B81" i="3"/>
  <c r="A81" i="3"/>
  <c r="H80" i="3"/>
  <c r="B80" i="3"/>
  <c r="F80" i="3"/>
  <c r="D80" i="3"/>
  <c r="A80" i="3"/>
  <c r="H79" i="3"/>
  <c r="F79" i="3"/>
  <c r="D79" i="3"/>
  <c r="B79" i="3"/>
  <c r="A79" i="3"/>
  <c r="H78" i="3"/>
  <c r="B78" i="3"/>
  <c r="F78" i="3"/>
  <c r="D78" i="3"/>
  <c r="A78" i="3"/>
  <c r="H77" i="3"/>
  <c r="B77" i="3"/>
  <c r="D77" i="3"/>
  <c r="A77" i="3"/>
  <c r="H76" i="3"/>
  <c r="B76" i="3"/>
  <c r="D76" i="3"/>
  <c r="A76" i="3"/>
  <c r="H54" i="3"/>
  <c r="B54" i="3"/>
  <c r="D54" i="3"/>
  <c r="A54" i="3"/>
  <c r="H53" i="3"/>
  <c r="B53" i="3"/>
  <c r="D53" i="3"/>
  <c r="A53" i="3"/>
  <c r="H52" i="3"/>
  <c r="B52" i="3"/>
  <c r="D52" i="3"/>
  <c r="A52" i="3"/>
  <c r="H75" i="3"/>
  <c r="B75" i="3"/>
  <c r="D75" i="3"/>
  <c r="A75" i="3"/>
  <c r="H74" i="3"/>
  <c r="B74" i="3"/>
  <c r="D74" i="3"/>
  <c r="A74" i="3"/>
  <c r="H51" i="3"/>
  <c r="B51" i="3"/>
  <c r="D51" i="3"/>
  <c r="A51" i="3"/>
  <c r="H50" i="3"/>
  <c r="B50" i="3"/>
  <c r="D50" i="3"/>
  <c r="A50" i="3"/>
  <c r="H73" i="3"/>
  <c r="B73" i="3"/>
  <c r="D73" i="3"/>
  <c r="A73" i="3"/>
  <c r="H72" i="3"/>
  <c r="B72" i="3"/>
  <c r="D72" i="3"/>
  <c r="A72" i="3"/>
  <c r="H71" i="3"/>
  <c r="B71" i="3"/>
  <c r="D71" i="3"/>
  <c r="A71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70" i="3"/>
  <c r="B70" i="3"/>
  <c r="D70" i="3"/>
  <c r="A70" i="3"/>
  <c r="H69" i="3"/>
  <c r="B69" i="3"/>
  <c r="D69" i="3"/>
  <c r="A69" i="3"/>
  <c r="H40" i="3"/>
  <c r="B40" i="3"/>
  <c r="D40" i="3"/>
  <c r="A40" i="3"/>
  <c r="H68" i="3"/>
  <c r="B68" i="3"/>
  <c r="D68" i="3"/>
  <c r="A68" i="3"/>
  <c r="H67" i="3"/>
  <c r="B67" i="3"/>
  <c r="D67" i="3"/>
  <c r="A67" i="3"/>
  <c r="H39" i="3"/>
  <c r="B39" i="3"/>
  <c r="D39" i="3"/>
  <c r="A39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38" i="3"/>
  <c r="B38" i="3"/>
  <c r="D38" i="3"/>
  <c r="A38" i="3"/>
  <c r="H37" i="3"/>
  <c r="B37" i="3"/>
  <c r="D37" i="3"/>
  <c r="A37" i="3"/>
  <c r="H36" i="3"/>
  <c r="B36" i="3"/>
  <c r="D36" i="3"/>
  <c r="A36" i="3"/>
  <c r="H62" i="3"/>
  <c r="B62" i="3"/>
  <c r="D62" i="3"/>
  <c r="A62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61" i="3"/>
  <c r="B61" i="3"/>
  <c r="D61" i="3"/>
  <c r="A61" i="3"/>
  <c r="H13" i="3"/>
  <c r="B13" i="3"/>
  <c r="D13" i="3"/>
  <c r="A13" i="3"/>
  <c r="H60" i="3"/>
  <c r="B60" i="3"/>
  <c r="D60" i="3"/>
  <c r="A60" i="3"/>
  <c r="H12" i="3"/>
  <c r="B12" i="3"/>
  <c r="D12" i="3"/>
  <c r="A12" i="3"/>
  <c r="H59" i="3"/>
  <c r="B59" i="3"/>
  <c r="D59" i="3"/>
  <c r="A59" i="3"/>
  <c r="H11" i="3"/>
  <c r="B11" i="3"/>
  <c r="D11" i="3"/>
  <c r="A11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E36" i="2"/>
  <c r="F36" i="2"/>
  <c r="G36" i="2"/>
  <c r="I36" i="2"/>
  <c r="E37" i="2"/>
  <c r="F37" i="2"/>
  <c r="G37" i="2"/>
  <c r="I37" i="2"/>
  <c r="E38" i="2"/>
  <c r="F38" i="2"/>
  <c r="G38" i="2"/>
  <c r="M38" i="2"/>
  <c r="E9" i="2"/>
  <c r="D9" i="2"/>
  <c r="P36" i="2"/>
  <c r="P37" i="2"/>
  <c r="P38" i="2"/>
  <c r="E22" i="2"/>
  <c r="F22" i="2"/>
  <c r="G22" i="2"/>
  <c r="I22" i="2"/>
  <c r="E25" i="2"/>
  <c r="F25" i="2"/>
  <c r="G25" i="2"/>
  <c r="I25" i="2"/>
  <c r="E34" i="2"/>
  <c r="F34" i="2"/>
  <c r="G34" i="2"/>
  <c r="I34" i="2"/>
  <c r="E35" i="2"/>
  <c r="F35" i="2"/>
  <c r="G35" i="2"/>
  <c r="I35" i="2"/>
  <c r="E33" i="2"/>
  <c r="F33" i="2"/>
  <c r="G33" i="2"/>
  <c r="M33" i="2"/>
  <c r="E23" i="2"/>
  <c r="F23" i="2"/>
  <c r="G23" i="2"/>
  <c r="I23" i="2"/>
  <c r="E24" i="2"/>
  <c r="F24" i="2"/>
  <c r="G24" i="2"/>
  <c r="I24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21" i="2"/>
  <c r="F21" i="2"/>
  <c r="P22" i="2"/>
  <c r="P25" i="2"/>
  <c r="P34" i="2"/>
  <c r="P35" i="2"/>
  <c r="P33" i="2"/>
  <c r="F16" i="2"/>
  <c r="F17" i="2" s="1"/>
  <c r="C17" i="2"/>
  <c r="P21" i="2"/>
  <c r="P23" i="2"/>
  <c r="P24" i="2"/>
  <c r="P26" i="2"/>
  <c r="P27" i="2"/>
  <c r="P28" i="2"/>
  <c r="P29" i="2"/>
  <c r="P30" i="2"/>
  <c r="P31" i="2"/>
  <c r="P32" i="2"/>
  <c r="P86" i="1"/>
  <c r="P89" i="1"/>
  <c r="P90" i="1"/>
  <c r="P91" i="1"/>
  <c r="P85" i="1"/>
  <c r="P27" i="1"/>
  <c r="P29" i="1"/>
  <c r="P31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7" i="1"/>
  <c r="P58" i="1"/>
  <c r="P64" i="1"/>
  <c r="P68" i="1"/>
  <c r="P72" i="1"/>
  <c r="P74" i="1"/>
  <c r="P75" i="1"/>
  <c r="P76" i="1"/>
  <c r="P77" i="1"/>
  <c r="P78" i="1"/>
  <c r="P79" i="1"/>
  <c r="P80" i="1"/>
  <c r="P81" i="1"/>
  <c r="P26" i="1"/>
  <c r="C16" i="1"/>
  <c r="D18" i="1" s="1"/>
  <c r="C18" i="1"/>
  <c r="P21" i="1"/>
  <c r="P56" i="1"/>
  <c r="P60" i="1"/>
  <c r="P66" i="1"/>
  <c r="P70" i="1"/>
  <c r="P73" i="1"/>
  <c r="N91" i="1"/>
  <c r="R91" i="1" s="1"/>
  <c r="T91" i="1" s="1"/>
  <c r="G98" i="1"/>
  <c r="K98" i="1" s="1"/>
  <c r="N79" i="1"/>
  <c r="R79" i="1" s="1"/>
  <c r="T79" i="1" s="1"/>
  <c r="G70" i="1"/>
  <c r="J70" i="1" s="1"/>
  <c r="C11" i="2"/>
  <c r="C12" i="2"/>
  <c r="G89" i="1" l="1"/>
  <c r="N89" i="1"/>
  <c r="N71" i="1"/>
  <c r="G71" i="1"/>
  <c r="J71" i="1" s="1"/>
  <c r="N40" i="1"/>
  <c r="G40" i="1"/>
  <c r="I40" i="1" s="1"/>
  <c r="N52" i="1"/>
  <c r="G52" i="1"/>
  <c r="I52" i="1" s="1"/>
  <c r="N102" i="1"/>
  <c r="G102" i="1"/>
  <c r="K102" i="1" s="1"/>
  <c r="E42" i="3"/>
  <c r="E37" i="3"/>
  <c r="E56" i="3"/>
  <c r="E32" i="3"/>
  <c r="F64" i="1"/>
  <c r="G64" i="1" s="1"/>
  <c r="F25" i="1"/>
  <c r="N25" i="1" s="1"/>
  <c r="N72" i="1"/>
  <c r="G72" i="1"/>
  <c r="G90" i="1"/>
  <c r="J90" i="1" s="1"/>
  <c r="N90" i="1"/>
  <c r="N88" i="1"/>
  <c r="G88" i="1"/>
  <c r="I88" i="1" s="1"/>
  <c r="N107" i="1"/>
  <c r="R107" i="1" s="1"/>
  <c r="T107" i="1" s="1"/>
  <c r="G107" i="1"/>
  <c r="K107" i="1" s="1"/>
  <c r="N41" i="1"/>
  <c r="G41" i="1"/>
  <c r="I41" i="1" s="1"/>
  <c r="G111" i="1"/>
  <c r="N111" i="1"/>
  <c r="G96" i="1"/>
  <c r="K96" i="1" s="1"/>
  <c r="N96" i="1"/>
  <c r="R96" i="1" s="1"/>
  <c r="T96" i="1" s="1"/>
  <c r="G80" i="1"/>
  <c r="N80" i="1"/>
  <c r="G73" i="1"/>
  <c r="J73" i="1" s="1"/>
  <c r="N73" i="1"/>
  <c r="R73" i="1" s="1"/>
  <c r="T73" i="1" s="1"/>
  <c r="G28" i="1"/>
  <c r="I28" i="1" s="1"/>
  <c r="N28" i="1"/>
  <c r="R28" i="1" s="1"/>
  <c r="T28" i="1" s="1"/>
  <c r="Q25" i="1"/>
  <c r="E77" i="3"/>
  <c r="F101" i="1"/>
  <c r="E79" i="3"/>
  <c r="G58" i="1"/>
  <c r="R58" i="1" s="1"/>
  <c r="T58" i="1" s="1"/>
  <c r="G81" i="1"/>
  <c r="R81" i="1" s="1"/>
  <c r="T81" i="1" s="1"/>
  <c r="G66" i="1"/>
  <c r="J66" i="1" s="1"/>
  <c r="E65" i="3"/>
  <c r="F46" i="1"/>
  <c r="R102" i="1"/>
  <c r="T102" i="1" s="1"/>
  <c r="E88" i="3"/>
  <c r="E72" i="3"/>
  <c r="G42" i="1"/>
  <c r="I42" i="1" s="1"/>
  <c r="E24" i="3"/>
  <c r="E71" i="3"/>
  <c r="R40" i="1"/>
  <c r="T40" i="1" s="1"/>
  <c r="E45" i="3"/>
  <c r="G100" i="1"/>
  <c r="K100" i="1" s="1"/>
  <c r="E64" i="3"/>
  <c r="E20" i="3"/>
  <c r="G27" i="1"/>
  <c r="I27" i="1" s="1"/>
  <c r="N27" i="1"/>
  <c r="G37" i="1"/>
  <c r="I37" i="1" s="1"/>
  <c r="N37" i="1"/>
  <c r="R37" i="1" s="1"/>
  <c r="T37" i="1" s="1"/>
  <c r="N105" i="1"/>
  <c r="R105" i="1" s="1"/>
  <c r="T105" i="1" s="1"/>
  <c r="G105" i="1"/>
  <c r="K105" i="1" s="1"/>
  <c r="N77" i="1"/>
  <c r="G77" i="1"/>
  <c r="G47" i="1"/>
  <c r="I47" i="1" s="1"/>
  <c r="N47" i="1"/>
  <c r="N36" i="1"/>
  <c r="G36" i="1"/>
  <c r="I36" i="1" s="1"/>
  <c r="G53" i="1"/>
  <c r="I53" i="1" s="1"/>
  <c r="N53" i="1"/>
  <c r="N86" i="1"/>
  <c r="G86" i="1"/>
  <c r="J86" i="1" s="1"/>
  <c r="G69" i="1"/>
  <c r="J69" i="1" s="1"/>
  <c r="N69" i="1"/>
  <c r="G95" i="1"/>
  <c r="K95" i="1" s="1"/>
  <c r="N95" i="1"/>
  <c r="R95" i="1" s="1"/>
  <c r="T95" i="1" s="1"/>
  <c r="G56" i="1"/>
  <c r="J56" i="1" s="1"/>
  <c r="N56" i="1"/>
  <c r="G67" i="1"/>
  <c r="J67" i="1" s="1"/>
  <c r="N67" i="1"/>
  <c r="N84" i="1"/>
  <c r="G84" i="1"/>
  <c r="I84" i="1" s="1"/>
  <c r="G43" i="1"/>
  <c r="I43" i="1" s="1"/>
  <c r="N43" i="1"/>
  <c r="R43" i="1" s="1"/>
  <c r="T43" i="1" s="1"/>
  <c r="G87" i="1"/>
  <c r="I87" i="1" s="1"/>
  <c r="N87" i="1"/>
  <c r="R52" i="1"/>
  <c r="T52" i="1" s="1"/>
  <c r="E78" i="3"/>
  <c r="R88" i="1"/>
  <c r="T88" i="1" s="1"/>
  <c r="N24" i="1"/>
  <c r="G68" i="1"/>
  <c r="R68" i="1" s="1"/>
  <c r="T68" i="1" s="1"/>
  <c r="E89" i="3"/>
  <c r="E69" i="3"/>
  <c r="E83" i="3"/>
  <c r="N55" i="1"/>
  <c r="R55" i="1" s="1"/>
  <c r="T55" i="1" s="1"/>
  <c r="E30" i="3"/>
  <c r="E18" i="3"/>
  <c r="E57" i="3"/>
  <c r="R70" i="1"/>
  <c r="T70" i="1" s="1"/>
  <c r="G110" i="1"/>
  <c r="K110" i="1" s="1"/>
  <c r="E73" i="3"/>
  <c r="E46" i="3"/>
  <c r="E11" i="3"/>
  <c r="R71" i="1"/>
  <c r="T71" i="1" s="1"/>
  <c r="J89" i="1"/>
  <c r="G85" i="1"/>
  <c r="K85" i="1" s="1"/>
  <c r="E17" i="3"/>
  <c r="F6" i="1"/>
  <c r="F8" i="1" s="1"/>
  <c r="N60" i="1"/>
  <c r="G60" i="1"/>
  <c r="J60" i="1" s="1"/>
  <c r="G99" i="1"/>
  <c r="K99" i="1" s="1"/>
  <c r="N99" i="1"/>
  <c r="R99" i="1" s="1"/>
  <c r="T99" i="1" s="1"/>
  <c r="N106" i="1"/>
  <c r="R106" i="1" s="1"/>
  <c r="T106" i="1" s="1"/>
  <c r="G106" i="1"/>
  <c r="K106" i="1" s="1"/>
  <c r="N54" i="1"/>
  <c r="R54" i="1" s="1"/>
  <c r="T54" i="1" s="1"/>
  <c r="G48" i="1"/>
  <c r="I48" i="1" s="1"/>
  <c r="N48" i="1"/>
  <c r="N26" i="1"/>
  <c r="Q26" i="1"/>
  <c r="R98" i="1"/>
  <c r="T98" i="1" s="1"/>
  <c r="G93" i="1"/>
  <c r="K93" i="1" s="1"/>
  <c r="N93" i="1"/>
  <c r="N49" i="1"/>
  <c r="G49" i="1"/>
  <c r="I49" i="1" s="1"/>
  <c r="N39" i="1"/>
  <c r="G39" i="1"/>
  <c r="I39" i="1" s="1"/>
  <c r="G97" i="1"/>
  <c r="K97" i="1" s="1"/>
  <c r="N97" i="1"/>
  <c r="G92" i="1"/>
  <c r="I92" i="1" s="1"/>
  <c r="N92" i="1"/>
  <c r="N32" i="1"/>
  <c r="G32" i="1"/>
  <c r="I32" i="1" s="1"/>
  <c r="G109" i="1"/>
  <c r="K109" i="1" s="1"/>
  <c r="N109" i="1"/>
  <c r="N103" i="1"/>
  <c r="G103" i="1"/>
  <c r="K103" i="1" s="1"/>
  <c r="N21" i="1"/>
  <c r="Q21" i="1"/>
  <c r="N65" i="1"/>
  <c r="G65" i="1"/>
  <c r="J65" i="1" s="1"/>
  <c r="N38" i="1"/>
  <c r="G38" i="1"/>
  <c r="I38" i="1" s="1"/>
  <c r="N76" i="1"/>
  <c r="G76" i="1"/>
  <c r="N82" i="1"/>
  <c r="R82" i="1" s="1"/>
  <c r="T82" i="1" s="1"/>
  <c r="Q82" i="1"/>
  <c r="G30" i="1"/>
  <c r="I30" i="1" s="1"/>
  <c r="N30" i="1"/>
  <c r="Q22" i="1"/>
  <c r="N22" i="1"/>
  <c r="G33" i="1"/>
  <c r="I33" i="1" s="1"/>
  <c r="N33" i="1"/>
  <c r="G75" i="1"/>
  <c r="N75" i="1"/>
  <c r="G63" i="1"/>
  <c r="J63" i="1" s="1"/>
  <c r="N63" i="1"/>
  <c r="G104" i="1"/>
  <c r="K104" i="1" s="1"/>
  <c r="N104" i="1"/>
  <c r="R41" i="1"/>
  <c r="T41" i="1" s="1"/>
  <c r="G31" i="1"/>
  <c r="I31" i="1" s="1"/>
  <c r="N31" i="1"/>
  <c r="G74" i="1"/>
  <c r="N74" i="1"/>
  <c r="G62" i="1"/>
  <c r="J62" i="1" s="1"/>
  <c r="N62" i="1"/>
  <c r="N57" i="1"/>
  <c r="G57" i="1"/>
  <c r="G61" i="1"/>
  <c r="J61" i="1" s="1"/>
  <c r="N61" i="1"/>
  <c r="G108" i="1"/>
  <c r="K108" i="1" s="1"/>
  <c r="N108" i="1"/>
  <c r="N59" i="1"/>
  <c r="G59" i="1"/>
  <c r="J59" i="1" s="1"/>
  <c r="R90" i="1"/>
  <c r="T90" i="1" s="1"/>
  <c r="E82" i="3"/>
  <c r="E66" i="3"/>
  <c r="E35" i="3"/>
  <c r="E19" i="3"/>
  <c r="E60" i="3"/>
  <c r="G78" i="1"/>
  <c r="R78" i="1" s="1"/>
  <c r="T78" i="1" s="1"/>
  <c r="N64" i="1"/>
  <c r="R64" i="1" s="1"/>
  <c r="T64" i="1" s="1"/>
  <c r="N35" i="1"/>
  <c r="R35" i="1" s="1"/>
  <c r="T35" i="1" s="1"/>
  <c r="N51" i="1"/>
  <c r="R51" i="1" s="1"/>
  <c r="T51" i="1" s="1"/>
  <c r="E87" i="3"/>
  <c r="E47" i="3"/>
  <c r="E63" i="3"/>
  <c r="N23" i="1"/>
  <c r="F50" i="1"/>
  <c r="F44" i="1"/>
  <c r="F34" i="1"/>
  <c r="F29" i="1"/>
  <c r="G94" i="1"/>
  <c r="K94" i="1" s="1"/>
  <c r="E76" i="3"/>
  <c r="E44" i="3"/>
  <c r="E29" i="3"/>
  <c r="N83" i="1"/>
  <c r="R83" i="1" s="1"/>
  <c r="T83" i="1" s="1"/>
  <c r="G45" i="1"/>
  <c r="I45" i="1" s="1"/>
  <c r="E54" i="3"/>
  <c r="E13" i="3"/>
  <c r="F7" i="1"/>
  <c r="F5" i="1"/>
  <c r="G112" i="1"/>
  <c r="K112" i="1" s="1"/>
  <c r="N112" i="1"/>
  <c r="C16" i="2"/>
  <c r="D18" i="2" s="1"/>
  <c r="N29" i="2"/>
  <c r="C15" i="2"/>
  <c r="N27" i="2"/>
  <c r="N25" i="2"/>
  <c r="N37" i="2"/>
  <c r="N23" i="2"/>
  <c r="N35" i="2"/>
  <c r="N26" i="2"/>
  <c r="N22" i="2"/>
  <c r="N33" i="2"/>
  <c r="N38" i="2"/>
  <c r="N30" i="2"/>
  <c r="N24" i="2"/>
  <c r="N21" i="2"/>
  <c r="N32" i="2"/>
  <c r="N34" i="2"/>
  <c r="N31" i="2"/>
  <c r="N36" i="2"/>
  <c r="N28" i="2"/>
  <c r="R62" i="1" l="1"/>
  <c r="T62" i="1" s="1"/>
  <c r="R48" i="1"/>
  <c r="T48" i="1" s="1"/>
  <c r="R75" i="1"/>
  <c r="T75" i="1" s="1"/>
  <c r="R92" i="1"/>
  <c r="T92" i="1" s="1"/>
  <c r="R61" i="1"/>
  <c r="T61" i="1" s="1"/>
  <c r="R31" i="1"/>
  <c r="T31" i="1" s="1"/>
  <c r="R69" i="1"/>
  <c r="T69" i="1" s="1"/>
  <c r="R42" i="1"/>
  <c r="T42" i="1" s="1"/>
  <c r="R76" i="1"/>
  <c r="T76" i="1" s="1"/>
  <c r="R103" i="1"/>
  <c r="T103" i="1" s="1"/>
  <c r="R104" i="1"/>
  <c r="T104" i="1" s="1"/>
  <c r="R109" i="1"/>
  <c r="T109" i="1" s="1"/>
  <c r="R72" i="1"/>
  <c r="T72" i="1" s="1"/>
  <c r="R89" i="1"/>
  <c r="T89" i="1" s="1"/>
  <c r="R56" i="1"/>
  <c r="T56" i="1" s="1"/>
  <c r="N46" i="1"/>
  <c r="G46" i="1"/>
  <c r="I46" i="1" s="1"/>
  <c r="R65" i="1"/>
  <c r="T65" i="1" s="1"/>
  <c r="R49" i="1"/>
  <c r="T49" i="1" s="1"/>
  <c r="R66" i="1"/>
  <c r="T66" i="1" s="1"/>
  <c r="R57" i="1"/>
  <c r="T57" i="1" s="1"/>
  <c r="R32" i="1"/>
  <c r="T32" i="1" s="1"/>
  <c r="R60" i="1"/>
  <c r="T60" i="1" s="1"/>
  <c r="R111" i="1"/>
  <c r="T111" i="1" s="1"/>
  <c r="K111" i="1"/>
  <c r="G101" i="1"/>
  <c r="K101" i="1" s="1"/>
  <c r="N101" i="1"/>
  <c r="R101" i="1" s="1"/>
  <c r="T101" i="1" s="1"/>
  <c r="R80" i="1"/>
  <c r="T80" i="1" s="1"/>
  <c r="R100" i="1"/>
  <c r="T100" i="1" s="1"/>
  <c r="R87" i="1"/>
  <c r="T87" i="1" s="1"/>
  <c r="R59" i="1"/>
  <c r="T59" i="1" s="1"/>
  <c r="R86" i="1"/>
  <c r="T86" i="1" s="1"/>
  <c r="R77" i="1"/>
  <c r="T77" i="1" s="1"/>
  <c r="R53" i="1"/>
  <c r="T53" i="1" s="1"/>
  <c r="R36" i="1"/>
  <c r="T36" i="1" s="1"/>
  <c r="R84" i="1"/>
  <c r="T84" i="1" s="1"/>
  <c r="R47" i="1"/>
  <c r="T47" i="1" s="1"/>
  <c r="R27" i="1"/>
  <c r="T27" i="1" s="1"/>
  <c r="R110" i="1"/>
  <c r="T110" i="1" s="1"/>
  <c r="R67" i="1"/>
  <c r="T67" i="1" s="1"/>
  <c r="R85" i="1"/>
  <c r="T85" i="1" s="1"/>
  <c r="G29" i="1"/>
  <c r="I29" i="1" s="1"/>
  <c r="N29" i="1"/>
  <c r="R29" i="1" s="1"/>
  <c r="T29" i="1" s="1"/>
  <c r="G34" i="1"/>
  <c r="I34" i="1" s="1"/>
  <c r="N34" i="1"/>
  <c r="R112" i="1"/>
  <c r="T112" i="1" s="1"/>
  <c r="N44" i="1"/>
  <c r="G44" i="1"/>
  <c r="I44" i="1" s="1"/>
  <c r="R33" i="1"/>
  <c r="T33" i="1" s="1"/>
  <c r="R97" i="1"/>
  <c r="T97" i="1" s="1"/>
  <c r="R93" i="1"/>
  <c r="T93" i="1" s="1"/>
  <c r="N50" i="1"/>
  <c r="G50" i="1"/>
  <c r="I50" i="1" s="1"/>
  <c r="R94" i="1"/>
  <c r="T94" i="1" s="1"/>
  <c r="R38" i="1"/>
  <c r="T38" i="1" s="1"/>
  <c r="R39" i="1"/>
  <c r="T39" i="1" s="1"/>
  <c r="R108" i="1"/>
  <c r="T108" i="1" s="1"/>
  <c r="R74" i="1"/>
  <c r="T74" i="1" s="1"/>
  <c r="R63" i="1"/>
  <c r="T63" i="1" s="1"/>
  <c r="R30" i="1"/>
  <c r="T30" i="1" s="1"/>
  <c r="R45" i="1"/>
  <c r="T45" i="1" s="1"/>
  <c r="F18" i="2"/>
  <c r="F19" i="2" s="1"/>
  <c r="C18" i="2"/>
  <c r="R34" i="1" l="1"/>
  <c r="T34" i="1" s="1"/>
  <c r="R46" i="1"/>
  <c r="T46" i="1" s="1"/>
  <c r="R44" i="1"/>
  <c r="T44" i="1" s="1"/>
  <c r="R50" i="1"/>
  <c r="T50" i="1" s="1"/>
  <c r="C13" i="1" s="1"/>
</calcChain>
</file>

<file path=xl/sharedStrings.xml><?xml version="1.0" encoding="utf-8"?>
<sst xmlns="http://schemas.openxmlformats.org/spreadsheetml/2006/main" count="1105" uniqueCount="433">
  <si>
    <t>IBVS 6244</t>
  </si>
  <si>
    <t>IBVS 6196</t>
  </si>
  <si>
    <t/>
  </si>
  <si>
    <t>Calc</t>
  </si>
  <si>
    <t>Epoch =</t>
  </si>
  <si>
    <t>error</t>
  </si>
  <si>
    <t>GCVS 4</t>
  </si>
  <si>
    <t>IBVS 4222</t>
  </si>
  <si>
    <t>IBVS 4382</t>
  </si>
  <si>
    <t>IBVS nn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</si>
  <si>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</si>
  <si>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</si>
  <si>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</si>
  <si>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</si>
  <si>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</si>
  <si>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</si>
  <si>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</si>
  <si>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</si>
  <si>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</si>
  <si>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</si>
  <si>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</si>
  <si>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</si>
  <si>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</si>
  <si>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</si>
  <si>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</si>
  <si>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</si>
  <si>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</si>
  <si>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</si>
  <si>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</si>
  <si>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</si>
  <si>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EB</t>
  </si>
  <si>
    <t>Lin. fit</t>
  </si>
  <si>
    <t>Q. fit</t>
  </si>
  <si>
    <t>Diethelm R</t>
  </si>
  <si>
    <t>BBSAG Bull.49</t>
  </si>
  <si>
    <t>B</t>
  </si>
  <si>
    <t>BBSAG Bull.50</t>
  </si>
  <si>
    <t>Silhan J</t>
  </si>
  <si>
    <t>BBSAG Bull.77</t>
  </si>
  <si>
    <t>Svoboda Petr</t>
  </si>
  <si>
    <t>Kohl M</t>
  </si>
  <si>
    <t>Paschke A</t>
  </si>
  <si>
    <t>BBSAG Bull.81</t>
  </si>
  <si>
    <t>Peter H</t>
  </si>
  <si>
    <t>BBSAG Bull.86</t>
  </si>
  <si>
    <t>BBSAG Bull.89</t>
  </si>
  <si>
    <t>BBSAG Bull.90</t>
  </si>
  <si>
    <t>BBSAG Bull.92</t>
  </si>
  <si>
    <t>BBSAG Bull.93</t>
  </si>
  <si>
    <t>Vandenbroere J</t>
  </si>
  <si>
    <t>BBSAG Bull.96</t>
  </si>
  <si>
    <t>BBSAG Bull.98</t>
  </si>
  <si>
    <t>BBSAG Bull.99</t>
  </si>
  <si>
    <t>BBSAG Bull.101</t>
  </si>
  <si>
    <t>BBSAG Bull.104</t>
  </si>
  <si>
    <t>BBSAG Bull.105</t>
  </si>
  <si>
    <t>BBSAG Bull.109</t>
  </si>
  <si>
    <t>BBSAG Bull.110</t>
  </si>
  <si>
    <t>BBSAG Bull.111</t>
  </si>
  <si>
    <t>BBSAG Bull.112</t>
  </si>
  <si>
    <t>BBSAG Bull.113</t>
  </si>
  <si>
    <t>BBSAG Bull.115</t>
  </si>
  <si>
    <t>BBSAG Bull.116</t>
  </si>
  <si>
    <t>BBSAG</t>
  </si>
  <si>
    <t>S4</t>
  </si>
  <si>
    <t>S5</t>
  </si>
  <si>
    <t>Misc</t>
  </si>
  <si>
    <t>IBVS 5378</t>
  </si>
  <si>
    <t>II</t>
  </si>
  <si>
    <t>IBVS 5657</t>
  </si>
  <si>
    <t>IBVS 5643</t>
  </si>
  <si>
    <t># of data points:</t>
  </si>
  <si>
    <t>V1353 Aql / GSC 01600-00598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</si>
  <si>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</si>
  <si>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</si>
  <si>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</si>
  <si>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</si>
  <si>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</si>
  <si>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</si>
  <si>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</si>
  <si>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</si>
  <si>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</si>
  <si>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5918</t>
  </si>
  <si>
    <t>.0042</t>
  </si>
  <si>
    <t>IBVS 6010</t>
  </si>
  <si>
    <t>I</t>
  </si>
  <si>
    <t>.0002</t>
  </si>
  <si>
    <t>OEJV 0074</t>
  </si>
  <si>
    <t>IBVS 6149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</si>
  <si>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</si>
  <si>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</si>
  <si>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</si>
  <si>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</si>
  <si>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</si>
  <si>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</si>
  <si>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</si>
  <si>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</si>
  <si>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</si>
  <si>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</si>
  <si>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</si>
  <si>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</si>
  <si>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</si>
  <si>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</si>
  <si>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2434461.530 </t>
  </si>
  <si>
    <t> 25.03.1953 00:43 </t>
  </si>
  <si>
    <t> 0.044 </t>
  </si>
  <si>
    <t> Leis &amp; Kalv </t>
  </si>
  <si>
    <t> TAOT 58.55 </t>
  </si>
  <si>
    <t>2435248.872 </t>
  </si>
  <si>
    <t> 21.05.1955 08:55 </t>
  </si>
  <si>
    <t> 0.047 </t>
  </si>
  <si>
    <t>2435557.996 </t>
  </si>
  <si>
    <t> 25.03.1956 11:54 </t>
  </si>
  <si>
    <t> 0.036 </t>
  </si>
  <si>
    <t>2436241.345 </t>
  </si>
  <si>
    <t> 06.02.1958 20:16 </t>
  </si>
  <si>
    <t> 0.035 </t>
  </si>
  <si>
    <t>2444485.363 </t>
  </si>
  <si>
    <t> 02.09.1980 20:42 </t>
  </si>
  <si>
    <t> -0.016 </t>
  </si>
  <si>
    <t>V </t>
  </si>
  <si>
    <t> R.Diethelm </t>
  </si>
  <si>
    <t> BBS 50 </t>
  </si>
  <si>
    <t>2446252.433 </t>
  </si>
  <si>
    <t> 05.07.1985 22:23 </t>
  </si>
  <si>
    <t> -0.038 </t>
  </si>
  <si>
    <t> K.Prokes </t>
  </si>
  <si>
    <t> BRNO 27 </t>
  </si>
  <si>
    <t>2446252.447 </t>
  </si>
  <si>
    <t> 05.07.1985 22:43 </t>
  </si>
  <si>
    <t> -0.024 </t>
  </si>
  <si>
    <t> J.Silhan </t>
  </si>
  <si>
    <t> BBS 77 </t>
  </si>
  <si>
    <t>2446252.448 </t>
  </si>
  <si>
    <t> 05.07.1985 22:45 </t>
  </si>
  <si>
    <t> -0.023 </t>
  </si>
  <si>
    <t> M.Lenz </t>
  </si>
  <si>
    <t>2446252.454 </t>
  </si>
  <si>
    <t> 05.07.1985 22:53 </t>
  </si>
  <si>
    <t> -0.017 </t>
  </si>
  <si>
    <t> P.Svoboda </t>
  </si>
  <si>
    <t>2446252.460 </t>
  </si>
  <si>
    <t> 05.07.1985 23:02 </t>
  </si>
  <si>
    <t> -0.011 </t>
  </si>
  <si>
    <t> R.Polloczek </t>
  </si>
  <si>
    <t>2446269.445 </t>
  </si>
  <si>
    <t> 22.07.1985 22:40 </t>
  </si>
  <si>
    <t> M.Kohl </t>
  </si>
  <si>
    <t>2446624.571 </t>
  </si>
  <si>
    <t> 13.07.1986 01:42 </t>
  </si>
  <si>
    <t> 0.007 </t>
  </si>
  <si>
    <t> A.Paschke </t>
  </si>
  <si>
    <t> BBS 81 </t>
  </si>
  <si>
    <t>2446627.403 </t>
  </si>
  <si>
    <t> 15.07.1986 21:40 </t>
  </si>
  <si>
    <t> 0.009 </t>
  </si>
  <si>
    <t>2446685.393 </t>
  </si>
  <si>
    <t> 11.09.1986 21:25 </t>
  </si>
  <si>
    <t> -0.008 </t>
  </si>
  <si>
    <t>2447118.305 </t>
  </si>
  <si>
    <t> 18.11.1987 19:19 </t>
  </si>
  <si>
    <t> -0.026 </t>
  </si>
  <si>
    <t> H.Peter </t>
  </si>
  <si>
    <t> BBS 86 </t>
  </si>
  <si>
    <t>2447391.387 </t>
  </si>
  <si>
    <t> 17.08.1988 21:17 </t>
  </si>
  <si>
    <t> -0.002 </t>
  </si>
  <si>
    <t> BBS 89 </t>
  </si>
  <si>
    <t>2447415.444 </t>
  </si>
  <si>
    <t> 10.09.1988 22:39 </t>
  </si>
  <si>
    <t> 0.004 </t>
  </si>
  <si>
    <t>2447471.262 </t>
  </si>
  <si>
    <t> 05.11.1988 18:17 </t>
  </si>
  <si>
    <t> -0.063 </t>
  </si>
  <si>
    <t> BBS 90 </t>
  </si>
  <si>
    <t>2447734.455 </t>
  </si>
  <si>
    <t> 26.07.1989 22:55 </t>
  </si>
  <si>
    <t> BBS 92 </t>
  </si>
  <si>
    <t>2447812.271 </t>
  </si>
  <si>
    <t> 12.10.1989 18:30 </t>
  </si>
  <si>
    <t> -0.022 </t>
  </si>
  <si>
    <t> BBS 93 </t>
  </si>
  <si>
    <t>2447824.285 </t>
  </si>
  <si>
    <t> 24.10.1989 18:50 </t>
  </si>
  <si>
    <t> -0.034 </t>
  </si>
  <si>
    <t>2447858.260 </t>
  </si>
  <si>
    <t> 27.11.1989 18:14 </t>
  </si>
  <si>
    <t> -0.014 </t>
  </si>
  <si>
    <t>2448087.449 </t>
  </si>
  <si>
    <t> 14.07.1990 22:46 </t>
  </si>
  <si>
    <t> J.Vandenbroere </t>
  </si>
  <si>
    <t> BBS 96 </t>
  </si>
  <si>
    <t>2448087.480 </t>
  </si>
  <si>
    <t> 14.07.1990 23:31 </t>
  </si>
  <si>
    <t>E </t>
  </si>
  <si>
    <t>?</t>
  </si>
  <si>
    <t>2448092.414 </t>
  </si>
  <si>
    <t> 19.07.1990 21:56 </t>
  </si>
  <si>
    <t>2448094.507 </t>
  </si>
  <si>
    <t> 22.07.1990 00:10 </t>
  </si>
  <si>
    <t> -0.040 </t>
  </si>
  <si>
    <t>2448121.401 </t>
  </si>
  <si>
    <t> 17.08.1990 21:37 </t>
  </si>
  <si>
    <t> -0.027 </t>
  </si>
  <si>
    <t>2448126.359 </t>
  </si>
  <si>
    <t> 22.08.1990 20:36 </t>
  </si>
  <si>
    <t> -0.021 </t>
  </si>
  <si>
    <t>2448179.416 </t>
  </si>
  <si>
    <t> 14.10.1990 21:59 </t>
  </si>
  <si>
    <t> -0.019 </t>
  </si>
  <si>
    <t>2448474.422 </t>
  </si>
  <si>
    <t> 05.08.1991 22:07 </t>
  </si>
  <si>
    <t> 0.000 </t>
  </si>
  <si>
    <t> BBS 98 </t>
  </si>
  <si>
    <t>2448486.444 </t>
  </si>
  <si>
    <t> 17.08.1991 22:39 </t>
  </si>
  <si>
    <t> -0.004 </t>
  </si>
  <si>
    <t>2448503.414 </t>
  </si>
  <si>
    <t> 03.09.1991 21:56 </t>
  </si>
  <si>
    <t> BBS 99 </t>
  </si>
  <si>
    <t>2448803.363 </t>
  </si>
  <si>
    <t> 29.06.1992 20:42 </t>
  </si>
  <si>
    <t> -0.001 </t>
  </si>
  <si>
    <t> F.Agerer </t>
  </si>
  <si>
    <t>BAVM 80 </t>
  </si>
  <si>
    <t>2448803.364 </t>
  </si>
  <si>
    <t> 29.06.1992 20:44 </t>
  </si>
  <si>
    <t> -0.000 </t>
  </si>
  <si>
    <t>B;V</t>
  </si>
  <si>
    <t>2448827.417 </t>
  </si>
  <si>
    <t> 23.07.1992 22:00 </t>
  </si>
  <si>
    <t> 0.001 </t>
  </si>
  <si>
    <t> BBS 101 </t>
  </si>
  <si>
    <t>2449158.452 </t>
  </si>
  <si>
    <t> 19.06.1993 22:50 </t>
  </si>
  <si>
    <t> -0.028 </t>
  </si>
  <si>
    <t> BBS 104 </t>
  </si>
  <si>
    <t>2449158.477 </t>
  </si>
  <si>
    <t> 19.06.1993 23:26 </t>
  </si>
  <si>
    <t>2449158.482 </t>
  </si>
  <si>
    <t> 19.06.1993 23:34 </t>
  </si>
  <si>
    <t> 0.002 </t>
  </si>
  <si>
    <t>2449216.4832 </t>
  </si>
  <si>
    <t> 16.08.1993 23:35 </t>
  </si>
  <si>
    <t> -0.0039 </t>
  </si>
  <si>
    <t>G</t>
  </si>
  <si>
    <t>BAVM 68 </t>
  </si>
  <si>
    <t>2449216.4842 </t>
  </si>
  <si>
    <t> 16.08.1993 23:37 </t>
  </si>
  <si>
    <t> -0.0029 </t>
  </si>
  <si>
    <t>2449226.382 </t>
  </si>
  <si>
    <t> 26.08.1993 21:10 </t>
  </si>
  <si>
    <t> -0.009 </t>
  </si>
  <si>
    <t> BBS 105 </t>
  </si>
  <si>
    <t>2449569.4812 </t>
  </si>
  <si>
    <t> 04.08.1994 23:32 </t>
  </si>
  <si>
    <t> 0.0002 </t>
  </si>
  <si>
    <t>2449569.4818 </t>
  </si>
  <si>
    <t> 04.08.1994 23:33 </t>
  </si>
  <si>
    <t> 0.0008 </t>
  </si>
  <si>
    <t>2449888.489 </t>
  </si>
  <si>
    <t> 19.06.1995 23:44 </t>
  </si>
  <si>
    <t> -0.030 </t>
  </si>
  <si>
    <t> BBS 109 </t>
  </si>
  <si>
    <t>2449888.5172 </t>
  </si>
  <si>
    <t> 20.06.1995 00:24 </t>
  </si>
  <si>
    <t> -0.0023 </t>
  </si>
  <si>
    <t>BAVM 90 </t>
  </si>
  <si>
    <t>2449888.5181 </t>
  </si>
  <si>
    <t> 20.06.1995 00:26 </t>
  </si>
  <si>
    <t> -0.0014 </t>
  </si>
  <si>
    <t>2449905.481 </t>
  </si>
  <si>
    <t> 06.07.1995 23:32 </t>
  </si>
  <si>
    <t> BBS 110 </t>
  </si>
  <si>
    <t>2449922.4734 </t>
  </si>
  <si>
    <t> 23.07.1995 23:21 </t>
  </si>
  <si>
    <t>o</t>
  </si>
  <si>
    <t> W.Kleikamp </t>
  </si>
  <si>
    <t>2449990.369 </t>
  </si>
  <si>
    <t> 29.09.1995 20:51 </t>
  </si>
  <si>
    <t> BBS 111 </t>
  </si>
  <si>
    <t>2450287.469 </t>
  </si>
  <si>
    <t> 22.07.1996 23:15 </t>
  </si>
  <si>
    <t> -0.025 </t>
  </si>
  <si>
    <t> BBS 112 </t>
  </si>
  <si>
    <t>2450343.362 </t>
  </si>
  <si>
    <t> 16.09.1996 20:41 </t>
  </si>
  <si>
    <t> BBS 113 </t>
  </si>
  <si>
    <t>2450599.454 </t>
  </si>
  <si>
    <t> 30.05.1997 22:53 </t>
  </si>
  <si>
    <t> -0.005 </t>
  </si>
  <si>
    <t> BBS 115 </t>
  </si>
  <si>
    <t>2450679.365 </t>
  </si>
  <si>
    <t> 18.08.1997 20:45 </t>
  </si>
  <si>
    <t>2450703.417 </t>
  </si>
  <si>
    <t> 11.09.1997 22:00 </t>
  </si>
  <si>
    <t> BBS 116 </t>
  </si>
  <si>
    <t>2450747.282 </t>
  </si>
  <si>
    <t> 25.10.1997 18:46 </t>
  </si>
  <si>
    <t>2451424.364 </t>
  </si>
  <si>
    <t> 02.09.1999 20:44 </t>
  </si>
  <si>
    <t> 0.074 </t>
  </si>
  <si>
    <t> G.Maintz </t>
  </si>
  <si>
    <t>BAVM 131 </t>
  </si>
  <si>
    <t>2452463.453 </t>
  </si>
  <si>
    <t> 07.07.2002 22:52 </t>
  </si>
  <si>
    <t> -0.012 </t>
  </si>
  <si>
    <t> W.Proksch </t>
  </si>
  <si>
    <t>BAVM 157 </t>
  </si>
  <si>
    <t>2452548.331 </t>
  </si>
  <si>
    <t> 30.09.2002 19:56 </t>
  </si>
  <si>
    <t>2452552.5972 </t>
  </si>
  <si>
    <t> 05.10.2002 02:19 </t>
  </si>
  <si>
    <t> -0.0001 </t>
  </si>
  <si>
    <t> S.Dvorak </t>
  </si>
  <si>
    <t>IBVS 5378 </t>
  </si>
  <si>
    <t>2452835.5561 </t>
  </si>
  <si>
    <t> 15.07.2003 01:20 </t>
  </si>
  <si>
    <t> -0.0022 </t>
  </si>
  <si>
    <t>BAVM 172 </t>
  </si>
  <si>
    <t>2452848.279 </t>
  </si>
  <si>
    <t> 27.07.2003 18:41 </t>
  </si>
  <si>
    <t> -0.013 </t>
  </si>
  <si>
    <t> R.Meyer </t>
  </si>
  <si>
    <t>BAVM 171 </t>
  </si>
  <si>
    <t>2452848.965 </t>
  </si>
  <si>
    <t> 28.07.2003 11:09 </t>
  </si>
  <si>
    <t>2452874.4637 </t>
  </si>
  <si>
    <t> 22.08.2003 23:07 </t>
  </si>
  <si>
    <t> -0.0017 </t>
  </si>
  <si>
    <t>-I</t>
  </si>
  <si>
    <t>2452913.3706 </t>
  </si>
  <si>
    <t> 30.09.2003 20:53 </t>
  </si>
  <si>
    <t>-1526</t>
  </si>
  <si>
    <t> -0.0020 </t>
  </si>
  <si>
    <t> H.Jungbluth </t>
  </si>
  <si>
    <t>2453227.4596 </t>
  </si>
  <si>
    <t> 09.08.2004 23:01 </t>
  </si>
  <si>
    <t>-1304</t>
  </si>
  <si>
    <t> 0.0003 </t>
  </si>
  <si>
    <t> U.Schmidt </t>
  </si>
  <si>
    <t>BAVM 173 </t>
  </si>
  <si>
    <t>2454001.3550 </t>
  </si>
  <si>
    <t> 22.09.2006 20:31 </t>
  </si>
  <si>
    <t>-757</t>
  </si>
  <si>
    <t> -0.0026 </t>
  </si>
  <si>
    <t>C </t>
  </si>
  <si>
    <t> G.Monninger </t>
  </si>
  <si>
    <t>BAVM 203 </t>
  </si>
  <si>
    <t>2454298.46723 </t>
  </si>
  <si>
    <t> 16.07.2007 23:12 </t>
  </si>
  <si>
    <t>-547</t>
  </si>
  <si>
    <t> 0.00056 </t>
  </si>
  <si>
    <t>R</t>
  </si>
  <si>
    <t> R.Ehrenberger </t>
  </si>
  <si>
    <t>OEJV 0074 </t>
  </si>
  <si>
    <t>2454675.5133 </t>
  </si>
  <si>
    <t> 28.07.2008 00:19 </t>
  </si>
  <si>
    <t>-280.5</t>
  </si>
  <si>
    <t> 0.0011 </t>
  </si>
  <si>
    <t>2454697.4388 </t>
  </si>
  <si>
    <t> 18.08.2008 22:31 </t>
  </si>
  <si>
    <t>-265</t>
  </si>
  <si>
    <t> P.Frank </t>
  </si>
  <si>
    <t>2455016.4794 </t>
  </si>
  <si>
    <t> 03.07.2009 23:30 </t>
  </si>
  <si>
    <t>-39.5</t>
  </si>
  <si>
    <t> -0.0008 </t>
  </si>
  <si>
    <t> L.Pagel </t>
  </si>
  <si>
    <t>BAVM 209 </t>
  </si>
  <si>
    <t>2455067.3984 </t>
  </si>
  <si>
    <t> 23.08.2009 21:33 </t>
  </si>
  <si>
    <t>-3.5</t>
  </si>
  <si>
    <t> -0.0148 </t>
  </si>
  <si>
    <t> G.Brettel </t>
  </si>
  <si>
    <t>BAVM 212 </t>
  </si>
  <si>
    <t>2455067.4090 </t>
  </si>
  <si>
    <t> 23.08.2009 21:48 </t>
  </si>
  <si>
    <t> -0.0042 </t>
  </si>
  <si>
    <t> F.Walter </t>
  </si>
  <si>
    <t>2455072.3650 </t>
  </si>
  <si>
    <t> 28.08.2009 20:45 </t>
  </si>
  <si>
    <t>0</t>
  </si>
  <si>
    <t> 0.0000 </t>
  </si>
  <si>
    <t>2455369.4744 </t>
  </si>
  <si>
    <t> 21.06.2010 23:23 </t>
  </si>
  <si>
    <t>210</t>
  </si>
  <si>
    <t> M.&amp; K.Rätz </t>
  </si>
  <si>
    <t>BAVM 220 </t>
  </si>
  <si>
    <t>2456822.4748 </t>
  </si>
  <si>
    <t> 13.06.2014 23:23 </t>
  </si>
  <si>
    <t>1237</t>
  </si>
  <si>
    <t> -0.0040 </t>
  </si>
  <si>
    <t>BAVM 238 </t>
  </si>
  <si>
    <t>2456834.5011 </t>
  </si>
  <si>
    <t> 26.06.2014 00:01 </t>
  </si>
  <si>
    <t>1245.5</t>
  </si>
  <si>
    <t> -0.0035 </t>
  </si>
  <si>
    <t>2456856.432 </t>
  </si>
  <si>
    <t> 17.07.2014 22:22 </t>
  </si>
  <si>
    <t>1261</t>
  </si>
  <si>
    <t>OEJV 0172 </t>
  </si>
  <si>
    <t>2457204.4741 </t>
  </si>
  <si>
    <t> 30.06.2015 23:22 </t>
  </si>
  <si>
    <t>1507</t>
  </si>
  <si>
    <t>BAVM 241 (=IBVS 6157) </t>
  </si>
  <si>
    <t>2457238.4248 </t>
  </si>
  <si>
    <t> 03.08.2015 22:11 </t>
  </si>
  <si>
    <t>1531</t>
  </si>
  <si>
    <t> -0.0067 </t>
  </si>
  <si>
    <t> H.Braunwarth </t>
  </si>
  <si>
    <t>2457255.4042 </t>
  </si>
  <si>
    <t> 20.08.2015 21:42 </t>
  </si>
  <si>
    <t>1543</t>
  </si>
  <si>
    <t> -0.0049 </t>
  </si>
  <si>
    <t>s5</t>
  </si>
  <si>
    <t>s6</t>
  </si>
  <si>
    <t>BAD?</t>
  </si>
  <si>
    <t>wt</t>
  </si>
  <si>
    <t>Lin fit</t>
  </si>
  <si>
    <t>diff^2</t>
  </si>
  <si>
    <t>wt*diff^2</t>
  </si>
  <si>
    <t>V1353 Aql / GSC 1600-0598</t>
  </si>
  <si>
    <t>&lt;&lt; Minimized by Solver (using weights)</t>
  </si>
  <si>
    <t>IBVS 6157</t>
  </si>
  <si>
    <t>OEJV 0179</t>
  </si>
  <si>
    <t>JBAV 96</t>
  </si>
  <si>
    <t>Next ToM-P</t>
  </si>
  <si>
    <t>Next ToM-S</t>
  </si>
  <si>
    <t>10.50-11.40</t>
  </si>
  <si>
    <t>Mag p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</si>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</sst>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8" fillId="0" borderId="0" applyNumberFormat="0" applyFill="0" applyBorder="0" applyAlignment="0" applyProtection="0"/>
    <xf numFmtId="2" fontId="38" fillId="2" borderId="0"/>
    <xf numFmtId="0" fontId="29" fillId="5" borderId="0" applyNumberFormat="0" applyBorder="0" applyAlignment="0" applyProtection="0"/>
    <xf numFmtId="0" fontId="1" fillId="2" borderId="0"/>
    <xf numFmtId="0" fontId="2" fillId="2" borderId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4" applyNumberFormat="0" applyFill="0" applyAlignment="0" applyProtection="0"/>
    <xf numFmtId="0" fontId="33" fillId="23" borderId="0" applyNumberFormat="0" applyBorder="0" applyAlignment="0" applyProtection="0"/>
    <xf numFmtId="0" fontId="27" fillId="0" borderId="0"/>
    <xf numFmtId="0" fontId="27" fillId="24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38" fillId="2" borderId="7"/>
    <xf numFmtId="0" fontId="36" fillId="0" borderId="0" applyNumberFormat="0" applyFill="0" applyBorder="0" applyAlignment="0" applyProtection="0"/>
  </cellStyleXfs>
  <cellXfs count="127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0" xfId="0" applyBorder="1"/>
    <xf numFmtId="0" fontId="0" fillId="2" borderId="11" xfId="0" applyFill="1" applyBorder="1"/>
    <xf numFmtId="0" fontId="0" fillId="0" borderId="11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12" xfId="0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1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5" xfId="0" applyFont="1" applyFill="1" applyBorder="1"/>
    <xf numFmtId="0" fontId="6" fillId="2" borderId="11" xfId="0" applyFont="1" applyFill="1" applyBorder="1"/>
    <xf numFmtId="0" fontId="3" fillId="0" borderId="0" xfId="0" applyFont="1"/>
    <xf numFmtId="0" fontId="8" fillId="0" borderId="5" xfId="0" quotePrefix="1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2" borderId="5" xfId="0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0" fontId="9" fillId="0" borderId="0" xfId="0" applyFont="1"/>
    <xf numFmtId="22" fontId="6" fillId="0" borderId="0" xfId="0" applyNumberFormat="1" applyFont="1"/>
    <xf numFmtId="0" fontId="0" fillId="0" borderId="16" xfId="0" applyBorder="1"/>
    <xf numFmtId="0" fontId="0" fillId="0" borderId="17" xfId="0" applyBorder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2" borderId="5" xfId="0" applyFont="1" applyFill="1" applyBorder="1"/>
    <xf numFmtId="0" fontId="15" fillId="0" borderId="5" xfId="0" applyFont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0" borderId="5" xfId="0" applyFont="1" applyBorder="1"/>
    <xf numFmtId="0" fontId="15" fillId="2" borderId="5" xfId="0" applyFont="1" applyFill="1" applyBorder="1" applyAlignment="1">
      <alignment horizontal="center"/>
    </xf>
    <xf numFmtId="165" fontId="15" fillId="0" borderId="0" xfId="0" applyNumberFormat="1" applyFont="1" applyAlignment="1">
      <alignment horizontal="left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166" fontId="14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7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15" fillId="25" borderId="24" xfId="0" applyFont="1" applyFill="1" applyBorder="1" applyAlignment="1">
      <alignment horizontal="left" vertical="top" wrapText="1" indent="1"/>
    </xf>
    <xf numFmtId="0" fontId="15" fillId="25" borderId="24" xfId="0" applyFont="1" applyFill="1" applyBorder="1" applyAlignment="1">
      <alignment horizontal="center" vertical="top" wrapText="1"/>
    </xf>
    <xf numFmtId="0" fontId="15" fillId="25" borderId="24" xfId="0" applyFont="1" applyFill="1" applyBorder="1" applyAlignment="1">
      <alignment horizontal="right" vertical="top" wrapText="1"/>
    </xf>
    <xf numFmtId="0" fontId="7" fillId="25" borderId="24" xfId="38" applyFill="1" applyBorder="1" applyAlignment="1" applyProtection="1">
      <alignment horizontal="right" vertical="top" wrapText="1"/>
    </xf>
    <xf numFmtId="0" fontId="19" fillId="2" borderId="5" xfId="0" applyFont="1" applyFill="1" applyBorder="1"/>
    <xf numFmtId="0" fontId="0" fillId="2" borderId="11" xfId="0" applyFill="1" applyBorder="1" applyAlignment="1">
      <alignment horizontal="center"/>
    </xf>
    <xf numFmtId="0" fontId="19" fillId="2" borderId="11" xfId="0" applyFont="1" applyFill="1" applyBorder="1"/>
    <xf numFmtId="0" fontId="19" fillId="2" borderId="5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165" fontId="19" fillId="0" borderId="5" xfId="0" applyNumberFormat="1" applyFont="1" applyBorder="1" applyAlignment="1">
      <alignment horizontal="left"/>
    </xf>
    <xf numFmtId="0" fontId="20" fillId="2" borderId="14" xfId="0" applyFont="1" applyFill="1" applyBorder="1" applyAlignment="1">
      <alignment horizontal="center"/>
    </xf>
    <xf numFmtId="0" fontId="0" fillId="0" borderId="9" xfId="0" applyBorder="1"/>
    <xf numFmtId="0" fontId="0" fillId="0" borderId="25" xfId="0" applyBorder="1"/>
    <xf numFmtId="0" fontId="0" fillId="0" borderId="26" xfId="0" applyBorder="1"/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6" fillId="2" borderId="5" xfId="0" applyFont="1" applyFill="1" applyBorder="1"/>
    <xf numFmtId="0" fontId="37" fillId="0" borderId="0" xfId="42" applyFont="1"/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top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7" fontId="39" fillId="0" borderId="0" xfId="0" applyNumberFormat="1" applyFont="1" applyAlignment="1" applyProtection="1">
      <alignment horizontal="left" vertical="center" wrapText="1"/>
      <protection locked="0"/>
    </xf>
    <xf numFmtId="0" fontId="0" fillId="2" borderId="8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right"/>
    </xf>
    <xf numFmtId="0" fontId="40" fillId="2" borderId="31" xfId="0" applyFont="1" applyFill="1" applyBorder="1" applyAlignment="1">
      <alignment horizontal="right"/>
    </xf>
    <xf numFmtId="0" fontId="40" fillId="2" borderId="33" xfId="0" applyFont="1" applyFill="1" applyBorder="1" applyAlignment="1">
      <alignment horizontal="right"/>
    </xf>
    <xf numFmtId="0" fontId="4" fillId="2" borderId="32" xfId="0" applyFont="1" applyFill="1" applyBorder="1"/>
    <xf numFmtId="0" fontId="41" fillId="2" borderId="32" xfId="0" applyFont="1" applyFill="1" applyBorder="1"/>
    <xf numFmtId="22" fontId="41" fillId="2" borderId="32" xfId="0" applyNumberFormat="1" applyFont="1" applyFill="1" applyBorder="1"/>
    <xf numFmtId="22" fontId="41" fillId="2" borderId="34" xfId="0" applyNumberFormat="1" applyFont="1" applyFill="1" applyBorder="1"/>
    <xf numFmtId="0" fontId="27" fillId="26" borderId="30" xfId="0" applyFont="1" applyFill="1" applyBorder="1" applyAlignment="1">
      <alignment horizontal="center" vertical="center"/>
    </xf>
    <xf numFmtId="0" fontId="27" fillId="26" borderId="29" xfId="0" applyFont="1" applyFill="1" applyBorder="1" applyAlignment="1">
      <alignment horizontal="right"/>
    </xf>
    <xf numFmtId="0" fontId="27" fillId="2" borderId="8" xfId="0" applyFont="1" applyFill="1" applyBorder="1"/>
    <xf numFmtId="0" fontId="14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V1353 Aql - O-C Diagr.</a:t>
            </a:r>
          </a:p>
        </c:rich>
      </c:tx>
      <c:layout>
        <c:manualLayout>
          <c:xMode val="edge"/>
          <c:yMode val="edge"/>
          <c:x val="0.3670298755423845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4083507547862"/>
          <c:y val="0.1526484394727155"/>
          <c:w val="0.81804105666269"/>
          <c:h val="0.61993958071572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Active!$F$22:$F$998</c:f>
              <c:numCache>
                <c:formatCode>General</c:formatCode>
                <c:ptCount val="977"/>
                <c:pt idx="0">
                  <c:v>-14568</c:v>
                </c:pt>
                <c:pt idx="1">
                  <c:v>-14011.5</c:v>
                </c:pt>
                <c:pt idx="2">
                  <c:v>-13793</c:v>
                </c:pt>
                <c:pt idx="3">
                  <c:v>-13310</c:v>
                </c:pt>
                <c:pt idx="4">
                  <c:v>-7500</c:v>
                </c:pt>
                <c:pt idx="5">
                  <c:v>-7483</c:v>
                </c:pt>
                <c:pt idx="6">
                  <c:v>-6234</c:v>
                </c:pt>
                <c:pt idx="7">
                  <c:v>-6234</c:v>
                </c:pt>
                <c:pt idx="8">
                  <c:v>-6234</c:v>
                </c:pt>
                <c:pt idx="9">
                  <c:v>-6234</c:v>
                </c:pt>
                <c:pt idx="10">
                  <c:v>-6234</c:v>
                </c:pt>
                <c:pt idx="11">
                  <c:v>-6222</c:v>
                </c:pt>
                <c:pt idx="12">
                  <c:v>-5971</c:v>
                </c:pt>
                <c:pt idx="13">
                  <c:v>-5969</c:v>
                </c:pt>
                <c:pt idx="14">
                  <c:v>-5928</c:v>
                </c:pt>
                <c:pt idx="15">
                  <c:v>-5622</c:v>
                </c:pt>
                <c:pt idx="16">
                  <c:v>-5429</c:v>
                </c:pt>
                <c:pt idx="17">
                  <c:v>-5412</c:v>
                </c:pt>
                <c:pt idx="18">
                  <c:v>-5372.5</c:v>
                </c:pt>
                <c:pt idx="19">
                  <c:v>-5186.5</c:v>
                </c:pt>
                <c:pt idx="20">
                  <c:v>-5131.5</c:v>
                </c:pt>
                <c:pt idx="21">
                  <c:v>-5123</c:v>
                </c:pt>
                <c:pt idx="22">
                  <c:v>-5099</c:v>
                </c:pt>
                <c:pt idx="23">
                  <c:v>-4937</c:v>
                </c:pt>
                <c:pt idx="24">
                  <c:v>-4937</c:v>
                </c:pt>
                <c:pt idx="25">
                  <c:v>-4933.5</c:v>
                </c:pt>
                <c:pt idx="26">
                  <c:v>-4932</c:v>
                </c:pt>
                <c:pt idx="27">
                  <c:v>-4913</c:v>
                </c:pt>
                <c:pt idx="28">
                  <c:v>-4909.5</c:v>
                </c:pt>
                <c:pt idx="29">
                  <c:v>-4872</c:v>
                </c:pt>
                <c:pt idx="30">
                  <c:v>-4663.5</c:v>
                </c:pt>
                <c:pt idx="31">
                  <c:v>-4655</c:v>
                </c:pt>
                <c:pt idx="32">
                  <c:v>-4643</c:v>
                </c:pt>
                <c:pt idx="33">
                  <c:v>-4431</c:v>
                </c:pt>
                <c:pt idx="34">
                  <c:v>-4431</c:v>
                </c:pt>
                <c:pt idx="35">
                  <c:v>-4414</c:v>
                </c:pt>
                <c:pt idx="36">
                  <c:v>-4180</c:v>
                </c:pt>
                <c:pt idx="37">
                  <c:v>-4180</c:v>
                </c:pt>
                <c:pt idx="38">
                  <c:v>-4180</c:v>
                </c:pt>
                <c:pt idx="39">
                  <c:v>-4180</c:v>
                </c:pt>
                <c:pt idx="40">
                  <c:v>-4139</c:v>
                </c:pt>
                <c:pt idx="41">
                  <c:v>-4139</c:v>
                </c:pt>
                <c:pt idx="42">
                  <c:v>-4132</c:v>
                </c:pt>
                <c:pt idx="43">
                  <c:v>-3889.5</c:v>
                </c:pt>
                <c:pt idx="44">
                  <c:v>-3889.5</c:v>
                </c:pt>
                <c:pt idx="45">
                  <c:v>-3889.5</c:v>
                </c:pt>
                <c:pt idx="46">
                  <c:v>-3664</c:v>
                </c:pt>
                <c:pt idx="47">
                  <c:v>-3664</c:v>
                </c:pt>
                <c:pt idx="48">
                  <c:v>-3664</c:v>
                </c:pt>
                <c:pt idx="49">
                  <c:v>-3664</c:v>
                </c:pt>
                <c:pt idx="50">
                  <c:v>-3652</c:v>
                </c:pt>
                <c:pt idx="51">
                  <c:v>-3640</c:v>
                </c:pt>
                <c:pt idx="52">
                  <c:v>-3592</c:v>
                </c:pt>
                <c:pt idx="53">
                  <c:v>-3382</c:v>
                </c:pt>
                <c:pt idx="54">
                  <c:v>-3382</c:v>
                </c:pt>
                <c:pt idx="55">
                  <c:v>-3342.5</c:v>
                </c:pt>
                <c:pt idx="56">
                  <c:v>-3161.5</c:v>
                </c:pt>
                <c:pt idx="57">
                  <c:v>-3105</c:v>
                </c:pt>
                <c:pt idx="58">
                  <c:v>-3088</c:v>
                </c:pt>
                <c:pt idx="59">
                  <c:v>-3057</c:v>
                </c:pt>
                <c:pt idx="60">
                  <c:v>-2578.5</c:v>
                </c:pt>
                <c:pt idx="61">
                  <c:v>-1844</c:v>
                </c:pt>
                <c:pt idx="62">
                  <c:v>-1784</c:v>
                </c:pt>
                <c:pt idx="63">
                  <c:v>-1781</c:v>
                </c:pt>
                <c:pt idx="64">
                  <c:v>-1581</c:v>
                </c:pt>
                <c:pt idx="65">
                  <c:v>-1572</c:v>
                </c:pt>
                <c:pt idx="66">
                  <c:v>-1571.5</c:v>
                </c:pt>
                <c:pt idx="67">
                  <c:v>-1553.5</c:v>
                </c:pt>
                <c:pt idx="68">
                  <c:v>-1526</c:v>
                </c:pt>
                <c:pt idx="69">
                  <c:v>-1304</c:v>
                </c:pt>
                <c:pt idx="70">
                  <c:v>-757</c:v>
                </c:pt>
                <c:pt idx="71">
                  <c:v>-547</c:v>
                </c:pt>
                <c:pt idx="72">
                  <c:v>-280.5</c:v>
                </c:pt>
                <c:pt idx="73">
                  <c:v>-265</c:v>
                </c:pt>
                <c:pt idx="74">
                  <c:v>-39.5</c:v>
                </c:pt>
                <c:pt idx="75">
                  <c:v>-3.5</c:v>
                </c:pt>
                <c:pt idx="76">
                  <c:v>-3.5</c:v>
                </c:pt>
                <c:pt idx="77">
                  <c:v>0</c:v>
                </c:pt>
                <c:pt idx="78">
                  <c:v>210</c:v>
                </c:pt>
                <c:pt idx="79">
                  <c:v>1237</c:v>
                </c:pt>
                <c:pt idx="80">
                  <c:v>1245.5</c:v>
                </c:pt>
                <c:pt idx="81">
                  <c:v>1261</c:v>
                </c:pt>
                <c:pt idx="82">
                  <c:v>1333</c:v>
                </c:pt>
                <c:pt idx="83">
                  <c:v>1507</c:v>
                </c:pt>
                <c:pt idx="84">
                  <c:v>1531</c:v>
                </c:pt>
                <c:pt idx="85">
                  <c:v>1543</c:v>
                </c:pt>
                <c:pt idx="86">
                  <c:v>1579</c:v>
                </c:pt>
                <c:pt idx="87">
                  <c:v>1760</c:v>
                </c:pt>
                <c:pt idx="88">
                  <c:v>1760</c:v>
                </c:pt>
                <c:pt idx="89">
                  <c:v>2050.5</c:v>
                </c:pt>
                <c:pt idx="90">
                  <c:v>3795</c:v>
                </c:pt>
              </c:numCache>
            </c:numRef>
          </c:xVal>
          <c:yVal>
            <c:numRef>
              <c:f>Active!$H$22:$H$998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48-4205-B69E-3D2AECE257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Active!$F$22:$F$998</c:f>
              <c:numCache>
                <c:formatCode>General</c:formatCode>
                <c:ptCount val="977"/>
                <c:pt idx="0">
                  <c:v>-14568</c:v>
                </c:pt>
                <c:pt idx="1">
                  <c:v>-14011.5</c:v>
                </c:pt>
                <c:pt idx="2">
                  <c:v>-13793</c:v>
                </c:pt>
                <c:pt idx="3">
                  <c:v>-13310</c:v>
                </c:pt>
                <c:pt idx="4">
                  <c:v>-7500</c:v>
                </c:pt>
                <c:pt idx="5">
                  <c:v>-7483</c:v>
                </c:pt>
                <c:pt idx="6">
                  <c:v>-6234</c:v>
                </c:pt>
                <c:pt idx="7">
                  <c:v>-6234</c:v>
                </c:pt>
                <c:pt idx="8">
                  <c:v>-6234</c:v>
                </c:pt>
                <c:pt idx="9">
                  <c:v>-6234</c:v>
                </c:pt>
                <c:pt idx="10">
                  <c:v>-6234</c:v>
                </c:pt>
                <c:pt idx="11">
                  <c:v>-6222</c:v>
                </c:pt>
                <c:pt idx="12">
                  <c:v>-5971</c:v>
                </c:pt>
                <c:pt idx="13">
                  <c:v>-5969</c:v>
                </c:pt>
                <c:pt idx="14">
                  <c:v>-5928</c:v>
                </c:pt>
                <c:pt idx="15">
                  <c:v>-5622</c:v>
                </c:pt>
                <c:pt idx="16">
                  <c:v>-5429</c:v>
                </c:pt>
                <c:pt idx="17">
                  <c:v>-5412</c:v>
                </c:pt>
                <c:pt idx="18">
                  <c:v>-5372.5</c:v>
                </c:pt>
                <c:pt idx="19">
                  <c:v>-5186.5</c:v>
                </c:pt>
                <c:pt idx="20">
                  <c:v>-5131.5</c:v>
                </c:pt>
                <c:pt idx="21">
                  <c:v>-5123</c:v>
                </c:pt>
                <c:pt idx="22">
                  <c:v>-5099</c:v>
                </c:pt>
                <c:pt idx="23">
                  <c:v>-4937</c:v>
                </c:pt>
                <c:pt idx="24">
                  <c:v>-4937</c:v>
                </c:pt>
                <c:pt idx="25">
                  <c:v>-4933.5</c:v>
                </c:pt>
                <c:pt idx="26">
                  <c:v>-4932</c:v>
                </c:pt>
                <c:pt idx="27">
                  <c:v>-4913</c:v>
                </c:pt>
                <c:pt idx="28">
                  <c:v>-4909.5</c:v>
                </c:pt>
                <c:pt idx="29">
                  <c:v>-4872</c:v>
                </c:pt>
                <c:pt idx="30">
                  <c:v>-4663.5</c:v>
                </c:pt>
                <c:pt idx="31">
                  <c:v>-4655</c:v>
                </c:pt>
                <c:pt idx="32">
                  <c:v>-4643</c:v>
                </c:pt>
                <c:pt idx="33">
                  <c:v>-4431</c:v>
                </c:pt>
                <c:pt idx="34">
                  <c:v>-4431</c:v>
                </c:pt>
                <c:pt idx="35">
                  <c:v>-4414</c:v>
                </c:pt>
                <c:pt idx="36">
                  <c:v>-4180</c:v>
                </c:pt>
                <c:pt idx="37">
                  <c:v>-4180</c:v>
                </c:pt>
                <c:pt idx="38">
                  <c:v>-4180</c:v>
                </c:pt>
                <c:pt idx="39">
                  <c:v>-4180</c:v>
                </c:pt>
                <c:pt idx="40">
                  <c:v>-4139</c:v>
                </c:pt>
                <c:pt idx="41">
                  <c:v>-4139</c:v>
                </c:pt>
                <c:pt idx="42">
                  <c:v>-4132</c:v>
                </c:pt>
                <c:pt idx="43">
                  <c:v>-3889.5</c:v>
                </c:pt>
                <c:pt idx="44">
                  <c:v>-3889.5</c:v>
                </c:pt>
                <c:pt idx="45">
                  <c:v>-3889.5</c:v>
                </c:pt>
                <c:pt idx="46">
                  <c:v>-3664</c:v>
                </c:pt>
                <c:pt idx="47">
                  <c:v>-3664</c:v>
                </c:pt>
                <c:pt idx="48">
                  <c:v>-3664</c:v>
                </c:pt>
                <c:pt idx="49">
                  <c:v>-3664</c:v>
                </c:pt>
                <c:pt idx="50">
                  <c:v>-3652</c:v>
                </c:pt>
                <c:pt idx="51">
                  <c:v>-3640</c:v>
                </c:pt>
                <c:pt idx="52">
                  <c:v>-3592</c:v>
                </c:pt>
                <c:pt idx="53">
                  <c:v>-3382</c:v>
                </c:pt>
                <c:pt idx="54">
                  <c:v>-3382</c:v>
                </c:pt>
                <c:pt idx="55">
                  <c:v>-3342.5</c:v>
                </c:pt>
                <c:pt idx="56">
                  <c:v>-3161.5</c:v>
                </c:pt>
                <c:pt idx="57">
                  <c:v>-3105</c:v>
                </c:pt>
                <c:pt idx="58">
                  <c:v>-3088</c:v>
                </c:pt>
                <c:pt idx="59">
                  <c:v>-3057</c:v>
                </c:pt>
                <c:pt idx="60">
                  <c:v>-2578.5</c:v>
                </c:pt>
                <c:pt idx="61">
                  <c:v>-1844</c:v>
                </c:pt>
                <c:pt idx="62">
                  <c:v>-1784</c:v>
                </c:pt>
                <c:pt idx="63">
                  <c:v>-1781</c:v>
                </c:pt>
                <c:pt idx="64">
                  <c:v>-1581</c:v>
                </c:pt>
                <c:pt idx="65">
                  <c:v>-1572</c:v>
                </c:pt>
                <c:pt idx="66">
                  <c:v>-1571.5</c:v>
                </c:pt>
                <c:pt idx="67">
                  <c:v>-1553.5</c:v>
                </c:pt>
                <c:pt idx="68">
                  <c:v>-1526</c:v>
                </c:pt>
                <c:pt idx="69">
                  <c:v>-1304</c:v>
                </c:pt>
                <c:pt idx="70">
                  <c:v>-757</c:v>
                </c:pt>
                <c:pt idx="71">
                  <c:v>-547</c:v>
                </c:pt>
                <c:pt idx="72">
                  <c:v>-280.5</c:v>
                </c:pt>
                <c:pt idx="73">
                  <c:v>-265</c:v>
                </c:pt>
                <c:pt idx="74">
                  <c:v>-39.5</c:v>
                </c:pt>
                <c:pt idx="75">
                  <c:v>-3.5</c:v>
                </c:pt>
                <c:pt idx="76">
                  <c:v>-3.5</c:v>
                </c:pt>
                <c:pt idx="77">
                  <c:v>0</c:v>
                </c:pt>
                <c:pt idx="78">
                  <c:v>210</c:v>
                </c:pt>
                <c:pt idx="79">
                  <c:v>1237</c:v>
                </c:pt>
                <c:pt idx="80">
                  <c:v>1245.5</c:v>
                </c:pt>
                <c:pt idx="81">
                  <c:v>1261</c:v>
                </c:pt>
                <c:pt idx="82">
                  <c:v>1333</c:v>
                </c:pt>
                <c:pt idx="83">
                  <c:v>1507</c:v>
                </c:pt>
                <c:pt idx="84">
                  <c:v>1531</c:v>
                </c:pt>
                <c:pt idx="85">
                  <c:v>1543</c:v>
                </c:pt>
                <c:pt idx="86">
                  <c:v>1579</c:v>
                </c:pt>
                <c:pt idx="87">
                  <c:v>1760</c:v>
                </c:pt>
                <c:pt idx="88">
                  <c:v>1760</c:v>
                </c:pt>
                <c:pt idx="89">
                  <c:v>2050.5</c:v>
                </c:pt>
                <c:pt idx="90">
                  <c:v>3795</c:v>
                </c:pt>
              </c:numCache>
            </c:numRef>
          </c:xVal>
          <c:yVal>
            <c:numRef>
              <c:f>Active!$I$22:$I$998</c:f>
              <c:numCache>
                <c:formatCode>General</c:formatCode>
                <c:ptCount val="977"/>
                <c:pt idx="5">
                  <c:v>-1.6185000000405125E-2</c:v>
                </c:pt>
                <c:pt idx="6">
                  <c:v>-3.7629999998898711E-2</c:v>
                </c:pt>
                <c:pt idx="7">
                  <c:v>-2.3629999996046536E-2</c:v>
                </c:pt>
                <c:pt idx="8">
                  <c:v>-2.2629999999480788E-2</c:v>
                </c:pt>
                <c:pt idx="9">
                  <c:v>-1.6629999998258427E-2</c:v>
                </c:pt>
                <c:pt idx="10">
                  <c:v>-1.0629999997036066E-2</c:v>
                </c:pt>
                <c:pt idx="11">
                  <c:v>-3.2900000005611219E-3</c:v>
                </c:pt>
                <c:pt idx="12">
                  <c:v>6.6550000046845526E-3</c:v>
                </c:pt>
                <c:pt idx="13">
                  <c:v>9.0449999988777563E-3</c:v>
                </c:pt>
                <c:pt idx="14">
                  <c:v>-7.9600000026402995E-3</c:v>
                </c:pt>
                <c:pt idx="15">
                  <c:v>-2.6289999994332902E-2</c:v>
                </c:pt>
                <c:pt idx="16">
                  <c:v>-1.6549999927519821E-3</c:v>
                </c:pt>
                <c:pt idx="17">
                  <c:v>3.6600000021280721E-3</c:v>
                </c:pt>
                <c:pt idx="18">
                  <c:v>-6.3137499993899837E-2</c:v>
                </c:pt>
                <c:pt idx="19">
                  <c:v>-2.3867499992775265E-2</c:v>
                </c:pt>
                <c:pt idx="20">
                  <c:v>-2.2142499998153653E-2</c:v>
                </c:pt>
                <c:pt idx="21">
                  <c:v>-3.3984999994572718E-2</c:v>
                </c:pt>
                <c:pt idx="22">
                  <c:v>-1.4304999996966217E-2</c:v>
                </c:pt>
                <c:pt idx="23">
                  <c:v>-2.3714999995718244E-2</c:v>
                </c:pt>
                <c:pt idx="24">
                  <c:v>7.2850000069593079E-3</c:v>
                </c:pt>
                <c:pt idx="25">
                  <c:v>-1.0532499996770639E-2</c:v>
                </c:pt>
                <c:pt idx="26">
                  <c:v>-3.974000000016531E-2</c:v>
                </c:pt>
                <c:pt idx="27">
                  <c:v>-2.7034999999159481E-2</c:v>
                </c:pt>
                <c:pt idx="28">
                  <c:v>-2.0852499997999985E-2</c:v>
                </c:pt>
                <c:pt idx="29">
                  <c:v>-1.9039999999222346E-2</c:v>
                </c:pt>
                <c:pt idx="30">
                  <c:v>1.1749999976018444E-4</c:v>
                </c:pt>
                <c:pt idx="31">
                  <c:v>-3.7249999950290658E-3</c:v>
                </c:pt>
                <c:pt idx="32">
                  <c:v>-1.1384999997972045E-2</c:v>
                </c:pt>
                <c:pt idx="35">
                  <c:v>-1.7750000042724423E-3</c:v>
                </c:pt>
                <c:pt idx="36">
                  <c:v>-2.948360000300454E-2</c:v>
                </c:pt>
                <c:pt idx="42">
                  <c:v>-9.7828000070876442E-3</c:v>
                </c:pt>
                <c:pt idx="46">
                  <c:v>-2.8200000000651926E-2</c:v>
                </c:pt>
                <c:pt idx="50">
                  <c:v>-1.3774800005194265E-2</c:v>
                </c:pt>
                <c:pt idx="52">
                  <c:v>-1.3648800006194506E-2</c:v>
                </c:pt>
                <c:pt idx="53">
                  <c:v>-2.1207800004049204E-2</c:v>
                </c:pt>
                <c:pt idx="54">
                  <c:v>-2.1207800004049204E-2</c:v>
                </c:pt>
                <c:pt idx="55">
                  <c:v>-1.2724849999358412E-2</c:v>
                </c:pt>
                <c:pt idx="56">
                  <c:v>8.5524999303743243E-4</c:v>
                </c:pt>
                <c:pt idx="57">
                  <c:v>-2.422610000212444E-2</c:v>
                </c:pt>
                <c:pt idx="58">
                  <c:v>-2.3790400002326351E-2</c:v>
                </c:pt>
                <c:pt idx="59">
                  <c:v>-1.7525300005218014E-2</c:v>
                </c:pt>
                <c:pt idx="61">
                  <c:v>-1.1579999998502899E-2</c:v>
                </c:pt>
                <c:pt idx="62">
                  <c:v>-2.1880000000237487E-2</c:v>
                </c:pt>
                <c:pt idx="65">
                  <c:v>-1.2539999996079132E-2</c:v>
                </c:pt>
                <c:pt idx="66">
                  <c:v>-3.3942499998374842E-2</c:v>
                </c:pt>
                <c:pt idx="70">
                  <c:v>-2.6149999976041727E-3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48-4205-B69E-3D2AECE257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Active!$F$22:$F$998</c:f>
              <c:numCache>
                <c:formatCode>General</c:formatCode>
                <c:ptCount val="977"/>
                <c:pt idx="0">
                  <c:v>-14568</c:v>
                </c:pt>
                <c:pt idx="1">
                  <c:v>-14011.5</c:v>
                </c:pt>
                <c:pt idx="2">
                  <c:v>-13793</c:v>
                </c:pt>
                <c:pt idx="3">
                  <c:v>-13310</c:v>
                </c:pt>
                <c:pt idx="4">
                  <c:v>-7500</c:v>
                </c:pt>
                <c:pt idx="5">
                  <c:v>-7483</c:v>
                </c:pt>
                <c:pt idx="6">
                  <c:v>-6234</c:v>
                </c:pt>
                <c:pt idx="7">
                  <c:v>-6234</c:v>
                </c:pt>
                <c:pt idx="8">
                  <c:v>-6234</c:v>
                </c:pt>
                <c:pt idx="9">
                  <c:v>-6234</c:v>
                </c:pt>
                <c:pt idx="10">
                  <c:v>-6234</c:v>
                </c:pt>
                <c:pt idx="11">
                  <c:v>-6222</c:v>
                </c:pt>
                <c:pt idx="12">
                  <c:v>-5971</c:v>
                </c:pt>
                <c:pt idx="13">
                  <c:v>-5969</c:v>
                </c:pt>
                <c:pt idx="14">
                  <c:v>-5928</c:v>
                </c:pt>
                <c:pt idx="15">
                  <c:v>-5622</c:v>
                </c:pt>
                <c:pt idx="16">
                  <c:v>-5429</c:v>
                </c:pt>
                <c:pt idx="17">
                  <c:v>-5412</c:v>
                </c:pt>
                <c:pt idx="18">
                  <c:v>-5372.5</c:v>
                </c:pt>
                <c:pt idx="19">
                  <c:v>-5186.5</c:v>
                </c:pt>
                <c:pt idx="20">
                  <c:v>-5131.5</c:v>
                </c:pt>
                <c:pt idx="21">
                  <c:v>-5123</c:v>
                </c:pt>
                <c:pt idx="22">
                  <c:v>-5099</c:v>
                </c:pt>
                <c:pt idx="23">
                  <c:v>-4937</c:v>
                </c:pt>
                <c:pt idx="24">
                  <c:v>-4937</c:v>
                </c:pt>
                <c:pt idx="25">
                  <c:v>-4933.5</c:v>
                </c:pt>
                <c:pt idx="26">
                  <c:v>-4932</c:v>
                </c:pt>
                <c:pt idx="27">
                  <c:v>-4913</c:v>
                </c:pt>
                <c:pt idx="28">
                  <c:v>-4909.5</c:v>
                </c:pt>
                <c:pt idx="29">
                  <c:v>-4872</c:v>
                </c:pt>
                <c:pt idx="30">
                  <c:v>-4663.5</c:v>
                </c:pt>
                <c:pt idx="31">
                  <c:v>-4655</c:v>
                </c:pt>
                <c:pt idx="32">
                  <c:v>-4643</c:v>
                </c:pt>
                <c:pt idx="33">
                  <c:v>-4431</c:v>
                </c:pt>
                <c:pt idx="34">
                  <c:v>-4431</c:v>
                </c:pt>
                <c:pt idx="35">
                  <c:v>-4414</c:v>
                </c:pt>
                <c:pt idx="36">
                  <c:v>-4180</c:v>
                </c:pt>
                <c:pt idx="37">
                  <c:v>-4180</c:v>
                </c:pt>
                <c:pt idx="38">
                  <c:v>-4180</c:v>
                </c:pt>
                <c:pt idx="39">
                  <c:v>-4180</c:v>
                </c:pt>
                <c:pt idx="40">
                  <c:v>-4139</c:v>
                </c:pt>
                <c:pt idx="41">
                  <c:v>-4139</c:v>
                </c:pt>
                <c:pt idx="42">
                  <c:v>-4132</c:v>
                </c:pt>
                <c:pt idx="43">
                  <c:v>-3889.5</c:v>
                </c:pt>
                <c:pt idx="44">
                  <c:v>-3889.5</c:v>
                </c:pt>
                <c:pt idx="45">
                  <c:v>-3889.5</c:v>
                </c:pt>
                <c:pt idx="46">
                  <c:v>-3664</c:v>
                </c:pt>
                <c:pt idx="47">
                  <c:v>-3664</c:v>
                </c:pt>
                <c:pt idx="48">
                  <c:v>-3664</c:v>
                </c:pt>
                <c:pt idx="49">
                  <c:v>-3664</c:v>
                </c:pt>
                <c:pt idx="50">
                  <c:v>-3652</c:v>
                </c:pt>
                <c:pt idx="51">
                  <c:v>-3640</c:v>
                </c:pt>
                <c:pt idx="52">
                  <c:v>-3592</c:v>
                </c:pt>
                <c:pt idx="53">
                  <c:v>-3382</c:v>
                </c:pt>
                <c:pt idx="54">
                  <c:v>-3382</c:v>
                </c:pt>
                <c:pt idx="55">
                  <c:v>-3342.5</c:v>
                </c:pt>
                <c:pt idx="56">
                  <c:v>-3161.5</c:v>
                </c:pt>
                <c:pt idx="57">
                  <c:v>-3105</c:v>
                </c:pt>
                <c:pt idx="58">
                  <c:v>-3088</c:v>
                </c:pt>
                <c:pt idx="59">
                  <c:v>-3057</c:v>
                </c:pt>
                <c:pt idx="60">
                  <c:v>-2578.5</c:v>
                </c:pt>
                <c:pt idx="61">
                  <c:v>-1844</c:v>
                </c:pt>
                <c:pt idx="62">
                  <c:v>-1784</c:v>
                </c:pt>
                <c:pt idx="63">
                  <c:v>-1781</c:v>
                </c:pt>
                <c:pt idx="64">
                  <c:v>-1581</c:v>
                </c:pt>
                <c:pt idx="65">
                  <c:v>-1572</c:v>
                </c:pt>
                <c:pt idx="66">
                  <c:v>-1571.5</c:v>
                </c:pt>
                <c:pt idx="67">
                  <c:v>-1553.5</c:v>
                </c:pt>
                <c:pt idx="68">
                  <c:v>-1526</c:v>
                </c:pt>
                <c:pt idx="69">
                  <c:v>-1304</c:v>
                </c:pt>
                <c:pt idx="70">
                  <c:v>-757</c:v>
                </c:pt>
                <c:pt idx="71">
                  <c:v>-547</c:v>
                </c:pt>
                <c:pt idx="72">
                  <c:v>-280.5</c:v>
                </c:pt>
                <c:pt idx="73">
                  <c:v>-265</c:v>
                </c:pt>
                <c:pt idx="74">
                  <c:v>-39.5</c:v>
                </c:pt>
                <c:pt idx="75">
                  <c:v>-3.5</c:v>
                </c:pt>
                <c:pt idx="76">
                  <c:v>-3.5</c:v>
                </c:pt>
                <c:pt idx="77">
                  <c:v>0</c:v>
                </c:pt>
                <c:pt idx="78">
                  <c:v>210</c:v>
                </c:pt>
                <c:pt idx="79">
                  <c:v>1237</c:v>
                </c:pt>
                <c:pt idx="80">
                  <c:v>1245.5</c:v>
                </c:pt>
                <c:pt idx="81">
                  <c:v>1261</c:v>
                </c:pt>
                <c:pt idx="82">
                  <c:v>1333</c:v>
                </c:pt>
                <c:pt idx="83">
                  <c:v>1507</c:v>
                </c:pt>
                <c:pt idx="84">
                  <c:v>1531</c:v>
                </c:pt>
                <c:pt idx="85">
                  <c:v>1543</c:v>
                </c:pt>
                <c:pt idx="86">
                  <c:v>1579</c:v>
                </c:pt>
                <c:pt idx="87">
                  <c:v>1760</c:v>
                </c:pt>
                <c:pt idx="88">
                  <c:v>1760</c:v>
                </c:pt>
                <c:pt idx="89">
                  <c:v>2050.5</c:v>
                </c:pt>
                <c:pt idx="90">
                  <c:v>3795</c:v>
                </c:pt>
              </c:numCache>
            </c:numRef>
          </c:xVal>
          <c:yVal>
            <c:numRef>
              <c:f>Active!$J$22:$J$998</c:f>
              <c:numCache>
                <c:formatCode>General</c:formatCode>
                <c:ptCount val="977"/>
                <c:pt idx="33">
                  <c:v>-1.0449999972479418E-3</c:v>
                </c:pt>
                <c:pt idx="34">
                  <c:v>-4.4999993406236172E-5</c:v>
                </c:pt>
                <c:pt idx="37">
                  <c:v>-3.1000000017229468E-3</c:v>
                </c:pt>
                <c:pt idx="38">
                  <c:v>-1.1000000013154931E-3</c:v>
                </c:pt>
                <c:pt idx="39">
                  <c:v>1.9000000029336661E-3</c:v>
                </c:pt>
                <c:pt idx="40">
                  <c:v>-3.9049999977578409E-3</c:v>
                </c:pt>
                <c:pt idx="41">
                  <c:v>-2.9050000011920929E-3</c:v>
                </c:pt>
                <c:pt idx="43">
                  <c:v>2.4750000739004463E-4</c:v>
                </c:pt>
                <c:pt idx="44">
                  <c:v>5.4750000708736479E-4</c:v>
                </c:pt>
                <c:pt idx="45">
                  <c:v>8.4750000678468496E-4</c:v>
                </c:pt>
                <c:pt idx="47">
                  <c:v>-2.2799999933340587E-3</c:v>
                </c:pt>
                <c:pt idx="48">
                  <c:v>-1.879999996162951E-3</c:v>
                </c:pt>
                <c:pt idx="49">
                  <c:v>-1.3799999942420982E-3</c:v>
                </c:pt>
                <c:pt idx="51">
                  <c:v>-1.3999999937368557E-3</c:v>
                </c:pt>
                <c:pt idx="64">
                  <c:v>-2.1949999936623499E-3</c:v>
                </c:pt>
                <c:pt idx="67">
                  <c:v>-1.7325000007986091E-3</c:v>
                </c:pt>
                <c:pt idx="68">
                  <c:v>-1.9699999975273386E-3</c:v>
                </c:pt>
                <c:pt idx="69">
                  <c:v>3.2000000646803528E-4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48-4205-B69E-3D2AECE257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Active!$F$22:$F$998</c:f>
              <c:numCache>
                <c:formatCode>General</c:formatCode>
                <c:ptCount val="977"/>
                <c:pt idx="0">
                  <c:v>-14568</c:v>
                </c:pt>
                <c:pt idx="1">
                  <c:v>-14011.5</c:v>
                </c:pt>
                <c:pt idx="2">
                  <c:v>-13793</c:v>
                </c:pt>
                <c:pt idx="3">
                  <c:v>-13310</c:v>
                </c:pt>
                <c:pt idx="4">
                  <c:v>-7500</c:v>
                </c:pt>
                <c:pt idx="5">
                  <c:v>-7483</c:v>
                </c:pt>
                <c:pt idx="6">
                  <c:v>-6234</c:v>
                </c:pt>
                <c:pt idx="7">
                  <c:v>-6234</c:v>
                </c:pt>
                <c:pt idx="8">
                  <c:v>-6234</c:v>
                </c:pt>
                <c:pt idx="9">
                  <c:v>-6234</c:v>
                </c:pt>
                <c:pt idx="10">
                  <c:v>-6234</c:v>
                </c:pt>
                <c:pt idx="11">
                  <c:v>-6222</c:v>
                </c:pt>
                <c:pt idx="12">
                  <c:v>-5971</c:v>
                </c:pt>
                <c:pt idx="13">
                  <c:v>-5969</c:v>
                </c:pt>
                <c:pt idx="14">
                  <c:v>-5928</c:v>
                </c:pt>
                <c:pt idx="15">
                  <c:v>-5622</c:v>
                </c:pt>
                <c:pt idx="16">
                  <c:v>-5429</c:v>
                </c:pt>
                <c:pt idx="17">
                  <c:v>-5412</c:v>
                </c:pt>
                <c:pt idx="18">
                  <c:v>-5372.5</c:v>
                </c:pt>
                <c:pt idx="19">
                  <c:v>-5186.5</c:v>
                </c:pt>
                <c:pt idx="20">
                  <c:v>-5131.5</c:v>
                </c:pt>
                <c:pt idx="21">
                  <c:v>-5123</c:v>
                </c:pt>
                <c:pt idx="22">
                  <c:v>-5099</c:v>
                </c:pt>
                <c:pt idx="23">
                  <c:v>-4937</c:v>
                </c:pt>
                <c:pt idx="24">
                  <c:v>-4937</c:v>
                </c:pt>
                <c:pt idx="25">
                  <c:v>-4933.5</c:v>
                </c:pt>
                <c:pt idx="26">
                  <c:v>-4932</c:v>
                </c:pt>
                <c:pt idx="27">
                  <c:v>-4913</c:v>
                </c:pt>
                <c:pt idx="28">
                  <c:v>-4909.5</c:v>
                </c:pt>
                <c:pt idx="29">
                  <c:v>-4872</c:v>
                </c:pt>
                <c:pt idx="30">
                  <c:v>-4663.5</c:v>
                </c:pt>
                <c:pt idx="31">
                  <c:v>-4655</c:v>
                </c:pt>
                <c:pt idx="32">
                  <c:v>-4643</c:v>
                </c:pt>
                <c:pt idx="33">
                  <c:v>-4431</c:v>
                </c:pt>
                <c:pt idx="34">
                  <c:v>-4431</c:v>
                </c:pt>
                <c:pt idx="35">
                  <c:v>-4414</c:v>
                </c:pt>
                <c:pt idx="36">
                  <c:v>-4180</c:v>
                </c:pt>
                <c:pt idx="37">
                  <c:v>-4180</c:v>
                </c:pt>
                <c:pt idx="38">
                  <c:v>-4180</c:v>
                </c:pt>
                <c:pt idx="39">
                  <c:v>-4180</c:v>
                </c:pt>
                <c:pt idx="40">
                  <c:v>-4139</c:v>
                </c:pt>
                <c:pt idx="41">
                  <c:v>-4139</c:v>
                </c:pt>
                <c:pt idx="42">
                  <c:v>-4132</c:v>
                </c:pt>
                <c:pt idx="43">
                  <c:v>-3889.5</c:v>
                </c:pt>
                <c:pt idx="44">
                  <c:v>-3889.5</c:v>
                </c:pt>
                <c:pt idx="45">
                  <c:v>-3889.5</c:v>
                </c:pt>
                <c:pt idx="46">
                  <c:v>-3664</c:v>
                </c:pt>
                <c:pt idx="47">
                  <c:v>-3664</c:v>
                </c:pt>
                <c:pt idx="48">
                  <c:v>-3664</c:v>
                </c:pt>
                <c:pt idx="49">
                  <c:v>-3664</c:v>
                </c:pt>
                <c:pt idx="50">
                  <c:v>-3652</c:v>
                </c:pt>
                <c:pt idx="51">
                  <c:v>-3640</c:v>
                </c:pt>
                <c:pt idx="52">
                  <c:v>-3592</c:v>
                </c:pt>
                <c:pt idx="53">
                  <c:v>-3382</c:v>
                </c:pt>
                <c:pt idx="54">
                  <c:v>-3382</c:v>
                </c:pt>
                <c:pt idx="55">
                  <c:v>-3342.5</c:v>
                </c:pt>
                <c:pt idx="56">
                  <c:v>-3161.5</c:v>
                </c:pt>
                <c:pt idx="57">
                  <c:v>-3105</c:v>
                </c:pt>
                <c:pt idx="58">
                  <c:v>-3088</c:v>
                </c:pt>
                <c:pt idx="59">
                  <c:v>-3057</c:v>
                </c:pt>
                <c:pt idx="60">
                  <c:v>-2578.5</c:v>
                </c:pt>
                <c:pt idx="61">
                  <c:v>-1844</c:v>
                </c:pt>
                <c:pt idx="62">
                  <c:v>-1784</c:v>
                </c:pt>
                <c:pt idx="63">
                  <c:v>-1781</c:v>
                </c:pt>
                <c:pt idx="64">
                  <c:v>-1581</c:v>
                </c:pt>
                <c:pt idx="65">
                  <c:v>-1572</c:v>
                </c:pt>
                <c:pt idx="66">
                  <c:v>-1571.5</c:v>
                </c:pt>
                <c:pt idx="67">
                  <c:v>-1553.5</c:v>
                </c:pt>
                <c:pt idx="68">
                  <c:v>-1526</c:v>
                </c:pt>
                <c:pt idx="69">
                  <c:v>-1304</c:v>
                </c:pt>
                <c:pt idx="70">
                  <c:v>-757</c:v>
                </c:pt>
                <c:pt idx="71">
                  <c:v>-547</c:v>
                </c:pt>
                <c:pt idx="72">
                  <c:v>-280.5</c:v>
                </c:pt>
                <c:pt idx="73">
                  <c:v>-265</c:v>
                </c:pt>
                <c:pt idx="74">
                  <c:v>-39.5</c:v>
                </c:pt>
                <c:pt idx="75">
                  <c:v>-3.5</c:v>
                </c:pt>
                <c:pt idx="76">
                  <c:v>-3.5</c:v>
                </c:pt>
                <c:pt idx="77">
                  <c:v>0</c:v>
                </c:pt>
                <c:pt idx="78">
                  <c:v>210</c:v>
                </c:pt>
                <c:pt idx="79">
                  <c:v>1237</c:v>
                </c:pt>
                <c:pt idx="80">
                  <c:v>1245.5</c:v>
                </c:pt>
                <c:pt idx="81">
                  <c:v>1261</c:v>
                </c:pt>
                <c:pt idx="82">
                  <c:v>1333</c:v>
                </c:pt>
                <c:pt idx="83">
                  <c:v>1507</c:v>
                </c:pt>
                <c:pt idx="84">
                  <c:v>1531</c:v>
                </c:pt>
                <c:pt idx="85">
                  <c:v>1543</c:v>
                </c:pt>
                <c:pt idx="86">
                  <c:v>1579</c:v>
                </c:pt>
                <c:pt idx="87">
                  <c:v>1760</c:v>
                </c:pt>
                <c:pt idx="88">
                  <c:v>1760</c:v>
                </c:pt>
                <c:pt idx="89">
                  <c:v>2050.5</c:v>
                </c:pt>
                <c:pt idx="90">
                  <c:v>3795</c:v>
                </c:pt>
              </c:numCache>
            </c:numRef>
          </c:xVal>
          <c:yVal>
            <c:numRef>
              <c:f>Active!$K$22:$K$998</c:f>
              <c:numCache>
                <c:formatCode>General</c:formatCode>
                <c:ptCount val="977"/>
                <c:pt idx="63">
                  <c:v>-9.5000003057066351E-5</c:v>
                </c:pt>
                <c:pt idx="71">
                  <c:v>5.650000020978041E-4</c:v>
                </c:pt>
                <c:pt idx="72">
                  <c:v>1.1024999985238537E-3</c:v>
                </c:pt>
                <c:pt idx="73">
                  <c:v>-2.8749999910360202E-3</c:v>
                </c:pt>
                <c:pt idx="74">
                  <c:v>-8.0249999882653356E-4</c:v>
                </c:pt>
                <c:pt idx="75">
                  <c:v>-1.4782500002183951E-2</c:v>
                </c:pt>
                <c:pt idx="76">
                  <c:v>-4.182500000752043E-3</c:v>
                </c:pt>
                <c:pt idx="77">
                  <c:v>0</c:v>
                </c:pt>
                <c:pt idx="78">
                  <c:v>3.5000000207219273E-4</c:v>
                </c:pt>
                <c:pt idx="79">
                  <c:v>-3.9849999957368709E-3</c:v>
                </c:pt>
                <c:pt idx="80">
                  <c:v>-3.5274999972898513E-3</c:v>
                </c:pt>
                <c:pt idx="81">
                  <c:v>-2.1049999995739199E-3</c:v>
                </c:pt>
                <c:pt idx="82">
                  <c:v>-5.5949999950826168E-3</c:v>
                </c:pt>
                <c:pt idx="83">
                  <c:v>-2.0349999977042899E-3</c:v>
                </c:pt>
                <c:pt idx="84">
                  <c:v>-6.6549999974085949E-3</c:v>
                </c:pt>
                <c:pt idx="85">
                  <c:v>-4.9149999977089465E-3</c:v>
                </c:pt>
                <c:pt idx="86">
                  <c:v>-7.4949999980162829E-3</c:v>
                </c:pt>
                <c:pt idx="87">
                  <c:v>-1.0179999997490086E-2</c:v>
                </c:pt>
                <c:pt idx="88">
                  <c:v>-4.6999999976833351E-3</c:v>
                </c:pt>
                <c:pt idx="89">
                  <c:v>-7.5524999992921948E-3</c:v>
                </c:pt>
                <c:pt idx="90">
                  <c:v>-1.2974999990547076E-2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48-4205-B69E-3D2AECE257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Active!$F$22:$F$998</c:f>
              <c:numCache>
                <c:formatCode>General</c:formatCode>
                <c:ptCount val="977"/>
                <c:pt idx="0">
                  <c:v>-14568</c:v>
                </c:pt>
                <c:pt idx="1">
                  <c:v>-14011.5</c:v>
                </c:pt>
                <c:pt idx="2">
                  <c:v>-13793</c:v>
                </c:pt>
                <c:pt idx="3">
                  <c:v>-13310</c:v>
                </c:pt>
                <c:pt idx="4">
                  <c:v>-7500</c:v>
                </c:pt>
                <c:pt idx="5">
                  <c:v>-7483</c:v>
                </c:pt>
                <c:pt idx="6">
                  <c:v>-6234</c:v>
                </c:pt>
                <c:pt idx="7">
                  <c:v>-6234</c:v>
                </c:pt>
                <c:pt idx="8">
                  <c:v>-6234</c:v>
                </c:pt>
                <c:pt idx="9">
                  <c:v>-6234</c:v>
                </c:pt>
                <c:pt idx="10">
                  <c:v>-6234</c:v>
                </c:pt>
                <c:pt idx="11">
                  <c:v>-6222</c:v>
                </c:pt>
                <c:pt idx="12">
                  <c:v>-5971</c:v>
                </c:pt>
                <c:pt idx="13">
                  <c:v>-5969</c:v>
                </c:pt>
                <c:pt idx="14">
                  <c:v>-5928</c:v>
                </c:pt>
                <c:pt idx="15">
                  <c:v>-5622</c:v>
                </c:pt>
                <c:pt idx="16">
                  <c:v>-5429</c:v>
                </c:pt>
                <c:pt idx="17">
                  <c:v>-5412</c:v>
                </c:pt>
                <c:pt idx="18">
                  <c:v>-5372.5</c:v>
                </c:pt>
                <c:pt idx="19">
                  <c:v>-5186.5</c:v>
                </c:pt>
                <c:pt idx="20">
                  <c:v>-5131.5</c:v>
                </c:pt>
                <c:pt idx="21">
                  <c:v>-5123</c:v>
                </c:pt>
                <c:pt idx="22">
                  <c:v>-5099</c:v>
                </c:pt>
                <c:pt idx="23">
                  <c:v>-4937</c:v>
                </c:pt>
                <c:pt idx="24">
                  <c:v>-4937</c:v>
                </c:pt>
                <c:pt idx="25">
                  <c:v>-4933.5</c:v>
                </c:pt>
                <c:pt idx="26">
                  <c:v>-4932</c:v>
                </c:pt>
                <c:pt idx="27">
                  <c:v>-4913</c:v>
                </c:pt>
                <c:pt idx="28">
                  <c:v>-4909.5</c:v>
                </c:pt>
                <c:pt idx="29">
                  <c:v>-4872</c:v>
                </c:pt>
                <c:pt idx="30">
                  <c:v>-4663.5</c:v>
                </c:pt>
                <c:pt idx="31">
                  <c:v>-4655</c:v>
                </c:pt>
                <c:pt idx="32">
                  <c:v>-4643</c:v>
                </c:pt>
                <c:pt idx="33">
                  <c:v>-4431</c:v>
                </c:pt>
                <c:pt idx="34">
                  <c:v>-4431</c:v>
                </c:pt>
                <c:pt idx="35">
                  <c:v>-4414</c:v>
                </c:pt>
                <c:pt idx="36">
                  <c:v>-4180</c:v>
                </c:pt>
                <c:pt idx="37">
                  <c:v>-4180</c:v>
                </c:pt>
                <c:pt idx="38">
                  <c:v>-4180</c:v>
                </c:pt>
                <c:pt idx="39">
                  <c:v>-4180</c:v>
                </c:pt>
                <c:pt idx="40">
                  <c:v>-4139</c:v>
                </c:pt>
                <c:pt idx="41">
                  <c:v>-4139</c:v>
                </c:pt>
                <c:pt idx="42">
                  <c:v>-4132</c:v>
                </c:pt>
                <c:pt idx="43">
                  <c:v>-3889.5</c:v>
                </c:pt>
                <c:pt idx="44">
                  <c:v>-3889.5</c:v>
                </c:pt>
                <c:pt idx="45">
                  <c:v>-3889.5</c:v>
                </c:pt>
                <c:pt idx="46">
                  <c:v>-3664</c:v>
                </c:pt>
                <c:pt idx="47">
                  <c:v>-3664</c:v>
                </c:pt>
                <c:pt idx="48">
                  <c:v>-3664</c:v>
                </c:pt>
                <c:pt idx="49">
                  <c:v>-3664</c:v>
                </c:pt>
                <c:pt idx="50">
                  <c:v>-3652</c:v>
                </c:pt>
                <c:pt idx="51">
                  <c:v>-3640</c:v>
                </c:pt>
                <c:pt idx="52">
                  <c:v>-3592</c:v>
                </c:pt>
                <c:pt idx="53">
                  <c:v>-3382</c:v>
                </c:pt>
                <c:pt idx="54">
                  <c:v>-3382</c:v>
                </c:pt>
                <c:pt idx="55">
                  <c:v>-3342.5</c:v>
                </c:pt>
                <c:pt idx="56">
                  <c:v>-3161.5</c:v>
                </c:pt>
                <c:pt idx="57">
                  <c:v>-3105</c:v>
                </c:pt>
                <c:pt idx="58">
                  <c:v>-3088</c:v>
                </c:pt>
                <c:pt idx="59">
                  <c:v>-3057</c:v>
                </c:pt>
                <c:pt idx="60">
                  <c:v>-2578.5</c:v>
                </c:pt>
                <c:pt idx="61">
                  <c:v>-1844</c:v>
                </c:pt>
                <c:pt idx="62">
                  <c:v>-1784</c:v>
                </c:pt>
                <c:pt idx="63">
                  <c:v>-1781</c:v>
                </c:pt>
                <c:pt idx="64">
                  <c:v>-1581</c:v>
                </c:pt>
                <c:pt idx="65">
                  <c:v>-1572</c:v>
                </c:pt>
                <c:pt idx="66">
                  <c:v>-1571.5</c:v>
                </c:pt>
                <c:pt idx="67">
                  <c:v>-1553.5</c:v>
                </c:pt>
                <c:pt idx="68">
                  <c:v>-1526</c:v>
                </c:pt>
                <c:pt idx="69">
                  <c:v>-1304</c:v>
                </c:pt>
                <c:pt idx="70">
                  <c:v>-757</c:v>
                </c:pt>
                <c:pt idx="71">
                  <c:v>-547</c:v>
                </c:pt>
                <c:pt idx="72">
                  <c:v>-280.5</c:v>
                </c:pt>
                <c:pt idx="73">
                  <c:v>-265</c:v>
                </c:pt>
                <c:pt idx="74">
                  <c:v>-39.5</c:v>
                </c:pt>
                <c:pt idx="75">
                  <c:v>-3.5</c:v>
                </c:pt>
                <c:pt idx="76">
                  <c:v>-3.5</c:v>
                </c:pt>
                <c:pt idx="77">
                  <c:v>0</c:v>
                </c:pt>
                <c:pt idx="78">
                  <c:v>210</c:v>
                </c:pt>
                <c:pt idx="79">
                  <c:v>1237</c:v>
                </c:pt>
                <c:pt idx="80">
                  <c:v>1245.5</c:v>
                </c:pt>
                <c:pt idx="81">
                  <c:v>1261</c:v>
                </c:pt>
                <c:pt idx="82">
                  <c:v>1333</c:v>
                </c:pt>
                <c:pt idx="83">
                  <c:v>1507</c:v>
                </c:pt>
                <c:pt idx="84">
                  <c:v>1531</c:v>
                </c:pt>
                <c:pt idx="85">
                  <c:v>1543</c:v>
                </c:pt>
                <c:pt idx="86">
                  <c:v>1579</c:v>
                </c:pt>
                <c:pt idx="87">
                  <c:v>1760</c:v>
                </c:pt>
                <c:pt idx="88">
                  <c:v>1760</c:v>
                </c:pt>
                <c:pt idx="89">
                  <c:v>2050.5</c:v>
                </c:pt>
                <c:pt idx="90">
                  <c:v>3795</c:v>
                </c:pt>
              </c:numCache>
            </c:numRef>
          </c:xVal>
          <c:yVal>
            <c:numRef>
              <c:f>Active!$L$22:$L$998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48-4205-B69E-3D2AECE257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Active!$F$22:$F$998</c:f>
              <c:numCache>
                <c:formatCode>General</c:formatCode>
                <c:ptCount val="977"/>
                <c:pt idx="0">
                  <c:v>-14568</c:v>
                </c:pt>
                <c:pt idx="1">
                  <c:v>-14011.5</c:v>
                </c:pt>
                <c:pt idx="2">
                  <c:v>-13793</c:v>
                </c:pt>
                <c:pt idx="3">
                  <c:v>-13310</c:v>
                </c:pt>
                <c:pt idx="4">
                  <c:v>-7500</c:v>
                </c:pt>
                <c:pt idx="5">
                  <c:v>-7483</c:v>
                </c:pt>
                <c:pt idx="6">
                  <c:v>-6234</c:v>
                </c:pt>
                <c:pt idx="7">
                  <c:v>-6234</c:v>
                </c:pt>
                <c:pt idx="8">
                  <c:v>-6234</c:v>
                </c:pt>
                <c:pt idx="9">
                  <c:v>-6234</c:v>
                </c:pt>
                <c:pt idx="10">
                  <c:v>-6234</c:v>
                </c:pt>
                <c:pt idx="11">
                  <c:v>-6222</c:v>
                </c:pt>
                <c:pt idx="12">
                  <c:v>-5971</c:v>
                </c:pt>
                <c:pt idx="13">
                  <c:v>-5969</c:v>
                </c:pt>
                <c:pt idx="14">
                  <c:v>-5928</c:v>
                </c:pt>
                <c:pt idx="15">
                  <c:v>-5622</c:v>
                </c:pt>
                <c:pt idx="16">
                  <c:v>-5429</c:v>
                </c:pt>
                <c:pt idx="17">
                  <c:v>-5412</c:v>
                </c:pt>
                <c:pt idx="18">
                  <c:v>-5372.5</c:v>
                </c:pt>
                <c:pt idx="19">
                  <c:v>-5186.5</c:v>
                </c:pt>
                <c:pt idx="20">
                  <c:v>-5131.5</c:v>
                </c:pt>
                <c:pt idx="21">
                  <c:v>-5123</c:v>
                </c:pt>
                <c:pt idx="22">
                  <c:v>-5099</c:v>
                </c:pt>
                <c:pt idx="23">
                  <c:v>-4937</c:v>
                </c:pt>
                <c:pt idx="24">
                  <c:v>-4937</c:v>
                </c:pt>
                <c:pt idx="25">
                  <c:v>-4933.5</c:v>
                </c:pt>
                <c:pt idx="26">
                  <c:v>-4932</c:v>
                </c:pt>
                <c:pt idx="27">
                  <c:v>-4913</c:v>
                </c:pt>
                <c:pt idx="28">
                  <c:v>-4909.5</c:v>
                </c:pt>
                <c:pt idx="29">
                  <c:v>-4872</c:v>
                </c:pt>
                <c:pt idx="30">
                  <c:v>-4663.5</c:v>
                </c:pt>
                <c:pt idx="31">
                  <c:v>-4655</c:v>
                </c:pt>
                <c:pt idx="32">
                  <c:v>-4643</c:v>
                </c:pt>
                <c:pt idx="33">
                  <c:v>-4431</c:v>
                </c:pt>
                <c:pt idx="34">
                  <c:v>-4431</c:v>
                </c:pt>
                <c:pt idx="35">
                  <c:v>-4414</c:v>
                </c:pt>
                <c:pt idx="36">
                  <c:v>-4180</c:v>
                </c:pt>
                <c:pt idx="37">
                  <c:v>-4180</c:v>
                </c:pt>
                <c:pt idx="38">
                  <c:v>-4180</c:v>
                </c:pt>
                <c:pt idx="39">
                  <c:v>-4180</c:v>
                </c:pt>
                <c:pt idx="40">
                  <c:v>-4139</c:v>
                </c:pt>
                <c:pt idx="41">
                  <c:v>-4139</c:v>
                </c:pt>
                <c:pt idx="42">
                  <c:v>-4132</c:v>
                </c:pt>
                <c:pt idx="43">
                  <c:v>-3889.5</c:v>
                </c:pt>
                <c:pt idx="44">
                  <c:v>-3889.5</c:v>
                </c:pt>
                <c:pt idx="45">
                  <c:v>-3889.5</c:v>
                </c:pt>
                <c:pt idx="46">
                  <c:v>-3664</c:v>
                </c:pt>
                <c:pt idx="47">
                  <c:v>-3664</c:v>
                </c:pt>
                <c:pt idx="48">
                  <c:v>-3664</c:v>
                </c:pt>
                <c:pt idx="49">
                  <c:v>-3664</c:v>
                </c:pt>
                <c:pt idx="50">
                  <c:v>-3652</c:v>
                </c:pt>
                <c:pt idx="51">
                  <c:v>-3640</c:v>
                </c:pt>
                <c:pt idx="52">
                  <c:v>-3592</c:v>
                </c:pt>
                <c:pt idx="53">
                  <c:v>-3382</c:v>
                </c:pt>
                <c:pt idx="54">
                  <c:v>-3382</c:v>
                </c:pt>
                <c:pt idx="55">
                  <c:v>-3342.5</c:v>
                </c:pt>
                <c:pt idx="56">
                  <c:v>-3161.5</c:v>
                </c:pt>
                <c:pt idx="57">
                  <c:v>-3105</c:v>
                </c:pt>
                <c:pt idx="58">
                  <c:v>-3088</c:v>
                </c:pt>
                <c:pt idx="59">
                  <c:v>-3057</c:v>
                </c:pt>
                <c:pt idx="60">
                  <c:v>-2578.5</c:v>
                </c:pt>
                <c:pt idx="61">
                  <c:v>-1844</c:v>
                </c:pt>
                <c:pt idx="62">
                  <c:v>-1784</c:v>
                </c:pt>
                <c:pt idx="63">
                  <c:v>-1781</c:v>
                </c:pt>
                <c:pt idx="64">
                  <c:v>-1581</c:v>
                </c:pt>
                <c:pt idx="65">
                  <c:v>-1572</c:v>
                </c:pt>
                <c:pt idx="66">
                  <c:v>-1571.5</c:v>
                </c:pt>
                <c:pt idx="67">
                  <c:v>-1553.5</c:v>
                </c:pt>
                <c:pt idx="68">
                  <c:v>-1526</c:v>
                </c:pt>
                <c:pt idx="69">
                  <c:v>-1304</c:v>
                </c:pt>
                <c:pt idx="70">
                  <c:v>-757</c:v>
                </c:pt>
                <c:pt idx="71">
                  <c:v>-547</c:v>
                </c:pt>
                <c:pt idx="72">
                  <c:v>-280.5</c:v>
                </c:pt>
                <c:pt idx="73">
                  <c:v>-265</c:v>
                </c:pt>
                <c:pt idx="74">
                  <c:v>-39.5</c:v>
                </c:pt>
                <c:pt idx="75">
                  <c:v>-3.5</c:v>
                </c:pt>
                <c:pt idx="76">
                  <c:v>-3.5</c:v>
                </c:pt>
                <c:pt idx="77">
                  <c:v>0</c:v>
                </c:pt>
                <c:pt idx="78">
                  <c:v>210</c:v>
                </c:pt>
                <c:pt idx="79">
                  <c:v>1237</c:v>
                </c:pt>
                <c:pt idx="80">
                  <c:v>1245.5</c:v>
                </c:pt>
                <c:pt idx="81">
                  <c:v>1261</c:v>
                </c:pt>
                <c:pt idx="82">
                  <c:v>1333</c:v>
                </c:pt>
                <c:pt idx="83">
                  <c:v>1507</c:v>
                </c:pt>
                <c:pt idx="84">
                  <c:v>1531</c:v>
                </c:pt>
                <c:pt idx="85">
                  <c:v>1543</c:v>
                </c:pt>
                <c:pt idx="86">
                  <c:v>1579</c:v>
                </c:pt>
                <c:pt idx="87">
                  <c:v>1760</c:v>
                </c:pt>
                <c:pt idx="88">
                  <c:v>1760</c:v>
                </c:pt>
                <c:pt idx="89">
                  <c:v>2050.5</c:v>
                </c:pt>
                <c:pt idx="90">
                  <c:v>3795</c:v>
                </c:pt>
              </c:numCache>
            </c:numRef>
          </c:xVal>
          <c:yVal>
            <c:numRef>
              <c:f>Active!$M$22:$M$998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48-4205-B69E-3D2AECE257C3}"/>
            </c:ext>
          </c:extLst>
        </c:ser>
        <c:ser>
          <c:idx val="7"/>
          <c:order val="6"/>
          <c:tx>
            <c:strRef>
              <c:f>Active!$Q$20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Active!$F$22:$F$998</c:f>
              <c:numCache>
                <c:formatCode>General</c:formatCode>
                <c:ptCount val="977"/>
                <c:pt idx="0">
                  <c:v>-14568</c:v>
                </c:pt>
                <c:pt idx="1">
                  <c:v>-14011.5</c:v>
                </c:pt>
                <c:pt idx="2">
                  <c:v>-13793</c:v>
                </c:pt>
                <c:pt idx="3">
                  <c:v>-13310</c:v>
                </c:pt>
                <c:pt idx="4">
                  <c:v>-7500</c:v>
                </c:pt>
                <c:pt idx="5">
                  <c:v>-7483</c:v>
                </c:pt>
                <c:pt idx="6">
                  <c:v>-6234</c:v>
                </c:pt>
                <c:pt idx="7">
                  <c:v>-6234</c:v>
                </c:pt>
                <c:pt idx="8">
                  <c:v>-6234</c:v>
                </c:pt>
                <c:pt idx="9">
                  <c:v>-6234</c:v>
                </c:pt>
                <c:pt idx="10">
                  <c:v>-6234</c:v>
                </c:pt>
                <c:pt idx="11">
                  <c:v>-6222</c:v>
                </c:pt>
                <c:pt idx="12">
                  <c:v>-5971</c:v>
                </c:pt>
                <c:pt idx="13">
                  <c:v>-5969</c:v>
                </c:pt>
                <c:pt idx="14">
                  <c:v>-5928</c:v>
                </c:pt>
                <c:pt idx="15">
                  <c:v>-5622</c:v>
                </c:pt>
                <c:pt idx="16">
                  <c:v>-5429</c:v>
                </c:pt>
                <c:pt idx="17">
                  <c:v>-5412</c:v>
                </c:pt>
                <c:pt idx="18">
                  <c:v>-5372.5</c:v>
                </c:pt>
                <c:pt idx="19">
                  <c:v>-5186.5</c:v>
                </c:pt>
                <c:pt idx="20">
                  <c:v>-5131.5</c:v>
                </c:pt>
                <c:pt idx="21">
                  <c:v>-5123</c:v>
                </c:pt>
                <c:pt idx="22">
                  <c:v>-5099</c:v>
                </c:pt>
                <c:pt idx="23">
                  <c:v>-4937</c:v>
                </c:pt>
                <c:pt idx="24">
                  <c:v>-4937</c:v>
                </c:pt>
                <c:pt idx="25">
                  <c:v>-4933.5</c:v>
                </c:pt>
                <c:pt idx="26">
                  <c:v>-4932</c:v>
                </c:pt>
                <c:pt idx="27">
                  <c:v>-4913</c:v>
                </c:pt>
                <c:pt idx="28">
                  <c:v>-4909.5</c:v>
                </c:pt>
                <c:pt idx="29">
                  <c:v>-4872</c:v>
                </c:pt>
                <c:pt idx="30">
                  <c:v>-4663.5</c:v>
                </c:pt>
                <c:pt idx="31">
                  <c:v>-4655</c:v>
                </c:pt>
                <c:pt idx="32">
                  <c:v>-4643</c:v>
                </c:pt>
                <c:pt idx="33">
                  <c:v>-4431</c:v>
                </c:pt>
                <c:pt idx="34">
                  <c:v>-4431</c:v>
                </c:pt>
                <c:pt idx="35">
                  <c:v>-4414</c:v>
                </c:pt>
                <c:pt idx="36">
                  <c:v>-4180</c:v>
                </c:pt>
                <c:pt idx="37">
                  <c:v>-4180</c:v>
                </c:pt>
                <c:pt idx="38">
                  <c:v>-4180</c:v>
                </c:pt>
                <c:pt idx="39">
                  <c:v>-4180</c:v>
                </c:pt>
                <c:pt idx="40">
                  <c:v>-4139</c:v>
                </c:pt>
                <c:pt idx="41">
                  <c:v>-4139</c:v>
                </c:pt>
                <c:pt idx="42">
                  <c:v>-4132</c:v>
                </c:pt>
                <c:pt idx="43">
                  <c:v>-3889.5</c:v>
                </c:pt>
                <c:pt idx="44">
                  <c:v>-3889.5</c:v>
                </c:pt>
                <c:pt idx="45">
                  <c:v>-3889.5</c:v>
                </c:pt>
                <c:pt idx="46">
                  <c:v>-3664</c:v>
                </c:pt>
                <c:pt idx="47">
                  <c:v>-3664</c:v>
                </c:pt>
                <c:pt idx="48">
                  <c:v>-3664</c:v>
                </c:pt>
                <c:pt idx="49">
                  <c:v>-3664</c:v>
                </c:pt>
                <c:pt idx="50">
                  <c:v>-3652</c:v>
                </c:pt>
                <c:pt idx="51">
                  <c:v>-3640</c:v>
                </c:pt>
                <c:pt idx="52">
                  <c:v>-3592</c:v>
                </c:pt>
                <c:pt idx="53">
                  <c:v>-3382</c:v>
                </c:pt>
                <c:pt idx="54">
                  <c:v>-3382</c:v>
                </c:pt>
                <c:pt idx="55">
                  <c:v>-3342.5</c:v>
                </c:pt>
                <c:pt idx="56">
                  <c:v>-3161.5</c:v>
                </c:pt>
                <c:pt idx="57">
                  <c:v>-3105</c:v>
                </c:pt>
                <c:pt idx="58">
                  <c:v>-3088</c:v>
                </c:pt>
                <c:pt idx="59">
                  <c:v>-3057</c:v>
                </c:pt>
                <c:pt idx="60">
                  <c:v>-2578.5</c:v>
                </c:pt>
                <c:pt idx="61">
                  <c:v>-1844</c:v>
                </c:pt>
                <c:pt idx="62">
                  <c:v>-1784</c:v>
                </c:pt>
                <c:pt idx="63">
                  <c:v>-1781</c:v>
                </c:pt>
                <c:pt idx="64">
                  <c:v>-1581</c:v>
                </c:pt>
                <c:pt idx="65">
                  <c:v>-1572</c:v>
                </c:pt>
                <c:pt idx="66">
                  <c:v>-1571.5</c:v>
                </c:pt>
                <c:pt idx="67">
                  <c:v>-1553.5</c:v>
                </c:pt>
                <c:pt idx="68">
                  <c:v>-1526</c:v>
                </c:pt>
                <c:pt idx="69">
                  <c:v>-1304</c:v>
                </c:pt>
                <c:pt idx="70">
                  <c:v>-757</c:v>
                </c:pt>
                <c:pt idx="71">
                  <c:v>-547</c:v>
                </c:pt>
                <c:pt idx="72">
                  <c:v>-280.5</c:v>
                </c:pt>
                <c:pt idx="73">
                  <c:v>-265</c:v>
                </c:pt>
                <c:pt idx="74">
                  <c:v>-39.5</c:v>
                </c:pt>
                <c:pt idx="75">
                  <c:v>-3.5</c:v>
                </c:pt>
                <c:pt idx="76">
                  <c:v>-3.5</c:v>
                </c:pt>
                <c:pt idx="77">
                  <c:v>0</c:v>
                </c:pt>
                <c:pt idx="78">
                  <c:v>210</c:v>
                </c:pt>
                <c:pt idx="79">
                  <c:v>1237</c:v>
                </c:pt>
                <c:pt idx="80">
                  <c:v>1245.5</c:v>
                </c:pt>
                <c:pt idx="81">
                  <c:v>1261</c:v>
                </c:pt>
                <c:pt idx="82">
                  <c:v>1333</c:v>
                </c:pt>
                <c:pt idx="83">
                  <c:v>1507</c:v>
                </c:pt>
                <c:pt idx="84">
                  <c:v>1531</c:v>
                </c:pt>
                <c:pt idx="85">
                  <c:v>1543</c:v>
                </c:pt>
                <c:pt idx="86">
                  <c:v>1579</c:v>
                </c:pt>
                <c:pt idx="87">
                  <c:v>1760</c:v>
                </c:pt>
                <c:pt idx="88">
                  <c:v>1760</c:v>
                </c:pt>
                <c:pt idx="89">
                  <c:v>2050.5</c:v>
                </c:pt>
                <c:pt idx="90">
                  <c:v>3795</c:v>
                </c:pt>
              </c:numCache>
            </c:numRef>
          </c:xVal>
          <c:yVal>
            <c:numRef>
              <c:f>Active!$Q$22:$Q$998</c:f>
              <c:numCache>
                <c:formatCode>General</c:formatCode>
                <c:ptCount val="977"/>
                <c:pt idx="0">
                  <c:v>4.424000000290107E-2</c:v>
                </c:pt>
                <c:pt idx="1">
                  <c:v>4.7257500002160668E-2</c:v>
                </c:pt>
                <c:pt idx="2">
                  <c:v>3.6365000007208437E-2</c:v>
                </c:pt>
                <c:pt idx="3">
                  <c:v>3.4550000003946479E-2</c:v>
                </c:pt>
                <c:pt idx="4">
                  <c:v>5.8499999999185093E-2</c:v>
                </c:pt>
                <c:pt idx="60">
                  <c:v>7.3692500001925509E-2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48-4205-B69E-3D2AECE25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794968"/>
        <c:axId val="1"/>
      </c:scatterChart>
      <c:valAx>
        <c:axId val="571794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66751162325545"/>
              <c:y val="0.85670043581000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438569206842923E-2"/>
              <c:y val="0.35202590330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94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97216949747533"/>
          <c:y val="0.91900605882208652"/>
          <c:w val="0.65318867023426119"/>
          <c:h val="6.23056230120767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V1353 Aql - O-C Diagr.</a:t>
            </a:r>
          </a:p>
        </c:rich>
      </c:tx>
      <c:layout>
        <c:manualLayout>
          <c:xMode val="edge"/>
          <c:yMode val="edge"/>
          <c:x val="0.3670298755423845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210188151692"/>
          <c:y val="0.1526484394727155"/>
          <c:w val="0.81337542325967094"/>
          <c:h val="0.61993958071572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B!$F$22:$F$958</c:f>
              <c:numCache>
                <c:formatCode>General</c:formatCode>
                <c:ptCount val="937"/>
                <c:pt idx="0">
                  <c:v>-767</c:v>
                </c:pt>
                <c:pt idx="1">
                  <c:v>-516</c:v>
                </c:pt>
                <c:pt idx="2">
                  <c:v>-225.5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1883</c:v>
                </c:pt>
                <c:pt idx="7">
                  <c:v>2083</c:v>
                </c:pt>
                <c:pt idx="8">
                  <c:v>2110.5</c:v>
                </c:pt>
                <c:pt idx="9">
                  <c:v>2138</c:v>
                </c:pt>
                <c:pt idx="10">
                  <c:v>2360</c:v>
                </c:pt>
                <c:pt idx="11">
                  <c:v>3117</c:v>
                </c:pt>
                <c:pt idx="12">
                  <c:v>3624.5</c:v>
                </c:pt>
                <c:pt idx="13">
                  <c:v>3874</c:v>
                </c:pt>
                <c:pt idx="14">
                  <c:v>4901</c:v>
                </c:pt>
                <c:pt idx="15">
                  <c:v>4909.5</c:v>
                </c:pt>
                <c:pt idx="16">
                  <c:v>4925</c:v>
                </c:pt>
              </c:numCache>
            </c:numRef>
          </c:xVal>
          <c:yVal>
            <c:numRef>
              <c:f>B!$H$22:$H$958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BE-4814-A1BA-6A4B533AF140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B!$F$22:$F$958</c:f>
              <c:numCache>
                <c:formatCode>General</c:formatCode>
                <c:ptCount val="937"/>
                <c:pt idx="0">
                  <c:v>-767</c:v>
                </c:pt>
                <c:pt idx="1">
                  <c:v>-516</c:v>
                </c:pt>
                <c:pt idx="2">
                  <c:v>-225.5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1883</c:v>
                </c:pt>
                <c:pt idx="7">
                  <c:v>2083</c:v>
                </c:pt>
                <c:pt idx="8">
                  <c:v>2110.5</c:v>
                </c:pt>
                <c:pt idx="9">
                  <c:v>2138</c:v>
                </c:pt>
                <c:pt idx="10">
                  <c:v>2360</c:v>
                </c:pt>
                <c:pt idx="11">
                  <c:v>3117</c:v>
                </c:pt>
                <c:pt idx="12">
                  <c:v>3624.5</c:v>
                </c:pt>
                <c:pt idx="13">
                  <c:v>3874</c:v>
                </c:pt>
                <c:pt idx="14">
                  <c:v>4901</c:v>
                </c:pt>
                <c:pt idx="15">
                  <c:v>4909.5</c:v>
                </c:pt>
                <c:pt idx="16">
                  <c:v>4925</c:v>
                </c:pt>
              </c:numCache>
            </c:numRef>
          </c:xVal>
          <c:yVal>
            <c:numRef>
              <c:f>B!$I$22:$I$958</c:f>
              <c:numCache>
                <c:formatCode>General</c:formatCode>
                <c:ptCount val="937"/>
                <c:pt idx="0">
                  <c:v>-4.2107000044779852E-3</c:v>
                </c:pt>
                <c:pt idx="1">
                  <c:v>-2.4836000011418946E-3</c:v>
                </c:pt>
                <c:pt idx="2">
                  <c:v>1.2264499964658171E-3</c:v>
                </c:pt>
                <c:pt idx="3">
                  <c:v>0</c:v>
                </c:pt>
                <c:pt idx="4">
                  <c:v>3.9999999717110768E-4</c:v>
                </c:pt>
                <c:pt idx="5">
                  <c:v>1.0504000019864179E-3</c:v>
                </c:pt>
                <c:pt idx="6">
                  <c:v>1.5554299992800225E-2</c:v>
                </c:pt>
                <c:pt idx="7">
                  <c:v>1.4874300002702512E-2</c:v>
                </c:pt>
                <c:pt idx="8">
                  <c:v>1.553204999800073E-2</c:v>
                </c:pt>
                <c:pt idx="9">
                  <c:v>1.548979999643052E-2</c:v>
                </c:pt>
                <c:pt idx="10">
                  <c:v>1.935599999706028E-2</c:v>
                </c:pt>
                <c:pt idx="12">
                  <c:v>2.7211449996684678E-2</c:v>
                </c:pt>
                <c:pt idx="13">
                  <c:v>3.0135399996652268E-2</c:v>
                </c:pt>
                <c:pt idx="14">
                  <c:v>3.3092100005887914E-2</c:v>
                </c:pt>
                <c:pt idx="15">
                  <c:v>3.3609949998208322E-2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E-4814-A1BA-6A4B533AF140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CC99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B!$F$22:$F$958</c:f>
              <c:numCache>
                <c:formatCode>General</c:formatCode>
                <c:ptCount val="937"/>
                <c:pt idx="0">
                  <c:v>-767</c:v>
                </c:pt>
                <c:pt idx="1">
                  <c:v>-516</c:v>
                </c:pt>
                <c:pt idx="2">
                  <c:v>-225.5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1883</c:v>
                </c:pt>
                <c:pt idx="7">
                  <c:v>2083</c:v>
                </c:pt>
                <c:pt idx="8">
                  <c:v>2110.5</c:v>
                </c:pt>
                <c:pt idx="9">
                  <c:v>2138</c:v>
                </c:pt>
                <c:pt idx="10">
                  <c:v>2360</c:v>
                </c:pt>
                <c:pt idx="11">
                  <c:v>3117</c:v>
                </c:pt>
                <c:pt idx="12">
                  <c:v>3624.5</c:v>
                </c:pt>
                <c:pt idx="13">
                  <c:v>3874</c:v>
                </c:pt>
                <c:pt idx="14">
                  <c:v>4901</c:v>
                </c:pt>
                <c:pt idx="15">
                  <c:v>4909.5</c:v>
                </c:pt>
                <c:pt idx="16">
                  <c:v>4925</c:v>
                </c:pt>
              </c:numCache>
            </c:numRef>
          </c:xVal>
          <c:yVal>
            <c:numRef>
              <c:f>B!$J$22:$J$958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BE-4814-A1BA-6A4B533AF140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B!$F$22:$F$958</c:f>
              <c:numCache>
                <c:formatCode>General</c:formatCode>
                <c:ptCount val="937"/>
                <c:pt idx="0">
                  <c:v>-767</c:v>
                </c:pt>
                <c:pt idx="1">
                  <c:v>-516</c:v>
                </c:pt>
                <c:pt idx="2">
                  <c:v>-225.5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1883</c:v>
                </c:pt>
                <c:pt idx="7">
                  <c:v>2083</c:v>
                </c:pt>
                <c:pt idx="8">
                  <c:v>2110.5</c:v>
                </c:pt>
                <c:pt idx="9">
                  <c:v>2138</c:v>
                </c:pt>
                <c:pt idx="10">
                  <c:v>2360</c:v>
                </c:pt>
                <c:pt idx="11">
                  <c:v>3117</c:v>
                </c:pt>
                <c:pt idx="12">
                  <c:v>3624.5</c:v>
                </c:pt>
                <c:pt idx="13">
                  <c:v>3874</c:v>
                </c:pt>
                <c:pt idx="14">
                  <c:v>4901</c:v>
                </c:pt>
                <c:pt idx="15">
                  <c:v>4909.5</c:v>
                </c:pt>
                <c:pt idx="16">
                  <c:v>4925</c:v>
                </c:pt>
              </c:numCache>
            </c:numRef>
          </c:xVal>
          <c:yVal>
            <c:numRef>
              <c:f>B!$K$22:$K$958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BE-4814-A1BA-6A4B533AF140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B!$F$22:$F$958</c:f>
              <c:numCache>
                <c:formatCode>General</c:formatCode>
                <c:ptCount val="937"/>
                <c:pt idx="0">
                  <c:v>-767</c:v>
                </c:pt>
                <c:pt idx="1">
                  <c:v>-516</c:v>
                </c:pt>
                <c:pt idx="2">
                  <c:v>-225.5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1883</c:v>
                </c:pt>
                <c:pt idx="7">
                  <c:v>2083</c:v>
                </c:pt>
                <c:pt idx="8">
                  <c:v>2110.5</c:v>
                </c:pt>
                <c:pt idx="9">
                  <c:v>2138</c:v>
                </c:pt>
                <c:pt idx="10">
                  <c:v>2360</c:v>
                </c:pt>
                <c:pt idx="11">
                  <c:v>3117</c:v>
                </c:pt>
                <c:pt idx="12">
                  <c:v>3624.5</c:v>
                </c:pt>
                <c:pt idx="13">
                  <c:v>3874</c:v>
                </c:pt>
                <c:pt idx="14">
                  <c:v>4901</c:v>
                </c:pt>
                <c:pt idx="15">
                  <c:v>4909.5</c:v>
                </c:pt>
                <c:pt idx="16">
                  <c:v>4925</c:v>
                </c:pt>
              </c:numCache>
            </c:numRef>
          </c:xVal>
          <c:yVal>
            <c:numRef>
              <c:f>B!$L$22:$L$958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BE-4814-A1BA-6A4B533AF14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B!$F$22:$F$958</c:f>
              <c:numCache>
                <c:formatCode>General</c:formatCode>
                <c:ptCount val="937"/>
                <c:pt idx="0">
                  <c:v>-767</c:v>
                </c:pt>
                <c:pt idx="1">
                  <c:v>-516</c:v>
                </c:pt>
                <c:pt idx="2">
                  <c:v>-225.5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1883</c:v>
                </c:pt>
                <c:pt idx="7">
                  <c:v>2083</c:v>
                </c:pt>
                <c:pt idx="8">
                  <c:v>2110.5</c:v>
                </c:pt>
                <c:pt idx="9">
                  <c:v>2138</c:v>
                </c:pt>
                <c:pt idx="10">
                  <c:v>2360</c:v>
                </c:pt>
                <c:pt idx="11">
                  <c:v>3117</c:v>
                </c:pt>
                <c:pt idx="12">
                  <c:v>3624.5</c:v>
                </c:pt>
                <c:pt idx="13">
                  <c:v>3874</c:v>
                </c:pt>
                <c:pt idx="14">
                  <c:v>4901</c:v>
                </c:pt>
                <c:pt idx="15">
                  <c:v>4909.5</c:v>
                </c:pt>
                <c:pt idx="16">
                  <c:v>4925</c:v>
                </c:pt>
              </c:numCache>
            </c:numRef>
          </c:xVal>
          <c:yVal>
            <c:numRef>
              <c:f>B!$M$22:$M$958</c:f>
              <c:numCache>
                <c:formatCode>General</c:formatCode>
                <c:ptCount val="937"/>
                <c:pt idx="11">
                  <c:v>2.4975699998321943E-2</c:v>
                </c:pt>
                <c:pt idx="16">
                  <c:v>3.5142499997164123E-2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BE-4814-A1BA-6A4B533AF14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B!$F$22:$F$958</c:f>
              <c:numCache>
                <c:formatCode>General</c:formatCode>
                <c:ptCount val="937"/>
                <c:pt idx="0">
                  <c:v>-767</c:v>
                </c:pt>
                <c:pt idx="1">
                  <c:v>-516</c:v>
                </c:pt>
                <c:pt idx="2">
                  <c:v>-225.5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1883</c:v>
                </c:pt>
                <c:pt idx="7">
                  <c:v>2083</c:v>
                </c:pt>
                <c:pt idx="8">
                  <c:v>2110.5</c:v>
                </c:pt>
                <c:pt idx="9">
                  <c:v>2138</c:v>
                </c:pt>
                <c:pt idx="10">
                  <c:v>2360</c:v>
                </c:pt>
                <c:pt idx="11">
                  <c:v>3117</c:v>
                </c:pt>
                <c:pt idx="12">
                  <c:v>3624.5</c:v>
                </c:pt>
                <c:pt idx="13">
                  <c:v>3874</c:v>
                </c:pt>
                <c:pt idx="14">
                  <c:v>4901</c:v>
                </c:pt>
                <c:pt idx="15">
                  <c:v>4909.5</c:v>
                </c:pt>
                <c:pt idx="16">
                  <c:v>4925</c:v>
                </c:pt>
              </c:numCache>
            </c:numRef>
          </c:xVal>
          <c:yVal>
            <c:numRef>
              <c:f>B!$N$22:$N$958</c:f>
              <c:numCache>
                <c:formatCode>General</c:formatCode>
                <c:ptCount val="937"/>
                <c:pt idx="0">
                  <c:v>-3.9366643442715395E-3</c:v>
                </c:pt>
                <c:pt idx="1">
                  <c:v>-2.2033507838364972E-3</c:v>
                </c:pt>
                <c:pt idx="2">
                  <c:v>-1.9726477066366889E-4</c:v>
                </c:pt>
                <c:pt idx="3">
                  <c:v>1.3599551810419171E-3</c:v>
                </c:pt>
                <c:pt idx="4">
                  <c:v>1.3599551810419171E-3</c:v>
                </c:pt>
                <c:pt idx="5">
                  <c:v>1.5256903421990526E-3</c:v>
                </c:pt>
                <c:pt idx="6">
                  <c:v>1.4363259700162176E-2</c:v>
                </c:pt>
                <c:pt idx="7">
                  <c:v>1.5744386043138305E-2</c:v>
                </c:pt>
                <c:pt idx="8">
                  <c:v>1.5934290915297522E-2</c:v>
                </c:pt>
                <c:pt idx="9">
                  <c:v>1.612419578745674E-2</c:v>
                </c:pt>
                <c:pt idx="10">
                  <c:v>1.7657246028160246E-2</c:v>
                </c:pt>
                <c:pt idx="11">
                  <c:v>2.2884809236324896E-2</c:v>
                </c:pt>
                <c:pt idx="12">
                  <c:v>2.6389417331626825E-2</c:v>
                </c:pt>
                <c:pt idx="13">
                  <c:v>2.8112372444489546E-2</c:v>
                </c:pt>
                <c:pt idx="14">
                  <c:v>3.5204456215671975E-2</c:v>
                </c:pt>
                <c:pt idx="15">
                  <c:v>3.5263154085248452E-2</c:v>
                </c:pt>
                <c:pt idx="16">
                  <c:v>3.5370191376829105E-2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BE-4814-A1BA-6A4B533A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797848"/>
        <c:axId val="1"/>
      </c:scatterChart>
      <c:valAx>
        <c:axId val="571797848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8835143663024"/>
              <c:y val="0.85670043581000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438569206842923E-2"/>
              <c:y val="0.35202590330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978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664090977741312"/>
          <c:y val="0.91900605882208652"/>
          <c:w val="0.80093377907854835"/>
          <c:h val="0.981311681834163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257175</xdr:colOff>
      <xdr:row>17</xdr:row>
      <xdr:rowOff>161925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4C4A0A61-EAD8-D3CB-A52B-7DEEA8437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171450</xdr:colOff>
      <xdr:row>17</xdr:row>
      <xdr:rowOff>171450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8BF77E83-A373-900D-9708-3D430E054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0" TargetMode="External"/><Relationship Id="rId13" Type="http://schemas.openxmlformats.org/officeDocument/2006/relationships/hyperlink" Target="http://www.bav-astro.de/sfs/BAVM_link.php?BAVMnr=131" TargetMode="External"/><Relationship Id="rId18" Type="http://schemas.openxmlformats.org/officeDocument/2006/relationships/hyperlink" Target="http://www.bav-astro.de/sfs/BAVM_link.php?BAVMnr=171" TargetMode="External"/><Relationship Id="rId26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var.astro.cz/oejv/issues/oejv0172.pdf" TargetMode="External"/><Relationship Id="rId7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bav-astro.de/sfs/BAVM_link.php?BAVMnr=90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konkoly.hu/cgi-bin/IBVS?5378" TargetMode="External"/><Relationship Id="rId20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90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38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bav-astro.de/sfs/BAVM_link.php?BAVMnr=157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12" TargetMode="External"/><Relationship Id="rId36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90" TargetMode="External"/><Relationship Id="rId19" Type="http://schemas.openxmlformats.org/officeDocument/2006/relationships/hyperlink" Target="http://www.bav-astro.de/sfs/BAVM_link.php?BAVMnr=171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80" TargetMode="External"/><Relationship Id="rId14" Type="http://schemas.openxmlformats.org/officeDocument/2006/relationships/hyperlink" Target="http://www.bav-astro.de/sfs/BAVM_link.php?BAVMnr=157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1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9" sqref="C9"/>
    </sheetView>
  </sheetViews>
  <sheetFormatPr defaultRowHeight="12.75" x14ac:dyDescent="0.2"/>
  <cols>
    <col min="1" max="1" width="16.5703125" style="2" customWidth="1"/>
    <col min="2" max="2" width="5.85546875" style="2" customWidth="1"/>
    <col min="3" max="3" width="11.42578125" style="2" customWidth="1"/>
    <col min="4" max="4" width="8.42578125" style="2" customWidth="1"/>
    <col min="5" max="5" width="11.7109375" style="2" customWidth="1"/>
    <col min="6" max="6" width="16" style="2" customWidth="1"/>
    <col min="7" max="7" width="9.140625" style="2"/>
    <col min="8" max="8" width="8.42578125" style="2" customWidth="1"/>
    <col min="9" max="9" width="9.140625" style="2"/>
    <col min="10" max="13" width="8.42578125" style="2" customWidth="1"/>
    <col min="14" max="15" width="9.140625" style="2"/>
    <col min="16" max="16" width="10.7109375" style="2" customWidth="1"/>
    <col min="17" max="17" width="9.140625" style="2"/>
    <col min="18" max="18" width="11.42578125" style="2" bestFit="1" customWidth="1"/>
    <col min="19" max="19" width="9.140625" style="25"/>
    <col min="20" max="20" width="11.42578125" style="2" bestFit="1" customWidth="1"/>
    <col min="21" max="16384" width="9.140625" style="2"/>
  </cols>
  <sheetData>
    <row r="1" spans="1:7" ht="20.25" x14ac:dyDescent="0.3">
      <c r="A1" s="34" t="s">
        <v>422</v>
      </c>
      <c r="B1" s="30"/>
      <c r="C1" s="29"/>
      <c r="E1" s="6"/>
      <c r="F1" s="6"/>
    </row>
    <row r="2" spans="1:7" x14ac:dyDescent="0.2">
      <c r="A2" s="18" t="s">
        <v>20</v>
      </c>
      <c r="B2" s="1" t="s">
        <v>30</v>
      </c>
      <c r="D2" s="112"/>
      <c r="E2" s="122" t="s">
        <v>430</v>
      </c>
      <c r="F2" s="121" t="s">
        <v>429</v>
      </c>
      <c r="G2" s="5"/>
    </row>
    <row r="3" spans="1:7" ht="13.5" thickBot="1" x14ac:dyDescent="0.25">
      <c r="A3" s="18"/>
      <c r="B3" s="1"/>
      <c r="C3" s="6"/>
      <c r="D3" s="113"/>
      <c r="E3" s="115" t="s">
        <v>80</v>
      </c>
      <c r="F3" s="117">
        <v>1</v>
      </c>
      <c r="G3" s="5"/>
    </row>
    <row r="4" spans="1:7" ht="13.5" thickBot="1" x14ac:dyDescent="0.25">
      <c r="A4" s="19" t="s">
        <v>21</v>
      </c>
      <c r="B4" s="4"/>
      <c r="C4" s="10">
        <v>34461.529000000002</v>
      </c>
      <c r="D4" s="114">
        <v>1.4147978999999999</v>
      </c>
      <c r="E4" s="115" t="s">
        <v>76</v>
      </c>
      <c r="F4" s="118">
        <f ca="1">NOW()+15018.5+$C$5/24</f>
        <v>60676.85114317129</v>
      </c>
      <c r="G4" s="5"/>
    </row>
    <row r="5" spans="1:7" x14ac:dyDescent="0.2">
      <c r="A5" s="90" t="s">
        <v>73</v>
      </c>
      <c r="B5" s="18"/>
      <c r="C5" s="107">
        <v>-9.5</v>
      </c>
      <c r="D5" s="91" t="s">
        <v>74</v>
      </c>
      <c r="E5" s="115" t="s">
        <v>81</v>
      </c>
      <c r="F5" s="118">
        <f ca="1">ROUND(2*($F$4-$C$7)/$C$8,0)/2+$F$3</f>
        <v>3962.5</v>
      </c>
      <c r="G5" s="5"/>
    </row>
    <row r="6" spans="1:7" x14ac:dyDescent="0.2">
      <c r="A6" s="19" t="s">
        <v>22</v>
      </c>
      <c r="B6" s="1"/>
      <c r="D6" s="112"/>
      <c r="E6" s="115" t="s">
        <v>77</v>
      </c>
      <c r="F6" s="118">
        <f ca="1">ROUND(2*($F$4-$C$15)/$C$16,0)/2+$F$3</f>
        <v>167.5</v>
      </c>
      <c r="G6" s="5"/>
    </row>
    <row r="7" spans="1:7" x14ac:dyDescent="0.2">
      <c r="A7" s="18" t="s">
        <v>4</v>
      </c>
      <c r="B7" s="1"/>
      <c r="C7" s="2">
        <v>55072.364999999998</v>
      </c>
      <c r="D7" s="123" t="s">
        <v>431</v>
      </c>
      <c r="E7" s="115" t="s">
        <v>427</v>
      </c>
      <c r="F7" s="119">
        <f ca="1">+$C$15+$C$16*$F$6-15018.5-$C$5/24</f>
        <v>45660.45311208404</v>
      </c>
      <c r="G7" s="5"/>
    </row>
    <row r="8" spans="1:7" x14ac:dyDescent="0.2">
      <c r="A8" s="18" t="s">
        <v>15</v>
      </c>
      <c r="B8" s="1"/>
      <c r="C8" s="3">
        <v>1.4148050000000001</v>
      </c>
      <c r="D8" s="123" t="s">
        <v>431</v>
      </c>
      <c r="E8" s="116" t="s">
        <v>428</v>
      </c>
      <c r="F8" s="120">
        <f ca="1">+($C$15+$C$16*$F$6)-($C$16/2)-15018.5-$C$5/24</f>
        <v>45659.745705774636</v>
      </c>
      <c r="G8" s="5"/>
    </row>
    <row r="9" spans="1:7" x14ac:dyDescent="0.2">
      <c r="A9" s="92" t="s">
        <v>79</v>
      </c>
      <c r="B9" s="93">
        <v>30</v>
      </c>
      <c r="C9" s="92" t="str">
        <f>"F"&amp;B9</f>
        <v>F30</v>
      </c>
      <c r="D9" s="94" t="str">
        <f>"G"&amp;B9</f>
        <v>G30</v>
      </c>
      <c r="E9" s="8"/>
      <c r="F9" s="8"/>
    </row>
    <row r="10" spans="1:7" ht="13.5" thickBot="1" x14ac:dyDescent="0.25">
      <c r="A10" s="18"/>
      <c r="B10" s="1"/>
      <c r="C10" s="21" t="s">
        <v>28</v>
      </c>
      <c r="D10" s="21" t="s">
        <v>29</v>
      </c>
    </row>
    <row r="11" spans="1:7" x14ac:dyDescent="0.2">
      <c r="A11" s="18" t="s">
        <v>23</v>
      </c>
      <c r="B11" s="4"/>
      <c r="C11" s="88">
        <v>-2.7232751142094382E-3</v>
      </c>
      <c r="D11" s="22"/>
      <c r="E11" s="96" t="s">
        <v>423</v>
      </c>
    </row>
    <row r="12" spans="1:7" ht="13.5" thickBot="1" x14ac:dyDescent="0.25">
      <c r="A12" s="18" t="s">
        <v>24</v>
      </c>
      <c r="B12" s="4"/>
      <c r="C12" s="89">
        <v>7.6188077777775842E-6</v>
      </c>
      <c r="D12" s="87"/>
      <c r="E12" s="96" t="s">
        <v>423</v>
      </c>
    </row>
    <row r="13" spans="1:7" x14ac:dyDescent="0.2">
      <c r="A13" s="18" t="s">
        <v>25</v>
      </c>
      <c r="B13" s="1"/>
      <c r="C13" s="9">
        <f>SUM(T27:T134)</f>
        <v>2.3192957893893792E-2</v>
      </c>
      <c r="D13" s="1"/>
    </row>
    <row r="14" spans="1:7" x14ac:dyDescent="0.2">
      <c r="A14" s="18" t="s">
        <v>26</v>
      </c>
      <c r="B14" s="1"/>
      <c r="C14" s="1"/>
      <c r="D14" s="1"/>
      <c r="F14" s="6"/>
    </row>
    <row r="15" spans="1:7" x14ac:dyDescent="0.2">
      <c r="A15" s="20" t="s">
        <v>27</v>
      </c>
      <c r="B15" s="1"/>
      <c r="C15" s="2">
        <f>($C7+C11)+($C8+C12)*INT(MAX($F21:$F3459))</f>
        <v>60441.5761651004</v>
      </c>
      <c r="D15" s="1"/>
      <c r="E15" s="37"/>
      <c r="F15" s="124" t="s">
        <v>432</v>
      </c>
      <c r="G15" s="5"/>
    </row>
    <row r="16" spans="1:7" x14ac:dyDescent="0.2">
      <c r="A16" s="19" t="s">
        <v>13</v>
      </c>
      <c r="B16" s="1"/>
      <c r="C16" s="1">
        <f>C8+C12</f>
        <v>1.4148126188077779</v>
      </c>
      <c r="D16" s="1"/>
      <c r="E16" s="37"/>
      <c r="F16" s="125">
        <v>49888.517200000002</v>
      </c>
      <c r="G16" s="5"/>
    </row>
    <row r="17" spans="1:34" ht="13.5" thickBot="1" x14ac:dyDescent="0.25">
      <c r="A17" s="95" t="s">
        <v>71</v>
      </c>
      <c r="B17" s="18"/>
      <c r="C17" s="108">
        <f>COUNT(C21:C9180)</f>
        <v>92</v>
      </c>
      <c r="D17" s="7"/>
      <c r="E17" s="37"/>
      <c r="F17" s="126">
        <v>1.4147978999999999</v>
      </c>
      <c r="G17" s="5"/>
    </row>
    <row r="18" spans="1:34" ht="13.5" thickBot="1" x14ac:dyDescent="0.25">
      <c r="A18" s="19" t="s">
        <v>12</v>
      </c>
      <c r="B18" s="4"/>
      <c r="C18" s="12">
        <f>C15</f>
        <v>60441.5761651004</v>
      </c>
      <c r="D18" s="13">
        <f>C16</f>
        <v>1.4148126188077779</v>
      </c>
      <c r="E18" s="37"/>
      <c r="F18" s="40"/>
    </row>
    <row r="19" spans="1:34" x14ac:dyDescent="0.2">
      <c r="A19" s="1"/>
      <c r="B19" s="1"/>
      <c r="C19" s="9"/>
      <c r="D19" s="9"/>
      <c r="E19" s="37"/>
      <c r="F19" s="43"/>
    </row>
    <row r="20" spans="1:34" ht="13.5" thickBot="1" x14ac:dyDescent="0.25">
      <c r="A20" s="14" t="s">
        <v>16</v>
      </c>
      <c r="B20" s="15" t="s">
        <v>18</v>
      </c>
      <c r="C20" s="14" t="s">
        <v>17</v>
      </c>
      <c r="D20" s="14" t="s">
        <v>5</v>
      </c>
      <c r="E20" s="14" t="s">
        <v>11</v>
      </c>
      <c r="F20" s="14" t="s">
        <v>10</v>
      </c>
      <c r="G20" s="14" t="s">
        <v>14</v>
      </c>
      <c r="H20" s="23" t="s">
        <v>97</v>
      </c>
      <c r="I20" s="23" t="s">
        <v>100</v>
      </c>
      <c r="J20" s="23" t="s">
        <v>94</v>
      </c>
      <c r="K20" s="23" t="s">
        <v>92</v>
      </c>
      <c r="L20" s="23" t="s">
        <v>415</v>
      </c>
      <c r="M20" s="23" t="s">
        <v>416</v>
      </c>
      <c r="N20" s="23" t="s">
        <v>419</v>
      </c>
      <c r="O20" s="14" t="s">
        <v>32</v>
      </c>
      <c r="P20" s="14" t="s">
        <v>19</v>
      </c>
      <c r="Q20" s="86" t="s">
        <v>417</v>
      </c>
      <c r="R20" s="25" t="s">
        <v>420</v>
      </c>
      <c r="S20" s="14" t="s">
        <v>418</v>
      </c>
      <c r="T20" s="25" t="s">
        <v>421</v>
      </c>
    </row>
    <row r="21" spans="1:34" x14ac:dyDescent="0.2">
      <c r="A21" s="8" t="s">
        <v>6</v>
      </c>
      <c r="B21" s="24"/>
      <c r="C21" s="33">
        <v>34461.529000000002</v>
      </c>
      <c r="D21" s="33"/>
      <c r="E21" s="8">
        <f t="shared" ref="E21:E52" si="0">(C21-C$7)/C$8</f>
        <v>-14567.969437484313</v>
      </c>
      <c r="F21" s="8">
        <f t="shared" ref="F21:F52" si="1">ROUND(2*E21,0)/2</f>
        <v>-14568</v>
      </c>
      <c r="H21" s="82"/>
      <c r="I21" s="8"/>
      <c r="J21" s="8"/>
      <c r="K21" s="8"/>
      <c r="L21" s="8"/>
      <c r="M21" s="8"/>
      <c r="N21" s="8">
        <f t="shared" ref="N21:N52" si="2">+C$11+C$12*F21</f>
        <v>-0.11371406682087329</v>
      </c>
      <c r="O21" s="8" t="s">
        <v>2</v>
      </c>
      <c r="P21" s="16">
        <f t="shared" ref="P21:P52" si="3">C21-15018.5</f>
        <v>19443.029000000002</v>
      </c>
      <c r="Q21" s="2">
        <f t="shared" ref="Q21:Q26" si="4">C21-(C$7+F21*C$8)</f>
        <v>4.3240000006335322E-2</v>
      </c>
      <c r="S21" s="81">
        <v>0</v>
      </c>
    </row>
    <row r="22" spans="1:34" x14ac:dyDescent="0.2">
      <c r="A22" s="27" t="s">
        <v>107</v>
      </c>
      <c r="B22" s="25" t="s">
        <v>85</v>
      </c>
      <c r="C22" s="32">
        <v>34461.53</v>
      </c>
      <c r="D22" s="32" t="s">
        <v>100</v>
      </c>
      <c r="E22" s="2">
        <f t="shared" si="0"/>
        <v>-14567.96873067313</v>
      </c>
      <c r="F22" s="8">
        <f t="shared" si="1"/>
        <v>-14568</v>
      </c>
      <c r="N22" s="8">
        <f t="shared" si="2"/>
        <v>-0.11371406682087329</v>
      </c>
      <c r="O22" s="2" t="s">
        <v>2</v>
      </c>
      <c r="P22" s="17">
        <f t="shared" si="3"/>
        <v>19443.03</v>
      </c>
      <c r="Q22" s="2">
        <f t="shared" si="4"/>
        <v>4.424000000290107E-2</v>
      </c>
      <c r="S22" s="25">
        <v>0</v>
      </c>
      <c r="AD22" s="2">
        <v>21</v>
      </c>
      <c r="AF22" s="2" t="s">
        <v>37</v>
      </c>
      <c r="AH22" s="2" t="s">
        <v>35</v>
      </c>
    </row>
    <row r="23" spans="1:34" x14ac:dyDescent="0.2">
      <c r="A23" s="27" t="s">
        <v>107</v>
      </c>
      <c r="B23" s="25" t="s">
        <v>68</v>
      </c>
      <c r="C23" s="32">
        <v>35248.872000000003</v>
      </c>
      <c r="D23" s="32" t="s">
        <v>100</v>
      </c>
      <c r="E23" s="2">
        <f t="shared" si="0"/>
        <v>-14011.466597870374</v>
      </c>
      <c r="F23" s="8">
        <f t="shared" si="1"/>
        <v>-14011.5</v>
      </c>
      <c r="N23" s="8">
        <f t="shared" si="2"/>
        <v>-0.10947420029254007</v>
      </c>
      <c r="O23" s="2" t="s">
        <v>2</v>
      </c>
      <c r="P23" s="17">
        <f t="shared" si="3"/>
        <v>20230.372000000003</v>
      </c>
      <c r="Q23" s="2">
        <f t="shared" si="4"/>
        <v>4.7257500002160668E-2</v>
      </c>
      <c r="S23" s="25">
        <v>0</v>
      </c>
      <c r="AD23" s="2">
        <v>24</v>
      </c>
      <c r="AF23" s="2" t="s">
        <v>39</v>
      </c>
      <c r="AH23" s="2" t="s">
        <v>35</v>
      </c>
    </row>
    <row r="24" spans="1:34" x14ac:dyDescent="0.2">
      <c r="A24" s="27" t="s">
        <v>107</v>
      </c>
      <c r="B24" s="25" t="s">
        <v>85</v>
      </c>
      <c r="C24" s="32">
        <v>35557.995999999999</v>
      </c>
      <c r="D24" s="32" t="s">
        <v>100</v>
      </c>
      <c r="E24" s="2">
        <f t="shared" si="0"/>
        <v>-13792.97429681122</v>
      </c>
      <c r="F24" s="8">
        <f t="shared" si="1"/>
        <v>-13793</v>
      </c>
      <c r="N24" s="8">
        <f t="shared" si="2"/>
        <v>-0.10780949079309567</v>
      </c>
      <c r="O24" s="2" t="s">
        <v>2</v>
      </c>
      <c r="P24" s="17">
        <f t="shared" si="3"/>
        <v>20539.495999999999</v>
      </c>
      <c r="Q24" s="2">
        <f t="shared" si="4"/>
        <v>3.6365000007208437E-2</v>
      </c>
      <c r="S24" s="25">
        <v>0</v>
      </c>
      <c r="AD24" s="2">
        <v>10</v>
      </c>
      <c r="AF24" s="2" t="s">
        <v>40</v>
      </c>
      <c r="AH24" s="2" t="s">
        <v>35</v>
      </c>
    </row>
    <row r="25" spans="1:34" x14ac:dyDescent="0.2">
      <c r="A25" s="27" t="s">
        <v>107</v>
      </c>
      <c r="B25" s="25" t="s">
        <v>85</v>
      </c>
      <c r="C25" s="83">
        <v>36241.345000000001</v>
      </c>
      <c r="D25" s="32" t="s">
        <v>100</v>
      </c>
      <c r="E25" s="2">
        <f t="shared" si="0"/>
        <v>-13309.975579673521</v>
      </c>
      <c r="F25" s="8">
        <f t="shared" si="1"/>
        <v>-13310</v>
      </c>
      <c r="N25" s="8">
        <f t="shared" si="2"/>
        <v>-0.10412960663642909</v>
      </c>
      <c r="O25" s="2" t="s">
        <v>2</v>
      </c>
      <c r="P25" s="17">
        <f t="shared" si="3"/>
        <v>21222.845000000001</v>
      </c>
      <c r="Q25" s="2">
        <f t="shared" si="4"/>
        <v>3.4550000003946479E-2</v>
      </c>
      <c r="S25" s="25">
        <v>0</v>
      </c>
      <c r="AD25" s="2">
        <v>10</v>
      </c>
      <c r="AF25" s="2" t="s">
        <v>41</v>
      </c>
      <c r="AH25" s="2" t="s">
        <v>35</v>
      </c>
    </row>
    <row r="26" spans="1:34" x14ac:dyDescent="0.2">
      <c r="A26" s="2" t="s">
        <v>34</v>
      </c>
      <c r="B26" s="25"/>
      <c r="C26" s="83">
        <v>44461.385999999999</v>
      </c>
      <c r="D26" s="32"/>
      <c r="E26" s="2">
        <f t="shared" si="0"/>
        <v>-7499.9586515456185</v>
      </c>
      <c r="F26" s="8">
        <f t="shared" si="1"/>
        <v>-7500</v>
      </c>
      <c r="H26" s="80"/>
      <c r="N26" s="8">
        <f t="shared" si="2"/>
        <v>-5.9864333447541322E-2</v>
      </c>
      <c r="O26" s="2" t="s">
        <v>2</v>
      </c>
      <c r="P26" s="17">
        <f t="shared" si="3"/>
        <v>29442.885999999999</v>
      </c>
      <c r="Q26" s="2">
        <f t="shared" si="4"/>
        <v>5.8499999999185093E-2</v>
      </c>
      <c r="S26" s="25">
        <v>0</v>
      </c>
    </row>
    <row r="27" spans="1:34" x14ac:dyDescent="0.2">
      <c r="A27" s="2" t="s">
        <v>36</v>
      </c>
      <c r="B27" s="25"/>
      <c r="C27" s="83">
        <v>44485.362999999998</v>
      </c>
      <c r="D27" s="32"/>
      <c r="E27" s="2">
        <f t="shared" si="0"/>
        <v>-7483.0114397390453</v>
      </c>
      <c r="F27" s="8">
        <f t="shared" si="1"/>
        <v>-7483</v>
      </c>
      <c r="G27" s="2">
        <f t="shared" ref="G27:G89" si="5">C27-(C$7+F27*C$8)</f>
        <v>-1.6185000000405125E-2</v>
      </c>
      <c r="H27" s="80"/>
      <c r="I27" s="2">
        <f t="shared" ref="I27:I54" si="6">G27</f>
        <v>-1.6185000000405125E-2</v>
      </c>
      <c r="N27" s="8">
        <f t="shared" si="2"/>
        <v>-5.97348137153191E-2</v>
      </c>
      <c r="O27" s="2" t="s">
        <v>2</v>
      </c>
      <c r="P27" s="17">
        <f t="shared" si="3"/>
        <v>29466.862999999998</v>
      </c>
      <c r="R27" s="2">
        <f>(N27-G27)^2</f>
        <v>1.8965862746037094E-3</v>
      </c>
      <c r="S27" s="25">
        <v>0.1</v>
      </c>
      <c r="T27" s="2">
        <f>S27*R27</f>
        <v>1.8965862746037095E-4</v>
      </c>
    </row>
    <row r="28" spans="1:34" x14ac:dyDescent="0.2">
      <c r="A28" s="27" t="s">
        <v>127</v>
      </c>
      <c r="B28" s="25" t="s">
        <v>85</v>
      </c>
      <c r="C28" s="83">
        <v>46252.432999999997</v>
      </c>
      <c r="D28" s="32" t="s">
        <v>100</v>
      </c>
      <c r="E28" s="2">
        <f t="shared" si="0"/>
        <v>-6234.0265973049291</v>
      </c>
      <c r="F28" s="8">
        <f t="shared" si="1"/>
        <v>-6234</v>
      </c>
      <c r="G28" s="2">
        <f t="shared" si="5"/>
        <v>-3.7629999998898711E-2</v>
      </c>
      <c r="I28" s="2">
        <f t="shared" si="6"/>
        <v>-3.7629999998898711E-2</v>
      </c>
      <c r="N28" s="8">
        <f t="shared" si="2"/>
        <v>-5.02189228008749E-2</v>
      </c>
      <c r="O28" s="2" t="s">
        <v>2</v>
      </c>
      <c r="P28" s="17">
        <f t="shared" si="3"/>
        <v>31233.932999999997</v>
      </c>
      <c r="R28" s="2">
        <f t="shared" ref="R28:R91" si="7">(N28-G28)^2</f>
        <v>1.5848097731411602E-4</v>
      </c>
      <c r="S28" s="25">
        <v>0.1</v>
      </c>
      <c r="T28" s="2">
        <f t="shared" ref="T28:T91" si="8">S28*R28</f>
        <v>1.5848097731411602E-5</v>
      </c>
    </row>
    <row r="29" spans="1:34" x14ac:dyDescent="0.2">
      <c r="A29" s="2" t="s">
        <v>38</v>
      </c>
      <c r="B29" s="25"/>
      <c r="C29" s="83">
        <v>46252.447</v>
      </c>
      <c r="D29" s="32"/>
      <c r="E29" s="2">
        <f t="shared" si="0"/>
        <v>-6234.0167019483233</v>
      </c>
      <c r="F29" s="8">
        <f t="shared" si="1"/>
        <v>-6234</v>
      </c>
      <c r="G29" s="2">
        <f t="shared" si="5"/>
        <v>-2.3629999996046536E-2</v>
      </c>
      <c r="H29" s="80"/>
      <c r="I29" s="2">
        <f t="shared" si="6"/>
        <v>-2.3629999996046536E-2</v>
      </c>
      <c r="N29" s="8">
        <f t="shared" si="2"/>
        <v>-5.02189228008749E-2</v>
      </c>
      <c r="O29" s="2" t="s">
        <v>2</v>
      </c>
      <c r="P29" s="17">
        <f t="shared" si="3"/>
        <v>31233.947</v>
      </c>
      <c r="R29" s="2">
        <f t="shared" si="7"/>
        <v>7.0697081592112191E-4</v>
      </c>
      <c r="S29" s="25">
        <v>0.1</v>
      </c>
      <c r="T29" s="2">
        <f t="shared" si="8"/>
        <v>7.0697081592112194E-5</v>
      </c>
    </row>
    <row r="30" spans="1:34" x14ac:dyDescent="0.2">
      <c r="A30" s="27" t="s">
        <v>127</v>
      </c>
      <c r="B30" s="25" t="s">
        <v>85</v>
      </c>
      <c r="C30" s="83">
        <v>46252.447999999997</v>
      </c>
      <c r="D30" s="32" t="s">
        <v>100</v>
      </c>
      <c r="E30" s="2">
        <f t="shared" si="0"/>
        <v>-6234.0159951371397</v>
      </c>
      <c r="F30" s="8">
        <f t="shared" si="1"/>
        <v>-6234</v>
      </c>
      <c r="G30" s="2">
        <f t="shared" si="5"/>
        <v>-2.2629999999480788E-2</v>
      </c>
      <c r="I30" s="2">
        <f t="shared" si="6"/>
        <v>-2.2629999999480788E-2</v>
      </c>
      <c r="N30" s="8">
        <f t="shared" si="2"/>
        <v>-5.02189228008749E-2</v>
      </c>
      <c r="O30" s="2" t="s">
        <v>2</v>
      </c>
      <c r="P30" s="17">
        <f t="shared" si="3"/>
        <v>31233.947999999997</v>
      </c>
      <c r="R30" s="2">
        <f t="shared" si="7"/>
        <v>7.6114866134128394E-4</v>
      </c>
      <c r="S30" s="25">
        <v>0.1</v>
      </c>
      <c r="T30" s="2">
        <f t="shared" si="8"/>
        <v>7.6114866134128405E-5</v>
      </c>
      <c r="AD30" s="2">
        <v>6</v>
      </c>
      <c r="AF30" s="2" t="s">
        <v>33</v>
      </c>
      <c r="AH30" s="2" t="s">
        <v>35</v>
      </c>
    </row>
    <row r="31" spans="1:34" x14ac:dyDescent="0.2">
      <c r="A31" s="2" t="s">
        <v>38</v>
      </c>
      <c r="B31" s="25"/>
      <c r="C31" s="83">
        <v>46252.453999999998</v>
      </c>
      <c r="D31" s="32"/>
      <c r="E31" s="2">
        <f t="shared" si="0"/>
        <v>-6234.0117542700227</v>
      </c>
      <c r="F31" s="8">
        <f t="shared" si="1"/>
        <v>-6234</v>
      </c>
      <c r="G31" s="2">
        <f t="shared" si="5"/>
        <v>-1.6629999998258427E-2</v>
      </c>
      <c r="H31" s="80"/>
      <c r="I31" s="2">
        <f t="shared" si="6"/>
        <v>-1.6629999998258427E-2</v>
      </c>
      <c r="N31" s="8">
        <f t="shared" si="2"/>
        <v>-5.02189228008749E-2</v>
      </c>
      <c r="O31" s="2" t="s">
        <v>2</v>
      </c>
      <c r="P31" s="17">
        <f t="shared" si="3"/>
        <v>31233.953999999998</v>
      </c>
      <c r="R31" s="2">
        <f t="shared" si="7"/>
        <v>1.1282157350401289E-3</v>
      </c>
      <c r="S31" s="25">
        <v>0.1</v>
      </c>
      <c r="T31" s="2">
        <f t="shared" si="8"/>
        <v>1.128215735040129E-4</v>
      </c>
    </row>
    <row r="32" spans="1:34" x14ac:dyDescent="0.2">
      <c r="A32" s="27" t="s">
        <v>127</v>
      </c>
      <c r="B32" s="25" t="s">
        <v>85</v>
      </c>
      <c r="C32" s="83">
        <v>46252.46</v>
      </c>
      <c r="D32" s="32" t="s">
        <v>100</v>
      </c>
      <c r="E32" s="2">
        <f t="shared" si="0"/>
        <v>-6234.0075134029057</v>
      </c>
      <c r="F32" s="8">
        <f t="shared" si="1"/>
        <v>-6234</v>
      </c>
      <c r="G32" s="2">
        <f t="shared" si="5"/>
        <v>-1.0629999997036066E-2</v>
      </c>
      <c r="I32" s="2">
        <f t="shared" si="6"/>
        <v>-1.0629999997036066E-2</v>
      </c>
      <c r="N32" s="8">
        <f t="shared" si="2"/>
        <v>-5.02189228008749E-2</v>
      </c>
      <c r="O32" s="2" t="s">
        <v>2</v>
      </c>
      <c r="P32" s="17">
        <f t="shared" si="3"/>
        <v>31233.96</v>
      </c>
      <c r="R32" s="2">
        <f t="shared" si="7"/>
        <v>1.5672828087683105E-3</v>
      </c>
      <c r="S32" s="25">
        <v>0.1</v>
      </c>
      <c r="T32" s="2">
        <f t="shared" si="8"/>
        <v>1.5672828087683107E-4</v>
      </c>
      <c r="AD32" s="2">
        <v>9</v>
      </c>
      <c r="AF32" s="2" t="s">
        <v>33</v>
      </c>
      <c r="AH32" s="2" t="s">
        <v>35</v>
      </c>
    </row>
    <row r="33" spans="1:20" x14ac:dyDescent="0.2">
      <c r="A33" s="2" t="s">
        <v>38</v>
      </c>
      <c r="B33" s="25"/>
      <c r="C33" s="83">
        <v>46269.445</v>
      </c>
      <c r="D33" s="32"/>
      <c r="E33" s="2">
        <f t="shared" si="0"/>
        <v>-6222.0023254088001</v>
      </c>
      <c r="F33" s="8">
        <f t="shared" si="1"/>
        <v>-6222</v>
      </c>
      <c r="G33" s="2">
        <f t="shared" si="5"/>
        <v>-3.2900000005611219E-3</v>
      </c>
      <c r="H33" s="80"/>
      <c r="I33" s="2">
        <f t="shared" si="6"/>
        <v>-3.2900000005611219E-3</v>
      </c>
      <c r="N33" s="8">
        <f t="shared" si="2"/>
        <v>-5.0127497107541566E-2</v>
      </c>
      <c r="O33" s="2" t="s">
        <v>2</v>
      </c>
      <c r="P33" s="17">
        <f t="shared" si="3"/>
        <v>31250.945</v>
      </c>
      <c r="R33" s="2">
        <f t="shared" si="7"/>
        <v>2.1937511352464016E-3</v>
      </c>
      <c r="S33" s="25">
        <v>0.1</v>
      </c>
      <c r="T33" s="2">
        <f t="shared" si="8"/>
        <v>2.1937511352464016E-4</v>
      </c>
    </row>
    <row r="34" spans="1:20" x14ac:dyDescent="0.2">
      <c r="A34" s="2" t="s">
        <v>42</v>
      </c>
      <c r="B34" s="25"/>
      <c r="C34" s="83">
        <v>46624.571000000004</v>
      </c>
      <c r="D34" s="32"/>
      <c r="E34" s="2">
        <f t="shared" si="0"/>
        <v>-5970.9952961715526</v>
      </c>
      <c r="F34" s="8">
        <f t="shared" si="1"/>
        <v>-5971</v>
      </c>
      <c r="G34" s="2">
        <f t="shared" si="5"/>
        <v>6.6550000046845526E-3</v>
      </c>
      <c r="H34" s="80"/>
      <c r="I34" s="2">
        <f t="shared" si="6"/>
        <v>6.6550000046845526E-3</v>
      </c>
      <c r="N34" s="8">
        <f t="shared" si="2"/>
        <v>-4.821517635531939E-2</v>
      </c>
      <c r="O34" s="2" t="s">
        <v>2</v>
      </c>
      <c r="P34" s="17">
        <f t="shared" si="3"/>
        <v>31606.071000000004</v>
      </c>
      <c r="R34" s="2">
        <f t="shared" si="7"/>
        <v>3.0107362537779357E-3</v>
      </c>
      <c r="S34" s="25">
        <v>0.1</v>
      </c>
      <c r="T34" s="2">
        <f t="shared" si="8"/>
        <v>3.0107362537779361E-4</v>
      </c>
    </row>
    <row r="35" spans="1:20" x14ac:dyDescent="0.2">
      <c r="A35" s="2" t="s">
        <v>42</v>
      </c>
      <c r="B35" s="25"/>
      <c r="C35" s="83">
        <v>46627.402999999998</v>
      </c>
      <c r="D35" s="32"/>
      <c r="E35" s="2">
        <f t="shared" si="0"/>
        <v>-5968.9936068928218</v>
      </c>
      <c r="F35" s="8">
        <f t="shared" si="1"/>
        <v>-5969</v>
      </c>
      <c r="G35" s="2">
        <f t="shared" si="5"/>
        <v>9.0449999988777563E-3</v>
      </c>
      <c r="H35" s="80"/>
      <c r="I35" s="2">
        <f t="shared" si="6"/>
        <v>9.0449999988777563E-3</v>
      </c>
      <c r="N35" s="8">
        <f t="shared" si="2"/>
        <v>-4.8199938739763838E-2</v>
      </c>
      <c r="O35" s="2" t="s">
        <v>2</v>
      </c>
      <c r="P35" s="17">
        <f t="shared" si="3"/>
        <v>31608.902999999998</v>
      </c>
      <c r="R35" s="2">
        <f t="shared" si="7"/>
        <v>3.2769830111908293E-3</v>
      </c>
      <c r="S35" s="25">
        <v>0.1</v>
      </c>
      <c r="T35" s="2">
        <f t="shared" si="8"/>
        <v>3.2769830111908298E-4</v>
      </c>
    </row>
    <row r="36" spans="1:20" x14ac:dyDescent="0.2">
      <c r="A36" s="2" t="s">
        <v>42</v>
      </c>
      <c r="B36" s="25"/>
      <c r="C36" s="83">
        <v>46685.392999999996</v>
      </c>
      <c r="D36" s="32"/>
      <c r="E36" s="2">
        <f t="shared" si="0"/>
        <v>-5928.005626217041</v>
      </c>
      <c r="F36" s="8">
        <f t="shared" si="1"/>
        <v>-5928</v>
      </c>
      <c r="G36" s="2">
        <f t="shared" si="5"/>
        <v>-7.9600000026402995E-3</v>
      </c>
      <c r="H36" s="80"/>
      <c r="I36" s="2">
        <f t="shared" si="6"/>
        <v>-7.9600000026402995E-3</v>
      </c>
      <c r="N36" s="8">
        <f t="shared" si="2"/>
        <v>-4.7887567620874955E-2</v>
      </c>
      <c r="O36" s="2" t="s">
        <v>2</v>
      </c>
      <c r="P36" s="17">
        <f t="shared" si="3"/>
        <v>31666.892999999996</v>
      </c>
      <c r="R36" s="2">
        <f t="shared" si="7"/>
        <v>1.5942106559087006E-3</v>
      </c>
      <c r="S36" s="25">
        <v>0.1</v>
      </c>
      <c r="T36" s="2">
        <f t="shared" si="8"/>
        <v>1.5942106559087006E-4</v>
      </c>
    </row>
    <row r="37" spans="1:20" x14ac:dyDescent="0.2">
      <c r="A37" s="2" t="s">
        <v>44</v>
      </c>
      <c r="B37" s="25"/>
      <c r="C37" s="83">
        <v>47118.305</v>
      </c>
      <c r="D37" s="32"/>
      <c r="E37" s="2">
        <f t="shared" si="0"/>
        <v>-5622.0185820660781</v>
      </c>
      <c r="F37" s="8">
        <f t="shared" si="1"/>
        <v>-5622</v>
      </c>
      <c r="G37" s="2">
        <f t="shared" si="5"/>
        <v>-2.6289999994332902E-2</v>
      </c>
      <c r="H37" s="80"/>
      <c r="I37" s="2">
        <f t="shared" si="6"/>
        <v>-2.6289999994332902E-2</v>
      </c>
      <c r="N37" s="8">
        <f t="shared" si="2"/>
        <v>-4.5556212440875016E-2</v>
      </c>
      <c r="O37" s="2" t="s">
        <v>2</v>
      </c>
      <c r="P37" s="17">
        <f t="shared" si="3"/>
        <v>32099.805</v>
      </c>
      <c r="R37" s="2">
        <f t="shared" si="7"/>
        <v>3.7118694203529425E-4</v>
      </c>
      <c r="S37" s="25">
        <v>0.1</v>
      </c>
      <c r="T37" s="2">
        <f t="shared" si="8"/>
        <v>3.7118694203529425E-5</v>
      </c>
    </row>
    <row r="38" spans="1:20" x14ac:dyDescent="0.2">
      <c r="A38" s="2" t="s">
        <v>45</v>
      </c>
      <c r="B38" s="25"/>
      <c r="C38" s="83">
        <v>47391.387000000002</v>
      </c>
      <c r="D38" s="32"/>
      <c r="E38" s="2">
        <f t="shared" si="0"/>
        <v>-5429.0011697725095</v>
      </c>
      <c r="F38" s="8">
        <f t="shared" si="1"/>
        <v>-5429</v>
      </c>
      <c r="G38" s="2">
        <f t="shared" si="5"/>
        <v>-1.6549999927519821E-3</v>
      </c>
      <c r="H38" s="80"/>
      <c r="I38" s="2">
        <f t="shared" si="6"/>
        <v>-1.6549999927519821E-3</v>
      </c>
      <c r="N38" s="8">
        <f t="shared" si="2"/>
        <v>-4.4085782539763946E-2</v>
      </c>
      <c r="O38" s="2" t="s">
        <v>2</v>
      </c>
      <c r="P38" s="17">
        <f t="shared" si="3"/>
        <v>32372.887000000002</v>
      </c>
      <c r="R38" s="2">
        <f t="shared" si="7"/>
        <v>1.800371307551815E-3</v>
      </c>
      <c r="S38" s="25">
        <v>0.1</v>
      </c>
      <c r="T38" s="2">
        <f t="shared" si="8"/>
        <v>1.800371307551815E-4</v>
      </c>
    </row>
    <row r="39" spans="1:20" x14ac:dyDescent="0.2">
      <c r="A39" s="2" t="s">
        <v>45</v>
      </c>
      <c r="B39" s="25"/>
      <c r="C39" s="83">
        <v>47415.444000000003</v>
      </c>
      <c r="D39" s="32"/>
      <c r="E39" s="2">
        <f t="shared" si="0"/>
        <v>-5411.9974130710552</v>
      </c>
      <c r="F39" s="8">
        <f t="shared" si="1"/>
        <v>-5412</v>
      </c>
      <c r="G39" s="2">
        <f t="shared" si="5"/>
        <v>3.6600000021280721E-3</v>
      </c>
      <c r="H39" s="80"/>
      <c r="I39" s="2">
        <f t="shared" si="6"/>
        <v>3.6600000021280721E-3</v>
      </c>
      <c r="N39" s="8">
        <f t="shared" si="2"/>
        <v>-4.3956262807541724E-2</v>
      </c>
      <c r="O39" s="2" t="s">
        <v>2</v>
      </c>
      <c r="P39" s="17">
        <f t="shared" si="3"/>
        <v>32396.944000000003</v>
      </c>
      <c r="R39" s="2">
        <f t="shared" si="7"/>
        <v>2.267308483959543E-3</v>
      </c>
      <c r="S39" s="25">
        <v>0.1</v>
      </c>
      <c r="T39" s="2">
        <f t="shared" si="8"/>
        <v>2.2673084839595431E-4</v>
      </c>
    </row>
    <row r="40" spans="1:20" x14ac:dyDescent="0.2">
      <c r="A40" s="2" t="s">
        <v>46</v>
      </c>
      <c r="B40" s="25" t="s">
        <v>68</v>
      </c>
      <c r="C40" s="83">
        <v>47471.262000000002</v>
      </c>
      <c r="D40" s="32"/>
      <c r="E40" s="2">
        <f t="shared" si="0"/>
        <v>-5372.5446262912519</v>
      </c>
      <c r="F40" s="8">
        <f t="shared" si="1"/>
        <v>-5372.5</v>
      </c>
      <c r="G40" s="2">
        <f t="shared" si="5"/>
        <v>-6.3137499993899837E-2</v>
      </c>
      <c r="H40" s="80"/>
      <c r="I40" s="2">
        <f t="shared" si="6"/>
        <v>-6.3137499993899837E-2</v>
      </c>
      <c r="N40" s="8">
        <f t="shared" si="2"/>
        <v>-4.3655319900319511E-2</v>
      </c>
      <c r="O40" s="2" t="s">
        <v>2</v>
      </c>
      <c r="P40" s="17">
        <f t="shared" si="3"/>
        <v>32452.762000000002</v>
      </c>
      <c r="R40" s="2">
        <f t="shared" si="7"/>
        <v>3.795553411986975E-4</v>
      </c>
      <c r="S40" s="25">
        <v>0.1</v>
      </c>
      <c r="T40" s="2">
        <f t="shared" si="8"/>
        <v>3.795553411986975E-5</v>
      </c>
    </row>
    <row r="41" spans="1:20" x14ac:dyDescent="0.2">
      <c r="A41" s="2" t="s">
        <v>47</v>
      </c>
      <c r="B41" s="25" t="s">
        <v>68</v>
      </c>
      <c r="C41" s="83">
        <v>47734.455000000002</v>
      </c>
      <c r="D41" s="32"/>
      <c r="E41" s="2">
        <f t="shared" si="0"/>
        <v>-5186.5168698159787</v>
      </c>
      <c r="F41" s="8">
        <f t="shared" si="1"/>
        <v>-5186.5</v>
      </c>
      <c r="G41" s="2">
        <f t="shared" si="5"/>
        <v>-2.3867499992775265E-2</v>
      </c>
      <c r="H41" s="80"/>
      <c r="I41" s="2">
        <f t="shared" si="6"/>
        <v>-2.3867499992775265E-2</v>
      </c>
      <c r="N41" s="8">
        <f t="shared" si="2"/>
        <v>-4.2238221653652881E-2</v>
      </c>
      <c r="O41" s="2" t="s">
        <v>2</v>
      </c>
      <c r="P41" s="17">
        <f t="shared" si="3"/>
        <v>32715.955000000002</v>
      </c>
      <c r="R41" s="2">
        <f t="shared" si="7"/>
        <v>3.3748341434143803E-4</v>
      </c>
      <c r="S41" s="25">
        <v>0.1</v>
      </c>
      <c r="T41" s="2">
        <f t="shared" si="8"/>
        <v>3.3748341434143805E-5</v>
      </c>
    </row>
    <row r="42" spans="1:20" x14ac:dyDescent="0.2">
      <c r="A42" s="2" t="s">
        <v>48</v>
      </c>
      <c r="B42" s="25" t="s">
        <v>68</v>
      </c>
      <c r="C42" s="83">
        <v>47812.271000000001</v>
      </c>
      <c r="D42" s="32"/>
      <c r="E42" s="2">
        <f t="shared" si="0"/>
        <v>-5131.5156505666837</v>
      </c>
      <c r="F42" s="8">
        <f t="shared" si="1"/>
        <v>-5131.5</v>
      </c>
      <c r="G42" s="2">
        <f t="shared" si="5"/>
        <v>-2.2142499998153653E-2</v>
      </c>
      <c r="H42" s="80"/>
      <c r="I42" s="2">
        <f t="shared" si="6"/>
        <v>-2.2142499998153653E-2</v>
      </c>
      <c r="N42" s="8">
        <f t="shared" si="2"/>
        <v>-4.1819187225875111E-2</v>
      </c>
      <c r="O42" s="2" t="s">
        <v>2</v>
      </c>
      <c r="P42" s="17">
        <f t="shared" si="3"/>
        <v>32793.771000000001</v>
      </c>
      <c r="R42" s="2">
        <f t="shared" si="7"/>
        <v>3.8717202025757678E-4</v>
      </c>
      <c r="S42" s="25">
        <v>0.1</v>
      </c>
      <c r="T42" s="2">
        <f t="shared" si="8"/>
        <v>3.8717202025757684E-5</v>
      </c>
    </row>
    <row r="43" spans="1:20" x14ac:dyDescent="0.2">
      <c r="A43" s="2" t="s">
        <v>48</v>
      </c>
      <c r="B43" s="25"/>
      <c r="C43" s="83">
        <v>47824.285000000003</v>
      </c>
      <c r="D43" s="32"/>
      <c r="E43" s="2">
        <f t="shared" si="0"/>
        <v>-5123.0240209781514</v>
      </c>
      <c r="F43" s="8">
        <f t="shared" si="1"/>
        <v>-5123</v>
      </c>
      <c r="G43" s="2">
        <f t="shared" si="5"/>
        <v>-3.3984999994572718E-2</v>
      </c>
      <c r="H43" s="80"/>
      <c r="I43" s="2">
        <f t="shared" si="6"/>
        <v>-3.3984999994572718E-2</v>
      </c>
      <c r="N43" s="8">
        <f t="shared" si="2"/>
        <v>-4.1754427359764E-2</v>
      </c>
      <c r="O43" s="2" t="s">
        <v>2</v>
      </c>
      <c r="P43" s="17">
        <f t="shared" si="3"/>
        <v>32805.785000000003</v>
      </c>
      <c r="R43" s="2">
        <f t="shared" si="7"/>
        <v>6.0364001582983155E-5</v>
      </c>
      <c r="S43" s="25">
        <v>0.1</v>
      </c>
      <c r="T43" s="2">
        <f t="shared" si="8"/>
        <v>6.036400158298316E-6</v>
      </c>
    </row>
    <row r="44" spans="1:20" x14ac:dyDescent="0.2">
      <c r="A44" s="2" t="s">
        <v>48</v>
      </c>
      <c r="B44" s="25"/>
      <c r="C44" s="83">
        <v>47858.26</v>
      </c>
      <c r="D44" s="32"/>
      <c r="E44" s="2">
        <f t="shared" si="0"/>
        <v>-5099.0101109340121</v>
      </c>
      <c r="F44" s="8">
        <f t="shared" si="1"/>
        <v>-5099</v>
      </c>
      <c r="G44" s="2">
        <f t="shared" si="5"/>
        <v>-1.4304999996966217E-2</v>
      </c>
      <c r="H44" s="80"/>
      <c r="I44" s="2">
        <f t="shared" si="6"/>
        <v>-1.4304999996966217E-2</v>
      </c>
      <c r="N44" s="8">
        <f t="shared" si="2"/>
        <v>-4.1571575973097338E-2</v>
      </c>
      <c r="O44" s="2" t="s">
        <v>2</v>
      </c>
      <c r="P44" s="17">
        <f t="shared" si="3"/>
        <v>32839.760000000002</v>
      </c>
      <c r="R44" s="2">
        <f t="shared" si="7"/>
        <v>7.4346616546213079E-4</v>
      </c>
      <c r="S44" s="25">
        <v>0.1</v>
      </c>
      <c r="T44" s="2">
        <f t="shared" si="8"/>
        <v>7.4346616546213087E-5</v>
      </c>
    </row>
    <row r="45" spans="1:20" x14ac:dyDescent="0.2">
      <c r="A45" s="2" t="s">
        <v>50</v>
      </c>
      <c r="B45" s="25"/>
      <c r="C45" s="83">
        <v>48087.449000000001</v>
      </c>
      <c r="D45" s="32"/>
      <c r="E45" s="2">
        <f t="shared" si="0"/>
        <v>-4937.0167620272741</v>
      </c>
      <c r="F45" s="8">
        <f t="shared" si="1"/>
        <v>-4937</v>
      </c>
      <c r="G45" s="2">
        <f t="shared" si="5"/>
        <v>-2.3714999995718244E-2</v>
      </c>
      <c r="H45" s="80"/>
      <c r="I45" s="2">
        <f t="shared" si="6"/>
        <v>-2.3714999995718244E-2</v>
      </c>
      <c r="N45" s="8">
        <f t="shared" si="2"/>
        <v>-4.033732911309737E-2</v>
      </c>
      <c r="O45" s="2" t="s">
        <v>2</v>
      </c>
      <c r="P45" s="17">
        <f t="shared" si="3"/>
        <v>33068.949000000001</v>
      </c>
      <c r="R45" s="2">
        <f t="shared" si="7"/>
        <v>2.7630182528646987E-4</v>
      </c>
      <c r="S45" s="25">
        <v>0.1</v>
      </c>
      <c r="T45" s="2">
        <f t="shared" si="8"/>
        <v>2.7630182528646987E-5</v>
      </c>
    </row>
    <row r="46" spans="1:20" x14ac:dyDescent="0.2">
      <c r="A46" s="2" t="s">
        <v>50</v>
      </c>
      <c r="B46" s="25"/>
      <c r="C46" s="83">
        <v>48087.48</v>
      </c>
      <c r="D46" s="32"/>
      <c r="E46" s="2">
        <f t="shared" si="0"/>
        <v>-4936.9948508805064</v>
      </c>
      <c r="F46" s="8">
        <f t="shared" si="1"/>
        <v>-4937</v>
      </c>
      <c r="G46" s="2">
        <f t="shared" si="5"/>
        <v>7.2850000069593079E-3</v>
      </c>
      <c r="H46" s="80"/>
      <c r="I46" s="2">
        <f t="shared" si="6"/>
        <v>7.2850000069593079E-3</v>
      </c>
      <c r="N46" s="8">
        <f t="shared" si="2"/>
        <v>-4.033732911309737E-2</v>
      </c>
      <c r="O46" s="2" t="s">
        <v>2</v>
      </c>
      <c r="P46" s="17">
        <f t="shared" si="3"/>
        <v>33068.980000000003</v>
      </c>
      <c r="R46" s="2">
        <f t="shared" si="7"/>
        <v>2.2678862308189982E-3</v>
      </c>
      <c r="S46" s="25">
        <v>0.1</v>
      </c>
      <c r="T46" s="2">
        <f t="shared" si="8"/>
        <v>2.2678862308189983E-4</v>
      </c>
    </row>
    <row r="47" spans="1:20" x14ac:dyDescent="0.2">
      <c r="A47" s="2" t="s">
        <v>50</v>
      </c>
      <c r="B47" s="25" t="s">
        <v>68</v>
      </c>
      <c r="C47" s="83">
        <v>48092.413999999997</v>
      </c>
      <c r="D47" s="32"/>
      <c r="E47" s="2">
        <f t="shared" si="0"/>
        <v>-4933.5074444888169</v>
      </c>
      <c r="F47" s="8">
        <f t="shared" si="1"/>
        <v>-4933.5</v>
      </c>
      <c r="G47" s="2">
        <f t="shared" si="5"/>
        <v>-1.0532499996770639E-2</v>
      </c>
      <c r="H47" s="80"/>
      <c r="I47" s="2">
        <f t="shared" si="6"/>
        <v>-1.0532499996770639E-2</v>
      </c>
      <c r="N47" s="8">
        <f t="shared" si="2"/>
        <v>-4.0310663285875147E-2</v>
      </c>
      <c r="O47" s="2" t="s">
        <v>2</v>
      </c>
      <c r="P47" s="17">
        <f t="shared" si="3"/>
        <v>33073.913999999997</v>
      </c>
      <c r="R47" s="2">
        <f t="shared" si="7"/>
        <v>8.867390088725714E-4</v>
      </c>
      <c r="S47" s="25">
        <v>0.1</v>
      </c>
      <c r="T47" s="2">
        <f t="shared" si="8"/>
        <v>8.8673900887257151E-5</v>
      </c>
    </row>
    <row r="48" spans="1:20" x14ac:dyDescent="0.2">
      <c r="A48" s="2" t="s">
        <v>50</v>
      </c>
      <c r="B48" s="25"/>
      <c r="C48" s="83">
        <v>48094.506999999998</v>
      </c>
      <c r="D48" s="32"/>
      <c r="E48" s="2">
        <f t="shared" si="0"/>
        <v>-4932.0280886765313</v>
      </c>
      <c r="F48" s="8">
        <f t="shared" si="1"/>
        <v>-4932</v>
      </c>
      <c r="G48" s="2">
        <f t="shared" si="5"/>
        <v>-3.974000000016531E-2</v>
      </c>
      <c r="H48" s="80"/>
      <c r="I48" s="2">
        <f t="shared" si="6"/>
        <v>-3.974000000016531E-2</v>
      </c>
      <c r="N48" s="8">
        <f t="shared" si="2"/>
        <v>-4.0299235074208482E-2</v>
      </c>
      <c r="O48" s="2" t="s">
        <v>2</v>
      </c>
      <c r="P48" s="17">
        <f t="shared" si="3"/>
        <v>33076.006999999998</v>
      </c>
      <c r="R48" s="2">
        <f t="shared" si="7"/>
        <v>3.1274386804007269E-7</v>
      </c>
      <c r="S48" s="25">
        <v>0.1</v>
      </c>
      <c r="T48" s="2">
        <f t="shared" si="8"/>
        <v>3.127438680400727E-8</v>
      </c>
    </row>
    <row r="49" spans="1:34" x14ac:dyDescent="0.2">
      <c r="A49" s="2" t="s">
        <v>50</v>
      </c>
      <c r="B49" s="25"/>
      <c r="C49" s="83">
        <v>48121.400999999998</v>
      </c>
      <c r="D49" s="32"/>
      <c r="E49" s="2">
        <f t="shared" si="0"/>
        <v>-4913.0191086404129</v>
      </c>
      <c r="F49" s="8">
        <f t="shared" si="1"/>
        <v>-4913</v>
      </c>
      <c r="G49" s="2">
        <f t="shared" si="5"/>
        <v>-2.7034999999159481E-2</v>
      </c>
      <c r="H49" s="80"/>
      <c r="I49" s="2">
        <f t="shared" si="6"/>
        <v>-2.7034999999159481E-2</v>
      </c>
      <c r="N49" s="8">
        <f t="shared" si="2"/>
        <v>-4.0154477726430708E-2</v>
      </c>
      <c r="O49" s="2" t="s">
        <v>2</v>
      </c>
      <c r="P49" s="17">
        <f t="shared" si="3"/>
        <v>33102.900999999998</v>
      </c>
      <c r="R49" s="2">
        <f t="shared" si="7"/>
        <v>1.7212069583636579E-4</v>
      </c>
      <c r="S49" s="25">
        <v>0.1</v>
      </c>
      <c r="T49" s="2">
        <f t="shared" si="8"/>
        <v>1.7212069583636579E-5</v>
      </c>
    </row>
    <row r="50" spans="1:34" x14ac:dyDescent="0.2">
      <c r="A50" s="2" t="s">
        <v>50</v>
      </c>
      <c r="B50" s="25" t="s">
        <v>68</v>
      </c>
      <c r="C50" s="83">
        <v>48126.358999999997</v>
      </c>
      <c r="D50" s="32"/>
      <c r="E50" s="2">
        <f t="shared" si="0"/>
        <v>-4909.5147387802563</v>
      </c>
      <c r="F50" s="8">
        <f t="shared" si="1"/>
        <v>-4909.5</v>
      </c>
      <c r="G50" s="2">
        <f t="shared" si="5"/>
        <v>-2.0852499997999985E-2</v>
      </c>
      <c r="H50" s="80"/>
      <c r="I50" s="2">
        <f t="shared" si="6"/>
        <v>-2.0852499997999985E-2</v>
      </c>
      <c r="N50" s="8">
        <f t="shared" si="2"/>
        <v>-4.0127811899208485E-2</v>
      </c>
      <c r="O50" s="2" t="s">
        <v>2</v>
      </c>
      <c r="P50" s="17">
        <f t="shared" si="3"/>
        <v>33107.858999999997</v>
      </c>
      <c r="R50" s="2">
        <f t="shared" si="7"/>
        <v>3.7153764888887006E-4</v>
      </c>
      <c r="S50" s="25">
        <v>0.1</v>
      </c>
      <c r="T50" s="2">
        <f t="shared" si="8"/>
        <v>3.7153764888887012E-5</v>
      </c>
    </row>
    <row r="51" spans="1:34" x14ac:dyDescent="0.2">
      <c r="A51" s="2" t="s">
        <v>50</v>
      </c>
      <c r="B51" s="25"/>
      <c r="C51" s="83">
        <v>48179.415999999997</v>
      </c>
      <c r="D51" s="32"/>
      <c r="E51" s="2">
        <f t="shared" si="0"/>
        <v>-4872.0134576849814</v>
      </c>
      <c r="F51" s="8">
        <f t="shared" si="1"/>
        <v>-4872</v>
      </c>
      <c r="G51" s="2">
        <f t="shared" si="5"/>
        <v>-1.9039999999222346E-2</v>
      </c>
      <c r="H51" s="80"/>
      <c r="I51" s="2">
        <f t="shared" si="6"/>
        <v>-1.9039999999222346E-2</v>
      </c>
      <c r="N51" s="8">
        <f t="shared" si="2"/>
        <v>-3.9842106607541831E-2</v>
      </c>
      <c r="O51" s="2" t="s">
        <v>2</v>
      </c>
      <c r="P51" s="17">
        <f t="shared" si="3"/>
        <v>33160.915999999997</v>
      </c>
      <c r="R51" s="2">
        <f t="shared" si="7"/>
        <v>4.3272763934388924E-4</v>
      </c>
      <c r="S51" s="25">
        <v>0.1</v>
      </c>
      <c r="T51" s="2">
        <f t="shared" si="8"/>
        <v>4.3272763934388928E-5</v>
      </c>
    </row>
    <row r="52" spans="1:34" x14ac:dyDescent="0.2">
      <c r="A52" s="2" t="s">
        <v>51</v>
      </c>
      <c r="B52" s="25" t="s">
        <v>68</v>
      </c>
      <c r="C52" s="83">
        <v>48474.421999999999</v>
      </c>
      <c r="D52" s="32">
        <v>5.0000000000000001E-3</v>
      </c>
      <c r="E52" s="2">
        <f t="shared" si="0"/>
        <v>-4663.499916949685</v>
      </c>
      <c r="F52" s="8">
        <f t="shared" si="1"/>
        <v>-4663.5</v>
      </c>
      <c r="G52" s="2">
        <f t="shared" si="5"/>
        <v>1.1749999976018444E-4</v>
      </c>
      <c r="H52" s="80"/>
      <c r="I52" s="2">
        <f t="shared" si="6"/>
        <v>1.1749999976018444E-4</v>
      </c>
      <c r="N52" s="8">
        <f t="shared" si="2"/>
        <v>-3.8253585185875204E-2</v>
      </c>
      <c r="O52" s="2" t="s">
        <v>2</v>
      </c>
      <c r="P52" s="17">
        <f t="shared" si="3"/>
        <v>33455.921999999999</v>
      </c>
      <c r="R52" s="2">
        <f t="shared" si="7"/>
        <v>1.4723401783232875E-3</v>
      </c>
      <c r="S52" s="25">
        <v>0.1</v>
      </c>
      <c r="T52" s="2">
        <f t="shared" si="8"/>
        <v>1.4723401783232876E-4</v>
      </c>
    </row>
    <row r="53" spans="1:34" x14ac:dyDescent="0.2">
      <c r="A53" s="2" t="s">
        <v>51</v>
      </c>
      <c r="B53" s="25"/>
      <c r="C53" s="83">
        <v>48486.444000000003</v>
      </c>
      <c r="D53" s="32">
        <v>6.0000000000000001E-3</v>
      </c>
      <c r="E53" s="2">
        <f t="shared" ref="E53:E84" si="9">(C53-C$7)/C$8</f>
        <v>-4655.002632871664</v>
      </c>
      <c r="F53" s="8">
        <f t="shared" ref="F53:F84" si="10">ROUND(2*E53,0)/2</f>
        <v>-4655</v>
      </c>
      <c r="G53" s="2">
        <f t="shared" si="5"/>
        <v>-3.7249999950290658E-3</v>
      </c>
      <c r="H53" s="80"/>
      <c r="I53" s="2">
        <f t="shared" si="6"/>
        <v>-3.7249999950290658E-3</v>
      </c>
      <c r="N53" s="8">
        <f t="shared" ref="N53:N84" si="11">+C$11+C$12*F53</f>
        <v>-3.8188825319764093E-2</v>
      </c>
      <c r="O53" s="2" t="s">
        <v>2</v>
      </c>
      <c r="P53" s="17">
        <f t="shared" ref="P53:P84" si="12">C53-15018.5</f>
        <v>33467.944000000003</v>
      </c>
      <c r="R53" s="2">
        <f t="shared" si="7"/>
        <v>1.1877552560138475E-3</v>
      </c>
      <c r="S53" s="25">
        <v>0.1</v>
      </c>
      <c r="T53" s="2">
        <f t="shared" si="8"/>
        <v>1.1877552560138475E-4</v>
      </c>
    </row>
    <row r="54" spans="1:34" x14ac:dyDescent="0.2">
      <c r="A54" s="2" t="s">
        <v>52</v>
      </c>
      <c r="B54" s="25"/>
      <c r="C54" s="83">
        <v>48503.413999999997</v>
      </c>
      <c r="D54" s="32">
        <v>7.0000000000000001E-3</v>
      </c>
      <c r="E54" s="2">
        <f t="shared" si="9"/>
        <v>-4643.0080470453531</v>
      </c>
      <c r="F54" s="8">
        <f t="shared" si="10"/>
        <v>-4643</v>
      </c>
      <c r="G54" s="2">
        <f t="shared" si="5"/>
        <v>-1.1384999997972045E-2</v>
      </c>
      <c r="H54" s="80"/>
      <c r="I54" s="2">
        <f t="shared" si="6"/>
        <v>-1.1384999997972045E-2</v>
      </c>
      <c r="N54" s="8">
        <f t="shared" si="11"/>
        <v>-3.8097399626430759E-2</v>
      </c>
      <c r="O54" s="2" t="s">
        <v>2</v>
      </c>
      <c r="P54" s="17">
        <f t="shared" si="12"/>
        <v>33484.913999999997</v>
      </c>
      <c r="R54" s="2">
        <f t="shared" si="7"/>
        <v>7.1355229391048124E-4</v>
      </c>
      <c r="S54" s="25">
        <v>0.1</v>
      </c>
      <c r="T54" s="2">
        <f t="shared" si="8"/>
        <v>7.1355229391048132E-5</v>
      </c>
    </row>
    <row r="55" spans="1:34" x14ac:dyDescent="0.2">
      <c r="A55" s="27" t="s">
        <v>224</v>
      </c>
      <c r="B55" s="25" t="s">
        <v>85</v>
      </c>
      <c r="C55" s="83">
        <v>48803.362999999998</v>
      </c>
      <c r="D55" s="32" t="s">
        <v>100</v>
      </c>
      <c r="E55" s="2">
        <f t="shared" si="9"/>
        <v>-4431.0007386176894</v>
      </c>
      <c r="F55" s="8">
        <f t="shared" si="10"/>
        <v>-4431</v>
      </c>
      <c r="G55" s="2">
        <f t="shared" si="5"/>
        <v>-1.0449999972479418E-3</v>
      </c>
      <c r="J55" s="2">
        <f>G55</f>
        <v>-1.0449999972479418E-3</v>
      </c>
      <c r="N55" s="8">
        <f t="shared" si="11"/>
        <v>-3.6482212377541914E-2</v>
      </c>
      <c r="O55" s="2" t="s">
        <v>2</v>
      </c>
      <c r="P55" s="17">
        <f t="shared" si="12"/>
        <v>33784.862999999998</v>
      </c>
      <c r="R55" s="2">
        <f t="shared" si="7"/>
        <v>1.2557960212860604E-3</v>
      </c>
      <c r="S55" s="25">
        <v>1</v>
      </c>
      <c r="T55" s="2">
        <f t="shared" si="8"/>
        <v>1.2557960212860604E-3</v>
      </c>
    </row>
    <row r="56" spans="1:34" x14ac:dyDescent="0.2">
      <c r="A56" s="2" t="s">
        <v>7</v>
      </c>
      <c r="B56" s="26"/>
      <c r="C56" s="83">
        <v>48803.364000000001</v>
      </c>
      <c r="D56" s="32"/>
      <c r="E56" s="2">
        <f t="shared" si="9"/>
        <v>-4431.0000318065004</v>
      </c>
      <c r="F56" s="8">
        <f t="shared" si="10"/>
        <v>-4431</v>
      </c>
      <c r="G56" s="2">
        <f t="shared" si="5"/>
        <v>-4.4999993406236172E-5</v>
      </c>
      <c r="J56" s="2">
        <f>G56</f>
        <v>-4.4999993406236172E-5</v>
      </c>
      <c r="N56" s="8">
        <f t="shared" si="11"/>
        <v>-3.6482212377541914E-2</v>
      </c>
      <c r="O56" s="2" t="s">
        <v>2</v>
      </c>
      <c r="P56" s="17">
        <f t="shared" si="12"/>
        <v>33784.864000000001</v>
      </c>
      <c r="R56" s="2">
        <f t="shared" si="7"/>
        <v>1.3276704463266104E-3</v>
      </c>
      <c r="S56" s="25">
        <v>1</v>
      </c>
      <c r="T56" s="2">
        <f t="shared" si="8"/>
        <v>1.3276704463266104E-3</v>
      </c>
    </row>
    <row r="57" spans="1:34" x14ac:dyDescent="0.2">
      <c r="A57" s="2" t="s">
        <v>53</v>
      </c>
      <c r="B57" s="25"/>
      <c r="C57" s="83">
        <v>48827.417000000001</v>
      </c>
      <c r="D57" s="32">
        <v>4.0000000000000001E-3</v>
      </c>
      <c r="E57" s="2">
        <f t="shared" si="9"/>
        <v>-4413.9991023497914</v>
      </c>
      <c r="F57" s="8">
        <f t="shared" si="10"/>
        <v>-4414</v>
      </c>
      <c r="G57" s="2">
        <f t="shared" si="5"/>
        <v>1.2700000006589107E-3</v>
      </c>
      <c r="I57" s="80">
        <v>-1.7750000042724423E-3</v>
      </c>
      <c r="N57" s="8">
        <f t="shared" si="11"/>
        <v>-3.6352692645319692E-2</v>
      </c>
      <c r="O57" s="2" t="s">
        <v>2</v>
      </c>
      <c r="P57" s="17">
        <f t="shared" si="12"/>
        <v>33808.917000000001</v>
      </c>
      <c r="R57" s="2">
        <f t="shared" si="7"/>
        <v>1.4154670019337725E-3</v>
      </c>
      <c r="S57" s="25">
        <v>0.1</v>
      </c>
      <c r="T57" s="2">
        <f t="shared" si="8"/>
        <v>1.4154670019337725E-4</v>
      </c>
    </row>
    <row r="58" spans="1:34" x14ac:dyDescent="0.2">
      <c r="A58" s="2" t="s">
        <v>54</v>
      </c>
      <c r="B58" s="25"/>
      <c r="C58" s="83">
        <v>49158.451999999997</v>
      </c>
      <c r="D58" s="32">
        <v>5.0000000000000001E-3</v>
      </c>
      <c r="E58" s="2">
        <f t="shared" si="9"/>
        <v>-4180.0198613943267</v>
      </c>
      <c r="F58" s="8">
        <f t="shared" si="10"/>
        <v>-4180</v>
      </c>
      <c r="G58" s="2">
        <f t="shared" si="5"/>
        <v>-2.8100000003178138E-2</v>
      </c>
      <c r="I58" s="80">
        <v>-2.948360000300454E-2</v>
      </c>
      <c r="N58" s="8">
        <f t="shared" si="11"/>
        <v>-3.4569891625319739E-2</v>
      </c>
      <c r="O58" s="2" t="s">
        <v>2</v>
      </c>
      <c r="P58" s="17">
        <f t="shared" si="12"/>
        <v>34139.951999999997</v>
      </c>
      <c r="R58" s="2">
        <f t="shared" si="7"/>
        <v>4.1859497602258071E-5</v>
      </c>
      <c r="S58" s="25">
        <v>0.1</v>
      </c>
      <c r="T58" s="2">
        <f t="shared" si="8"/>
        <v>4.1859497602258072E-6</v>
      </c>
      <c r="AD58" s="2">
        <v>9</v>
      </c>
      <c r="AF58" s="2" t="s">
        <v>43</v>
      </c>
      <c r="AH58" s="2" t="s">
        <v>35</v>
      </c>
    </row>
    <row r="59" spans="1:34" x14ac:dyDescent="0.2">
      <c r="A59" s="27" t="s">
        <v>224</v>
      </c>
      <c r="B59" s="25" t="s">
        <v>85</v>
      </c>
      <c r="C59" s="83">
        <v>49158.476999999999</v>
      </c>
      <c r="D59" s="32" t="s">
        <v>100</v>
      </c>
      <c r="E59" s="2">
        <f t="shared" si="9"/>
        <v>-4180.002191114676</v>
      </c>
      <c r="F59" s="8">
        <f t="shared" si="10"/>
        <v>-4180</v>
      </c>
      <c r="G59" s="2">
        <f t="shared" si="5"/>
        <v>-3.1000000017229468E-3</v>
      </c>
      <c r="J59" s="2">
        <f>G59</f>
        <v>-3.1000000017229468E-3</v>
      </c>
      <c r="N59" s="8">
        <f t="shared" si="11"/>
        <v>-3.4569891625319739E-2</v>
      </c>
      <c r="O59" s="2" t="s">
        <v>2</v>
      </c>
      <c r="P59" s="17">
        <f t="shared" si="12"/>
        <v>34139.976999999999</v>
      </c>
      <c r="R59" s="2">
        <f t="shared" si="7"/>
        <v>9.9035407880092752E-4</v>
      </c>
      <c r="S59" s="25">
        <v>1</v>
      </c>
      <c r="T59" s="2">
        <f t="shared" si="8"/>
        <v>9.9035407880092752E-4</v>
      </c>
      <c r="AD59" s="2">
        <v>10</v>
      </c>
      <c r="AF59" s="2" t="s">
        <v>43</v>
      </c>
      <c r="AH59" s="2" t="s">
        <v>35</v>
      </c>
    </row>
    <row r="60" spans="1:34" x14ac:dyDescent="0.2">
      <c r="A60" s="2" t="s">
        <v>7</v>
      </c>
      <c r="B60" s="26"/>
      <c r="C60" s="83">
        <v>49158.478999999999</v>
      </c>
      <c r="D60" s="32"/>
      <c r="E60" s="2">
        <f t="shared" si="9"/>
        <v>-4180.0007774923033</v>
      </c>
      <c r="F60" s="8">
        <f t="shared" si="10"/>
        <v>-4180</v>
      </c>
      <c r="G60" s="2">
        <f t="shared" si="5"/>
        <v>-1.1000000013154931E-3</v>
      </c>
      <c r="J60" s="2">
        <f>G60</f>
        <v>-1.1000000013154931E-3</v>
      </c>
      <c r="N60" s="8">
        <f t="shared" si="11"/>
        <v>-3.4569891625319739E-2</v>
      </c>
      <c r="O60" s="2" t="s">
        <v>2</v>
      </c>
      <c r="P60" s="17">
        <f t="shared" si="12"/>
        <v>34139.978999999999</v>
      </c>
      <c r="R60" s="2">
        <f t="shared" si="7"/>
        <v>1.1202336453225896E-3</v>
      </c>
      <c r="S60" s="25">
        <v>1</v>
      </c>
      <c r="T60" s="2">
        <f t="shared" si="8"/>
        <v>1.1202336453225896E-3</v>
      </c>
    </row>
    <row r="61" spans="1:34" x14ac:dyDescent="0.2">
      <c r="A61" s="27" t="s">
        <v>224</v>
      </c>
      <c r="B61" s="25" t="s">
        <v>85</v>
      </c>
      <c r="C61" s="83">
        <v>49158.482000000004</v>
      </c>
      <c r="D61" s="32" t="s">
        <v>100</v>
      </c>
      <c r="E61" s="2">
        <f t="shared" si="9"/>
        <v>-4179.9986570587425</v>
      </c>
      <c r="F61" s="8">
        <f t="shared" si="10"/>
        <v>-4180</v>
      </c>
      <c r="G61" s="2">
        <f t="shared" si="5"/>
        <v>1.9000000029336661E-3</v>
      </c>
      <c r="J61" s="2">
        <f>G61</f>
        <v>1.9000000029336661E-3</v>
      </c>
      <c r="N61" s="8">
        <f t="shared" si="11"/>
        <v>-3.4569891625319739E-2</v>
      </c>
      <c r="O61" s="2" t="s">
        <v>2</v>
      </c>
      <c r="P61" s="17">
        <f t="shared" si="12"/>
        <v>34139.982000000004</v>
      </c>
      <c r="R61" s="2">
        <f t="shared" si="7"/>
        <v>1.3300529953765479E-3</v>
      </c>
      <c r="S61" s="25">
        <v>1</v>
      </c>
      <c r="T61" s="2">
        <f t="shared" si="8"/>
        <v>1.3300529953765479E-3</v>
      </c>
      <c r="AD61" s="2">
        <v>7</v>
      </c>
      <c r="AF61" s="2" t="s">
        <v>43</v>
      </c>
      <c r="AH61" s="2" t="s">
        <v>35</v>
      </c>
    </row>
    <row r="62" spans="1:34" x14ac:dyDescent="0.2">
      <c r="A62" s="27" t="s">
        <v>246</v>
      </c>
      <c r="B62" s="25" t="s">
        <v>85</v>
      </c>
      <c r="C62" s="83">
        <v>49216.483200000002</v>
      </c>
      <c r="D62" s="32" t="s">
        <v>100</v>
      </c>
      <c r="E62" s="2">
        <f t="shared" si="9"/>
        <v>-4139.0027600976782</v>
      </c>
      <c r="F62" s="8">
        <f t="shared" si="10"/>
        <v>-4139</v>
      </c>
      <c r="G62" s="2">
        <f t="shared" si="5"/>
        <v>-3.9049999977578409E-3</v>
      </c>
      <c r="J62" s="2">
        <f>G62</f>
        <v>-3.9049999977578409E-3</v>
      </c>
      <c r="N62" s="8">
        <f t="shared" si="11"/>
        <v>-3.4257520506430862E-2</v>
      </c>
      <c r="O62" s="2" t="s">
        <v>2</v>
      </c>
      <c r="P62" s="17">
        <f t="shared" si="12"/>
        <v>34197.983200000002</v>
      </c>
      <c r="R62" s="2">
        <f t="shared" si="7"/>
        <v>9.2127550122941631E-4</v>
      </c>
      <c r="S62" s="25">
        <v>1</v>
      </c>
      <c r="T62" s="2">
        <f t="shared" si="8"/>
        <v>9.2127550122941631E-4</v>
      </c>
      <c r="AD62" s="2">
        <v>9</v>
      </c>
      <c r="AF62" s="2" t="s">
        <v>43</v>
      </c>
      <c r="AH62" s="2" t="s">
        <v>35</v>
      </c>
    </row>
    <row r="63" spans="1:34" x14ac:dyDescent="0.2">
      <c r="A63" s="27" t="s">
        <v>246</v>
      </c>
      <c r="B63" s="25" t="s">
        <v>85</v>
      </c>
      <c r="C63" s="83">
        <v>49216.484199999999</v>
      </c>
      <c r="D63" s="32" t="s">
        <v>100</v>
      </c>
      <c r="E63" s="2">
        <f t="shared" si="9"/>
        <v>-4139.0020532864946</v>
      </c>
      <c r="F63" s="8">
        <f t="shared" si="10"/>
        <v>-4139</v>
      </c>
      <c r="G63" s="2">
        <f t="shared" si="5"/>
        <v>-2.9050000011920929E-3</v>
      </c>
      <c r="J63" s="2">
        <f>G63</f>
        <v>-2.9050000011920929E-3</v>
      </c>
      <c r="N63" s="8">
        <f t="shared" si="11"/>
        <v>-3.4257520506430862E-2</v>
      </c>
      <c r="O63" s="2" t="s">
        <v>2</v>
      </c>
      <c r="P63" s="17">
        <f t="shared" si="12"/>
        <v>34197.984199999999</v>
      </c>
      <c r="R63" s="2">
        <f t="shared" si="7"/>
        <v>9.8298054203141741E-4</v>
      </c>
      <c r="S63" s="25">
        <v>1</v>
      </c>
      <c r="T63" s="2">
        <f t="shared" si="8"/>
        <v>9.8298054203141741E-4</v>
      </c>
      <c r="AD63" s="2">
        <v>11</v>
      </c>
      <c r="AF63" s="2" t="s">
        <v>43</v>
      </c>
      <c r="AH63" s="2" t="s">
        <v>35</v>
      </c>
    </row>
    <row r="64" spans="1:34" x14ac:dyDescent="0.2">
      <c r="A64" s="2" t="s">
        <v>55</v>
      </c>
      <c r="B64" s="25"/>
      <c r="C64" s="83">
        <v>49226.381999999998</v>
      </c>
      <c r="D64" s="32">
        <v>4.0000000000000001E-3</v>
      </c>
      <c r="E64" s="2">
        <f t="shared" si="9"/>
        <v>-4132.0061775297654</v>
      </c>
      <c r="F64" s="8">
        <f t="shared" si="10"/>
        <v>-4132</v>
      </c>
      <c r="G64" s="2">
        <f t="shared" si="5"/>
        <v>-8.7399999974877574E-3</v>
      </c>
      <c r="I64" s="80">
        <v>-9.7828000070876442E-3</v>
      </c>
      <c r="N64" s="8">
        <f t="shared" si="11"/>
        <v>-3.4204188851986415E-2</v>
      </c>
      <c r="O64" s="2" t="s">
        <v>2</v>
      </c>
      <c r="P64" s="17">
        <f t="shared" si="12"/>
        <v>34207.881999999998</v>
      </c>
      <c r="R64" s="2">
        <f t="shared" si="7"/>
        <v>6.4842491401757363E-4</v>
      </c>
      <c r="S64" s="25">
        <v>0.1</v>
      </c>
      <c r="T64" s="2">
        <f t="shared" si="8"/>
        <v>6.4842491401757366E-5</v>
      </c>
    </row>
    <row r="65" spans="1:34" x14ac:dyDescent="0.2">
      <c r="A65" s="27" t="s">
        <v>224</v>
      </c>
      <c r="B65" s="25" t="s">
        <v>68</v>
      </c>
      <c r="C65" s="83">
        <v>49569.481200000002</v>
      </c>
      <c r="D65" s="32" t="s">
        <v>100</v>
      </c>
      <c r="E65" s="2">
        <f t="shared" si="9"/>
        <v>-3889.4998250642284</v>
      </c>
      <c r="F65" s="8">
        <f t="shared" si="10"/>
        <v>-3889.5</v>
      </c>
      <c r="G65" s="2">
        <f t="shared" si="5"/>
        <v>2.4750000739004463E-4</v>
      </c>
      <c r="J65" s="2">
        <f>G65</f>
        <v>2.4750000739004463E-4</v>
      </c>
      <c r="N65" s="8">
        <f t="shared" si="11"/>
        <v>-3.2356627965875351E-2</v>
      </c>
      <c r="O65" s="2" t="s">
        <v>2</v>
      </c>
      <c r="P65" s="17">
        <f t="shared" si="12"/>
        <v>34550.981200000002</v>
      </c>
      <c r="R65" s="2">
        <f t="shared" si="7"/>
        <v>1.063029160897067E-3</v>
      </c>
      <c r="S65" s="25">
        <v>1</v>
      </c>
      <c r="T65" s="2">
        <f t="shared" si="8"/>
        <v>1.063029160897067E-3</v>
      </c>
    </row>
    <row r="66" spans="1:34" x14ac:dyDescent="0.2">
      <c r="A66" t="s">
        <v>7</v>
      </c>
      <c r="B66" s="26"/>
      <c r="C66" s="84">
        <v>49569.481500000002</v>
      </c>
      <c r="D66" s="32"/>
      <c r="E66" s="2">
        <f t="shared" si="9"/>
        <v>-3889.4996130208729</v>
      </c>
      <c r="F66" s="8">
        <f t="shared" si="10"/>
        <v>-3889.5</v>
      </c>
      <c r="G66" s="2">
        <f t="shared" si="5"/>
        <v>5.4750000708736479E-4</v>
      </c>
      <c r="J66" s="2">
        <f>G66</f>
        <v>5.4750000708736479E-4</v>
      </c>
      <c r="N66" s="8">
        <f t="shared" si="11"/>
        <v>-3.2356627965875351E-2</v>
      </c>
      <c r="O66" s="2" t="s">
        <v>2</v>
      </c>
      <c r="P66" s="17">
        <f t="shared" si="12"/>
        <v>34550.981500000002</v>
      </c>
      <c r="R66" s="2">
        <f t="shared" si="7"/>
        <v>1.0826816376611076E-3</v>
      </c>
      <c r="S66" s="25">
        <v>1</v>
      </c>
      <c r="T66" s="2">
        <f t="shared" si="8"/>
        <v>1.0826816376611076E-3</v>
      </c>
    </row>
    <row r="67" spans="1:34" x14ac:dyDescent="0.2">
      <c r="A67" s="27" t="s">
        <v>224</v>
      </c>
      <c r="B67" s="25" t="s">
        <v>68</v>
      </c>
      <c r="C67" s="83">
        <v>49569.481800000001</v>
      </c>
      <c r="D67" s="32" t="s">
        <v>100</v>
      </c>
      <c r="E67" s="2">
        <f t="shared" si="9"/>
        <v>-3889.4994009775173</v>
      </c>
      <c r="F67" s="8">
        <f t="shared" si="10"/>
        <v>-3889.5</v>
      </c>
      <c r="G67" s="2">
        <f t="shared" si="5"/>
        <v>8.4750000678468496E-4</v>
      </c>
      <c r="J67" s="2">
        <f>G67</f>
        <v>8.4750000678468496E-4</v>
      </c>
      <c r="N67" s="8">
        <f t="shared" si="11"/>
        <v>-3.2356627965875351E-2</v>
      </c>
      <c r="O67" s="2" t="s">
        <v>2</v>
      </c>
      <c r="P67" s="17">
        <f t="shared" si="12"/>
        <v>34550.981800000001</v>
      </c>
      <c r="R67" s="2">
        <f t="shared" si="7"/>
        <v>1.1025141144247847E-3</v>
      </c>
      <c r="S67" s="25">
        <v>1</v>
      </c>
      <c r="T67" s="2">
        <f t="shared" si="8"/>
        <v>1.1025141144247847E-3</v>
      </c>
      <c r="AD67" s="2">
        <v>9</v>
      </c>
      <c r="AF67" s="2" t="s">
        <v>43</v>
      </c>
      <c r="AH67" s="2" t="s">
        <v>35</v>
      </c>
    </row>
    <row r="68" spans="1:34" x14ac:dyDescent="0.2">
      <c r="A68" s="2" t="s">
        <v>56</v>
      </c>
      <c r="B68" s="25"/>
      <c r="C68" s="84">
        <v>49888.489000000001</v>
      </c>
      <c r="D68" s="31">
        <v>5.0000000000000001E-3</v>
      </c>
      <c r="E68" s="2">
        <f t="shared" si="9"/>
        <v>-3664.0215436049466</v>
      </c>
      <c r="F68" s="8">
        <f t="shared" si="10"/>
        <v>-3664</v>
      </c>
      <c r="G68" s="2">
        <f t="shared" si="5"/>
        <v>-3.0479999993985984E-2</v>
      </c>
      <c r="I68" s="80">
        <v>-2.8200000000651926E-2</v>
      </c>
      <c r="N68" s="8">
        <f t="shared" si="11"/>
        <v>-3.0638586811986505E-2</v>
      </c>
      <c r="O68" s="2" t="s">
        <v>2</v>
      </c>
      <c r="P68" s="17">
        <f t="shared" si="12"/>
        <v>34869.989000000001</v>
      </c>
      <c r="R68" s="2">
        <f t="shared" si="7"/>
        <v>2.5149778843530131E-8</v>
      </c>
      <c r="S68" s="25">
        <v>0.1</v>
      </c>
      <c r="T68" s="2">
        <f t="shared" si="8"/>
        <v>2.5149778843530132E-9</v>
      </c>
      <c r="AD68" s="2">
        <v>7</v>
      </c>
      <c r="AF68" s="2" t="s">
        <v>40</v>
      </c>
      <c r="AH68" s="2" t="s">
        <v>35</v>
      </c>
    </row>
    <row r="69" spans="1:34" x14ac:dyDescent="0.2">
      <c r="A69" s="27" t="s">
        <v>267</v>
      </c>
      <c r="B69" s="25" t="s">
        <v>85</v>
      </c>
      <c r="C69" s="84">
        <v>49888.517200000002</v>
      </c>
      <c r="D69" s="31" t="s">
        <v>100</v>
      </c>
      <c r="E69" s="2">
        <f t="shared" si="9"/>
        <v>-3664.0016115295011</v>
      </c>
      <c r="F69" s="8">
        <f t="shared" si="10"/>
        <v>-3664</v>
      </c>
      <c r="G69" s="2">
        <f t="shared" si="5"/>
        <v>-2.2799999933340587E-3</v>
      </c>
      <c r="J69" s="2">
        <f>G69</f>
        <v>-2.2799999933340587E-3</v>
      </c>
      <c r="N69" s="8">
        <f t="shared" si="11"/>
        <v>-3.0638586811986505E-2</v>
      </c>
      <c r="O69" s="2" t="s">
        <v>2</v>
      </c>
      <c r="P69" s="17">
        <f t="shared" si="12"/>
        <v>34870.017200000002</v>
      </c>
      <c r="R69" s="2">
        <f t="shared" si="7"/>
        <v>8.0420944635104831E-4</v>
      </c>
      <c r="S69" s="25">
        <v>1</v>
      </c>
      <c r="T69" s="2">
        <f t="shared" si="8"/>
        <v>8.0420944635104831E-4</v>
      </c>
    </row>
    <row r="70" spans="1:34" x14ac:dyDescent="0.2">
      <c r="A70" s="2" t="s">
        <v>8</v>
      </c>
      <c r="B70" s="26"/>
      <c r="C70" s="84">
        <v>49888.517599999999</v>
      </c>
      <c r="D70" s="31"/>
      <c r="E70" s="2">
        <f t="shared" si="9"/>
        <v>-3664.0013288050286</v>
      </c>
      <c r="F70" s="8">
        <f t="shared" si="10"/>
        <v>-3664</v>
      </c>
      <c r="G70" s="2">
        <f t="shared" si="5"/>
        <v>-1.879999996162951E-3</v>
      </c>
      <c r="J70" s="2">
        <f>G70</f>
        <v>-1.879999996162951E-3</v>
      </c>
      <c r="N70" s="8">
        <f t="shared" si="11"/>
        <v>-3.0638586811986505E-2</v>
      </c>
      <c r="O70" s="2" t="s">
        <v>2</v>
      </c>
      <c r="P70" s="17">
        <f t="shared" si="12"/>
        <v>34870.017599999999</v>
      </c>
      <c r="R70" s="2">
        <f t="shared" si="7"/>
        <v>8.2705631564326029E-4</v>
      </c>
      <c r="S70" s="25">
        <v>1</v>
      </c>
      <c r="T70" s="2">
        <f t="shared" si="8"/>
        <v>8.2705631564326029E-4</v>
      </c>
    </row>
    <row r="71" spans="1:34" x14ac:dyDescent="0.2">
      <c r="A71" s="27" t="s">
        <v>267</v>
      </c>
      <c r="B71" s="25" t="s">
        <v>85</v>
      </c>
      <c r="C71" s="83">
        <v>49888.518100000001</v>
      </c>
      <c r="D71" s="32" t="s">
        <v>100</v>
      </c>
      <c r="E71" s="2">
        <f t="shared" si="9"/>
        <v>-3664.0009753994341</v>
      </c>
      <c r="F71" s="8">
        <f t="shared" si="10"/>
        <v>-3664</v>
      </c>
      <c r="G71" s="2">
        <f t="shared" si="5"/>
        <v>-1.3799999942420982E-3</v>
      </c>
      <c r="J71" s="2">
        <f>G71</f>
        <v>-1.3799999942420982E-3</v>
      </c>
      <c r="N71" s="8">
        <f t="shared" si="11"/>
        <v>-3.0638586811986505E-2</v>
      </c>
      <c r="O71" s="2" t="s">
        <v>2</v>
      </c>
      <c r="P71" s="17">
        <f t="shared" si="12"/>
        <v>34870.018100000001</v>
      </c>
      <c r="R71" s="2">
        <f t="shared" si="7"/>
        <v>8.5606490257148676E-4</v>
      </c>
      <c r="S71" s="25">
        <v>1</v>
      </c>
      <c r="T71" s="2">
        <f t="shared" si="8"/>
        <v>8.5606490257148676E-4</v>
      </c>
      <c r="AD71" s="2">
        <v>7</v>
      </c>
      <c r="AF71" s="2" t="s">
        <v>43</v>
      </c>
      <c r="AH71" s="2" t="s">
        <v>35</v>
      </c>
    </row>
    <row r="72" spans="1:34" x14ac:dyDescent="0.2">
      <c r="A72" s="2" t="s">
        <v>57</v>
      </c>
      <c r="B72" s="25"/>
      <c r="C72" s="83">
        <v>49905.481</v>
      </c>
      <c r="D72" s="32">
        <v>4.0000000000000001E-3</v>
      </c>
      <c r="E72" s="2">
        <f t="shared" si="9"/>
        <v>-3652.0114079325404</v>
      </c>
      <c r="F72" s="8">
        <f t="shared" si="10"/>
        <v>-3652</v>
      </c>
      <c r="G72" s="2">
        <f t="shared" si="5"/>
        <v>-1.6139999999722932E-2</v>
      </c>
      <c r="I72" s="80">
        <v>-1.3774800005194265E-2</v>
      </c>
      <c r="N72" s="8">
        <f t="shared" si="11"/>
        <v>-3.0547161118653174E-2</v>
      </c>
      <c r="O72" s="2" t="s">
        <v>2</v>
      </c>
      <c r="P72" s="17">
        <f t="shared" si="12"/>
        <v>34886.981</v>
      </c>
      <c r="R72" s="2">
        <f t="shared" si="7"/>
        <v>2.0756629150681531E-4</v>
      </c>
      <c r="S72" s="25">
        <v>1</v>
      </c>
      <c r="T72" s="2">
        <f t="shared" si="8"/>
        <v>2.0756629150681531E-4</v>
      </c>
      <c r="AD72" s="2">
        <v>8</v>
      </c>
      <c r="AF72" s="2" t="s">
        <v>43</v>
      </c>
      <c r="AH72" s="2" t="s">
        <v>35</v>
      </c>
    </row>
    <row r="73" spans="1:34" x14ac:dyDescent="0.2">
      <c r="A73" s="2" t="s">
        <v>8</v>
      </c>
      <c r="B73" s="26"/>
      <c r="C73" s="83">
        <v>49922.473400000003</v>
      </c>
      <c r="D73" s="32"/>
      <c r="E73" s="2">
        <f t="shared" si="9"/>
        <v>-3640.000989535657</v>
      </c>
      <c r="F73" s="8">
        <f t="shared" si="10"/>
        <v>-3640</v>
      </c>
      <c r="G73" s="2">
        <f t="shared" si="5"/>
        <v>-1.3999999937368557E-3</v>
      </c>
      <c r="J73" s="2">
        <f>G73</f>
        <v>-1.3999999937368557E-3</v>
      </c>
      <c r="N73" s="8">
        <f t="shared" si="11"/>
        <v>-3.0455735425319843E-2</v>
      </c>
      <c r="O73" s="2" t="s">
        <v>2</v>
      </c>
      <c r="P73" s="17">
        <f t="shared" si="12"/>
        <v>34903.973400000003</v>
      </c>
      <c r="R73" s="2">
        <f t="shared" si="7"/>
        <v>8.4423576147014696E-4</v>
      </c>
      <c r="S73" s="25">
        <v>1</v>
      </c>
      <c r="T73" s="2">
        <f t="shared" si="8"/>
        <v>8.4423576147014696E-4</v>
      </c>
    </row>
    <row r="74" spans="1:34" x14ac:dyDescent="0.2">
      <c r="A74" s="2" t="s">
        <v>58</v>
      </c>
      <c r="B74" s="25"/>
      <c r="C74" s="83">
        <v>49990.368999999999</v>
      </c>
      <c r="D74" s="32">
        <v>8.0000000000000002E-3</v>
      </c>
      <c r="E74" s="2">
        <f t="shared" si="9"/>
        <v>-3592.0116199758968</v>
      </c>
      <c r="F74" s="8">
        <f t="shared" si="10"/>
        <v>-3592</v>
      </c>
      <c r="G74" s="2">
        <f t="shared" si="5"/>
        <v>-1.6439999999420252E-2</v>
      </c>
      <c r="I74" s="80">
        <v>-1.3648800006194506E-2</v>
      </c>
      <c r="N74" s="8">
        <f t="shared" si="11"/>
        <v>-3.009003265198652E-2</v>
      </c>
      <c r="O74" s="2" t="s">
        <v>2</v>
      </c>
      <c r="P74" s="17">
        <f t="shared" si="12"/>
        <v>34971.868999999999</v>
      </c>
      <c r="R74" s="2">
        <f t="shared" si="7"/>
        <v>1.863233914161253E-4</v>
      </c>
      <c r="S74" s="25">
        <v>0.1</v>
      </c>
      <c r="T74" s="2">
        <f t="shared" si="8"/>
        <v>1.8632339141612533E-5</v>
      </c>
      <c r="AD74" s="2">
        <v>8</v>
      </c>
      <c r="AF74" s="2" t="s">
        <v>43</v>
      </c>
      <c r="AH74" s="2" t="s">
        <v>35</v>
      </c>
    </row>
    <row r="75" spans="1:34" x14ac:dyDescent="0.2">
      <c r="A75" s="2" t="s">
        <v>59</v>
      </c>
      <c r="B75" s="25"/>
      <c r="C75" s="83">
        <v>50287.468999999997</v>
      </c>
      <c r="D75" s="32">
        <v>5.0000000000000001E-3</v>
      </c>
      <c r="E75" s="2">
        <f t="shared" si="9"/>
        <v>-3382.0180166171313</v>
      </c>
      <c r="F75" s="8">
        <f t="shared" si="10"/>
        <v>-3382</v>
      </c>
      <c r="G75" s="2">
        <f t="shared" si="5"/>
        <v>-2.5489999999990687E-2</v>
      </c>
      <c r="I75" s="80">
        <v>-2.1207800004049204E-2</v>
      </c>
      <c r="N75" s="8">
        <f t="shared" si="11"/>
        <v>-2.8490083018653228E-2</v>
      </c>
      <c r="O75" s="2" t="s">
        <v>2</v>
      </c>
      <c r="P75" s="17">
        <f t="shared" si="12"/>
        <v>35268.968999999997</v>
      </c>
      <c r="R75" s="2">
        <f t="shared" si="7"/>
        <v>9.0004981188673429E-6</v>
      </c>
      <c r="S75" s="25">
        <v>0.1</v>
      </c>
      <c r="T75" s="2">
        <f t="shared" si="8"/>
        <v>9.0004981188673435E-7</v>
      </c>
      <c r="AD75" s="2">
        <v>8</v>
      </c>
      <c r="AF75" s="2" t="s">
        <v>43</v>
      </c>
      <c r="AH75" s="2" t="s">
        <v>35</v>
      </c>
    </row>
    <row r="76" spans="1:34" x14ac:dyDescent="0.2">
      <c r="A76" s="2" t="s">
        <v>59</v>
      </c>
      <c r="B76" s="25"/>
      <c r="C76" s="83">
        <v>50287.468999999997</v>
      </c>
      <c r="D76" s="32">
        <v>5.0000000000000001E-3</v>
      </c>
      <c r="E76" s="2">
        <f t="shared" si="9"/>
        <v>-3382.0180166171313</v>
      </c>
      <c r="F76" s="8">
        <f t="shared" si="10"/>
        <v>-3382</v>
      </c>
      <c r="G76" s="2">
        <f t="shared" si="5"/>
        <v>-2.5489999999990687E-2</v>
      </c>
      <c r="I76" s="80">
        <v>-2.1207800004049204E-2</v>
      </c>
      <c r="N76" s="8">
        <f t="shared" si="11"/>
        <v>-2.8490083018653228E-2</v>
      </c>
      <c r="O76" s="2" t="s">
        <v>2</v>
      </c>
      <c r="P76" s="17">
        <f t="shared" si="12"/>
        <v>35268.968999999997</v>
      </c>
      <c r="R76" s="2">
        <f t="shared" si="7"/>
        <v>9.0004981188673429E-6</v>
      </c>
      <c r="S76" s="25">
        <v>0.1</v>
      </c>
      <c r="T76" s="2">
        <f t="shared" si="8"/>
        <v>9.0004981188673435E-7</v>
      </c>
      <c r="AD76" s="2">
        <v>10</v>
      </c>
      <c r="AF76" s="2" t="s">
        <v>43</v>
      </c>
      <c r="AH76" s="2" t="s">
        <v>35</v>
      </c>
    </row>
    <row r="77" spans="1:34" x14ac:dyDescent="0.2">
      <c r="A77" s="2" t="s">
        <v>60</v>
      </c>
      <c r="B77" s="25" t="s">
        <v>68</v>
      </c>
      <c r="C77" s="83">
        <v>50343.362000000001</v>
      </c>
      <c r="D77" s="32">
        <v>6.0000000000000001E-3</v>
      </c>
      <c r="E77" s="2">
        <f t="shared" si="9"/>
        <v>-3342.5122189983754</v>
      </c>
      <c r="F77" s="8">
        <f t="shared" si="10"/>
        <v>-3342.5</v>
      </c>
      <c r="G77" s="2">
        <f t="shared" si="5"/>
        <v>-1.7287499998928979E-2</v>
      </c>
      <c r="I77" s="80">
        <v>-1.2724849999358412E-2</v>
      </c>
      <c r="N77" s="8">
        <f t="shared" si="11"/>
        <v>-2.8189140111431012E-2</v>
      </c>
      <c r="O77" s="2" t="s">
        <v>2</v>
      </c>
      <c r="P77" s="17">
        <f t="shared" si="12"/>
        <v>35324.862000000001</v>
      </c>
      <c r="R77" s="2">
        <f t="shared" si="7"/>
        <v>1.1884575714251334E-4</v>
      </c>
      <c r="S77" s="25">
        <v>0.1</v>
      </c>
      <c r="T77" s="2">
        <f t="shared" si="8"/>
        <v>1.1884575714251334E-5</v>
      </c>
      <c r="AD77" s="2">
        <v>9</v>
      </c>
      <c r="AF77" s="2" t="s">
        <v>43</v>
      </c>
      <c r="AH77" s="2" t="s">
        <v>35</v>
      </c>
    </row>
    <row r="78" spans="1:34" x14ac:dyDescent="0.2">
      <c r="A78" s="2" t="s">
        <v>61</v>
      </c>
      <c r="B78" s="25" t="s">
        <v>68</v>
      </c>
      <c r="C78" s="83">
        <v>50599.453999999998</v>
      </c>
      <c r="D78" s="32">
        <v>5.0000000000000001E-3</v>
      </c>
      <c r="E78" s="2">
        <f t="shared" si="9"/>
        <v>-3161.5035287548458</v>
      </c>
      <c r="F78" s="8">
        <f t="shared" si="10"/>
        <v>-3161.5</v>
      </c>
      <c r="G78" s="2">
        <f t="shared" si="5"/>
        <v>-4.9924999984796159E-3</v>
      </c>
      <c r="I78" s="80">
        <v>8.5524999303743243E-4</v>
      </c>
      <c r="N78" s="8">
        <f t="shared" si="11"/>
        <v>-2.6810135903653269E-2</v>
      </c>
      <c r="O78" s="2" t="s">
        <v>2</v>
      </c>
      <c r="P78" s="17">
        <f t="shared" si="12"/>
        <v>35580.953999999998</v>
      </c>
      <c r="R78" s="2">
        <f t="shared" si="7"/>
        <v>4.7600923649072257E-4</v>
      </c>
      <c r="S78" s="25">
        <v>0.1</v>
      </c>
      <c r="T78" s="2">
        <f t="shared" si="8"/>
        <v>4.7600923649072257E-5</v>
      </c>
      <c r="AD78" s="2">
        <v>7</v>
      </c>
      <c r="AF78" s="2" t="s">
        <v>43</v>
      </c>
      <c r="AH78" s="2" t="s">
        <v>35</v>
      </c>
    </row>
    <row r="79" spans="1:34" x14ac:dyDescent="0.2">
      <c r="A79" s="2" t="s">
        <v>61</v>
      </c>
      <c r="B79" s="25"/>
      <c r="C79" s="83">
        <v>50679.364999999998</v>
      </c>
      <c r="D79" s="32">
        <v>5.0000000000000001E-3</v>
      </c>
      <c r="E79" s="2">
        <f t="shared" si="9"/>
        <v>-3105.021540070893</v>
      </c>
      <c r="F79" s="8">
        <f t="shared" si="10"/>
        <v>-3105</v>
      </c>
      <c r="G79" s="2">
        <f t="shared" si="5"/>
        <v>-3.0474999999569263E-2</v>
      </c>
      <c r="I79" s="80">
        <v>-2.422610000212444E-2</v>
      </c>
      <c r="N79" s="8">
        <f t="shared" si="11"/>
        <v>-2.6379673264208838E-2</v>
      </c>
      <c r="O79" s="2" t="s">
        <v>2</v>
      </c>
      <c r="P79" s="17">
        <f t="shared" si="12"/>
        <v>35660.864999999998</v>
      </c>
      <c r="R79" s="2">
        <f t="shared" si="7"/>
        <v>1.6771701069357877E-5</v>
      </c>
      <c r="S79" s="25">
        <v>0.1</v>
      </c>
      <c r="T79" s="2">
        <f t="shared" si="8"/>
        <v>1.6771701069357878E-6</v>
      </c>
      <c r="AD79" s="2">
        <v>8</v>
      </c>
      <c r="AF79" s="2" t="s">
        <v>43</v>
      </c>
      <c r="AH79" s="2" t="s">
        <v>35</v>
      </c>
    </row>
    <row r="80" spans="1:34" x14ac:dyDescent="0.2">
      <c r="A80" s="2" t="s">
        <v>62</v>
      </c>
      <c r="B80" s="25"/>
      <c r="C80" s="83">
        <v>50703.417000000001</v>
      </c>
      <c r="D80" s="32">
        <v>5.0000000000000001E-3</v>
      </c>
      <c r="E80" s="2">
        <f t="shared" si="9"/>
        <v>-3088.0213174253672</v>
      </c>
      <c r="F80" s="8">
        <f t="shared" si="10"/>
        <v>-3088</v>
      </c>
      <c r="G80" s="2">
        <f t="shared" si="5"/>
        <v>-3.0159999994793907E-2</v>
      </c>
      <c r="I80" s="80">
        <v>-2.3790400002326351E-2</v>
      </c>
      <c r="N80" s="8">
        <f t="shared" si="11"/>
        <v>-2.6250153531986616E-2</v>
      </c>
      <c r="O80" s="2" t="s">
        <v>2</v>
      </c>
      <c r="P80" s="17">
        <f t="shared" si="12"/>
        <v>35684.917000000001</v>
      </c>
      <c r="R80" s="2">
        <f t="shared" si="7"/>
        <v>1.5286899362726682E-5</v>
      </c>
      <c r="S80" s="25">
        <v>0.1</v>
      </c>
      <c r="T80" s="2">
        <f t="shared" si="8"/>
        <v>1.5286899362726684E-6</v>
      </c>
    </row>
    <row r="81" spans="1:34" x14ac:dyDescent="0.2">
      <c r="A81" s="2" t="s">
        <v>62</v>
      </c>
      <c r="B81" s="25"/>
      <c r="C81" s="83">
        <v>50747.281999999999</v>
      </c>
      <c r="D81" s="32">
        <v>8.9999999999999993E-3</v>
      </c>
      <c r="E81" s="2">
        <f t="shared" si="9"/>
        <v>-3057.0170447517489</v>
      </c>
      <c r="F81" s="8">
        <f t="shared" si="10"/>
        <v>-3057</v>
      </c>
      <c r="G81" s="2">
        <f t="shared" si="5"/>
        <v>-2.411500000016531E-2</v>
      </c>
      <c r="I81" s="80">
        <v>-1.7525300005218014E-2</v>
      </c>
      <c r="N81" s="8">
        <f t="shared" si="11"/>
        <v>-2.6013970490875511E-2</v>
      </c>
      <c r="O81" s="2" t="s">
        <v>2</v>
      </c>
      <c r="P81" s="17">
        <f t="shared" si="12"/>
        <v>35728.781999999999</v>
      </c>
      <c r="R81" s="2">
        <f t="shared" si="7"/>
        <v>3.6060889245881434E-6</v>
      </c>
      <c r="S81" s="25">
        <v>0.1</v>
      </c>
      <c r="T81" s="2">
        <f t="shared" si="8"/>
        <v>3.6060889245881435E-7</v>
      </c>
    </row>
    <row r="82" spans="1:34" x14ac:dyDescent="0.2">
      <c r="A82" s="27" t="s">
        <v>303</v>
      </c>
      <c r="B82" s="25" t="s">
        <v>68</v>
      </c>
      <c r="C82" s="83">
        <v>51424.364000000001</v>
      </c>
      <c r="D82" s="32" t="s">
        <v>100</v>
      </c>
      <c r="E82" s="2">
        <f t="shared" si="9"/>
        <v>-2578.4479133166737</v>
      </c>
      <c r="F82" s="8">
        <f t="shared" si="10"/>
        <v>-2578.5</v>
      </c>
      <c r="N82" s="8">
        <f t="shared" si="11"/>
        <v>-2.2368370969208937E-2</v>
      </c>
      <c r="O82" s="2" t="s">
        <v>2</v>
      </c>
      <c r="P82" s="17">
        <f t="shared" si="12"/>
        <v>36405.864000000001</v>
      </c>
      <c r="Q82" s="2">
        <f>C82-(C$7+F82*C$8)</f>
        <v>7.3692500001925509E-2</v>
      </c>
      <c r="R82" s="2">
        <f t="shared" si="7"/>
        <v>5.0034401981614916E-4</v>
      </c>
      <c r="S82" s="25">
        <v>0</v>
      </c>
      <c r="T82" s="2">
        <f t="shared" si="8"/>
        <v>0</v>
      </c>
      <c r="AD82" s="2">
        <v>9</v>
      </c>
      <c r="AF82" s="2" t="s">
        <v>41</v>
      </c>
      <c r="AH82" s="2" t="s">
        <v>35</v>
      </c>
    </row>
    <row r="83" spans="1:34" x14ac:dyDescent="0.2">
      <c r="A83" s="27" t="s">
        <v>308</v>
      </c>
      <c r="B83" s="25" t="s">
        <v>85</v>
      </c>
      <c r="C83" s="83">
        <v>52463.453000000001</v>
      </c>
      <c r="D83" s="32" t="s">
        <v>100</v>
      </c>
      <c r="E83" s="2">
        <f t="shared" si="9"/>
        <v>-1844.0081848735313</v>
      </c>
      <c r="F83" s="8">
        <f t="shared" si="10"/>
        <v>-1844</v>
      </c>
      <c r="G83" s="2">
        <f t="shared" si="5"/>
        <v>-1.1579999998502899E-2</v>
      </c>
      <c r="I83" s="2">
        <f>G83</f>
        <v>-1.1579999998502899E-2</v>
      </c>
      <c r="N83" s="8">
        <f t="shared" si="11"/>
        <v>-1.6772356656431304E-2</v>
      </c>
      <c r="O83" s="2" t="s">
        <v>2</v>
      </c>
      <c r="P83" s="17">
        <f t="shared" si="12"/>
        <v>37444.953000000001</v>
      </c>
      <c r="R83" s="2">
        <f t="shared" si="7"/>
        <v>2.6960567663133435E-5</v>
      </c>
      <c r="S83" s="25">
        <v>0.1</v>
      </c>
      <c r="T83" s="2">
        <f t="shared" si="8"/>
        <v>2.6960567663133437E-6</v>
      </c>
      <c r="AD83" s="2">
        <v>13</v>
      </c>
      <c r="AF83" s="2" t="s">
        <v>41</v>
      </c>
      <c r="AH83" s="2" t="s">
        <v>35</v>
      </c>
    </row>
    <row r="84" spans="1:34" x14ac:dyDescent="0.2">
      <c r="A84" s="27" t="s">
        <v>308</v>
      </c>
      <c r="B84" s="25" t="s">
        <v>85</v>
      </c>
      <c r="C84" s="83">
        <v>52548.330999999998</v>
      </c>
      <c r="D84" s="32" t="s">
        <v>100</v>
      </c>
      <c r="E84" s="2">
        <f t="shared" si="9"/>
        <v>-1784.0154650287491</v>
      </c>
      <c r="F84" s="8">
        <f t="shared" si="10"/>
        <v>-1784</v>
      </c>
      <c r="G84" s="2">
        <f t="shared" si="5"/>
        <v>-2.1880000000237487E-2</v>
      </c>
      <c r="I84" s="2">
        <f>G84</f>
        <v>-2.1880000000237487E-2</v>
      </c>
      <c r="N84" s="8">
        <f t="shared" si="11"/>
        <v>-1.631522818976465E-2</v>
      </c>
      <c r="O84" s="2" t="s">
        <v>2</v>
      </c>
      <c r="P84" s="17">
        <f t="shared" si="12"/>
        <v>37529.830999999998</v>
      </c>
      <c r="R84" s="2">
        <f t="shared" si="7"/>
        <v>3.0966685302633144E-5</v>
      </c>
      <c r="S84" s="25">
        <v>0.1</v>
      </c>
      <c r="T84" s="2">
        <f t="shared" si="8"/>
        <v>3.0966685302633145E-6</v>
      </c>
      <c r="AD84" s="2">
        <v>9</v>
      </c>
      <c r="AF84" s="2" t="s">
        <v>43</v>
      </c>
      <c r="AH84" s="2" t="s">
        <v>35</v>
      </c>
    </row>
    <row r="85" spans="1:34" x14ac:dyDescent="0.2">
      <c r="A85" s="1" t="s">
        <v>67</v>
      </c>
      <c r="B85" s="25"/>
      <c r="C85" s="85">
        <v>52552.597199999997</v>
      </c>
      <c r="D85" s="32">
        <v>2.9999999999999997E-4</v>
      </c>
      <c r="E85" s="2">
        <f t="shared" ref="E85:E101" si="13">(C85-C$7)/C$8</f>
        <v>-1781.0000671470636</v>
      </c>
      <c r="F85" s="8">
        <f t="shared" ref="F85:F101" si="14">ROUND(2*E85,0)/2</f>
        <v>-1781</v>
      </c>
      <c r="G85" s="2">
        <f t="shared" si="5"/>
        <v>-9.5000003057066351E-5</v>
      </c>
      <c r="K85" s="2">
        <f>G85</f>
        <v>-9.5000003057066351E-5</v>
      </c>
      <c r="N85" s="8">
        <f t="shared" ref="N85:N101" si="15">+C$11+C$12*F85</f>
        <v>-1.6292371766431318E-2</v>
      </c>
      <c r="O85" s="2" t="s">
        <v>2</v>
      </c>
      <c r="P85" s="17">
        <f t="shared" ref="P85:P101" si="16">C85-15018.5</f>
        <v>37534.097199999997</v>
      </c>
      <c r="R85" s="2">
        <f t="shared" si="7"/>
        <v>2.6235485204095349E-4</v>
      </c>
      <c r="S85" s="25">
        <v>1</v>
      </c>
      <c r="T85" s="2">
        <f t="shared" si="8"/>
        <v>2.6235485204095349E-4</v>
      </c>
    </row>
    <row r="86" spans="1:34" x14ac:dyDescent="0.2">
      <c r="A86" s="80" t="s">
        <v>70</v>
      </c>
      <c r="C86" s="83">
        <v>52835.556100000002</v>
      </c>
      <c r="D86" s="32">
        <v>4.1999999999999997E-3</v>
      </c>
      <c r="E86" s="2">
        <f t="shared" si="13"/>
        <v>-1581.0015514505506</v>
      </c>
      <c r="F86" s="8">
        <f t="shared" si="14"/>
        <v>-1581</v>
      </c>
      <c r="G86" s="2">
        <f t="shared" si="5"/>
        <v>-2.1949999936623499E-3</v>
      </c>
      <c r="J86" s="2">
        <f>G86</f>
        <v>-2.1949999936623499E-3</v>
      </c>
      <c r="N86" s="8">
        <f t="shared" si="15"/>
        <v>-1.4768610210875799E-2</v>
      </c>
      <c r="O86" s="2" t="s">
        <v>2</v>
      </c>
      <c r="P86" s="17">
        <f t="shared" si="16"/>
        <v>37817.056100000002</v>
      </c>
      <c r="R86" s="2">
        <f t="shared" si="7"/>
        <v>1.5809567389441444E-4</v>
      </c>
      <c r="S86" s="25">
        <v>1</v>
      </c>
      <c r="T86" s="2">
        <f t="shared" si="8"/>
        <v>1.5809567389441444E-4</v>
      </c>
    </row>
    <row r="87" spans="1:34" x14ac:dyDescent="0.2">
      <c r="A87" s="27" t="s">
        <v>324</v>
      </c>
      <c r="B87" s="25" t="s">
        <v>85</v>
      </c>
      <c r="C87" s="83">
        <v>52848.279000000002</v>
      </c>
      <c r="D87" s="32" t="s">
        <v>100</v>
      </c>
      <c r="E87" s="2">
        <f t="shared" si="13"/>
        <v>-1572.0088634122692</v>
      </c>
      <c r="F87" s="8">
        <f t="shared" si="14"/>
        <v>-1572</v>
      </c>
      <c r="G87" s="2">
        <f t="shared" si="5"/>
        <v>-1.2539999996079132E-2</v>
      </c>
      <c r="I87" s="2">
        <f>G87</f>
        <v>-1.2539999996079132E-2</v>
      </c>
      <c r="N87" s="8">
        <f t="shared" si="15"/>
        <v>-1.47000409408758E-2</v>
      </c>
      <c r="O87" s="2" t="s">
        <v>2</v>
      </c>
      <c r="P87" s="17">
        <f t="shared" si="16"/>
        <v>37829.779000000002</v>
      </c>
      <c r="R87" s="2">
        <f t="shared" si="7"/>
        <v>4.6657768831980833E-6</v>
      </c>
      <c r="S87" s="25">
        <v>0.1</v>
      </c>
      <c r="T87" s="2">
        <f t="shared" si="8"/>
        <v>4.6657768831980837E-7</v>
      </c>
      <c r="AD87" s="2">
        <v>9</v>
      </c>
      <c r="AF87" s="2" t="s">
        <v>43</v>
      </c>
      <c r="AH87" s="2" t="s">
        <v>35</v>
      </c>
    </row>
    <row r="88" spans="1:34" x14ac:dyDescent="0.2">
      <c r="A88" s="27" t="s">
        <v>324</v>
      </c>
      <c r="B88" s="25" t="s">
        <v>68</v>
      </c>
      <c r="C88" s="83">
        <v>52848.964999999997</v>
      </c>
      <c r="D88" s="32" t="s">
        <v>100</v>
      </c>
      <c r="E88" s="2">
        <f t="shared" si="13"/>
        <v>-1571.5239909386814</v>
      </c>
      <c r="F88" s="8">
        <f t="shared" si="14"/>
        <v>-1571.5</v>
      </c>
      <c r="G88" s="2">
        <f t="shared" si="5"/>
        <v>-3.3942499998374842E-2</v>
      </c>
      <c r="I88" s="2">
        <f>G88</f>
        <v>-3.3942499998374842E-2</v>
      </c>
      <c r="N88" s="8">
        <f t="shared" si="15"/>
        <v>-1.4696231536986912E-2</v>
      </c>
      <c r="O88" s="2" t="s">
        <v>2</v>
      </c>
      <c r="P88" s="17">
        <f t="shared" si="16"/>
        <v>37830.464999999997</v>
      </c>
      <c r="R88" s="2">
        <f t="shared" si="7"/>
        <v>3.7041884968781578E-4</v>
      </c>
      <c r="S88" s="25">
        <v>0.1</v>
      </c>
      <c r="T88" s="2">
        <f t="shared" si="8"/>
        <v>3.7041884968781578E-5</v>
      </c>
      <c r="AD88" s="2">
        <v>6</v>
      </c>
      <c r="AF88" s="2" t="s">
        <v>43</v>
      </c>
      <c r="AH88" s="2" t="s">
        <v>35</v>
      </c>
    </row>
    <row r="89" spans="1:34" x14ac:dyDescent="0.2">
      <c r="A89" s="80" t="s">
        <v>70</v>
      </c>
      <c r="C89" s="83">
        <v>52874.4637</v>
      </c>
      <c r="D89" s="32">
        <v>2.5999999999999999E-3</v>
      </c>
      <c r="E89" s="2">
        <f t="shared" si="13"/>
        <v>-1553.5012245503781</v>
      </c>
      <c r="F89" s="8">
        <f t="shared" si="14"/>
        <v>-1553.5</v>
      </c>
      <c r="G89" s="2">
        <f t="shared" si="5"/>
        <v>-1.7325000007986091E-3</v>
      </c>
      <c r="J89" s="2">
        <f>G89</f>
        <v>-1.7325000007986091E-3</v>
      </c>
      <c r="N89" s="8">
        <f t="shared" si="15"/>
        <v>-1.4559092996986914E-2</v>
      </c>
      <c r="O89" s="2" t="s">
        <v>2</v>
      </c>
      <c r="P89" s="17">
        <f t="shared" si="16"/>
        <v>37855.9637</v>
      </c>
      <c r="R89" s="2">
        <f t="shared" si="7"/>
        <v>1.6452148788986687E-4</v>
      </c>
      <c r="S89" s="25">
        <v>1</v>
      </c>
      <c r="T89" s="2">
        <f t="shared" si="8"/>
        <v>1.6452148788986687E-4</v>
      </c>
    </row>
    <row r="90" spans="1:34" x14ac:dyDescent="0.2">
      <c r="A90" s="80" t="s">
        <v>70</v>
      </c>
      <c r="C90" s="83">
        <v>52913.370600000002</v>
      </c>
      <c r="D90" s="32">
        <v>1.4E-3</v>
      </c>
      <c r="E90" s="2">
        <f t="shared" si="13"/>
        <v>-1526.0013924180334</v>
      </c>
      <c r="F90" s="8">
        <f t="shared" si="14"/>
        <v>-1526</v>
      </c>
      <c r="G90" s="2">
        <f t="shared" ref="G90:G101" si="17">C90-(C$7+F90*C$8)</f>
        <v>-1.9699999975273386E-3</v>
      </c>
      <c r="J90" s="2">
        <f>G90</f>
        <v>-1.9699999975273386E-3</v>
      </c>
      <c r="N90" s="8">
        <f t="shared" si="15"/>
        <v>-1.4349575783098031E-2</v>
      </c>
      <c r="O90" s="2" t="s">
        <v>2</v>
      </c>
      <c r="P90" s="17">
        <f t="shared" si="16"/>
        <v>37894.870600000002</v>
      </c>
      <c r="R90" s="2">
        <f t="shared" si="7"/>
        <v>1.5325389663068821E-4</v>
      </c>
      <c r="S90" s="25">
        <v>1</v>
      </c>
      <c r="T90" s="2">
        <f t="shared" si="8"/>
        <v>1.5325389663068821E-4</v>
      </c>
    </row>
    <row r="91" spans="1:34" x14ac:dyDescent="0.2">
      <c r="A91" s="2" t="s">
        <v>69</v>
      </c>
      <c r="B91" s="25"/>
      <c r="C91" s="83">
        <v>53227.459600000002</v>
      </c>
      <c r="D91" s="32">
        <v>3.5000000000000001E-3</v>
      </c>
      <c r="E91" s="2">
        <f t="shared" si="13"/>
        <v>-1303.9997738204177</v>
      </c>
      <c r="F91" s="8">
        <f t="shared" si="14"/>
        <v>-1304</v>
      </c>
      <c r="G91" s="2">
        <f t="shared" si="17"/>
        <v>3.2000000646803528E-4</v>
      </c>
      <c r="J91" s="2">
        <f>G91</f>
        <v>3.2000000646803528E-4</v>
      </c>
      <c r="N91" s="8">
        <f t="shared" si="15"/>
        <v>-1.2658200456431408E-2</v>
      </c>
      <c r="O91" s="2" t="s">
        <v>2</v>
      </c>
      <c r="P91" s="17">
        <f t="shared" si="16"/>
        <v>38208.959600000002</v>
      </c>
      <c r="R91" s="2">
        <f t="shared" si="7"/>
        <v>1.6843368725520333E-4</v>
      </c>
      <c r="S91" s="25">
        <v>1</v>
      </c>
      <c r="T91" s="2">
        <f t="shared" si="8"/>
        <v>1.6843368725520333E-4</v>
      </c>
    </row>
    <row r="92" spans="1:34" x14ac:dyDescent="0.2">
      <c r="A92" s="27" t="s">
        <v>348</v>
      </c>
      <c r="B92" s="25" t="s">
        <v>85</v>
      </c>
      <c r="C92" s="83">
        <v>54001.355000000003</v>
      </c>
      <c r="D92" s="32" t="s">
        <v>100</v>
      </c>
      <c r="E92" s="2">
        <f t="shared" si="13"/>
        <v>-757.00184831124761</v>
      </c>
      <c r="F92" s="8">
        <f t="shared" si="14"/>
        <v>-757</v>
      </c>
      <c r="G92" s="2">
        <f t="shared" si="17"/>
        <v>-2.6149999976041727E-3</v>
      </c>
      <c r="I92" s="2">
        <f>G92</f>
        <v>-2.6149999976041727E-3</v>
      </c>
      <c r="N92" s="8">
        <f t="shared" si="15"/>
        <v>-8.4907126019870688E-3</v>
      </c>
      <c r="O92" s="2" t="s">
        <v>2</v>
      </c>
      <c r="P92" s="17">
        <f t="shared" si="16"/>
        <v>38982.855000000003</v>
      </c>
      <c r="R92" s="2">
        <f t="shared" ref="R92:R101" si="18">(N92-G92)^2</f>
        <v>3.4523998609304034E-5</v>
      </c>
      <c r="S92" s="25">
        <v>0.1</v>
      </c>
      <c r="T92" s="2">
        <f t="shared" ref="T92:T101" si="19">S92*R92</f>
        <v>3.4523998609304035E-6</v>
      </c>
      <c r="AD92" s="2">
        <v>6</v>
      </c>
      <c r="AF92" s="2" t="s">
        <v>43</v>
      </c>
      <c r="AH92" s="2" t="s">
        <v>35</v>
      </c>
    </row>
    <row r="93" spans="1:34" x14ac:dyDescent="0.2">
      <c r="A93" s="27" t="s">
        <v>355</v>
      </c>
      <c r="B93" s="25" t="s">
        <v>85</v>
      </c>
      <c r="C93" s="83">
        <v>54298.467230000002</v>
      </c>
      <c r="D93" s="32" t="s">
        <v>100</v>
      </c>
      <c r="E93" s="2">
        <f t="shared" si="13"/>
        <v>-546.99960065167704</v>
      </c>
      <c r="F93" s="8">
        <f t="shared" si="14"/>
        <v>-547</v>
      </c>
      <c r="G93" s="2">
        <f t="shared" si="17"/>
        <v>5.650000020978041E-4</v>
      </c>
      <c r="K93" s="2">
        <f t="shared" ref="K93:K101" si="20">G93</f>
        <v>5.650000020978041E-4</v>
      </c>
      <c r="N93" s="8">
        <f t="shared" si="15"/>
        <v>-6.8907629686537769E-3</v>
      </c>
      <c r="O93" s="2" t="s">
        <v>2</v>
      </c>
      <c r="P93" s="17">
        <f t="shared" si="16"/>
        <v>39279.967230000002</v>
      </c>
      <c r="R93" s="2">
        <f t="shared" si="18"/>
        <v>5.5588401476030443E-5</v>
      </c>
      <c r="S93" s="25">
        <v>1</v>
      </c>
      <c r="T93" s="2">
        <f t="shared" si="19"/>
        <v>5.5588401476030443E-5</v>
      </c>
    </row>
    <row r="94" spans="1:34" x14ac:dyDescent="0.2">
      <c r="A94" s="27" t="s">
        <v>348</v>
      </c>
      <c r="B94" s="25" t="s">
        <v>68</v>
      </c>
      <c r="C94" s="83">
        <v>54675.513299999999</v>
      </c>
      <c r="D94" s="32" t="s">
        <v>92</v>
      </c>
      <c r="E94" s="2">
        <f t="shared" si="13"/>
        <v>-280.49922074066689</v>
      </c>
      <c r="F94" s="8">
        <f t="shared" si="14"/>
        <v>-280.5</v>
      </c>
      <c r="G94" s="2">
        <f t="shared" si="17"/>
        <v>1.1024999985238537E-3</v>
      </c>
      <c r="K94" s="2">
        <f t="shared" si="20"/>
        <v>1.1024999985238537E-3</v>
      </c>
      <c r="N94" s="8">
        <f t="shared" si="15"/>
        <v>-4.8603506958760506E-3</v>
      </c>
      <c r="O94" s="2" t="s">
        <v>2</v>
      </c>
      <c r="P94" s="17">
        <f t="shared" si="16"/>
        <v>39657.013299999999</v>
      </c>
      <c r="R94" s="2">
        <f t="shared" si="18"/>
        <v>3.5555588403705419E-5</v>
      </c>
      <c r="S94" s="25">
        <v>1</v>
      </c>
      <c r="T94" s="2">
        <f t="shared" si="19"/>
        <v>3.5555588403705419E-5</v>
      </c>
      <c r="AD94" s="2">
        <v>9</v>
      </c>
      <c r="AF94" s="2" t="s">
        <v>43</v>
      </c>
      <c r="AH94" s="2" t="s">
        <v>35</v>
      </c>
    </row>
    <row r="95" spans="1:34" x14ac:dyDescent="0.2">
      <c r="A95" s="27" t="s">
        <v>348</v>
      </c>
      <c r="B95" s="25" t="s">
        <v>85</v>
      </c>
      <c r="C95" s="83">
        <v>54697.438800000004</v>
      </c>
      <c r="D95" s="32" t="s">
        <v>92</v>
      </c>
      <c r="E95" s="2">
        <f t="shared" si="13"/>
        <v>-265.00203208215578</v>
      </c>
      <c r="F95" s="8">
        <f t="shared" si="14"/>
        <v>-265</v>
      </c>
      <c r="G95" s="2">
        <f t="shared" si="17"/>
        <v>-2.8749999910360202E-3</v>
      </c>
      <c r="K95" s="2">
        <f t="shared" si="20"/>
        <v>-2.8749999910360202E-3</v>
      </c>
      <c r="N95" s="8">
        <f t="shared" si="15"/>
        <v>-4.7422591753204981E-3</v>
      </c>
      <c r="O95" s="2" t="s">
        <v>2</v>
      </c>
      <c r="P95" s="17">
        <f t="shared" si="16"/>
        <v>39678.938800000004</v>
      </c>
      <c r="R95" s="2">
        <f t="shared" si="18"/>
        <v>3.4866568612947337E-6</v>
      </c>
      <c r="S95" s="25">
        <v>1</v>
      </c>
      <c r="T95" s="2">
        <f t="shared" si="19"/>
        <v>3.4866568612947337E-6</v>
      </c>
      <c r="AD95" s="2">
        <v>7</v>
      </c>
      <c r="AF95" s="2" t="s">
        <v>43</v>
      </c>
      <c r="AH95" s="2" t="s">
        <v>35</v>
      </c>
    </row>
    <row r="96" spans="1:34" x14ac:dyDescent="0.2">
      <c r="A96" s="27" t="s">
        <v>369</v>
      </c>
      <c r="B96" s="25" t="s">
        <v>68</v>
      </c>
      <c r="C96" s="83">
        <v>55016.479399999997</v>
      </c>
      <c r="D96" s="32" t="s">
        <v>92</v>
      </c>
      <c r="E96" s="2">
        <f t="shared" si="13"/>
        <v>-39.500567215977767</v>
      </c>
      <c r="F96" s="8">
        <f t="shared" si="14"/>
        <v>-39.5</v>
      </c>
      <c r="G96" s="2">
        <f t="shared" si="17"/>
        <v>-8.0249999882653356E-4</v>
      </c>
      <c r="K96" s="2">
        <f t="shared" si="20"/>
        <v>-8.0249999882653356E-4</v>
      </c>
      <c r="N96" s="8">
        <f t="shared" si="15"/>
        <v>-3.0242180214316529E-3</v>
      </c>
      <c r="O96" s="2" t="s">
        <v>2</v>
      </c>
      <c r="P96" s="17">
        <f t="shared" si="16"/>
        <v>39997.979399999997</v>
      </c>
      <c r="R96" s="2">
        <f t="shared" si="18"/>
        <v>4.9360309719684014E-6</v>
      </c>
      <c r="S96" s="25">
        <v>1</v>
      </c>
      <c r="T96" s="2">
        <f t="shared" si="19"/>
        <v>4.9360309719684014E-6</v>
      </c>
      <c r="AD96" s="2">
        <v>9</v>
      </c>
      <c r="AF96" s="2" t="s">
        <v>43</v>
      </c>
      <c r="AH96" s="2" t="s">
        <v>35</v>
      </c>
    </row>
    <row r="97" spans="1:34" x14ac:dyDescent="0.2">
      <c r="A97" s="27" t="s">
        <v>375</v>
      </c>
      <c r="B97" s="25" t="s">
        <v>68</v>
      </c>
      <c r="C97" s="83">
        <v>55067.398399999998</v>
      </c>
      <c r="D97" s="32" t="s">
        <v>92</v>
      </c>
      <c r="E97" s="2">
        <f t="shared" si="13"/>
        <v>-3.5104484363567727</v>
      </c>
      <c r="F97" s="8">
        <f t="shared" si="14"/>
        <v>-3.5</v>
      </c>
      <c r="G97" s="2">
        <f t="shared" si="17"/>
        <v>-1.4782500002183951E-2</v>
      </c>
      <c r="K97" s="2">
        <f t="shared" si="20"/>
        <v>-1.4782500002183951E-2</v>
      </c>
      <c r="N97" s="8">
        <f t="shared" si="15"/>
        <v>-2.7499409414316598E-3</v>
      </c>
      <c r="O97" s="2" t="s">
        <v>2</v>
      </c>
      <c r="P97" s="17">
        <f t="shared" si="16"/>
        <v>40048.898399999998</v>
      </c>
      <c r="R97" s="2">
        <f t="shared" si="18"/>
        <v>1.4478247755049208E-4</v>
      </c>
      <c r="S97" s="25">
        <v>1</v>
      </c>
      <c r="T97" s="2">
        <f t="shared" si="19"/>
        <v>1.4478247755049208E-4</v>
      </c>
      <c r="AD97" s="2">
        <v>8</v>
      </c>
      <c r="AF97" s="2" t="s">
        <v>43</v>
      </c>
      <c r="AH97" s="2" t="s">
        <v>35</v>
      </c>
    </row>
    <row r="98" spans="1:34" x14ac:dyDescent="0.2">
      <c r="A98" s="27" t="s">
        <v>375</v>
      </c>
      <c r="B98" s="25" t="s">
        <v>68</v>
      </c>
      <c r="C98" s="83">
        <v>55067.409</v>
      </c>
      <c r="D98" s="32" t="s">
        <v>92</v>
      </c>
      <c r="E98" s="2">
        <f t="shared" si="13"/>
        <v>-3.5029562377842258</v>
      </c>
      <c r="F98" s="8">
        <f t="shared" si="14"/>
        <v>-3.5</v>
      </c>
      <c r="G98" s="2">
        <f t="shared" si="17"/>
        <v>-4.182500000752043E-3</v>
      </c>
      <c r="K98" s="2">
        <f t="shared" si="20"/>
        <v>-4.182500000752043E-3</v>
      </c>
      <c r="N98" s="8">
        <f t="shared" si="15"/>
        <v>-2.7499409414316598E-3</v>
      </c>
      <c r="O98" s="2" t="s">
        <v>2</v>
      </c>
      <c r="P98" s="17">
        <f t="shared" si="16"/>
        <v>40048.909</v>
      </c>
      <c r="R98" s="2">
        <f t="shared" si="18"/>
        <v>2.0522254584409012E-6</v>
      </c>
      <c r="S98" s="25">
        <v>1</v>
      </c>
      <c r="T98" s="2">
        <f t="shared" si="19"/>
        <v>2.0522254584409012E-6</v>
      </c>
      <c r="AD98" s="2">
        <v>11</v>
      </c>
      <c r="AF98" s="2" t="s">
        <v>49</v>
      </c>
      <c r="AH98" s="2" t="s">
        <v>35</v>
      </c>
    </row>
    <row r="99" spans="1:34" x14ac:dyDescent="0.2">
      <c r="A99" s="27" t="s">
        <v>375</v>
      </c>
      <c r="B99" s="25" t="s">
        <v>85</v>
      </c>
      <c r="C99" s="83">
        <v>55072.364999999998</v>
      </c>
      <c r="D99" s="32" t="s">
        <v>100</v>
      </c>
      <c r="E99" s="2">
        <f t="shared" si="13"/>
        <v>0</v>
      </c>
      <c r="F99" s="8">
        <f t="shared" si="14"/>
        <v>0</v>
      </c>
      <c r="G99" s="2">
        <f t="shared" si="17"/>
        <v>0</v>
      </c>
      <c r="K99" s="2">
        <f t="shared" si="20"/>
        <v>0</v>
      </c>
      <c r="N99" s="8">
        <f t="shared" si="15"/>
        <v>-2.7232751142094382E-3</v>
      </c>
      <c r="O99" s="2" t="s">
        <v>2</v>
      </c>
      <c r="P99" s="17">
        <f t="shared" si="16"/>
        <v>40053.864999999998</v>
      </c>
      <c r="R99" s="2">
        <f t="shared" si="18"/>
        <v>7.4162273476724286E-6</v>
      </c>
      <c r="S99" s="25">
        <v>1</v>
      </c>
      <c r="T99" s="2">
        <f t="shared" si="19"/>
        <v>7.4162273476724286E-6</v>
      </c>
      <c r="AD99" s="2">
        <v>30</v>
      </c>
      <c r="AF99" s="2" t="s">
        <v>41</v>
      </c>
      <c r="AH99" s="2" t="s">
        <v>35</v>
      </c>
    </row>
    <row r="100" spans="1:34" x14ac:dyDescent="0.2">
      <c r="A100" s="27" t="s">
        <v>388</v>
      </c>
      <c r="B100" s="25" t="s">
        <v>85</v>
      </c>
      <c r="C100" s="83">
        <v>55369.474399999999</v>
      </c>
      <c r="D100" s="32" t="s">
        <v>100</v>
      </c>
      <c r="E100" s="2">
        <f t="shared" si="13"/>
        <v>210.00024738391593</v>
      </c>
      <c r="F100" s="8">
        <f t="shared" si="14"/>
        <v>210</v>
      </c>
      <c r="G100" s="2">
        <f t="shared" si="17"/>
        <v>3.5000000207219273E-4</v>
      </c>
      <c r="K100" s="2">
        <f t="shared" si="20"/>
        <v>3.5000000207219273E-4</v>
      </c>
      <c r="N100" s="8">
        <f t="shared" si="15"/>
        <v>-1.1233254808761454E-3</v>
      </c>
      <c r="O100" s="2" t="s">
        <v>2</v>
      </c>
      <c r="P100" s="17">
        <f t="shared" si="16"/>
        <v>40350.974399999999</v>
      </c>
      <c r="R100" s="2">
        <f t="shared" si="18"/>
        <v>2.1706879787049538E-6</v>
      </c>
      <c r="S100" s="25">
        <v>1</v>
      </c>
      <c r="T100" s="2">
        <f t="shared" si="19"/>
        <v>2.1706879787049538E-6</v>
      </c>
      <c r="AD100" s="2">
        <v>9</v>
      </c>
      <c r="AF100" s="2" t="s">
        <v>43</v>
      </c>
      <c r="AH100" s="2" t="s">
        <v>35</v>
      </c>
    </row>
    <row r="101" spans="1:34" x14ac:dyDescent="0.2">
      <c r="A101" s="27" t="s">
        <v>393</v>
      </c>
      <c r="B101" s="25" t="s">
        <v>85</v>
      </c>
      <c r="C101" s="83">
        <v>56822.474800000004</v>
      </c>
      <c r="D101" s="32" t="s">
        <v>100</v>
      </c>
      <c r="E101" s="2">
        <f t="shared" si="13"/>
        <v>1236.9971833574277</v>
      </c>
      <c r="F101" s="8">
        <f t="shared" si="14"/>
        <v>1237</v>
      </c>
      <c r="G101" s="2">
        <f t="shared" si="17"/>
        <v>-3.9849999957368709E-3</v>
      </c>
      <c r="K101" s="2">
        <f t="shared" si="20"/>
        <v>-3.9849999957368709E-3</v>
      </c>
      <c r="N101" s="8">
        <f t="shared" si="15"/>
        <v>6.7011901069014331E-3</v>
      </c>
      <c r="O101" s="2" t="s">
        <v>2</v>
      </c>
      <c r="P101" s="17">
        <f t="shared" si="16"/>
        <v>41803.974800000004</v>
      </c>
      <c r="R101" s="2">
        <f t="shared" si="18"/>
        <v>1.1419465890972485E-4</v>
      </c>
      <c r="S101" s="25">
        <v>1</v>
      </c>
      <c r="T101" s="2">
        <f t="shared" si="19"/>
        <v>1.1419465890972485E-4</v>
      </c>
      <c r="AD101" s="2">
        <v>13</v>
      </c>
      <c r="AF101" s="2" t="s">
        <v>49</v>
      </c>
      <c r="AH101" s="2" t="s">
        <v>35</v>
      </c>
    </row>
    <row r="102" spans="1:34" x14ac:dyDescent="0.2">
      <c r="A102" s="27" t="s">
        <v>393</v>
      </c>
      <c r="B102" s="25" t="s">
        <v>68</v>
      </c>
      <c r="C102" s="83">
        <v>56834.501100000001</v>
      </c>
      <c r="D102" s="32" t="s">
        <v>100</v>
      </c>
      <c r="E102" s="2">
        <f t="shared" ref="E102:E110" si="21">(C102-C$7)/C$8</f>
        <v>1245.4975067235437</v>
      </c>
      <c r="F102" s="8">
        <f t="shared" ref="F102:F111" si="22">ROUND(2*E102,0)/2</f>
        <v>1245.5</v>
      </c>
      <c r="G102" s="2">
        <f t="shared" ref="G102:G110" si="23">C102-(C$7+F102*C$8)</f>
        <v>-3.5274999972898513E-3</v>
      </c>
      <c r="K102" s="2">
        <f t="shared" ref="K102:K110" si="24">G102</f>
        <v>-3.5274999972898513E-3</v>
      </c>
      <c r="N102" s="8">
        <f t="shared" ref="N102:N110" si="25">+C$11+C$12*F102</f>
        <v>6.7659499730125441E-3</v>
      </c>
      <c r="O102" s="2" t="s">
        <v>2</v>
      </c>
      <c r="P102" s="17">
        <f t="shared" ref="P102:P110" si="26">C102-15018.5</f>
        <v>41816.001100000001</v>
      </c>
      <c r="R102" s="2">
        <f t="shared" ref="R102:R110" si="27">(N102-G102)^2</f>
        <v>1.0595511229111839E-4</v>
      </c>
      <c r="S102" s="25">
        <v>1</v>
      </c>
      <c r="T102" s="2">
        <f t="shared" ref="T102:T110" si="28">S102*R102</f>
        <v>1.0595511229111839E-4</v>
      </c>
      <c r="AD102" s="2">
        <v>7</v>
      </c>
      <c r="AF102" s="2" t="s">
        <v>43</v>
      </c>
      <c r="AH102" s="2" t="s">
        <v>35</v>
      </c>
    </row>
    <row r="103" spans="1:34" x14ac:dyDescent="0.2">
      <c r="A103" s="27" t="s">
        <v>401</v>
      </c>
      <c r="B103" s="25" t="s">
        <v>85</v>
      </c>
      <c r="C103" s="83">
        <v>56856.432000000001</v>
      </c>
      <c r="D103" s="32" t="s">
        <v>100</v>
      </c>
      <c r="E103" s="2">
        <f t="shared" si="21"/>
        <v>1260.9985121624554</v>
      </c>
      <c r="F103" s="8">
        <f t="shared" si="22"/>
        <v>1261</v>
      </c>
      <c r="G103" s="2">
        <f t="shared" si="23"/>
        <v>-2.1049999995739199E-3</v>
      </c>
      <c r="K103" s="2">
        <f t="shared" si="24"/>
        <v>-2.1049999995739199E-3</v>
      </c>
      <c r="N103" s="8">
        <f t="shared" si="25"/>
        <v>6.8840414935680966E-3</v>
      </c>
      <c r="O103" s="2" t="s">
        <v>2</v>
      </c>
      <c r="P103" s="17">
        <f t="shared" si="26"/>
        <v>41837.932000000001</v>
      </c>
      <c r="R103" s="2">
        <f t="shared" si="27"/>
        <v>8.0802866965428853E-5</v>
      </c>
      <c r="S103" s="25">
        <v>1</v>
      </c>
      <c r="T103" s="2">
        <f t="shared" si="28"/>
        <v>8.0802866965428853E-5</v>
      </c>
    </row>
    <row r="104" spans="1:34" x14ac:dyDescent="0.2">
      <c r="A104" s="98" t="s">
        <v>425</v>
      </c>
      <c r="B104" s="99" t="s">
        <v>85</v>
      </c>
      <c r="C104" s="100">
        <v>56958.294470000001</v>
      </c>
      <c r="D104" s="100">
        <v>2.9999999999999997E-4</v>
      </c>
      <c r="E104" s="50">
        <f t="shared" si="21"/>
        <v>1332.9960453914161</v>
      </c>
      <c r="F104" s="8">
        <f t="shared" si="22"/>
        <v>1333</v>
      </c>
      <c r="G104" s="2">
        <f t="shared" si="23"/>
        <v>-5.5949999950826168E-3</v>
      </c>
      <c r="K104" s="2">
        <f t="shared" si="24"/>
        <v>-5.5949999950826168E-3</v>
      </c>
      <c r="N104" s="8">
        <f t="shared" si="25"/>
        <v>7.4325956535680818E-3</v>
      </c>
      <c r="O104" s="2" t="s">
        <v>2</v>
      </c>
      <c r="P104" s="17">
        <f t="shared" si="26"/>
        <v>41939.794470000001</v>
      </c>
      <c r="R104" s="2">
        <f t="shared" si="27"/>
        <v>1.6971824838474261E-4</v>
      </c>
      <c r="S104" s="25">
        <v>1</v>
      </c>
      <c r="T104" s="2">
        <f t="shared" si="28"/>
        <v>1.6971824838474261E-4</v>
      </c>
    </row>
    <row r="105" spans="1:34" x14ac:dyDescent="0.2">
      <c r="A105" s="94" t="s">
        <v>424</v>
      </c>
      <c r="B105" s="101"/>
      <c r="C105" s="94">
        <v>57204.474099999999</v>
      </c>
      <c r="D105" s="94">
        <v>1.34E-2</v>
      </c>
      <c r="E105" s="50">
        <f t="shared" si="21"/>
        <v>1506.9985616392376</v>
      </c>
      <c r="F105" s="8">
        <f t="shared" si="22"/>
        <v>1507</v>
      </c>
      <c r="G105" s="2">
        <f t="shared" si="23"/>
        <v>-2.0349999977042899E-3</v>
      </c>
      <c r="K105" s="2">
        <f t="shared" si="24"/>
        <v>-2.0349999977042899E-3</v>
      </c>
      <c r="N105" s="8">
        <f t="shared" si="25"/>
        <v>8.7582682069013811E-3</v>
      </c>
      <c r="O105" s="2" t="s">
        <v>2</v>
      </c>
      <c r="P105" s="17">
        <f t="shared" si="26"/>
        <v>42185.974099999999</v>
      </c>
      <c r="R105" s="2">
        <f t="shared" si="27"/>
        <v>1.1649463853655172E-4</v>
      </c>
      <c r="S105" s="25">
        <v>1</v>
      </c>
      <c r="T105" s="2">
        <f t="shared" si="28"/>
        <v>1.1649463853655172E-4</v>
      </c>
      <c r="AD105" s="2">
        <v>7</v>
      </c>
      <c r="AF105" s="2" t="s">
        <v>43</v>
      </c>
      <c r="AH105" s="2" t="s">
        <v>35</v>
      </c>
    </row>
    <row r="106" spans="1:34" x14ac:dyDescent="0.2">
      <c r="A106" s="94" t="s">
        <v>424</v>
      </c>
      <c r="B106" s="101"/>
      <c r="C106" s="94">
        <v>57238.424800000001</v>
      </c>
      <c r="D106" s="94">
        <v>3.0000000000000001E-3</v>
      </c>
      <c r="E106" s="50">
        <f t="shared" si="21"/>
        <v>1530.9952961715589</v>
      </c>
      <c r="F106" s="8">
        <f t="shared" si="22"/>
        <v>1531</v>
      </c>
      <c r="G106" s="2">
        <f t="shared" si="23"/>
        <v>-6.6549999974085949E-3</v>
      </c>
      <c r="K106" s="2">
        <f t="shared" si="24"/>
        <v>-6.6549999974085949E-3</v>
      </c>
      <c r="N106" s="8">
        <f t="shared" si="25"/>
        <v>8.9411195935680445E-3</v>
      </c>
      <c r="O106" s="2" t="s">
        <v>2</v>
      </c>
      <c r="P106" s="17">
        <f t="shared" si="26"/>
        <v>42219.924800000001</v>
      </c>
      <c r="R106" s="2">
        <f t="shared" si="27"/>
        <v>2.4323894629604535E-4</v>
      </c>
      <c r="S106" s="25">
        <v>1</v>
      </c>
      <c r="T106" s="2">
        <f t="shared" si="28"/>
        <v>2.4323894629604535E-4</v>
      </c>
      <c r="AD106" s="2">
        <v>12</v>
      </c>
      <c r="AF106" s="2" t="s">
        <v>43</v>
      </c>
      <c r="AH106" s="2" t="s">
        <v>35</v>
      </c>
    </row>
    <row r="107" spans="1:34" x14ac:dyDescent="0.2">
      <c r="A107" s="94" t="s">
        <v>424</v>
      </c>
      <c r="B107" s="101"/>
      <c r="C107" s="94">
        <v>57255.404199999997</v>
      </c>
      <c r="D107" s="94">
        <v>2E-3</v>
      </c>
      <c r="E107" s="50">
        <f t="shared" si="21"/>
        <v>1542.9965260230201</v>
      </c>
      <c r="F107" s="8">
        <f t="shared" si="22"/>
        <v>1543</v>
      </c>
      <c r="G107" s="2">
        <f t="shared" si="23"/>
        <v>-4.9149999977089465E-3</v>
      </c>
      <c r="K107" s="2">
        <f t="shared" si="24"/>
        <v>-4.9149999977089465E-3</v>
      </c>
      <c r="N107" s="8">
        <f t="shared" si="25"/>
        <v>9.0325452869013754E-3</v>
      </c>
      <c r="O107" s="2" t="s">
        <v>2</v>
      </c>
      <c r="P107" s="17">
        <f t="shared" si="26"/>
        <v>42236.904199999997</v>
      </c>
      <c r="R107" s="2">
        <f t="shared" si="27"/>
        <v>1.9453401946625562E-4</v>
      </c>
      <c r="S107" s="25">
        <v>1</v>
      </c>
      <c r="T107" s="2">
        <f t="shared" si="28"/>
        <v>1.9453401946625562E-4</v>
      </c>
      <c r="AD107" s="2">
        <v>8</v>
      </c>
      <c r="AF107" s="2" t="s">
        <v>43</v>
      </c>
      <c r="AH107" s="2" t="s">
        <v>35</v>
      </c>
    </row>
    <row r="108" spans="1:34" x14ac:dyDescent="0.2">
      <c r="A108" s="102" t="s">
        <v>1</v>
      </c>
      <c r="B108" s="103" t="s">
        <v>85</v>
      </c>
      <c r="C108" s="104">
        <v>57306.334600000002</v>
      </c>
      <c r="D108" s="104">
        <v>3.0000000000000001E-3</v>
      </c>
      <c r="E108" s="50">
        <f t="shared" si="21"/>
        <v>1578.9947024501637</v>
      </c>
      <c r="F108" s="8">
        <f t="shared" si="22"/>
        <v>1579</v>
      </c>
      <c r="G108" s="2">
        <f t="shared" si="23"/>
        <v>-7.4949999980162829E-3</v>
      </c>
      <c r="K108" s="2">
        <f t="shared" si="24"/>
        <v>-7.4949999980162829E-3</v>
      </c>
      <c r="N108" s="8">
        <f t="shared" si="25"/>
        <v>9.306822366901368E-3</v>
      </c>
      <c r="O108" s="2" t="s">
        <v>2</v>
      </c>
      <c r="P108" s="17">
        <f t="shared" si="26"/>
        <v>42287.834600000002</v>
      </c>
      <c r="R108" s="2">
        <f t="shared" si="27"/>
        <v>2.8230123478224702E-4</v>
      </c>
      <c r="S108" s="25">
        <v>1</v>
      </c>
      <c r="T108" s="2">
        <f t="shared" si="28"/>
        <v>2.8230123478224702E-4</v>
      </c>
    </row>
    <row r="109" spans="1:34" x14ac:dyDescent="0.2">
      <c r="A109" s="98" t="s">
        <v>425</v>
      </c>
      <c r="B109" s="99" t="s">
        <v>85</v>
      </c>
      <c r="C109" s="100">
        <v>57562.411619999999</v>
      </c>
      <c r="D109" s="100">
        <v>6.9999999999999999E-4</v>
      </c>
      <c r="E109" s="50">
        <f t="shared" si="21"/>
        <v>1759.9928046621271</v>
      </c>
      <c r="F109" s="8">
        <f t="shared" si="22"/>
        <v>1760</v>
      </c>
      <c r="G109" s="2">
        <f t="shared" si="23"/>
        <v>-1.0179999997490086E-2</v>
      </c>
      <c r="K109" s="2">
        <f t="shared" si="24"/>
        <v>-1.0179999997490086E-2</v>
      </c>
      <c r="N109" s="8">
        <f t="shared" si="25"/>
        <v>1.0685826574679111E-2</v>
      </c>
      <c r="O109" s="2" t="s">
        <v>2</v>
      </c>
      <c r="P109" s="17">
        <f t="shared" si="26"/>
        <v>42543.911619999999</v>
      </c>
      <c r="R109" s="2">
        <f t="shared" si="27"/>
        <v>4.3538271853984216E-4</v>
      </c>
      <c r="S109" s="25">
        <v>1</v>
      </c>
      <c r="T109" s="2">
        <f t="shared" si="28"/>
        <v>4.3538271853984216E-4</v>
      </c>
    </row>
    <row r="110" spans="1:34" x14ac:dyDescent="0.2">
      <c r="A110" s="102" t="s">
        <v>1</v>
      </c>
      <c r="B110" s="103" t="s">
        <v>85</v>
      </c>
      <c r="C110" s="104">
        <v>57562.417099999999</v>
      </c>
      <c r="D110" s="104">
        <v>2.3999999999999998E-3</v>
      </c>
      <c r="E110" s="50">
        <f t="shared" si="21"/>
        <v>1759.9966779874262</v>
      </c>
      <c r="F110" s="8">
        <f t="shared" si="22"/>
        <v>1760</v>
      </c>
      <c r="G110" s="2">
        <f t="shared" si="23"/>
        <v>-4.6999999976833351E-3</v>
      </c>
      <c r="K110" s="2">
        <f t="shared" si="24"/>
        <v>-4.6999999976833351E-3</v>
      </c>
      <c r="N110" s="8">
        <f t="shared" si="25"/>
        <v>1.0685826574679111E-2</v>
      </c>
      <c r="O110" s="2" t="s">
        <v>2</v>
      </c>
      <c r="P110" s="17">
        <f t="shared" si="26"/>
        <v>42543.917099999999</v>
      </c>
      <c r="R110" s="2">
        <f t="shared" si="27"/>
        <v>2.3672365931481432E-4</v>
      </c>
      <c r="S110" s="25">
        <v>1</v>
      </c>
      <c r="T110" s="2">
        <f t="shared" si="28"/>
        <v>2.3672365931481432E-4</v>
      </c>
    </row>
    <row r="111" spans="1:34" x14ac:dyDescent="0.2">
      <c r="A111" s="97" t="s">
        <v>0</v>
      </c>
      <c r="B111" s="105" t="s">
        <v>85</v>
      </c>
      <c r="C111" s="106">
        <v>57973.415099999998</v>
      </c>
      <c r="D111" s="106">
        <v>2.3E-3</v>
      </c>
      <c r="E111" s="50">
        <f>(C111-C$7)/C$8</f>
        <v>2050.4946618085178</v>
      </c>
      <c r="F111" s="8">
        <f t="shared" si="22"/>
        <v>2050.5</v>
      </c>
      <c r="G111" s="2">
        <f>C111-(C$7+F111*C$8)</f>
        <v>-7.5524999992921948E-3</v>
      </c>
      <c r="K111" s="2">
        <f>G111</f>
        <v>-7.5524999992921948E-3</v>
      </c>
      <c r="N111" s="8">
        <f>+C$11+C$12*F111</f>
        <v>1.2899090234123499E-2</v>
      </c>
      <c r="O111" s="2" t="s">
        <v>2</v>
      </c>
      <c r="P111" s="17">
        <f>C111-15018.5</f>
        <v>42954.915099999998</v>
      </c>
      <c r="R111" s="2">
        <f>(N111-G111)^2</f>
        <v>4.1826754307554422E-4</v>
      </c>
      <c r="S111" s="25">
        <v>1</v>
      </c>
      <c r="T111" s="2">
        <f>S111*R111</f>
        <v>4.1826754307554422E-4</v>
      </c>
    </row>
    <row r="112" spans="1:34" x14ac:dyDescent="0.2">
      <c r="A112" s="109" t="s">
        <v>426</v>
      </c>
      <c r="B112" s="110" t="s">
        <v>85</v>
      </c>
      <c r="C112" s="111">
        <v>60441.537000000011</v>
      </c>
      <c r="D112" s="109">
        <v>2.9999999999999997E-4</v>
      </c>
      <c r="E112" s="50">
        <f>(C112-C$7)/C$8</f>
        <v>3794.9908291248707</v>
      </c>
      <c r="F112" s="8">
        <f t="shared" ref="F112" si="29">ROUND(2*E112,0)/2</f>
        <v>3795</v>
      </c>
      <c r="G112" s="2">
        <f>C112-(C$7+F112*C$8)</f>
        <v>-1.2974999990547076E-2</v>
      </c>
      <c r="K112" s="2">
        <f>G112</f>
        <v>-1.2974999990547076E-2</v>
      </c>
      <c r="N112" s="8">
        <f>+C$11+C$12*F112</f>
        <v>2.6190100402456496E-2</v>
      </c>
      <c r="O112" s="2" t="s">
        <v>2</v>
      </c>
      <c r="P112" s="17">
        <f>C112-15018.5</f>
        <v>45423.037000000011</v>
      </c>
      <c r="R112" s="2">
        <f>(N112-G112)^2</f>
        <v>1.5339050887940482E-3</v>
      </c>
      <c r="S112" s="25">
        <v>1</v>
      </c>
      <c r="T112" s="2">
        <f>S112*R112</f>
        <v>1.5339050887940482E-3</v>
      </c>
    </row>
  </sheetData>
  <phoneticPr fontId="0" type="noConversion"/>
  <hyperlinks>
    <hyperlink ref="H3450" r:id="rId1" display="http://vsolj.cetus-net.org/bulletin.html" xr:uid="{00000000-0004-0000-0000-000000000000}"/>
    <hyperlink ref="H64912" r:id="rId2" display="http://vsolj.cetus-net.org/bulletin.html" xr:uid="{00000000-0004-0000-0000-000001000000}"/>
    <hyperlink ref="H64905" r:id="rId3" display="https://www.aavso.org/ejaavso" xr:uid="{00000000-0004-0000-0000-000002000000}"/>
    <hyperlink ref="AP1763" r:id="rId4" display="http://cdsbib.u-strasbg.fr/cgi-bin/cdsbib?1990RMxAA..21..381G" xr:uid="{00000000-0004-0000-0000-000003000000}"/>
    <hyperlink ref="AP1760" r:id="rId5" display="http://cdsbib.u-strasbg.fr/cgi-bin/cdsbib?1990RMxAA..21..381G" xr:uid="{00000000-0004-0000-0000-000004000000}"/>
    <hyperlink ref="AP1762" r:id="rId6" display="http://cdsbib.u-strasbg.fr/cgi-bin/cdsbib?1990RMxAA..21..381G" xr:uid="{00000000-0004-0000-0000-000005000000}"/>
    <hyperlink ref="AP1738" r:id="rId7" display="http://cdsbib.u-strasbg.fr/cgi-bin/cdsbib?1990RMxAA..21..381G" xr:uid="{00000000-0004-0000-0000-000006000000}"/>
    <hyperlink ref="I64912" r:id="rId8" display="http://vsolj.cetus-net.org/bulletin.html" xr:uid="{00000000-0004-0000-0000-000007000000}"/>
    <hyperlink ref="AQ1899" r:id="rId9" display="http://cdsbib.u-strasbg.fr/cgi-bin/cdsbib?1990RMxAA..21..381G" xr:uid="{00000000-0004-0000-0000-000008000000}"/>
    <hyperlink ref="AQ3543" r:id="rId10" display="http://cdsbib.u-strasbg.fr/cgi-bin/cdsbib?1990RMxAA..21..381G" xr:uid="{00000000-0004-0000-0000-000009000000}"/>
    <hyperlink ref="AQ1900" r:id="rId11" display="http://cdsbib.u-strasbg.fr/cgi-bin/cdsbib?1990RMxAA..21..381G" xr:uid="{00000000-0004-0000-0000-00000A000000}"/>
    <hyperlink ref="H64909" r:id="rId12" display="https://www.aavso.org/ejaavso" xr:uid="{00000000-0004-0000-0000-00000B000000}"/>
    <hyperlink ref="H2750" r:id="rId13" display="http://vsolj.cetus-net.org/bulletin.html" xr:uid="{00000000-0004-0000-0000-00000C000000}"/>
    <hyperlink ref="AP5988" r:id="rId14" display="http://cdsbib.u-strasbg.fr/cgi-bin/cdsbib?1990RMxAA..21..381G" xr:uid="{00000000-0004-0000-0000-00000D000000}"/>
    <hyperlink ref="AP5991" r:id="rId15" display="http://cdsbib.u-strasbg.fr/cgi-bin/cdsbib?1990RMxAA..21..381G" xr:uid="{00000000-0004-0000-0000-00000E000000}"/>
    <hyperlink ref="AP5989" r:id="rId16" display="http://cdsbib.u-strasbg.fr/cgi-bin/cdsbib?1990RMxAA..21..381G" xr:uid="{00000000-0004-0000-0000-00000F000000}"/>
    <hyperlink ref="AP5967" r:id="rId17" display="http://cdsbib.u-strasbg.fr/cgi-bin/cdsbib?1990RMxAA..21..381G" xr:uid="{00000000-0004-0000-0000-000010000000}"/>
    <hyperlink ref="I2750" r:id="rId18" display="http://vsolj.cetus-net.org/bulletin.html" xr:uid="{00000000-0004-0000-0000-000011000000}"/>
    <hyperlink ref="AQ6101" r:id="rId19" display="http://cdsbib.u-strasbg.fr/cgi-bin/cdsbib?1990RMxAA..21..381G" xr:uid="{00000000-0004-0000-0000-000012000000}"/>
    <hyperlink ref="AQ653" r:id="rId20" display="http://cdsbib.u-strasbg.fr/cgi-bin/cdsbib?1990RMxAA..21..381G" xr:uid="{00000000-0004-0000-0000-000013000000}"/>
    <hyperlink ref="AQ6102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38"/>
  <sheetViews>
    <sheetView workbookViewId="0"/>
  </sheetViews>
  <sheetFormatPr defaultRowHeight="12.75" x14ac:dyDescent="0.2"/>
  <cols>
    <col min="1" max="1" width="16.5703125" style="2" customWidth="1"/>
    <col min="2" max="2" width="5.85546875" style="2" customWidth="1"/>
    <col min="3" max="3" width="11.42578125" style="2" customWidth="1"/>
    <col min="4" max="4" width="8.42578125" style="2" customWidth="1"/>
    <col min="5" max="5" width="10" style="2" customWidth="1"/>
    <col min="6" max="6" width="16.5703125" style="2" customWidth="1"/>
    <col min="7" max="7" width="9.140625" style="2"/>
    <col min="8" max="8" width="8.42578125" style="2" customWidth="1"/>
    <col min="9" max="9" width="9.140625" style="2"/>
    <col min="10" max="13" width="8.42578125" style="2" customWidth="1"/>
    <col min="14" max="15" width="9.140625" style="2"/>
    <col min="16" max="16" width="10.7109375" style="2" customWidth="1"/>
    <col min="17" max="16384" width="9.140625" style="2"/>
  </cols>
  <sheetData>
    <row r="1" spans="1:8" ht="20.25" x14ac:dyDescent="0.3">
      <c r="A1" s="34" t="s">
        <v>72</v>
      </c>
      <c r="B1" s="30"/>
      <c r="C1" s="29"/>
    </row>
    <row r="2" spans="1:8" x14ac:dyDescent="0.2">
      <c r="A2" s="18" t="s">
        <v>20</v>
      </c>
      <c r="B2" s="1" t="s">
        <v>30</v>
      </c>
    </row>
    <row r="3" spans="1:8" ht="13.5" thickBot="1" x14ac:dyDescent="0.25">
      <c r="A3" s="18"/>
      <c r="B3" s="1"/>
      <c r="C3" s="6"/>
      <c r="D3" s="6"/>
    </row>
    <row r="4" spans="1:8" ht="13.5" thickBot="1" x14ac:dyDescent="0.25">
      <c r="A4" s="19" t="s">
        <v>21</v>
      </c>
      <c r="B4" s="4"/>
      <c r="C4" s="10">
        <v>34461.529000000002</v>
      </c>
      <c r="D4" s="11">
        <v>1.4147978999999999</v>
      </c>
      <c r="E4" s="5"/>
    </row>
    <row r="5" spans="1:8" x14ac:dyDescent="0.2">
      <c r="A5" s="38" t="s">
        <v>73</v>
      </c>
      <c r="B5" s="18"/>
      <c r="C5" s="39">
        <v>8</v>
      </c>
      <c r="D5" s="18" t="s">
        <v>74</v>
      </c>
    </row>
    <row r="6" spans="1:8" x14ac:dyDescent="0.2">
      <c r="A6" s="19" t="s">
        <v>22</v>
      </c>
      <c r="B6" s="1"/>
    </row>
    <row r="7" spans="1:8" x14ac:dyDescent="0.2">
      <c r="A7" s="18" t="s">
        <v>4</v>
      </c>
      <c r="B7" s="1"/>
      <c r="C7" s="2">
        <v>49888.517200000002</v>
      </c>
    </row>
    <row r="8" spans="1:8" x14ac:dyDescent="0.2">
      <c r="A8" s="18" t="s">
        <v>15</v>
      </c>
      <c r="B8" s="1"/>
      <c r="C8" s="3">
        <v>1.4147978999999999</v>
      </c>
    </row>
    <row r="9" spans="1:8" x14ac:dyDescent="0.2">
      <c r="A9" s="46" t="s">
        <v>79</v>
      </c>
      <c r="B9" s="18"/>
      <c r="C9" s="47">
        <v>21</v>
      </c>
      <c r="D9" s="41" t="str">
        <f>"F"&amp;C9</f>
        <v>F21</v>
      </c>
      <c r="E9" s="40" t="str">
        <f>"G"&amp;C9</f>
        <v>G21</v>
      </c>
      <c r="F9" s="18"/>
      <c r="G9" s="18"/>
      <c r="H9" s="18"/>
    </row>
    <row r="10" spans="1:8" ht="13.5" thickBot="1" x14ac:dyDescent="0.25">
      <c r="A10" s="18"/>
      <c r="B10" s="18"/>
      <c r="C10" s="21" t="s">
        <v>28</v>
      </c>
      <c r="D10" s="21" t="s">
        <v>29</v>
      </c>
      <c r="E10" s="18"/>
      <c r="F10" s="18"/>
      <c r="G10" s="18"/>
      <c r="H10" s="18"/>
    </row>
    <row r="11" spans="1:8" x14ac:dyDescent="0.2">
      <c r="A11" s="18" t="s">
        <v>23</v>
      </c>
      <c r="B11" s="18"/>
      <c r="C11" s="40">
        <f ca="1">INTERCEPT(INDIRECT($E$9):G991,INDIRECT($D$9):F991)</f>
        <v>1.3599551810419171E-3</v>
      </c>
      <c r="D11" s="22"/>
      <c r="E11" s="18"/>
      <c r="H11" s="18"/>
    </row>
    <row r="12" spans="1:8" x14ac:dyDescent="0.2">
      <c r="A12" s="18" t="s">
        <v>24</v>
      </c>
      <c r="B12" s="18"/>
      <c r="C12" s="40">
        <f ca="1">SLOPE(INDIRECT($E$9):G991,INDIRECT($D$9):F991)</f>
        <v>6.9056317148806475E-6</v>
      </c>
      <c r="D12" s="22"/>
      <c r="E12" s="18"/>
      <c r="F12" s="18"/>
      <c r="G12" s="18"/>
      <c r="H12" s="18"/>
    </row>
    <row r="13" spans="1:8" x14ac:dyDescent="0.2">
      <c r="A13" s="18" t="s">
        <v>25</v>
      </c>
      <c r="B13" s="18"/>
      <c r="C13" s="22" t="s">
        <v>75</v>
      </c>
      <c r="F13" s="18"/>
      <c r="G13" s="18"/>
      <c r="H13" s="18"/>
    </row>
    <row r="14" spans="1:8" x14ac:dyDescent="0.2">
      <c r="A14" s="18"/>
      <c r="B14" s="18"/>
      <c r="C14" s="18"/>
      <c r="F14" s="18"/>
      <c r="G14" s="18"/>
      <c r="H14" s="18"/>
    </row>
    <row r="15" spans="1:8" x14ac:dyDescent="0.2">
      <c r="A15" s="20" t="s">
        <v>27</v>
      </c>
      <c r="B15" s="18"/>
      <c r="C15" s="35">
        <f ca="1">(C7+C11)+(C8+C12)*INT(MAX(F21:F3532))</f>
        <v>56856.432227691381</v>
      </c>
      <c r="E15" s="37" t="s">
        <v>80</v>
      </c>
      <c r="F15" s="39">
        <v>1</v>
      </c>
      <c r="G15" s="18"/>
      <c r="H15" s="18"/>
    </row>
    <row r="16" spans="1:8" x14ac:dyDescent="0.2">
      <c r="A16" s="19" t="s">
        <v>13</v>
      </c>
      <c r="B16" s="18"/>
      <c r="C16" s="36">
        <f ca="1">+C8+C12</f>
        <v>1.4148048056317148</v>
      </c>
      <c r="E16" s="37" t="s">
        <v>76</v>
      </c>
      <c r="F16" s="42">
        <f ca="1">NOW()+15018.5+$C$5/24</f>
        <v>60677.580309837962</v>
      </c>
      <c r="G16" s="18"/>
      <c r="H16" s="18"/>
    </row>
    <row r="17" spans="1:34" ht="13.5" thickBot="1" x14ac:dyDescent="0.25">
      <c r="A17" s="37" t="s">
        <v>71</v>
      </c>
      <c r="B17" s="18"/>
      <c r="C17" s="18">
        <f>COUNT(C21:C2190)</f>
        <v>18</v>
      </c>
      <c r="E17" s="37" t="s">
        <v>81</v>
      </c>
      <c r="F17" s="42">
        <f ca="1">ROUND(2*(F16-$C$7)/$C$8,0)/2+F15</f>
        <v>7627</v>
      </c>
      <c r="G17" s="18"/>
      <c r="H17" s="18"/>
    </row>
    <row r="18" spans="1:34" ht="14.25" thickTop="1" thickBot="1" x14ac:dyDescent="0.25">
      <c r="A18" s="19" t="s">
        <v>12</v>
      </c>
      <c r="B18" s="18"/>
      <c r="C18" s="44">
        <f ca="1">+C15</f>
        <v>56856.432227691381</v>
      </c>
      <c r="D18" s="45">
        <f ca="1">+C16</f>
        <v>1.4148048056317148</v>
      </c>
      <c r="E18" s="37" t="s">
        <v>77</v>
      </c>
      <c r="F18" s="40">
        <f ca="1">ROUND(2*(F16-$C$15)/$C$16,0)/2+F15</f>
        <v>2702</v>
      </c>
      <c r="G18" s="18"/>
      <c r="H18" s="18"/>
    </row>
    <row r="19" spans="1:34" ht="13.5" thickTop="1" x14ac:dyDescent="0.2">
      <c r="E19" s="37" t="s">
        <v>78</v>
      </c>
      <c r="F19" s="43">
        <f ca="1">+$C$15+$C$16*F18-15018.5-$C$5/24</f>
        <v>45660.401479174936</v>
      </c>
      <c r="G19" s="18"/>
      <c r="H19" s="18"/>
      <c r="N19" s="2" t="s">
        <v>3</v>
      </c>
    </row>
    <row r="20" spans="1:34" ht="13.5" thickBot="1" x14ac:dyDescent="0.25">
      <c r="A20" s="14" t="s">
        <v>16</v>
      </c>
      <c r="B20" s="15" t="s">
        <v>18</v>
      </c>
      <c r="C20" s="14" t="s">
        <v>17</v>
      </c>
      <c r="D20" s="14" t="s">
        <v>5</v>
      </c>
      <c r="E20" s="14" t="s">
        <v>11</v>
      </c>
      <c r="F20" s="14" t="s">
        <v>10</v>
      </c>
      <c r="G20" s="14" t="s">
        <v>14</v>
      </c>
      <c r="H20" s="23" t="s">
        <v>6</v>
      </c>
      <c r="I20" s="23" t="s">
        <v>9</v>
      </c>
      <c r="J20" s="23" t="s">
        <v>63</v>
      </c>
      <c r="K20" s="23" t="s">
        <v>64</v>
      </c>
      <c r="L20" s="23" t="s">
        <v>65</v>
      </c>
      <c r="M20" s="23" t="s">
        <v>66</v>
      </c>
      <c r="N20" s="23" t="s">
        <v>31</v>
      </c>
      <c r="O20" s="14" t="s">
        <v>32</v>
      </c>
      <c r="P20" s="14" t="s">
        <v>19</v>
      </c>
    </row>
    <row r="21" spans="1:34" x14ac:dyDescent="0.2">
      <c r="A21" s="8" t="s">
        <v>6</v>
      </c>
      <c r="B21" s="24"/>
      <c r="C21" s="33">
        <v>34461.529000000002</v>
      </c>
      <c r="D21" s="33"/>
      <c r="E21" s="8">
        <f t="shared" ref="E21:E35" si="0">(C21-C$7)/C$8</f>
        <v>-10904.022546259081</v>
      </c>
      <c r="F21" s="8">
        <f t="shared" ref="F21:F38" si="1">ROUND(2*E21,0)/2</f>
        <v>-10904</v>
      </c>
      <c r="G21" s="8"/>
      <c r="H21" s="28">
        <v>-3.1898399996862281E-2</v>
      </c>
      <c r="I21" s="8"/>
      <c r="J21" s="8"/>
      <c r="K21" s="8"/>
      <c r="L21" s="8"/>
      <c r="M21" s="8"/>
      <c r="N21" s="8">
        <f t="shared" ref="N21:N35" ca="1" si="2">+C$11+C$12*F21</f>
        <v>-7.3939053038016664E-2</v>
      </c>
      <c r="O21" s="8" t="s">
        <v>2</v>
      </c>
      <c r="P21" s="16">
        <f t="shared" ref="P21:P35" si="3">C21-15018.5</f>
        <v>19443.029000000002</v>
      </c>
    </row>
    <row r="22" spans="1:34" x14ac:dyDescent="0.2">
      <c r="A22" s="48" t="s">
        <v>7</v>
      </c>
      <c r="B22" s="49">
        <v>0</v>
      </c>
      <c r="C22" s="48">
        <v>48803.362999999998</v>
      </c>
      <c r="D22" s="48">
        <v>4.0000000000000001E-3</v>
      </c>
      <c r="E22" s="2">
        <f t="shared" si="0"/>
        <v>-767.00297618479965</v>
      </c>
      <c r="F22" s="8">
        <f t="shared" si="1"/>
        <v>-767</v>
      </c>
      <c r="G22" s="2">
        <f t="shared" ref="G22:G35" si="4">C22-(C$7+F22*C$8)</f>
        <v>-4.2107000044779852E-3</v>
      </c>
      <c r="I22" s="2">
        <f t="shared" ref="I22:I35" si="5">G22</f>
        <v>-4.2107000044779852E-3</v>
      </c>
      <c r="N22" s="8">
        <f t="shared" ca="1" si="2"/>
        <v>-3.9366643442715395E-3</v>
      </c>
      <c r="O22" s="2" t="s">
        <v>2</v>
      </c>
      <c r="P22" s="17">
        <f t="shared" si="3"/>
        <v>33784.862999999998</v>
      </c>
    </row>
    <row r="23" spans="1:34" x14ac:dyDescent="0.2">
      <c r="A23" s="50" t="s">
        <v>7</v>
      </c>
      <c r="B23" s="51"/>
      <c r="C23" s="52">
        <v>49158.478999999999</v>
      </c>
      <c r="D23" s="52"/>
      <c r="E23" s="2">
        <f t="shared" si="0"/>
        <v>-516.00175544507294</v>
      </c>
      <c r="F23" s="8">
        <f t="shared" si="1"/>
        <v>-516</v>
      </c>
      <c r="G23" s="2">
        <f t="shared" si="4"/>
        <v>-2.4836000011418946E-3</v>
      </c>
      <c r="I23" s="2">
        <f t="shared" si="5"/>
        <v>-2.4836000011418946E-3</v>
      </c>
      <c r="J23" s="27"/>
      <c r="N23" s="8">
        <f t="shared" ca="1" si="2"/>
        <v>-2.2033507838364972E-3</v>
      </c>
      <c r="O23" s="2" t="s">
        <v>2</v>
      </c>
      <c r="P23" s="17">
        <f t="shared" si="3"/>
        <v>34139.978999999999</v>
      </c>
      <c r="AD23" s="2">
        <v>10</v>
      </c>
      <c r="AF23" s="2" t="s">
        <v>43</v>
      </c>
      <c r="AH23" s="2" t="s">
        <v>35</v>
      </c>
    </row>
    <row r="24" spans="1:34" x14ac:dyDescent="0.2">
      <c r="A24" s="50" t="s">
        <v>7</v>
      </c>
      <c r="B24" s="51"/>
      <c r="C24" s="52">
        <v>49569.481500000002</v>
      </c>
      <c r="D24" s="52"/>
      <c r="E24" s="2">
        <f t="shared" si="0"/>
        <v>-225.49913312707093</v>
      </c>
      <c r="F24" s="8">
        <f t="shared" si="1"/>
        <v>-225.5</v>
      </c>
      <c r="G24" s="2">
        <f t="shared" si="4"/>
        <v>1.2264499964658171E-3</v>
      </c>
      <c r="I24" s="2">
        <f t="shared" si="5"/>
        <v>1.2264499964658171E-3</v>
      </c>
      <c r="J24" s="27"/>
      <c r="N24" s="8">
        <f t="shared" ca="1" si="2"/>
        <v>-1.9726477066366889E-4</v>
      </c>
      <c r="O24" s="2" t="s">
        <v>2</v>
      </c>
      <c r="P24" s="17">
        <f t="shared" si="3"/>
        <v>34550.981500000002</v>
      </c>
      <c r="AD24" s="2">
        <v>9</v>
      </c>
      <c r="AF24" s="2" t="s">
        <v>43</v>
      </c>
      <c r="AH24" s="2" t="s">
        <v>35</v>
      </c>
    </row>
    <row r="25" spans="1:34" x14ac:dyDescent="0.2">
      <c r="A25" s="48" t="s">
        <v>8</v>
      </c>
      <c r="B25" s="49">
        <v>0</v>
      </c>
      <c r="C25" s="48">
        <v>49888.517200000002</v>
      </c>
      <c r="D25" s="48">
        <v>1E-3</v>
      </c>
      <c r="E25" s="2">
        <f t="shared" si="0"/>
        <v>0</v>
      </c>
      <c r="F25" s="8">
        <f t="shared" si="1"/>
        <v>0</v>
      </c>
      <c r="G25" s="2">
        <f t="shared" si="4"/>
        <v>0</v>
      </c>
      <c r="I25" s="2">
        <f t="shared" si="5"/>
        <v>0</v>
      </c>
      <c r="N25" s="8">
        <f t="shared" ca="1" si="2"/>
        <v>1.3599551810419171E-3</v>
      </c>
      <c r="O25" s="2" t="s">
        <v>2</v>
      </c>
      <c r="P25" s="17">
        <f t="shared" si="3"/>
        <v>34870.017200000002</v>
      </c>
    </row>
    <row r="26" spans="1:34" x14ac:dyDescent="0.2">
      <c r="A26" s="53" t="s">
        <v>8</v>
      </c>
      <c r="B26" s="51"/>
      <c r="C26" s="54">
        <v>49888.517599999999</v>
      </c>
      <c r="D26" s="52"/>
      <c r="E26" s="2">
        <f t="shared" si="0"/>
        <v>2.8272589121817874E-4</v>
      </c>
      <c r="F26" s="8">
        <f t="shared" si="1"/>
        <v>0</v>
      </c>
      <c r="G26" s="2">
        <f t="shared" si="4"/>
        <v>3.9999999717110768E-4</v>
      </c>
      <c r="I26" s="2">
        <f t="shared" si="5"/>
        <v>3.9999999717110768E-4</v>
      </c>
      <c r="J26" s="27"/>
      <c r="N26" s="8">
        <f t="shared" ca="1" si="2"/>
        <v>1.3599551810419171E-3</v>
      </c>
      <c r="O26" s="2" t="s">
        <v>2</v>
      </c>
      <c r="P26" s="17">
        <f t="shared" si="3"/>
        <v>34870.017599999999</v>
      </c>
      <c r="AD26" s="2">
        <v>7</v>
      </c>
      <c r="AF26" s="2" t="s">
        <v>43</v>
      </c>
      <c r="AH26" s="2" t="s">
        <v>35</v>
      </c>
    </row>
    <row r="27" spans="1:34" x14ac:dyDescent="0.2">
      <c r="A27" s="50" t="s">
        <v>8</v>
      </c>
      <c r="B27" s="51"/>
      <c r="C27" s="52">
        <v>49922.473400000003</v>
      </c>
      <c r="D27" s="52"/>
      <c r="E27" s="2">
        <f t="shared" si="0"/>
        <v>24.000742438195971</v>
      </c>
      <c r="F27" s="8">
        <f t="shared" si="1"/>
        <v>24</v>
      </c>
      <c r="G27" s="2">
        <f t="shared" si="4"/>
        <v>1.0504000019864179E-3</v>
      </c>
      <c r="I27" s="2">
        <f t="shared" si="5"/>
        <v>1.0504000019864179E-3</v>
      </c>
      <c r="J27" s="27"/>
      <c r="N27" s="8">
        <f t="shared" ca="1" si="2"/>
        <v>1.5256903421990526E-3</v>
      </c>
      <c r="O27" s="2" t="s">
        <v>2</v>
      </c>
      <c r="P27" s="17">
        <f t="shared" si="3"/>
        <v>34903.973400000003</v>
      </c>
      <c r="AD27" s="2">
        <v>8</v>
      </c>
      <c r="AF27" s="2" t="s">
        <v>43</v>
      </c>
      <c r="AH27" s="2" t="s">
        <v>35</v>
      </c>
    </row>
    <row r="28" spans="1:34" x14ac:dyDescent="0.2">
      <c r="A28" s="55" t="s">
        <v>67</v>
      </c>
      <c r="B28" s="56"/>
      <c r="C28" s="57">
        <v>52552.597199999997</v>
      </c>
      <c r="D28" s="54">
        <v>2.9999999999999997E-4</v>
      </c>
      <c r="E28" s="2">
        <f t="shared" si="0"/>
        <v>1883.0109940083983</v>
      </c>
      <c r="F28" s="8">
        <f t="shared" si="1"/>
        <v>1883</v>
      </c>
      <c r="G28" s="2">
        <f t="shared" si="4"/>
        <v>1.5554299992800225E-2</v>
      </c>
      <c r="I28" s="2">
        <f t="shared" si="5"/>
        <v>1.5554299992800225E-2</v>
      </c>
      <c r="N28" s="8">
        <f t="shared" ca="1" si="2"/>
        <v>1.4363259700162176E-2</v>
      </c>
      <c r="O28" s="2" t="s">
        <v>2</v>
      </c>
      <c r="P28" s="17">
        <f t="shared" si="3"/>
        <v>37534.097199999997</v>
      </c>
    </row>
    <row r="29" spans="1:34" x14ac:dyDescent="0.2">
      <c r="A29" s="50" t="s">
        <v>70</v>
      </c>
      <c r="B29" s="50"/>
      <c r="C29" s="54">
        <v>52835.556100000002</v>
      </c>
      <c r="D29" s="54">
        <v>4.1999999999999997E-3</v>
      </c>
      <c r="E29" s="2">
        <f t="shared" si="0"/>
        <v>2083.0105133743837</v>
      </c>
      <c r="F29" s="8">
        <f t="shared" si="1"/>
        <v>2083</v>
      </c>
      <c r="G29" s="2">
        <f t="shared" si="4"/>
        <v>1.4874300002702512E-2</v>
      </c>
      <c r="I29" s="2">
        <f t="shared" si="5"/>
        <v>1.4874300002702512E-2</v>
      </c>
      <c r="N29" s="8">
        <f t="shared" ca="1" si="2"/>
        <v>1.5744386043138305E-2</v>
      </c>
      <c r="O29" s="2" t="s">
        <v>2</v>
      </c>
      <c r="P29" s="17">
        <f t="shared" si="3"/>
        <v>37817.056100000002</v>
      </c>
    </row>
    <row r="30" spans="1:34" x14ac:dyDescent="0.2">
      <c r="A30" s="50" t="s">
        <v>70</v>
      </c>
      <c r="B30" s="50"/>
      <c r="C30" s="54">
        <v>52874.4637</v>
      </c>
      <c r="D30" s="54">
        <v>2.5999999999999999E-3</v>
      </c>
      <c r="E30" s="2">
        <f t="shared" si="0"/>
        <v>2110.5109782817731</v>
      </c>
      <c r="F30" s="8">
        <f t="shared" si="1"/>
        <v>2110.5</v>
      </c>
      <c r="G30" s="2">
        <f t="shared" si="4"/>
        <v>1.553204999800073E-2</v>
      </c>
      <c r="I30" s="2">
        <f t="shared" si="5"/>
        <v>1.553204999800073E-2</v>
      </c>
      <c r="N30" s="8">
        <f t="shared" ca="1" si="2"/>
        <v>1.5934290915297522E-2</v>
      </c>
      <c r="O30" s="2" t="s">
        <v>2</v>
      </c>
      <c r="P30" s="17">
        <f t="shared" si="3"/>
        <v>37855.9637</v>
      </c>
    </row>
    <row r="31" spans="1:34" x14ac:dyDescent="0.2">
      <c r="A31" s="53" t="s">
        <v>70</v>
      </c>
      <c r="B31" s="53"/>
      <c r="C31" s="54">
        <v>52913.370600000002</v>
      </c>
      <c r="D31" s="54">
        <v>1.4E-3</v>
      </c>
      <c r="E31" s="2">
        <f t="shared" si="0"/>
        <v>2138.010948418852</v>
      </c>
      <c r="F31" s="8">
        <f t="shared" si="1"/>
        <v>2138</v>
      </c>
      <c r="G31" s="2">
        <f t="shared" si="4"/>
        <v>1.548979999643052E-2</v>
      </c>
      <c r="I31" s="2">
        <f t="shared" si="5"/>
        <v>1.548979999643052E-2</v>
      </c>
      <c r="N31" s="8">
        <f t="shared" ca="1" si="2"/>
        <v>1.612419578745674E-2</v>
      </c>
      <c r="O31" s="2" t="s">
        <v>2</v>
      </c>
      <c r="P31" s="17">
        <f t="shared" si="3"/>
        <v>37894.870600000002</v>
      </c>
    </row>
    <row r="32" spans="1:34" x14ac:dyDescent="0.2">
      <c r="A32" s="53" t="s">
        <v>69</v>
      </c>
      <c r="B32" s="58"/>
      <c r="C32" s="54">
        <v>53227.459600000002</v>
      </c>
      <c r="D32" s="54">
        <v>3.5000000000000001E-3</v>
      </c>
      <c r="E32" s="2">
        <f t="shared" si="0"/>
        <v>2360.0136811059729</v>
      </c>
      <c r="F32" s="8">
        <f t="shared" si="1"/>
        <v>2360</v>
      </c>
      <c r="G32" s="2">
        <f t="shared" si="4"/>
        <v>1.935599999706028E-2</v>
      </c>
      <c r="I32" s="2">
        <f t="shared" si="5"/>
        <v>1.935599999706028E-2</v>
      </c>
      <c r="N32" s="8">
        <f t="shared" ca="1" si="2"/>
        <v>1.7657246028160246E-2</v>
      </c>
      <c r="O32" s="2" t="s">
        <v>2</v>
      </c>
      <c r="P32" s="17">
        <f t="shared" si="3"/>
        <v>38208.959600000002</v>
      </c>
    </row>
    <row r="33" spans="1:16" x14ac:dyDescent="0.2">
      <c r="A33" s="59" t="s">
        <v>87</v>
      </c>
      <c r="B33" s="60" t="s">
        <v>85</v>
      </c>
      <c r="C33" s="59">
        <v>54298.467230000002</v>
      </c>
      <c r="D33" s="59">
        <v>1E-3</v>
      </c>
      <c r="E33" s="2">
        <f t="shared" si="0"/>
        <v>3117.0176531927282</v>
      </c>
      <c r="F33" s="8">
        <f t="shared" si="1"/>
        <v>3117</v>
      </c>
      <c r="G33" s="2">
        <f t="shared" si="4"/>
        <v>2.4975699998321943E-2</v>
      </c>
      <c r="M33" s="2">
        <f>G33</f>
        <v>2.4975699998321943E-2</v>
      </c>
      <c r="N33" s="8">
        <f t="shared" ca="1" si="2"/>
        <v>2.2884809236324896E-2</v>
      </c>
      <c r="O33" s="2" t="s">
        <v>2</v>
      </c>
      <c r="P33" s="17">
        <f t="shared" si="3"/>
        <v>39279.967230000002</v>
      </c>
    </row>
    <row r="34" spans="1:16" x14ac:dyDescent="0.2">
      <c r="A34" s="59" t="s">
        <v>82</v>
      </c>
      <c r="B34" s="60" t="s">
        <v>68</v>
      </c>
      <c r="C34" s="59">
        <v>55016.479399999997</v>
      </c>
      <c r="D34" s="59" t="s">
        <v>83</v>
      </c>
      <c r="E34" s="2">
        <f t="shared" si="0"/>
        <v>3624.5192334537637</v>
      </c>
      <c r="F34" s="8">
        <f t="shared" si="1"/>
        <v>3624.5</v>
      </c>
      <c r="G34" s="2">
        <f t="shared" si="4"/>
        <v>2.7211449996684678E-2</v>
      </c>
      <c r="I34" s="2">
        <f t="shared" si="5"/>
        <v>2.7211449996684678E-2</v>
      </c>
      <c r="N34" s="8">
        <f t="shared" ca="1" si="2"/>
        <v>2.6389417331626825E-2</v>
      </c>
      <c r="O34" s="2" t="s">
        <v>2</v>
      </c>
      <c r="P34" s="17">
        <f t="shared" si="3"/>
        <v>39997.979399999997</v>
      </c>
    </row>
    <row r="35" spans="1:16" x14ac:dyDescent="0.2">
      <c r="A35" s="59" t="s">
        <v>84</v>
      </c>
      <c r="B35" s="60" t="s">
        <v>85</v>
      </c>
      <c r="C35" s="59">
        <v>55369.474399999999</v>
      </c>
      <c r="D35" s="59" t="s">
        <v>86</v>
      </c>
      <c r="E35" s="2">
        <f t="shared" si="0"/>
        <v>3874.0213001447041</v>
      </c>
      <c r="F35" s="8">
        <f t="shared" si="1"/>
        <v>3874</v>
      </c>
      <c r="G35" s="2">
        <f t="shared" si="4"/>
        <v>3.0135399996652268E-2</v>
      </c>
      <c r="I35" s="2">
        <f t="shared" si="5"/>
        <v>3.0135399996652268E-2</v>
      </c>
      <c r="N35" s="8">
        <f t="shared" ca="1" si="2"/>
        <v>2.8112372444489546E-2</v>
      </c>
      <c r="O35" s="2" t="s">
        <v>2</v>
      </c>
      <c r="P35" s="17">
        <f t="shared" si="3"/>
        <v>40350.974399999999</v>
      </c>
    </row>
    <row r="36" spans="1:16" x14ac:dyDescent="0.2">
      <c r="A36" s="61" t="s">
        <v>88</v>
      </c>
      <c r="B36" s="62" t="s">
        <v>85</v>
      </c>
      <c r="C36" s="61">
        <v>56822.474800000004</v>
      </c>
      <c r="D36" s="61">
        <v>4.1999999999999997E-3</v>
      </c>
      <c r="E36" s="2">
        <f>(C36-C$7)/C$8</f>
        <v>4901.0233899838286</v>
      </c>
      <c r="F36" s="8">
        <f t="shared" si="1"/>
        <v>4901</v>
      </c>
      <c r="G36" s="2">
        <f>C36-(C$7+F36*C$8)</f>
        <v>3.3092100005887914E-2</v>
      </c>
      <c r="I36" s="2">
        <f>G36</f>
        <v>3.3092100005887914E-2</v>
      </c>
      <c r="N36" s="8">
        <f ca="1">+C$11+C$12*F36</f>
        <v>3.5204456215671975E-2</v>
      </c>
      <c r="O36" s="2" t="s">
        <v>2</v>
      </c>
      <c r="P36" s="17">
        <f>C36-15018.5</f>
        <v>41803.974800000004</v>
      </c>
    </row>
    <row r="37" spans="1:16" x14ac:dyDescent="0.2">
      <c r="A37" s="61" t="s">
        <v>88</v>
      </c>
      <c r="B37" s="62" t="s">
        <v>85</v>
      </c>
      <c r="C37" s="61">
        <v>56834.501100000001</v>
      </c>
      <c r="D37" s="61">
        <v>1.5E-3</v>
      </c>
      <c r="E37" s="2">
        <f>(C37-C$7)/C$8</f>
        <v>4909.5237560078367</v>
      </c>
      <c r="F37" s="8">
        <f t="shared" si="1"/>
        <v>4909.5</v>
      </c>
      <c r="G37" s="2">
        <f>C37-(C$7+F37*C$8)</f>
        <v>3.3609949998208322E-2</v>
      </c>
      <c r="I37" s="2">
        <f>G37</f>
        <v>3.3609949998208322E-2</v>
      </c>
      <c r="N37" s="8">
        <f ca="1">+C$11+C$12*F37</f>
        <v>3.5263154085248452E-2</v>
      </c>
      <c r="O37" s="2" t="s">
        <v>2</v>
      </c>
      <c r="P37" s="17">
        <f>C37-15018.5</f>
        <v>41816.001100000001</v>
      </c>
    </row>
    <row r="38" spans="1:16" x14ac:dyDescent="0.2">
      <c r="A38" s="63" t="s">
        <v>89</v>
      </c>
      <c r="B38" s="64" t="s">
        <v>85</v>
      </c>
      <c r="C38" s="65">
        <v>56856.432000000001</v>
      </c>
      <c r="D38" s="65">
        <v>0.01</v>
      </c>
      <c r="E38" s="2">
        <f>(C38-C$7)/C$8</f>
        <v>4925.0248392367548</v>
      </c>
      <c r="F38" s="8">
        <f t="shared" si="1"/>
        <v>4925</v>
      </c>
      <c r="G38" s="2">
        <f>C38-(C$7+F38*C$8)</f>
        <v>3.5142499997164123E-2</v>
      </c>
      <c r="M38" s="2">
        <f>G38</f>
        <v>3.5142499997164123E-2</v>
      </c>
      <c r="N38" s="8">
        <f ca="1">+C$11+C$12*F38</f>
        <v>3.5370191376829105E-2</v>
      </c>
      <c r="O38" s="2" t="s">
        <v>2</v>
      </c>
      <c r="P38" s="17">
        <f>C38-15018.5</f>
        <v>41837.932000000001</v>
      </c>
    </row>
  </sheetData>
  <sheetProtection sheet="1" objects="1" scenarios="1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60"/>
  <sheetViews>
    <sheetView topLeftCell="A43" workbookViewId="0">
      <selection activeCell="A55" sqref="A55:D90"/>
    </sheetView>
  </sheetViews>
  <sheetFormatPr defaultRowHeight="12.75" x14ac:dyDescent="0.2"/>
  <cols>
    <col min="1" max="1" width="19.7109375" style="67" customWidth="1"/>
    <col min="2" max="2" width="4.42578125" style="18" customWidth="1"/>
    <col min="3" max="3" width="12.7109375" style="67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67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66" t="s">
        <v>90</v>
      </c>
      <c r="I1" s="68" t="s">
        <v>91</v>
      </c>
      <c r="J1" s="69" t="s">
        <v>92</v>
      </c>
    </row>
    <row r="2" spans="1:16" x14ac:dyDescent="0.2">
      <c r="I2" s="70" t="s">
        <v>93</v>
      </c>
      <c r="J2" s="71" t="s">
        <v>94</v>
      </c>
    </row>
    <row r="3" spans="1:16" x14ac:dyDescent="0.2">
      <c r="A3" s="72" t="s">
        <v>95</v>
      </c>
      <c r="I3" s="70" t="s">
        <v>96</v>
      </c>
      <c r="J3" s="71" t="s">
        <v>97</v>
      </c>
    </row>
    <row r="4" spans="1:16" x14ac:dyDescent="0.2">
      <c r="I4" s="70" t="s">
        <v>98</v>
      </c>
      <c r="J4" s="71" t="s">
        <v>97</v>
      </c>
    </row>
    <row r="5" spans="1:16" ht="13.5" thickBot="1" x14ac:dyDescent="0.25">
      <c r="I5" s="73" t="s">
        <v>99</v>
      </c>
      <c r="J5" s="74" t="s">
        <v>100</v>
      </c>
    </row>
    <row r="10" spans="1:16" ht="13.5" thickBot="1" x14ac:dyDescent="0.25"/>
    <row r="11" spans="1:16" ht="12.75" customHeight="1" thickBot="1" x14ac:dyDescent="0.25">
      <c r="A11" s="67" t="str">
        <f t="shared" ref="A11:A42" si="0">P11</f>
        <v> BBS 50 </v>
      </c>
      <c r="B11" s="22" t="str">
        <f t="shared" ref="B11:B42" si="1">IF(H11=INT(H11),"I","II")</f>
        <v>I</v>
      </c>
      <c r="C11" s="67">
        <f t="shared" ref="C11:C42" si="2">1*G11</f>
        <v>44485.362999999998</v>
      </c>
      <c r="D11" s="18" t="str">
        <f t="shared" ref="D11:D42" si="3">VLOOKUP(F11,I$1:J$5,2,FALSE)</f>
        <v>vis</v>
      </c>
      <c r="E11" s="75">
        <f>VLOOKUP(C11,Active!C$21:E$973,3,FALSE)</f>
        <v>-7483.0114397390453</v>
      </c>
      <c r="F11" s="22" t="s">
        <v>99</v>
      </c>
      <c r="G11" s="18" t="str">
        <f t="shared" ref="G11:G42" si="4">MID(I11,3,LEN(I11)-3)</f>
        <v>44485.363</v>
      </c>
      <c r="H11" s="67">
        <f t="shared" ref="H11:H42" si="5">1*K11</f>
        <v>-7483</v>
      </c>
      <c r="I11" s="76" t="s">
        <v>117</v>
      </c>
      <c r="J11" s="77" t="s">
        <v>118</v>
      </c>
      <c r="K11" s="76">
        <v>-7483</v>
      </c>
      <c r="L11" s="76" t="s">
        <v>119</v>
      </c>
      <c r="M11" s="77" t="s">
        <v>120</v>
      </c>
      <c r="N11" s="77"/>
      <c r="O11" s="78" t="s">
        <v>121</v>
      </c>
      <c r="P11" s="78" t="s">
        <v>122</v>
      </c>
    </row>
    <row r="12" spans="1:16" ht="12.75" customHeight="1" thickBot="1" x14ac:dyDescent="0.25">
      <c r="A12" s="67" t="str">
        <f t="shared" si="0"/>
        <v> BBS 77 </v>
      </c>
      <c r="B12" s="22" t="str">
        <f t="shared" si="1"/>
        <v>I</v>
      </c>
      <c r="C12" s="67">
        <f t="shared" si="2"/>
        <v>46252.447</v>
      </c>
      <c r="D12" s="18" t="str">
        <f t="shared" si="3"/>
        <v>vis</v>
      </c>
      <c r="E12" s="75">
        <f>VLOOKUP(C12,Active!C$21:E$973,3,FALSE)</f>
        <v>-6234.0167019483233</v>
      </c>
      <c r="F12" s="22" t="s">
        <v>99</v>
      </c>
      <c r="G12" s="18" t="str">
        <f t="shared" si="4"/>
        <v>46252.447</v>
      </c>
      <c r="H12" s="67">
        <f t="shared" si="5"/>
        <v>-6234</v>
      </c>
      <c r="I12" s="76" t="s">
        <v>128</v>
      </c>
      <c r="J12" s="77" t="s">
        <v>129</v>
      </c>
      <c r="K12" s="76">
        <v>-6234</v>
      </c>
      <c r="L12" s="76" t="s">
        <v>130</v>
      </c>
      <c r="M12" s="77" t="s">
        <v>120</v>
      </c>
      <c r="N12" s="77"/>
      <c r="O12" s="78" t="s">
        <v>131</v>
      </c>
      <c r="P12" s="78" t="s">
        <v>132</v>
      </c>
    </row>
    <row r="13" spans="1:16" ht="12.75" customHeight="1" thickBot="1" x14ac:dyDescent="0.25">
      <c r="A13" s="67" t="str">
        <f t="shared" si="0"/>
        <v> BBS 77 </v>
      </c>
      <c r="B13" s="22" t="str">
        <f t="shared" si="1"/>
        <v>I</v>
      </c>
      <c r="C13" s="67">
        <f t="shared" si="2"/>
        <v>46252.453999999998</v>
      </c>
      <c r="D13" s="18" t="str">
        <f t="shared" si="3"/>
        <v>vis</v>
      </c>
      <c r="E13" s="75">
        <f>VLOOKUP(C13,Active!C$21:E$973,3,FALSE)</f>
        <v>-6234.0117542700227</v>
      </c>
      <c r="F13" s="22" t="s">
        <v>99</v>
      </c>
      <c r="G13" s="18" t="str">
        <f t="shared" si="4"/>
        <v>46252.454</v>
      </c>
      <c r="H13" s="67">
        <f t="shared" si="5"/>
        <v>-6234</v>
      </c>
      <c r="I13" s="76" t="s">
        <v>137</v>
      </c>
      <c r="J13" s="77" t="s">
        <v>138</v>
      </c>
      <c r="K13" s="76">
        <v>-6234</v>
      </c>
      <c r="L13" s="76" t="s">
        <v>139</v>
      </c>
      <c r="M13" s="77" t="s">
        <v>120</v>
      </c>
      <c r="N13" s="77"/>
      <c r="O13" s="78" t="s">
        <v>140</v>
      </c>
      <c r="P13" s="78" t="s">
        <v>132</v>
      </c>
    </row>
    <row r="14" spans="1:16" ht="12.75" customHeight="1" thickBot="1" x14ac:dyDescent="0.25">
      <c r="A14" s="67" t="str">
        <f t="shared" si="0"/>
        <v> BBS 77 </v>
      </c>
      <c r="B14" s="22" t="str">
        <f t="shared" si="1"/>
        <v>I</v>
      </c>
      <c r="C14" s="67">
        <f t="shared" si="2"/>
        <v>46269.445</v>
      </c>
      <c r="D14" s="18" t="str">
        <f t="shared" si="3"/>
        <v>vis</v>
      </c>
      <c r="E14" s="75">
        <f>VLOOKUP(C14,Active!C$21:E$973,3,FALSE)</f>
        <v>-6222.0023254088001</v>
      </c>
      <c r="F14" s="22" t="s">
        <v>99</v>
      </c>
      <c r="G14" s="18" t="str">
        <f t="shared" si="4"/>
        <v>46269.445</v>
      </c>
      <c r="H14" s="67">
        <f t="shared" si="5"/>
        <v>-6222</v>
      </c>
      <c r="I14" s="76" t="s">
        <v>145</v>
      </c>
      <c r="J14" s="77" t="s">
        <v>146</v>
      </c>
      <c r="K14" s="76">
        <v>-6222</v>
      </c>
      <c r="L14" s="76" t="s">
        <v>101</v>
      </c>
      <c r="M14" s="77" t="s">
        <v>120</v>
      </c>
      <c r="N14" s="77"/>
      <c r="O14" s="78" t="s">
        <v>147</v>
      </c>
      <c r="P14" s="78" t="s">
        <v>132</v>
      </c>
    </row>
    <row r="15" spans="1:16" ht="12.75" customHeight="1" thickBot="1" x14ac:dyDescent="0.25">
      <c r="A15" s="67" t="str">
        <f t="shared" si="0"/>
        <v> BBS 81 </v>
      </c>
      <c r="B15" s="22" t="str">
        <f t="shared" si="1"/>
        <v>I</v>
      </c>
      <c r="C15" s="67">
        <f t="shared" si="2"/>
        <v>46624.571000000004</v>
      </c>
      <c r="D15" s="18" t="str">
        <f t="shared" si="3"/>
        <v>vis</v>
      </c>
      <c r="E15" s="75">
        <f>VLOOKUP(C15,Active!C$21:E$973,3,FALSE)</f>
        <v>-5970.9952961715526</v>
      </c>
      <c r="F15" s="22" t="s">
        <v>99</v>
      </c>
      <c r="G15" s="18" t="str">
        <f t="shared" si="4"/>
        <v>46624.571</v>
      </c>
      <c r="H15" s="67">
        <f t="shared" si="5"/>
        <v>-5971</v>
      </c>
      <c r="I15" s="76" t="s">
        <v>148</v>
      </c>
      <c r="J15" s="77" t="s">
        <v>149</v>
      </c>
      <c r="K15" s="76">
        <v>-5971</v>
      </c>
      <c r="L15" s="76" t="s">
        <v>150</v>
      </c>
      <c r="M15" s="77" t="s">
        <v>120</v>
      </c>
      <c r="N15" s="77"/>
      <c r="O15" s="78" t="s">
        <v>151</v>
      </c>
      <c r="P15" s="78" t="s">
        <v>152</v>
      </c>
    </row>
    <row r="16" spans="1:16" ht="12.75" customHeight="1" thickBot="1" x14ac:dyDescent="0.25">
      <c r="A16" s="67" t="str">
        <f t="shared" si="0"/>
        <v> BBS 81 </v>
      </c>
      <c r="B16" s="22" t="str">
        <f t="shared" si="1"/>
        <v>I</v>
      </c>
      <c r="C16" s="67">
        <f t="shared" si="2"/>
        <v>46627.402999999998</v>
      </c>
      <c r="D16" s="18" t="str">
        <f t="shared" si="3"/>
        <v>vis</v>
      </c>
      <c r="E16" s="75">
        <f>VLOOKUP(C16,Active!C$21:E$973,3,FALSE)</f>
        <v>-5968.9936068928218</v>
      </c>
      <c r="F16" s="22" t="s">
        <v>99</v>
      </c>
      <c r="G16" s="18" t="str">
        <f t="shared" si="4"/>
        <v>46627.403</v>
      </c>
      <c r="H16" s="67">
        <f t="shared" si="5"/>
        <v>-5969</v>
      </c>
      <c r="I16" s="76" t="s">
        <v>153</v>
      </c>
      <c r="J16" s="77" t="s">
        <v>154</v>
      </c>
      <c r="K16" s="76">
        <v>-5969</v>
      </c>
      <c r="L16" s="76" t="s">
        <v>155</v>
      </c>
      <c r="M16" s="77" t="s">
        <v>120</v>
      </c>
      <c r="N16" s="77"/>
      <c r="O16" s="78" t="s">
        <v>151</v>
      </c>
      <c r="P16" s="78" t="s">
        <v>152</v>
      </c>
    </row>
    <row r="17" spans="1:16" ht="12.75" customHeight="1" thickBot="1" x14ac:dyDescent="0.25">
      <c r="A17" s="67" t="str">
        <f t="shared" si="0"/>
        <v> BBS 81 </v>
      </c>
      <c r="B17" s="22" t="str">
        <f t="shared" si="1"/>
        <v>I</v>
      </c>
      <c r="C17" s="67">
        <f t="shared" si="2"/>
        <v>46685.392999999996</v>
      </c>
      <c r="D17" s="18" t="str">
        <f t="shared" si="3"/>
        <v>vis</v>
      </c>
      <c r="E17" s="75">
        <f>VLOOKUP(C17,Active!C$21:E$973,3,FALSE)</f>
        <v>-5928.005626217041</v>
      </c>
      <c r="F17" s="22" t="s">
        <v>99</v>
      </c>
      <c r="G17" s="18" t="str">
        <f t="shared" si="4"/>
        <v>46685.393</v>
      </c>
      <c r="H17" s="67">
        <f t="shared" si="5"/>
        <v>-5928</v>
      </c>
      <c r="I17" s="76" t="s">
        <v>156</v>
      </c>
      <c r="J17" s="77" t="s">
        <v>157</v>
      </c>
      <c r="K17" s="76">
        <v>-5928</v>
      </c>
      <c r="L17" s="76" t="s">
        <v>158</v>
      </c>
      <c r="M17" s="77" t="s">
        <v>120</v>
      </c>
      <c r="N17" s="77"/>
      <c r="O17" s="78" t="s">
        <v>151</v>
      </c>
      <c r="P17" s="78" t="s">
        <v>152</v>
      </c>
    </row>
    <row r="18" spans="1:16" ht="12.75" customHeight="1" thickBot="1" x14ac:dyDescent="0.25">
      <c r="A18" s="67" t="str">
        <f t="shared" si="0"/>
        <v> BBS 86 </v>
      </c>
      <c r="B18" s="22" t="str">
        <f t="shared" si="1"/>
        <v>I</v>
      </c>
      <c r="C18" s="67">
        <f t="shared" si="2"/>
        <v>47118.305</v>
      </c>
      <c r="D18" s="18" t="str">
        <f t="shared" si="3"/>
        <v>vis</v>
      </c>
      <c r="E18" s="75">
        <f>VLOOKUP(C18,Active!C$21:E$973,3,FALSE)</f>
        <v>-5622.0185820660781</v>
      </c>
      <c r="F18" s="22" t="s">
        <v>99</v>
      </c>
      <c r="G18" s="18" t="str">
        <f t="shared" si="4"/>
        <v>47118.305</v>
      </c>
      <c r="H18" s="67">
        <f t="shared" si="5"/>
        <v>-5622</v>
      </c>
      <c r="I18" s="76" t="s">
        <v>159</v>
      </c>
      <c r="J18" s="77" t="s">
        <v>160</v>
      </c>
      <c r="K18" s="76">
        <v>-5622</v>
      </c>
      <c r="L18" s="76" t="s">
        <v>161</v>
      </c>
      <c r="M18" s="77" t="s">
        <v>120</v>
      </c>
      <c r="N18" s="77"/>
      <c r="O18" s="78" t="s">
        <v>162</v>
      </c>
      <c r="P18" s="78" t="s">
        <v>163</v>
      </c>
    </row>
    <row r="19" spans="1:16" ht="12.75" customHeight="1" thickBot="1" x14ac:dyDescent="0.25">
      <c r="A19" s="67" t="str">
        <f t="shared" si="0"/>
        <v> BBS 89 </v>
      </c>
      <c r="B19" s="22" t="str">
        <f t="shared" si="1"/>
        <v>I</v>
      </c>
      <c r="C19" s="67">
        <f t="shared" si="2"/>
        <v>47391.387000000002</v>
      </c>
      <c r="D19" s="18" t="str">
        <f t="shared" si="3"/>
        <v>vis</v>
      </c>
      <c r="E19" s="75">
        <f>VLOOKUP(C19,Active!C$21:E$973,3,FALSE)</f>
        <v>-5429.0011697725095</v>
      </c>
      <c r="F19" s="22" t="s">
        <v>99</v>
      </c>
      <c r="G19" s="18" t="str">
        <f t="shared" si="4"/>
        <v>47391.387</v>
      </c>
      <c r="H19" s="67">
        <f t="shared" si="5"/>
        <v>-5429</v>
      </c>
      <c r="I19" s="76" t="s">
        <v>164</v>
      </c>
      <c r="J19" s="77" t="s">
        <v>165</v>
      </c>
      <c r="K19" s="76">
        <v>-5429</v>
      </c>
      <c r="L19" s="76" t="s">
        <v>166</v>
      </c>
      <c r="M19" s="77" t="s">
        <v>120</v>
      </c>
      <c r="N19" s="77"/>
      <c r="O19" s="78" t="s">
        <v>162</v>
      </c>
      <c r="P19" s="78" t="s">
        <v>167</v>
      </c>
    </row>
    <row r="20" spans="1:16" ht="12.75" customHeight="1" thickBot="1" x14ac:dyDescent="0.25">
      <c r="A20" s="67" t="str">
        <f t="shared" si="0"/>
        <v> BBS 89 </v>
      </c>
      <c r="B20" s="22" t="str">
        <f t="shared" si="1"/>
        <v>I</v>
      </c>
      <c r="C20" s="67">
        <f t="shared" si="2"/>
        <v>47415.444000000003</v>
      </c>
      <c r="D20" s="18" t="str">
        <f t="shared" si="3"/>
        <v>vis</v>
      </c>
      <c r="E20" s="75">
        <f>VLOOKUP(C20,Active!C$21:E$973,3,FALSE)</f>
        <v>-5411.9974130710552</v>
      </c>
      <c r="F20" s="22" t="s">
        <v>99</v>
      </c>
      <c r="G20" s="18" t="str">
        <f t="shared" si="4"/>
        <v>47415.444</v>
      </c>
      <c r="H20" s="67">
        <f t="shared" si="5"/>
        <v>-5412</v>
      </c>
      <c r="I20" s="76" t="s">
        <v>168</v>
      </c>
      <c r="J20" s="77" t="s">
        <v>169</v>
      </c>
      <c r="K20" s="76">
        <v>-5412</v>
      </c>
      <c r="L20" s="76" t="s">
        <v>170</v>
      </c>
      <c r="M20" s="77" t="s">
        <v>120</v>
      </c>
      <c r="N20" s="77"/>
      <c r="O20" s="78" t="s">
        <v>162</v>
      </c>
      <c r="P20" s="78" t="s">
        <v>167</v>
      </c>
    </row>
    <row r="21" spans="1:16" ht="12.75" customHeight="1" thickBot="1" x14ac:dyDescent="0.25">
      <c r="A21" s="67" t="str">
        <f t="shared" si="0"/>
        <v> BBS 90 </v>
      </c>
      <c r="B21" s="22" t="str">
        <f t="shared" si="1"/>
        <v>II</v>
      </c>
      <c r="C21" s="67">
        <f t="shared" si="2"/>
        <v>47471.262000000002</v>
      </c>
      <c r="D21" s="18" t="str">
        <f t="shared" si="3"/>
        <v>vis</v>
      </c>
      <c r="E21" s="75">
        <f>VLOOKUP(C21,Active!C$21:E$973,3,FALSE)</f>
        <v>-5372.5446262912519</v>
      </c>
      <c r="F21" s="22" t="s">
        <v>99</v>
      </c>
      <c r="G21" s="18" t="str">
        <f t="shared" si="4"/>
        <v>47471.262</v>
      </c>
      <c r="H21" s="67">
        <f t="shared" si="5"/>
        <v>-5372.5</v>
      </c>
      <c r="I21" s="76" t="s">
        <v>171</v>
      </c>
      <c r="J21" s="77" t="s">
        <v>172</v>
      </c>
      <c r="K21" s="76">
        <v>-5372.5</v>
      </c>
      <c r="L21" s="76" t="s">
        <v>173</v>
      </c>
      <c r="M21" s="77" t="s">
        <v>120</v>
      </c>
      <c r="N21" s="77"/>
      <c r="O21" s="78" t="s">
        <v>162</v>
      </c>
      <c r="P21" s="78" t="s">
        <v>174</v>
      </c>
    </row>
    <row r="22" spans="1:16" ht="12.75" customHeight="1" thickBot="1" x14ac:dyDescent="0.25">
      <c r="A22" s="67" t="str">
        <f t="shared" si="0"/>
        <v> BBS 92 </v>
      </c>
      <c r="B22" s="22" t="str">
        <f t="shared" si="1"/>
        <v>II</v>
      </c>
      <c r="C22" s="67">
        <f t="shared" si="2"/>
        <v>47734.455000000002</v>
      </c>
      <c r="D22" s="18" t="str">
        <f t="shared" si="3"/>
        <v>vis</v>
      </c>
      <c r="E22" s="75">
        <f>VLOOKUP(C22,Active!C$21:E$973,3,FALSE)</f>
        <v>-5186.5168698159787</v>
      </c>
      <c r="F22" s="22" t="s">
        <v>99</v>
      </c>
      <c r="G22" s="18" t="str">
        <f t="shared" si="4"/>
        <v>47734.455</v>
      </c>
      <c r="H22" s="67">
        <f t="shared" si="5"/>
        <v>-5186.5</v>
      </c>
      <c r="I22" s="76" t="s">
        <v>175</v>
      </c>
      <c r="J22" s="77" t="s">
        <v>176</v>
      </c>
      <c r="K22" s="76">
        <v>-5186.5</v>
      </c>
      <c r="L22" s="76" t="s">
        <v>130</v>
      </c>
      <c r="M22" s="77" t="s">
        <v>120</v>
      </c>
      <c r="N22" s="77"/>
      <c r="O22" s="78" t="s">
        <v>162</v>
      </c>
      <c r="P22" s="78" t="s">
        <v>177</v>
      </c>
    </row>
    <row r="23" spans="1:16" ht="12.75" customHeight="1" thickBot="1" x14ac:dyDescent="0.25">
      <c r="A23" s="67" t="str">
        <f t="shared" si="0"/>
        <v> BBS 93 </v>
      </c>
      <c r="B23" s="22" t="str">
        <f t="shared" si="1"/>
        <v>II</v>
      </c>
      <c r="C23" s="67">
        <f t="shared" si="2"/>
        <v>47812.271000000001</v>
      </c>
      <c r="D23" s="18" t="str">
        <f t="shared" si="3"/>
        <v>vis</v>
      </c>
      <c r="E23" s="75">
        <f>VLOOKUP(C23,Active!C$21:E$973,3,FALSE)</f>
        <v>-5131.5156505666837</v>
      </c>
      <c r="F23" s="22" t="s">
        <v>99</v>
      </c>
      <c r="G23" s="18" t="str">
        <f t="shared" si="4"/>
        <v>47812.271</v>
      </c>
      <c r="H23" s="67">
        <f t="shared" si="5"/>
        <v>-5131.5</v>
      </c>
      <c r="I23" s="76" t="s">
        <v>178</v>
      </c>
      <c r="J23" s="77" t="s">
        <v>179</v>
      </c>
      <c r="K23" s="76">
        <v>-5131.5</v>
      </c>
      <c r="L23" s="76" t="s">
        <v>180</v>
      </c>
      <c r="M23" s="77" t="s">
        <v>120</v>
      </c>
      <c r="N23" s="77"/>
      <c r="O23" s="78" t="s">
        <v>162</v>
      </c>
      <c r="P23" s="78" t="s">
        <v>181</v>
      </c>
    </row>
    <row r="24" spans="1:16" ht="12.75" customHeight="1" thickBot="1" x14ac:dyDescent="0.25">
      <c r="A24" s="67" t="str">
        <f t="shared" si="0"/>
        <v> BBS 93 </v>
      </c>
      <c r="B24" s="22" t="str">
        <f t="shared" si="1"/>
        <v>I</v>
      </c>
      <c r="C24" s="67">
        <f t="shared" si="2"/>
        <v>47824.285000000003</v>
      </c>
      <c r="D24" s="18" t="str">
        <f t="shared" si="3"/>
        <v>vis</v>
      </c>
      <c r="E24" s="75">
        <f>VLOOKUP(C24,Active!C$21:E$973,3,FALSE)</f>
        <v>-5123.0240209781514</v>
      </c>
      <c r="F24" s="22" t="s">
        <v>99</v>
      </c>
      <c r="G24" s="18" t="str">
        <f t="shared" si="4"/>
        <v>47824.285</v>
      </c>
      <c r="H24" s="67">
        <f t="shared" si="5"/>
        <v>-5123</v>
      </c>
      <c r="I24" s="76" t="s">
        <v>182</v>
      </c>
      <c r="J24" s="77" t="s">
        <v>183</v>
      </c>
      <c r="K24" s="76">
        <v>-5123</v>
      </c>
      <c r="L24" s="76" t="s">
        <v>184</v>
      </c>
      <c r="M24" s="77" t="s">
        <v>120</v>
      </c>
      <c r="N24" s="77"/>
      <c r="O24" s="78" t="s">
        <v>162</v>
      </c>
      <c r="P24" s="78" t="s">
        <v>181</v>
      </c>
    </row>
    <row r="25" spans="1:16" ht="12.75" customHeight="1" thickBot="1" x14ac:dyDescent="0.25">
      <c r="A25" s="67" t="str">
        <f t="shared" si="0"/>
        <v> BBS 93 </v>
      </c>
      <c r="B25" s="22" t="str">
        <f t="shared" si="1"/>
        <v>I</v>
      </c>
      <c r="C25" s="67">
        <f t="shared" si="2"/>
        <v>47858.26</v>
      </c>
      <c r="D25" s="18" t="str">
        <f t="shared" si="3"/>
        <v>vis</v>
      </c>
      <c r="E25" s="75">
        <f>VLOOKUP(C25,Active!C$21:E$973,3,FALSE)</f>
        <v>-5099.0101109340121</v>
      </c>
      <c r="F25" s="22" t="s">
        <v>99</v>
      </c>
      <c r="G25" s="18" t="str">
        <f t="shared" si="4"/>
        <v>47858.260</v>
      </c>
      <c r="H25" s="67">
        <f t="shared" si="5"/>
        <v>-5099</v>
      </c>
      <c r="I25" s="76" t="s">
        <v>185</v>
      </c>
      <c r="J25" s="77" t="s">
        <v>186</v>
      </c>
      <c r="K25" s="76">
        <v>-5099</v>
      </c>
      <c r="L25" s="76" t="s">
        <v>187</v>
      </c>
      <c r="M25" s="77" t="s">
        <v>120</v>
      </c>
      <c r="N25" s="77"/>
      <c r="O25" s="78" t="s">
        <v>162</v>
      </c>
      <c r="P25" s="78" t="s">
        <v>181</v>
      </c>
    </row>
    <row r="26" spans="1:16" ht="12.75" customHeight="1" thickBot="1" x14ac:dyDescent="0.25">
      <c r="A26" s="67" t="str">
        <f t="shared" si="0"/>
        <v> BBS 96 </v>
      </c>
      <c r="B26" s="22" t="str">
        <f t="shared" si="1"/>
        <v>I</v>
      </c>
      <c r="C26" s="67">
        <f t="shared" si="2"/>
        <v>48087.449000000001</v>
      </c>
      <c r="D26" s="18" t="str">
        <f t="shared" si="3"/>
        <v>vis</v>
      </c>
      <c r="E26" s="75">
        <f>VLOOKUP(C26,Active!C$21:E$973,3,FALSE)</f>
        <v>-4937.0167620272741</v>
      </c>
      <c r="F26" s="22" t="s">
        <v>99</v>
      </c>
      <c r="G26" s="18" t="str">
        <f t="shared" si="4"/>
        <v>48087.449</v>
      </c>
      <c r="H26" s="67">
        <f t="shared" si="5"/>
        <v>-4937</v>
      </c>
      <c r="I26" s="76" t="s">
        <v>188</v>
      </c>
      <c r="J26" s="77" t="s">
        <v>189</v>
      </c>
      <c r="K26" s="76">
        <v>-4937</v>
      </c>
      <c r="L26" s="76" t="s">
        <v>130</v>
      </c>
      <c r="M26" s="77" t="s">
        <v>120</v>
      </c>
      <c r="N26" s="77"/>
      <c r="O26" s="78" t="s">
        <v>190</v>
      </c>
      <c r="P26" s="78" t="s">
        <v>191</v>
      </c>
    </row>
    <row r="27" spans="1:16" ht="12.75" customHeight="1" thickBot="1" x14ac:dyDescent="0.25">
      <c r="A27" s="67" t="str">
        <f t="shared" si="0"/>
        <v> BBS 96 </v>
      </c>
      <c r="B27" s="22" t="str">
        <f t="shared" si="1"/>
        <v>I</v>
      </c>
      <c r="C27" s="67">
        <f t="shared" si="2"/>
        <v>48087.48</v>
      </c>
      <c r="D27" s="18" t="str">
        <f t="shared" si="3"/>
        <v>vis</v>
      </c>
      <c r="E27" s="75">
        <f>VLOOKUP(C27,Active!C$21:E$973,3,FALSE)</f>
        <v>-4936.9948508805064</v>
      </c>
      <c r="F27" s="22" t="s">
        <v>99</v>
      </c>
      <c r="G27" s="18" t="str">
        <f t="shared" si="4"/>
        <v>48087.480</v>
      </c>
      <c r="H27" s="67">
        <f t="shared" si="5"/>
        <v>-4937</v>
      </c>
      <c r="I27" s="76" t="s">
        <v>192</v>
      </c>
      <c r="J27" s="77" t="s">
        <v>193</v>
      </c>
      <c r="K27" s="76">
        <v>-4937</v>
      </c>
      <c r="L27" s="76" t="s">
        <v>150</v>
      </c>
      <c r="M27" s="77" t="s">
        <v>194</v>
      </c>
      <c r="N27" s="77" t="s">
        <v>195</v>
      </c>
      <c r="O27" s="78" t="s">
        <v>151</v>
      </c>
      <c r="P27" s="78" t="s">
        <v>191</v>
      </c>
    </row>
    <row r="28" spans="1:16" ht="12.75" customHeight="1" thickBot="1" x14ac:dyDescent="0.25">
      <c r="A28" s="67" t="str">
        <f t="shared" si="0"/>
        <v> BBS 96 </v>
      </c>
      <c r="B28" s="22" t="str">
        <f t="shared" si="1"/>
        <v>II</v>
      </c>
      <c r="C28" s="67">
        <f t="shared" si="2"/>
        <v>48092.413999999997</v>
      </c>
      <c r="D28" s="18" t="str">
        <f t="shared" si="3"/>
        <v>vis</v>
      </c>
      <c r="E28" s="75">
        <f>VLOOKUP(C28,Active!C$21:E$973,3,FALSE)</f>
        <v>-4933.5074444888169</v>
      </c>
      <c r="F28" s="22" t="s">
        <v>99</v>
      </c>
      <c r="G28" s="18" t="str">
        <f t="shared" si="4"/>
        <v>48092.414</v>
      </c>
      <c r="H28" s="67">
        <f t="shared" si="5"/>
        <v>-4933.5</v>
      </c>
      <c r="I28" s="76" t="s">
        <v>196</v>
      </c>
      <c r="J28" s="77" t="s">
        <v>197</v>
      </c>
      <c r="K28" s="76">
        <v>-4933.5</v>
      </c>
      <c r="L28" s="76" t="s">
        <v>143</v>
      </c>
      <c r="M28" s="77" t="s">
        <v>120</v>
      </c>
      <c r="N28" s="77"/>
      <c r="O28" s="78" t="s">
        <v>162</v>
      </c>
      <c r="P28" s="78" t="s">
        <v>191</v>
      </c>
    </row>
    <row r="29" spans="1:16" ht="12.75" customHeight="1" thickBot="1" x14ac:dyDescent="0.25">
      <c r="A29" s="67" t="str">
        <f t="shared" si="0"/>
        <v> BBS 96 </v>
      </c>
      <c r="B29" s="22" t="str">
        <f t="shared" si="1"/>
        <v>I</v>
      </c>
      <c r="C29" s="67">
        <f t="shared" si="2"/>
        <v>48094.506999999998</v>
      </c>
      <c r="D29" s="18" t="str">
        <f t="shared" si="3"/>
        <v>vis</v>
      </c>
      <c r="E29" s="75">
        <f>VLOOKUP(C29,Active!C$21:E$973,3,FALSE)</f>
        <v>-4932.0280886765313</v>
      </c>
      <c r="F29" s="22" t="s">
        <v>99</v>
      </c>
      <c r="G29" s="18" t="str">
        <f t="shared" si="4"/>
        <v>48094.507</v>
      </c>
      <c r="H29" s="67">
        <f t="shared" si="5"/>
        <v>-4932</v>
      </c>
      <c r="I29" s="76" t="s">
        <v>198</v>
      </c>
      <c r="J29" s="77" t="s">
        <v>199</v>
      </c>
      <c r="K29" s="76">
        <v>-4932</v>
      </c>
      <c r="L29" s="76" t="s">
        <v>200</v>
      </c>
      <c r="M29" s="77" t="s">
        <v>120</v>
      </c>
      <c r="N29" s="77"/>
      <c r="O29" s="78" t="s">
        <v>190</v>
      </c>
      <c r="P29" s="78" t="s">
        <v>191</v>
      </c>
    </row>
    <row r="30" spans="1:16" ht="12.75" customHeight="1" thickBot="1" x14ac:dyDescent="0.25">
      <c r="A30" s="67" t="str">
        <f t="shared" si="0"/>
        <v> BBS 96 </v>
      </c>
      <c r="B30" s="22" t="str">
        <f t="shared" si="1"/>
        <v>I</v>
      </c>
      <c r="C30" s="67">
        <f t="shared" si="2"/>
        <v>48121.400999999998</v>
      </c>
      <c r="D30" s="18" t="str">
        <f t="shared" si="3"/>
        <v>vis</v>
      </c>
      <c r="E30" s="75">
        <f>VLOOKUP(C30,Active!C$21:E$973,3,FALSE)</f>
        <v>-4913.0191086404129</v>
      </c>
      <c r="F30" s="22" t="s">
        <v>99</v>
      </c>
      <c r="G30" s="18" t="str">
        <f t="shared" si="4"/>
        <v>48121.401</v>
      </c>
      <c r="H30" s="67">
        <f t="shared" si="5"/>
        <v>-4913</v>
      </c>
      <c r="I30" s="76" t="s">
        <v>201</v>
      </c>
      <c r="J30" s="77" t="s">
        <v>202</v>
      </c>
      <c r="K30" s="76">
        <v>-4913</v>
      </c>
      <c r="L30" s="76" t="s">
        <v>203</v>
      </c>
      <c r="M30" s="77" t="s">
        <v>120</v>
      </c>
      <c r="N30" s="77"/>
      <c r="O30" s="78" t="s">
        <v>162</v>
      </c>
      <c r="P30" s="78" t="s">
        <v>191</v>
      </c>
    </row>
    <row r="31" spans="1:16" ht="12.75" customHeight="1" thickBot="1" x14ac:dyDescent="0.25">
      <c r="A31" s="67" t="str">
        <f t="shared" si="0"/>
        <v> BBS 96 </v>
      </c>
      <c r="B31" s="22" t="str">
        <f t="shared" si="1"/>
        <v>II</v>
      </c>
      <c r="C31" s="67">
        <f t="shared" si="2"/>
        <v>48126.358999999997</v>
      </c>
      <c r="D31" s="18" t="str">
        <f t="shared" si="3"/>
        <v>vis</v>
      </c>
      <c r="E31" s="75">
        <f>VLOOKUP(C31,Active!C$21:E$973,3,FALSE)</f>
        <v>-4909.5147387802563</v>
      </c>
      <c r="F31" s="22" t="s">
        <v>99</v>
      </c>
      <c r="G31" s="18" t="str">
        <f t="shared" si="4"/>
        <v>48126.359</v>
      </c>
      <c r="H31" s="67">
        <f t="shared" si="5"/>
        <v>-4909.5</v>
      </c>
      <c r="I31" s="76" t="s">
        <v>204</v>
      </c>
      <c r="J31" s="77" t="s">
        <v>205</v>
      </c>
      <c r="K31" s="76">
        <v>-4909.5</v>
      </c>
      <c r="L31" s="76" t="s">
        <v>206</v>
      </c>
      <c r="M31" s="77" t="s">
        <v>120</v>
      </c>
      <c r="N31" s="77"/>
      <c r="O31" s="78" t="s">
        <v>162</v>
      </c>
      <c r="P31" s="78" t="s">
        <v>191</v>
      </c>
    </row>
    <row r="32" spans="1:16" ht="12.75" customHeight="1" thickBot="1" x14ac:dyDescent="0.25">
      <c r="A32" s="67" t="str">
        <f t="shared" si="0"/>
        <v> BBS 96 </v>
      </c>
      <c r="B32" s="22" t="str">
        <f t="shared" si="1"/>
        <v>I</v>
      </c>
      <c r="C32" s="67">
        <f t="shared" si="2"/>
        <v>48179.415999999997</v>
      </c>
      <c r="D32" s="18" t="str">
        <f t="shared" si="3"/>
        <v>vis</v>
      </c>
      <c r="E32" s="75">
        <f>VLOOKUP(C32,Active!C$21:E$973,3,FALSE)</f>
        <v>-4872.0134576849814</v>
      </c>
      <c r="F32" s="22" t="s">
        <v>99</v>
      </c>
      <c r="G32" s="18" t="str">
        <f t="shared" si="4"/>
        <v>48179.416</v>
      </c>
      <c r="H32" s="67">
        <f t="shared" si="5"/>
        <v>-4872</v>
      </c>
      <c r="I32" s="76" t="s">
        <v>207</v>
      </c>
      <c r="J32" s="77" t="s">
        <v>208</v>
      </c>
      <c r="K32" s="76">
        <v>-4872</v>
      </c>
      <c r="L32" s="76" t="s">
        <v>209</v>
      </c>
      <c r="M32" s="77" t="s">
        <v>120</v>
      </c>
      <c r="N32" s="77"/>
      <c r="O32" s="78" t="s">
        <v>162</v>
      </c>
      <c r="P32" s="78" t="s">
        <v>191</v>
      </c>
    </row>
    <row r="33" spans="1:16" ht="12.75" customHeight="1" thickBot="1" x14ac:dyDescent="0.25">
      <c r="A33" s="67" t="str">
        <f t="shared" si="0"/>
        <v> BBS 98 </v>
      </c>
      <c r="B33" s="22" t="str">
        <f t="shared" si="1"/>
        <v>II</v>
      </c>
      <c r="C33" s="67">
        <f t="shared" si="2"/>
        <v>48474.421999999999</v>
      </c>
      <c r="D33" s="18" t="str">
        <f t="shared" si="3"/>
        <v>vis</v>
      </c>
      <c r="E33" s="75">
        <f>VLOOKUP(C33,Active!C$21:E$973,3,FALSE)</f>
        <v>-4663.499916949685</v>
      </c>
      <c r="F33" s="22" t="s">
        <v>99</v>
      </c>
      <c r="G33" s="18" t="str">
        <f t="shared" si="4"/>
        <v>48474.422</v>
      </c>
      <c r="H33" s="67">
        <f t="shared" si="5"/>
        <v>-4663.5</v>
      </c>
      <c r="I33" s="76" t="s">
        <v>210</v>
      </c>
      <c r="J33" s="77" t="s">
        <v>211</v>
      </c>
      <c r="K33" s="76">
        <v>-4663.5</v>
      </c>
      <c r="L33" s="76" t="s">
        <v>212</v>
      </c>
      <c r="M33" s="77" t="s">
        <v>120</v>
      </c>
      <c r="N33" s="77"/>
      <c r="O33" s="78" t="s">
        <v>162</v>
      </c>
      <c r="P33" s="78" t="s">
        <v>213</v>
      </c>
    </row>
    <row r="34" spans="1:16" ht="12.75" customHeight="1" thickBot="1" x14ac:dyDescent="0.25">
      <c r="A34" s="67" t="str">
        <f t="shared" si="0"/>
        <v> BBS 98 </v>
      </c>
      <c r="B34" s="22" t="str">
        <f t="shared" si="1"/>
        <v>I</v>
      </c>
      <c r="C34" s="67">
        <f t="shared" si="2"/>
        <v>48486.444000000003</v>
      </c>
      <c r="D34" s="18" t="str">
        <f t="shared" si="3"/>
        <v>vis</v>
      </c>
      <c r="E34" s="75">
        <f>VLOOKUP(C34,Active!C$21:E$973,3,FALSE)</f>
        <v>-4655.002632871664</v>
      </c>
      <c r="F34" s="22" t="s">
        <v>99</v>
      </c>
      <c r="G34" s="18" t="str">
        <f t="shared" si="4"/>
        <v>48486.444</v>
      </c>
      <c r="H34" s="67">
        <f t="shared" si="5"/>
        <v>-4655</v>
      </c>
      <c r="I34" s="76" t="s">
        <v>214</v>
      </c>
      <c r="J34" s="77" t="s">
        <v>215</v>
      </c>
      <c r="K34" s="76">
        <v>-4655</v>
      </c>
      <c r="L34" s="76" t="s">
        <v>216</v>
      </c>
      <c r="M34" s="77" t="s">
        <v>120</v>
      </c>
      <c r="N34" s="77"/>
      <c r="O34" s="78" t="s">
        <v>162</v>
      </c>
      <c r="P34" s="78" t="s">
        <v>213</v>
      </c>
    </row>
    <row r="35" spans="1:16" ht="12.75" customHeight="1" thickBot="1" x14ac:dyDescent="0.25">
      <c r="A35" s="67" t="str">
        <f t="shared" si="0"/>
        <v> BBS 99 </v>
      </c>
      <c r="B35" s="22" t="str">
        <f t="shared" si="1"/>
        <v>I</v>
      </c>
      <c r="C35" s="67">
        <f t="shared" si="2"/>
        <v>48503.413999999997</v>
      </c>
      <c r="D35" s="18" t="str">
        <f t="shared" si="3"/>
        <v>vis</v>
      </c>
      <c r="E35" s="75">
        <f>VLOOKUP(C35,Active!C$21:E$973,3,FALSE)</f>
        <v>-4643.0080470453531</v>
      </c>
      <c r="F35" s="22" t="s">
        <v>99</v>
      </c>
      <c r="G35" s="18" t="str">
        <f t="shared" si="4"/>
        <v>48503.414</v>
      </c>
      <c r="H35" s="67">
        <f t="shared" si="5"/>
        <v>-4643</v>
      </c>
      <c r="I35" s="76" t="s">
        <v>217</v>
      </c>
      <c r="J35" s="77" t="s">
        <v>218</v>
      </c>
      <c r="K35" s="76">
        <v>-4643</v>
      </c>
      <c r="L35" s="76" t="s">
        <v>143</v>
      </c>
      <c r="M35" s="77" t="s">
        <v>120</v>
      </c>
      <c r="N35" s="77"/>
      <c r="O35" s="78" t="s">
        <v>162</v>
      </c>
      <c r="P35" s="78" t="s">
        <v>219</v>
      </c>
    </row>
    <row r="36" spans="1:16" ht="12.75" customHeight="1" thickBot="1" x14ac:dyDescent="0.25">
      <c r="A36" s="67" t="str">
        <f t="shared" si="0"/>
        <v>BAVM 80 </v>
      </c>
      <c r="B36" s="22" t="str">
        <f t="shared" si="1"/>
        <v>I</v>
      </c>
      <c r="C36" s="67">
        <f t="shared" si="2"/>
        <v>48803.364000000001</v>
      </c>
      <c r="D36" s="18" t="str">
        <f t="shared" si="3"/>
        <v>vis</v>
      </c>
      <c r="E36" s="75">
        <f>VLOOKUP(C36,Active!C$21:E$973,3,FALSE)</f>
        <v>-4431.0000318065004</v>
      </c>
      <c r="F36" s="22" t="s">
        <v>99</v>
      </c>
      <c r="G36" s="18" t="str">
        <f t="shared" si="4"/>
        <v>48803.364</v>
      </c>
      <c r="H36" s="67">
        <f t="shared" si="5"/>
        <v>-4431</v>
      </c>
      <c r="I36" s="76" t="s">
        <v>225</v>
      </c>
      <c r="J36" s="77" t="s">
        <v>226</v>
      </c>
      <c r="K36" s="76">
        <v>-4431</v>
      </c>
      <c r="L36" s="76" t="s">
        <v>227</v>
      </c>
      <c r="M36" s="77" t="s">
        <v>194</v>
      </c>
      <c r="N36" s="77" t="s">
        <v>228</v>
      </c>
      <c r="O36" s="78" t="s">
        <v>223</v>
      </c>
      <c r="P36" s="79" t="s">
        <v>224</v>
      </c>
    </row>
    <row r="37" spans="1:16" ht="12.75" customHeight="1" thickBot="1" x14ac:dyDescent="0.25">
      <c r="A37" s="67" t="str">
        <f t="shared" si="0"/>
        <v> BBS 101 </v>
      </c>
      <c r="B37" s="22" t="str">
        <f t="shared" si="1"/>
        <v>I</v>
      </c>
      <c r="C37" s="67">
        <f t="shared" si="2"/>
        <v>48827.417000000001</v>
      </c>
      <c r="D37" s="18" t="str">
        <f t="shared" si="3"/>
        <v>vis</v>
      </c>
      <c r="E37" s="75">
        <f>VLOOKUP(C37,Active!C$21:E$973,3,FALSE)</f>
        <v>-4413.9991023497914</v>
      </c>
      <c r="F37" s="22" t="s">
        <v>99</v>
      </c>
      <c r="G37" s="18" t="str">
        <f t="shared" si="4"/>
        <v>48827.417</v>
      </c>
      <c r="H37" s="67">
        <f t="shared" si="5"/>
        <v>-4414</v>
      </c>
      <c r="I37" s="76" t="s">
        <v>229</v>
      </c>
      <c r="J37" s="77" t="s">
        <v>230</v>
      </c>
      <c r="K37" s="76">
        <v>-4414</v>
      </c>
      <c r="L37" s="76" t="s">
        <v>231</v>
      </c>
      <c r="M37" s="77" t="s">
        <v>120</v>
      </c>
      <c r="N37" s="77"/>
      <c r="O37" s="78" t="s">
        <v>162</v>
      </c>
      <c r="P37" s="78" t="s">
        <v>232</v>
      </c>
    </row>
    <row r="38" spans="1:16" ht="12.75" customHeight="1" thickBot="1" x14ac:dyDescent="0.25">
      <c r="A38" s="67" t="str">
        <f t="shared" si="0"/>
        <v> BBS 104 </v>
      </c>
      <c r="B38" s="22" t="str">
        <f t="shared" si="1"/>
        <v>I</v>
      </c>
      <c r="C38" s="67">
        <f t="shared" si="2"/>
        <v>49158.451999999997</v>
      </c>
      <c r="D38" s="18" t="str">
        <f t="shared" si="3"/>
        <v>vis</v>
      </c>
      <c r="E38" s="75">
        <f>VLOOKUP(C38,Active!C$21:E$973,3,FALSE)</f>
        <v>-4180.0198613943267</v>
      </c>
      <c r="F38" s="22" t="s">
        <v>99</v>
      </c>
      <c r="G38" s="18" t="str">
        <f t="shared" si="4"/>
        <v>49158.452</v>
      </c>
      <c r="H38" s="67">
        <f t="shared" si="5"/>
        <v>-4180</v>
      </c>
      <c r="I38" s="76" t="s">
        <v>233</v>
      </c>
      <c r="J38" s="77" t="s">
        <v>234</v>
      </c>
      <c r="K38" s="76">
        <v>-4180</v>
      </c>
      <c r="L38" s="76" t="s">
        <v>235</v>
      </c>
      <c r="M38" s="77" t="s">
        <v>120</v>
      </c>
      <c r="N38" s="77"/>
      <c r="O38" s="78" t="s">
        <v>162</v>
      </c>
      <c r="P38" s="78" t="s">
        <v>236</v>
      </c>
    </row>
    <row r="39" spans="1:16" ht="12.75" customHeight="1" thickBot="1" x14ac:dyDescent="0.25">
      <c r="A39" s="67" t="str">
        <f t="shared" si="0"/>
        <v> BBS 105 </v>
      </c>
      <c r="B39" s="22" t="str">
        <f t="shared" si="1"/>
        <v>I</v>
      </c>
      <c r="C39" s="67">
        <f t="shared" si="2"/>
        <v>49226.381999999998</v>
      </c>
      <c r="D39" s="18" t="str">
        <f t="shared" si="3"/>
        <v>vis</v>
      </c>
      <c r="E39" s="75">
        <f>VLOOKUP(C39,Active!C$21:E$973,3,FALSE)</f>
        <v>-4132.0061775297654</v>
      </c>
      <c r="F39" s="22" t="s">
        <v>99</v>
      </c>
      <c r="G39" s="18" t="str">
        <f t="shared" si="4"/>
        <v>49226.382</v>
      </c>
      <c r="H39" s="67">
        <f t="shared" si="5"/>
        <v>-4132</v>
      </c>
      <c r="I39" s="76" t="s">
        <v>250</v>
      </c>
      <c r="J39" s="77" t="s">
        <v>251</v>
      </c>
      <c r="K39" s="76">
        <v>-4132</v>
      </c>
      <c r="L39" s="76" t="s">
        <v>252</v>
      </c>
      <c r="M39" s="77" t="s">
        <v>120</v>
      </c>
      <c r="N39" s="77"/>
      <c r="O39" s="78" t="s">
        <v>162</v>
      </c>
      <c r="P39" s="78" t="s">
        <v>253</v>
      </c>
    </row>
    <row r="40" spans="1:16" ht="12.75" customHeight="1" thickBot="1" x14ac:dyDescent="0.25">
      <c r="A40" s="67" t="str">
        <f t="shared" si="0"/>
        <v> BBS 109 </v>
      </c>
      <c r="B40" s="22" t="str">
        <f t="shared" si="1"/>
        <v>I</v>
      </c>
      <c r="C40" s="67">
        <f t="shared" si="2"/>
        <v>49888.489000000001</v>
      </c>
      <c r="D40" s="18" t="str">
        <f t="shared" si="3"/>
        <v>vis</v>
      </c>
      <c r="E40" s="75">
        <f>VLOOKUP(C40,Active!C$21:E$973,3,FALSE)</f>
        <v>-3664.0215436049466</v>
      </c>
      <c r="F40" s="22" t="s">
        <v>99</v>
      </c>
      <c r="G40" s="18" t="str">
        <f t="shared" si="4"/>
        <v>49888.489</v>
      </c>
      <c r="H40" s="67">
        <f t="shared" si="5"/>
        <v>-3664</v>
      </c>
      <c r="I40" s="76" t="s">
        <v>260</v>
      </c>
      <c r="J40" s="77" t="s">
        <v>261</v>
      </c>
      <c r="K40" s="76">
        <v>-3664</v>
      </c>
      <c r="L40" s="76" t="s">
        <v>262</v>
      </c>
      <c r="M40" s="77" t="s">
        <v>120</v>
      </c>
      <c r="N40" s="77"/>
      <c r="O40" s="78" t="s">
        <v>162</v>
      </c>
      <c r="P40" s="78" t="s">
        <v>263</v>
      </c>
    </row>
    <row r="41" spans="1:16" ht="12.75" customHeight="1" thickBot="1" x14ac:dyDescent="0.25">
      <c r="A41" s="67" t="str">
        <f t="shared" si="0"/>
        <v> BBS 110 </v>
      </c>
      <c r="B41" s="22" t="str">
        <f t="shared" si="1"/>
        <v>I</v>
      </c>
      <c r="C41" s="67">
        <f t="shared" si="2"/>
        <v>49905.481</v>
      </c>
      <c r="D41" s="18" t="str">
        <f t="shared" si="3"/>
        <v>vis</v>
      </c>
      <c r="E41" s="75">
        <f>VLOOKUP(C41,Active!C$21:E$973,3,FALSE)</f>
        <v>-3652.0114079325404</v>
      </c>
      <c r="F41" s="22" t="s">
        <v>99</v>
      </c>
      <c r="G41" s="18" t="str">
        <f t="shared" si="4"/>
        <v>49905.481</v>
      </c>
      <c r="H41" s="67">
        <f t="shared" si="5"/>
        <v>-3652</v>
      </c>
      <c r="I41" s="76" t="s">
        <v>271</v>
      </c>
      <c r="J41" s="77" t="s">
        <v>272</v>
      </c>
      <c r="K41" s="76">
        <v>-3652</v>
      </c>
      <c r="L41" s="76" t="s">
        <v>119</v>
      </c>
      <c r="M41" s="77" t="s">
        <v>120</v>
      </c>
      <c r="N41" s="77"/>
      <c r="O41" s="78" t="s">
        <v>162</v>
      </c>
      <c r="P41" s="78" t="s">
        <v>273</v>
      </c>
    </row>
    <row r="42" spans="1:16" ht="12.75" customHeight="1" thickBot="1" x14ac:dyDescent="0.25">
      <c r="A42" s="67" t="str">
        <f t="shared" si="0"/>
        <v>BAVM 90 </v>
      </c>
      <c r="B42" s="22" t="str">
        <f t="shared" si="1"/>
        <v>I</v>
      </c>
      <c r="C42" s="67">
        <f t="shared" si="2"/>
        <v>49922.473400000003</v>
      </c>
      <c r="D42" s="18" t="str">
        <f t="shared" si="3"/>
        <v>vis</v>
      </c>
      <c r="E42" s="75">
        <f>VLOOKUP(C42,Active!C$21:E$973,3,FALSE)</f>
        <v>-3640.000989535657</v>
      </c>
      <c r="F42" s="22" t="s">
        <v>99</v>
      </c>
      <c r="G42" s="18" t="str">
        <f t="shared" si="4"/>
        <v>49922.4734</v>
      </c>
      <c r="H42" s="67">
        <f t="shared" si="5"/>
        <v>-3640</v>
      </c>
      <c r="I42" s="76" t="s">
        <v>274</v>
      </c>
      <c r="J42" s="77" t="s">
        <v>275</v>
      </c>
      <c r="K42" s="76">
        <v>-3640</v>
      </c>
      <c r="L42" s="76" t="s">
        <v>270</v>
      </c>
      <c r="M42" s="77" t="s">
        <v>194</v>
      </c>
      <c r="N42" s="77" t="s">
        <v>276</v>
      </c>
      <c r="O42" s="78" t="s">
        <v>277</v>
      </c>
      <c r="P42" s="79" t="s">
        <v>267</v>
      </c>
    </row>
    <row r="43" spans="1:16" ht="12.75" customHeight="1" thickBot="1" x14ac:dyDescent="0.25">
      <c r="A43" s="67" t="str">
        <f t="shared" ref="A43:A74" si="6">P43</f>
        <v> BBS 111 </v>
      </c>
      <c r="B43" s="22" t="str">
        <f t="shared" ref="B43:B74" si="7">IF(H43=INT(H43),"I","II")</f>
        <v>I</v>
      </c>
      <c r="C43" s="67">
        <f t="shared" ref="C43:C74" si="8">1*G43</f>
        <v>49990.368999999999</v>
      </c>
      <c r="D43" s="18" t="str">
        <f t="shared" ref="D43:D74" si="9">VLOOKUP(F43,I$1:J$5,2,FALSE)</f>
        <v>vis</v>
      </c>
      <c r="E43" s="75">
        <f>VLOOKUP(C43,Active!C$21:E$973,3,FALSE)</f>
        <v>-3592.0116199758968</v>
      </c>
      <c r="F43" s="22" t="s">
        <v>99</v>
      </c>
      <c r="G43" s="18" t="str">
        <f t="shared" ref="G43:G74" si="10">MID(I43,3,LEN(I43)-3)</f>
        <v>49990.369</v>
      </c>
      <c r="H43" s="67">
        <f t="shared" ref="H43:H74" si="11">1*K43</f>
        <v>-3592</v>
      </c>
      <c r="I43" s="76" t="s">
        <v>278</v>
      </c>
      <c r="J43" s="77" t="s">
        <v>279</v>
      </c>
      <c r="K43" s="76">
        <v>-3592</v>
      </c>
      <c r="L43" s="76" t="s">
        <v>119</v>
      </c>
      <c r="M43" s="77" t="s">
        <v>120</v>
      </c>
      <c r="N43" s="77"/>
      <c r="O43" s="78" t="s">
        <v>147</v>
      </c>
      <c r="P43" s="78" t="s">
        <v>280</v>
      </c>
    </row>
    <row r="44" spans="1:16" ht="12.75" customHeight="1" thickBot="1" x14ac:dyDescent="0.25">
      <c r="A44" s="67" t="str">
        <f t="shared" si="6"/>
        <v> BBS 112 </v>
      </c>
      <c r="B44" s="22" t="str">
        <f t="shared" si="7"/>
        <v>I</v>
      </c>
      <c r="C44" s="67">
        <f t="shared" si="8"/>
        <v>50287.468999999997</v>
      </c>
      <c r="D44" s="18" t="str">
        <f t="shared" si="9"/>
        <v>vis</v>
      </c>
      <c r="E44" s="75">
        <f>VLOOKUP(C44,Active!C$21:E$973,3,FALSE)</f>
        <v>-3382.0180166171313</v>
      </c>
      <c r="F44" s="22" t="s">
        <v>99</v>
      </c>
      <c r="G44" s="18" t="str">
        <f t="shared" si="10"/>
        <v>50287.469</v>
      </c>
      <c r="H44" s="67">
        <f t="shared" si="11"/>
        <v>-3382</v>
      </c>
      <c r="I44" s="76" t="s">
        <v>281</v>
      </c>
      <c r="J44" s="77" t="s">
        <v>282</v>
      </c>
      <c r="K44" s="76">
        <v>-3382</v>
      </c>
      <c r="L44" s="76" t="s">
        <v>283</v>
      </c>
      <c r="M44" s="77" t="s">
        <v>120</v>
      </c>
      <c r="N44" s="77"/>
      <c r="O44" s="78" t="s">
        <v>162</v>
      </c>
      <c r="P44" s="78" t="s">
        <v>284</v>
      </c>
    </row>
    <row r="45" spans="1:16" ht="12.75" customHeight="1" thickBot="1" x14ac:dyDescent="0.25">
      <c r="A45" s="67" t="str">
        <f t="shared" si="6"/>
        <v> BBS 113 </v>
      </c>
      <c r="B45" s="22" t="str">
        <f t="shared" si="7"/>
        <v>II</v>
      </c>
      <c r="C45" s="67">
        <f t="shared" si="8"/>
        <v>50343.362000000001</v>
      </c>
      <c r="D45" s="18" t="str">
        <f t="shared" si="9"/>
        <v>vis</v>
      </c>
      <c r="E45" s="75">
        <f>VLOOKUP(C45,Active!C$21:E$973,3,FALSE)</f>
        <v>-3342.5122189983754</v>
      </c>
      <c r="F45" s="22" t="s">
        <v>99</v>
      </c>
      <c r="G45" s="18" t="str">
        <f t="shared" si="10"/>
        <v>50343.362</v>
      </c>
      <c r="H45" s="67">
        <f t="shared" si="11"/>
        <v>-3342.5</v>
      </c>
      <c r="I45" s="76" t="s">
        <v>285</v>
      </c>
      <c r="J45" s="77" t="s">
        <v>286</v>
      </c>
      <c r="K45" s="76">
        <v>-3342.5</v>
      </c>
      <c r="L45" s="76" t="s">
        <v>139</v>
      </c>
      <c r="M45" s="77" t="s">
        <v>120</v>
      </c>
      <c r="N45" s="77"/>
      <c r="O45" s="78" t="s">
        <v>162</v>
      </c>
      <c r="P45" s="78" t="s">
        <v>287</v>
      </c>
    </row>
    <row r="46" spans="1:16" ht="12.75" customHeight="1" thickBot="1" x14ac:dyDescent="0.25">
      <c r="A46" s="67" t="str">
        <f t="shared" si="6"/>
        <v> BBS 115 </v>
      </c>
      <c r="B46" s="22" t="str">
        <f t="shared" si="7"/>
        <v>II</v>
      </c>
      <c r="C46" s="67">
        <f t="shared" si="8"/>
        <v>50599.453999999998</v>
      </c>
      <c r="D46" s="18" t="str">
        <f t="shared" si="9"/>
        <v>vis</v>
      </c>
      <c r="E46" s="75">
        <f>VLOOKUP(C46,Active!C$21:E$973,3,FALSE)</f>
        <v>-3161.5035287548458</v>
      </c>
      <c r="F46" s="22" t="s">
        <v>99</v>
      </c>
      <c r="G46" s="18" t="str">
        <f t="shared" si="10"/>
        <v>50599.454</v>
      </c>
      <c r="H46" s="67">
        <f t="shared" si="11"/>
        <v>-3161.5</v>
      </c>
      <c r="I46" s="76" t="s">
        <v>288</v>
      </c>
      <c r="J46" s="77" t="s">
        <v>289</v>
      </c>
      <c r="K46" s="76">
        <v>-3161.5</v>
      </c>
      <c r="L46" s="76" t="s">
        <v>290</v>
      </c>
      <c r="M46" s="77" t="s">
        <v>120</v>
      </c>
      <c r="N46" s="77"/>
      <c r="O46" s="78" t="s">
        <v>162</v>
      </c>
      <c r="P46" s="78" t="s">
        <v>291</v>
      </c>
    </row>
    <row r="47" spans="1:16" ht="12.75" customHeight="1" thickBot="1" x14ac:dyDescent="0.25">
      <c r="A47" s="67" t="str">
        <f t="shared" si="6"/>
        <v> BBS 115 </v>
      </c>
      <c r="B47" s="22" t="str">
        <f t="shared" si="7"/>
        <v>I</v>
      </c>
      <c r="C47" s="67">
        <f t="shared" si="8"/>
        <v>50679.364999999998</v>
      </c>
      <c r="D47" s="18" t="str">
        <f t="shared" si="9"/>
        <v>vis</v>
      </c>
      <c r="E47" s="75">
        <f>VLOOKUP(C47,Active!C$21:E$973,3,FALSE)</f>
        <v>-3105.021540070893</v>
      </c>
      <c r="F47" s="22" t="s">
        <v>99</v>
      </c>
      <c r="G47" s="18" t="str">
        <f t="shared" si="10"/>
        <v>50679.365</v>
      </c>
      <c r="H47" s="67">
        <f t="shared" si="11"/>
        <v>-3105</v>
      </c>
      <c r="I47" s="76" t="s">
        <v>292</v>
      </c>
      <c r="J47" s="77" t="s">
        <v>293</v>
      </c>
      <c r="K47" s="76">
        <v>-3105</v>
      </c>
      <c r="L47" s="76" t="s">
        <v>262</v>
      </c>
      <c r="M47" s="77" t="s">
        <v>120</v>
      </c>
      <c r="N47" s="77"/>
      <c r="O47" s="78" t="s">
        <v>162</v>
      </c>
      <c r="P47" s="78" t="s">
        <v>291</v>
      </c>
    </row>
    <row r="48" spans="1:16" ht="12.75" customHeight="1" thickBot="1" x14ac:dyDescent="0.25">
      <c r="A48" s="67" t="str">
        <f t="shared" si="6"/>
        <v> BBS 116 </v>
      </c>
      <c r="B48" s="22" t="str">
        <f t="shared" si="7"/>
        <v>I</v>
      </c>
      <c r="C48" s="67">
        <f t="shared" si="8"/>
        <v>50703.417000000001</v>
      </c>
      <c r="D48" s="18" t="str">
        <f t="shared" si="9"/>
        <v>vis</v>
      </c>
      <c r="E48" s="75">
        <f>VLOOKUP(C48,Active!C$21:E$973,3,FALSE)</f>
        <v>-3088.0213174253672</v>
      </c>
      <c r="F48" s="22" t="s">
        <v>99</v>
      </c>
      <c r="G48" s="18" t="str">
        <f t="shared" si="10"/>
        <v>50703.417</v>
      </c>
      <c r="H48" s="67">
        <f t="shared" si="11"/>
        <v>-3088</v>
      </c>
      <c r="I48" s="76" t="s">
        <v>294</v>
      </c>
      <c r="J48" s="77" t="s">
        <v>295</v>
      </c>
      <c r="K48" s="76">
        <v>-3088</v>
      </c>
      <c r="L48" s="76" t="s">
        <v>262</v>
      </c>
      <c r="M48" s="77" t="s">
        <v>120</v>
      </c>
      <c r="N48" s="77"/>
      <c r="O48" s="78" t="s">
        <v>162</v>
      </c>
      <c r="P48" s="78" t="s">
        <v>296</v>
      </c>
    </row>
    <row r="49" spans="1:16" ht="12.75" customHeight="1" thickBot="1" x14ac:dyDescent="0.25">
      <c r="A49" s="67" t="str">
        <f t="shared" si="6"/>
        <v> BBS 116 </v>
      </c>
      <c r="B49" s="22" t="str">
        <f t="shared" si="7"/>
        <v>I</v>
      </c>
      <c r="C49" s="67">
        <f t="shared" si="8"/>
        <v>50747.281999999999</v>
      </c>
      <c r="D49" s="18" t="str">
        <f t="shared" si="9"/>
        <v>vis</v>
      </c>
      <c r="E49" s="75">
        <f>VLOOKUP(C49,Active!C$21:E$973,3,FALSE)</f>
        <v>-3057.0170447517489</v>
      </c>
      <c r="F49" s="22" t="s">
        <v>99</v>
      </c>
      <c r="G49" s="18" t="str">
        <f t="shared" si="10"/>
        <v>50747.282</v>
      </c>
      <c r="H49" s="67">
        <f t="shared" si="11"/>
        <v>-3057</v>
      </c>
      <c r="I49" s="76" t="s">
        <v>297</v>
      </c>
      <c r="J49" s="77" t="s">
        <v>298</v>
      </c>
      <c r="K49" s="76">
        <v>-3057</v>
      </c>
      <c r="L49" s="76" t="s">
        <v>130</v>
      </c>
      <c r="M49" s="77" t="s">
        <v>120</v>
      </c>
      <c r="N49" s="77"/>
      <c r="O49" s="78" t="s">
        <v>162</v>
      </c>
      <c r="P49" s="78" t="s">
        <v>296</v>
      </c>
    </row>
    <row r="50" spans="1:16" ht="12.75" customHeight="1" thickBot="1" x14ac:dyDescent="0.25">
      <c r="A50" s="67" t="str">
        <f t="shared" si="6"/>
        <v>IBVS 5378 </v>
      </c>
      <c r="B50" s="22" t="str">
        <f t="shared" si="7"/>
        <v>I</v>
      </c>
      <c r="C50" s="67">
        <f t="shared" si="8"/>
        <v>52552.597199999997</v>
      </c>
      <c r="D50" s="18" t="str">
        <f t="shared" si="9"/>
        <v>vis</v>
      </c>
      <c r="E50" s="75">
        <f>VLOOKUP(C50,Active!C$21:E$973,3,FALSE)</f>
        <v>-1781.0000671470636</v>
      </c>
      <c r="F50" s="22" t="s">
        <v>99</v>
      </c>
      <c r="G50" s="18" t="str">
        <f t="shared" si="10"/>
        <v>52552.5972</v>
      </c>
      <c r="H50" s="67">
        <f t="shared" si="11"/>
        <v>-1781</v>
      </c>
      <c r="I50" s="76" t="s">
        <v>311</v>
      </c>
      <c r="J50" s="77" t="s">
        <v>312</v>
      </c>
      <c r="K50" s="76">
        <v>-1781</v>
      </c>
      <c r="L50" s="76" t="s">
        <v>313</v>
      </c>
      <c r="M50" s="77" t="s">
        <v>194</v>
      </c>
      <c r="N50" s="77" t="s">
        <v>195</v>
      </c>
      <c r="O50" s="78" t="s">
        <v>314</v>
      </c>
      <c r="P50" s="79" t="s">
        <v>315</v>
      </c>
    </row>
    <row r="51" spans="1:16" ht="12.75" customHeight="1" thickBot="1" x14ac:dyDescent="0.25">
      <c r="A51" s="67" t="str">
        <f t="shared" si="6"/>
        <v>BAVM 172 </v>
      </c>
      <c r="B51" s="22" t="str">
        <f t="shared" si="7"/>
        <v>I</v>
      </c>
      <c r="C51" s="67">
        <f t="shared" si="8"/>
        <v>52835.556100000002</v>
      </c>
      <c r="D51" s="18" t="str">
        <f t="shared" si="9"/>
        <v>vis</v>
      </c>
      <c r="E51" s="75">
        <f>VLOOKUP(C51,Active!C$21:E$973,3,FALSE)</f>
        <v>-1581.0015514505506</v>
      </c>
      <c r="F51" s="22" t="s">
        <v>99</v>
      </c>
      <c r="G51" s="18" t="str">
        <f t="shared" si="10"/>
        <v>52835.5561</v>
      </c>
      <c r="H51" s="67">
        <f t="shared" si="11"/>
        <v>-1581</v>
      </c>
      <c r="I51" s="76" t="s">
        <v>316</v>
      </c>
      <c r="J51" s="77" t="s">
        <v>317</v>
      </c>
      <c r="K51" s="76">
        <v>-1581</v>
      </c>
      <c r="L51" s="76" t="s">
        <v>318</v>
      </c>
      <c r="M51" s="77" t="s">
        <v>194</v>
      </c>
      <c r="N51" s="77" t="s">
        <v>276</v>
      </c>
      <c r="O51" s="78" t="s">
        <v>223</v>
      </c>
      <c r="P51" s="79" t="s">
        <v>319</v>
      </c>
    </row>
    <row r="52" spans="1:16" ht="12.75" customHeight="1" thickBot="1" x14ac:dyDescent="0.25">
      <c r="A52" s="67" t="str">
        <f t="shared" si="6"/>
        <v>BAVM 172 </v>
      </c>
      <c r="B52" s="22" t="str">
        <f t="shared" si="7"/>
        <v>II</v>
      </c>
      <c r="C52" s="67">
        <f t="shared" si="8"/>
        <v>52874.4637</v>
      </c>
      <c r="D52" s="18" t="str">
        <f t="shared" si="9"/>
        <v>vis</v>
      </c>
      <c r="E52" s="75">
        <f>VLOOKUP(C52,Active!C$21:E$973,3,FALSE)</f>
        <v>-1553.5012245503781</v>
      </c>
      <c r="F52" s="22" t="s">
        <v>99</v>
      </c>
      <c r="G52" s="18" t="str">
        <f t="shared" si="10"/>
        <v>52874.4637</v>
      </c>
      <c r="H52" s="67">
        <f t="shared" si="11"/>
        <v>-1553.5</v>
      </c>
      <c r="I52" s="76" t="s">
        <v>327</v>
      </c>
      <c r="J52" s="77" t="s">
        <v>328</v>
      </c>
      <c r="K52" s="76">
        <v>-1553.5</v>
      </c>
      <c r="L52" s="76" t="s">
        <v>329</v>
      </c>
      <c r="M52" s="77" t="s">
        <v>194</v>
      </c>
      <c r="N52" s="77" t="s">
        <v>330</v>
      </c>
      <c r="O52" s="78" t="s">
        <v>223</v>
      </c>
      <c r="P52" s="79" t="s">
        <v>319</v>
      </c>
    </row>
    <row r="53" spans="1:16" ht="12.75" customHeight="1" thickBot="1" x14ac:dyDescent="0.25">
      <c r="A53" s="67" t="str">
        <f t="shared" si="6"/>
        <v>BAVM 172 </v>
      </c>
      <c r="B53" s="22" t="str">
        <f t="shared" si="7"/>
        <v>I</v>
      </c>
      <c r="C53" s="67">
        <f t="shared" si="8"/>
        <v>52913.370600000002</v>
      </c>
      <c r="D53" s="18" t="str">
        <f t="shared" si="9"/>
        <v>vis</v>
      </c>
      <c r="E53" s="75">
        <f>VLOOKUP(C53,Active!C$21:E$973,3,FALSE)</f>
        <v>-1526.0013924180334</v>
      </c>
      <c r="F53" s="22" t="s">
        <v>99</v>
      </c>
      <c r="G53" s="18" t="str">
        <f t="shared" si="10"/>
        <v>52913.3706</v>
      </c>
      <c r="H53" s="67">
        <f t="shared" si="11"/>
        <v>-1526</v>
      </c>
      <c r="I53" s="76" t="s">
        <v>331</v>
      </c>
      <c r="J53" s="77" t="s">
        <v>332</v>
      </c>
      <c r="K53" s="76" t="s">
        <v>333</v>
      </c>
      <c r="L53" s="76" t="s">
        <v>334</v>
      </c>
      <c r="M53" s="77" t="s">
        <v>194</v>
      </c>
      <c r="N53" s="77" t="s">
        <v>276</v>
      </c>
      <c r="O53" s="78" t="s">
        <v>335</v>
      </c>
      <c r="P53" s="79" t="s">
        <v>319</v>
      </c>
    </row>
    <row r="54" spans="1:16" ht="12.75" customHeight="1" thickBot="1" x14ac:dyDescent="0.25">
      <c r="A54" s="67" t="str">
        <f t="shared" si="6"/>
        <v>BAVM 173 </v>
      </c>
      <c r="B54" s="22" t="str">
        <f t="shared" si="7"/>
        <v>I</v>
      </c>
      <c r="C54" s="67">
        <f t="shared" si="8"/>
        <v>53227.459600000002</v>
      </c>
      <c r="D54" s="18" t="str">
        <f t="shared" si="9"/>
        <v>vis</v>
      </c>
      <c r="E54" s="75">
        <f>VLOOKUP(C54,Active!C$21:E$973,3,FALSE)</f>
        <v>-1303.9997738204177</v>
      </c>
      <c r="F54" s="22" t="s">
        <v>99</v>
      </c>
      <c r="G54" s="18" t="str">
        <f t="shared" si="10"/>
        <v>53227.4596</v>
      </c>
      <c r="H54" s="67">
        <f t="shared" si="11"/>
        <v>-1304</v>
      </c>
      <c r="I54" s="76" t="s">
        <v>336</v>
      </c>
      <c r="J54" s="77" t="s">
        <v>337</v>
      </c>
      <c r="K54" s="76" t="s">
        <v>338</v>
      </c>
      <c r="L54" s="76" t="s">
        <v>339</v>
      </c>
      <c r="M54" s="77" t="s">
        <v>194</v>
      </c>
      <c r="N54" s="77" t="s">
        <v>276</v>
      </c>
      <c r="O54" s="78" t="s">
        <v>340</v>
      </c>
      <c r="P54" s="79" t="s">
        <v>341</v>
      </c>
    </row>
    <row r="55" spans="1:16" ht="12.75" customHeight="1" thickBot="1" x14ac:dyDescent="0.25">
      <c r="A55" s="67" t="str">
        <f t="shared" si="6"/>
        <v> TAOT 58.55 </v>
      </c>
      <c r="B55" s="22" t="str">
        <f t="shared" si="7"/>
        <v>I</v>
      </c>
      <c r="C55" s="67">
        <f t="shared" si="8"/>
        <v>34461.53</v>
      </c>
      <c r="D55" s="18" t="str">
        <f t="shared" si="9"/>
        <v>vis</v>
      </c>
      <c r="E55" s="75">
        <f>VLOOKUP(C55,Active!C$21:E$973,3,FALSE)</f>
        <v>-14567.96873067313</v>
      </c>
      <c r="F55" s="22" t="s">
        <v>99</v>
      </c>
      <c r="G55" s="18" t="str">
        <f t="shared" si="10"/>
        <v>34461.530</v>
      </c>
      <c r="H55" s="67">
        <f t="shared" si="11"/>
        <v>-14568</v>
      </c>
      <c r="I55" s="76" t="s">
        <v>103</v>
      </c>
      <c r="J55" s="77" t="s">
        <v>104</v>
      </c>
      <c r="K55" s="76">
        <v>-14568</v>
      </c>
      <c r="L55" s="76" t="s">
        <v>105</v>
      </c>
      <c r="M55" s="77" t="s">
        <v>102</v>
      </c>
      <c r="N55" s="77"/>
      <c r="O55" s="78" t="s">
        <v>106</v>
      </c>
      <c r="P55" s="78" t="s">
        <v>107</v>
      </c>
    </row>
    <row r="56" spans="1:16" ht="12.75" customHeight="1" thickBot="1" x14ac:dyDescent="0.25">
      <c r="A56" s="67" t="str">
        <f t="shared" si="6"/>
        <v> TAOT 58.55 </v>
      </c>
      <c r="B56" s="22" t="str">
        <f t="shared" si="7"/>
        <v>II</v>
      </c>
      <c r="C56" s="67">
        <f t="shared" si="8"/>
        <v>35248.872000000003</v>
      </c>
      <c r="D56" s="18" t="str">
        <f t="shared" si="9"/>
        <v>vis</v>
      </c>
      <c r="E56" s="75">
        <f>VLOOKUP(C56,Active!C$21:E$973,3,FALSE)</f>
        <v>-14011.466597870374</v>
      </c>
      <c r="F56" s="22" t="s">
        <v>99</v>
      </c>
      <c r="G56" s="18" t="str">
        <f t="shared" si="10"/>
        <v>35248.872</v>
      </c>
      <c r="H56" s="67">
        <f t="shared" si="11"/>
        <v>-14011.5</v>
      </c>
      <c r="I56" s="76" t="s">
        <v>108</v>
      </c>
      <c r="J56" s="77" t="s">
        <v>109</v>
      </c>
      <c r="K56" s="76">
        <v>-14011.5</v>
      </c>
      <c r="L56" s="76" t="s">
        <v>110</v>
      </c>
      <c r="M56" s="77" t="s">
        <v>102</v>
      </c>
      <c r="N56" s="77"/>
      <c r="O56" s="78" t="s">
        <v>106</v>
      </c>
      <c r="P56" s="78" t="s">
        <v>107</v>
      </c>
    </row>
    <row r="57" spans="1:16" ht="12.75" customHeight="1" thickBot="1" x14ac:dyDescent="0.25">
      <c r="A57" s="67" t="str">
        <f t="shared" si="6"/>
        <v> TAOT 58.55 </v>
      </c>
      <c r="B57" s="22" t="str">
        <f t="shared" si="7"/>
        <v>I</v>
      </c>
      <c r="C57" s="67">
        <f t="shared" si="8"/>
        <v>35557.995999999999</v>
      </c>
      <c r="D57" s="18" t="str">
        <f t="shared" si="9"/>
        <v>vis</v>
      </c>
      <c r="E57" s="75">
        <f>VLOOKUP(C57,Active!C$21:E$973,3,FALSE)</f>
        <v>-13792.97429681122</v>
      </c>
      <c r="F57" s="22" t="s">
        <v>99</v>
      </c>
      <c r="G57" s="18" t="str">
        <f t="shared" si="10"/>
        <v>35557.996</v>
      </c>
      <c r="H57" s="67">
        <f t="shared" si="11"/>
        <v>-13793</v>
      </c>
      <c r="I57" s="76" t="s">
        <v>111</v>
      </c>
      <c r="J57" s="77" t="s">
        <v>112</v>
      </c>
      <c r="K57" s="76">
        <v>-13793</v>
      </c>
      <c r="L57" s="76" t="s">
        <v>113</v>
      </c>
      <c r="M57" s="77" t="s">
        <v>102</v>
      </c>
      <c r="N57" s="77"/>
      <c r="O57" s="78" t="s">
        <v>106</v>
      </c>
      <c r="P57" s="78" t="s">
        <v>107</v>
      </c>
    </row>
    <row r="58" spans="1:16" ht="12.75" customHeight="1" thickBot="1" x14ac:dyDescent="0.25">
      <c r="A58" s="67" t="str">
        <f t="shared" si="6"/>
        <v> TAOT 58.55 </v>
      </c>
      <c r="B58" s="22" t="str">
        <f t="shared" si="7"/>
        <v>I</v>
      </c>
      <c r="C58" s="67">
        <f t="shared" si="8"/>
        <v>36241.345000000001</v>
      </c>
      <c r="D58" s="18" t="str">
        <f t="shared" si="9"/>
        <v>vis</v>
      </c>
      <c r="E58" s="75">
        <f>VLOOKUP(C58,Active!C$21:E$973,3,FALSE)</f>
        <v>-13309.975579673521</v>
      </c>
      <c r="F58" s="22" t="s">
        <v>99</v>
      </c>
      <c r="G58" s="18" t="str">
        <f t="shared" si="10"/>
        <v>36241.345</v>
      </c>
      <c r="H58" s="67">
        <f t="shared" si="11"/>
        <v>-13310</v>
      </c>
      <c r="I58" s="76" t="s">
        <v>114</v>
      </c>
      <c r="J58" s="77" t="s">
        <v>115</v>
      </c>
      <c r="K58" s="76">
        <v>-13310</v>
      </c>
      <c r="L58" s="76" t="s">
        <v>116</v>
      </c>
      <c r="M58" s="77" t="s">
        <v>102</v>
      </c>
      <c r="N58" s="77"/>
      <c r="O58" s="78" t="s">
        <v>106</v>
      </c>
      <c r="P58" s="78" t="s">
        <v>107</v>
      </c>
    </row>
    <row r="59" spans="1:16" ht="12.75" customHeight="1" thickBot="1" x14ac:dyDescent="0.25">
      <c r="A59" s="67" t="str">
        <f t="shared" si="6"/>
        <v> BRNO 27 </v>
      </c>
      <c r="B59" s="22" t="str">
        <f t="shared" si="7"/>
        <v>I</v>
      </c>
      <c r="C59" s="67">
        <f t="shared" si="8"/>
        <v>46252.432999999997</v>
      </c>
      <c r="D59" s="18" t="str">
        <f t="shared" si="9"/>
        <v>vis</v>
      </c>
      <c r="E59" s="75">
        <f>VLOOKUP(C59,Active!C$21:E$973,3,FALSE)</f>
        <v>-6234.0265973049291</v>
      </c>
      <c r="F59" s="22" t="s">
        <v>99</v>
      </c>
      <c r="G59" s="18" t="str">
        <f t="shared" si="10"/>
        <v>46252.433</v>
      </c>
      <c r="H59" s="67">
        <f t="shared" si="11"/>
        <v>-6234</v>
      </c>
      <c r="I59" s="76" t="s">
        <v>123</v>
      </c>
      <c r="J59" s="77" t="s">
        <v>124</v>
      </c>
      <c r="K59" s="76">
        <v>-6234</v>
      </c>
      <c r="L59" s="76" t="s">
        <v>125</v>
      </c>
      <c r="M59" s="77" t="s">
        <v>120</v>
      </c>
      <c r="N59" s="77"/>
      <c r="O59" s="78" t="s">
        <v>126</v>
      </c>
      <c r="P59" s="78" t="s">
        <v>127</v>
      </c>
    </row>
    <row r="60" spans="1:16" ht="12.75" customHeight="1" thickBot="1" x14ac:dyDescent="0.25">
      <c r="A60" s="67" t="str">
        <f t="shared" si="6"/>
        <v> BRNO 27 </v>
      </c>
      <c r="B60" s="22" t="str">
        <f t="shared" si="7"/>
        <v>I</v>
      </c>
      <c r="C60" s="67">
        <f t="shared" si="8"/>
        <v>46252.447999999997</v>
      </c>
      <c r="D60" s="18" t="str">
        <f t="shared" si="9"/>
        <v>vis</v>
      </c>
      <c r="E60" s="75">
        <f>VLOOKUP(C60,Active!C$21:E$973,3,FALSE)</f>
        <v>-6234.0159951371397</v>
      </c>
      <c r="F60" s="22" t="s">
        <v>99</v>
      </c>
      <c r="G60" s="18" t="str">
        <f t="shared" si="10"/>
        <v>46252.448</v>
      </c>
      <c r="H60" s="67">
        <f t="shared" si="11"/>
        <v>-6234</v>
      </c>
      <c r="I60" s="76" t="s">
        <v>133</v>
      </c>
      <c r="J60" s="77" t="s">
        <v>134</v>
      </c>
      <c r="K60" s="76">
        <v>-6234</v>
      </c>
      <c r="L60" s="76" t="s">
        <v>135</v>
      </c>
      <c r="M60" s="77" t="s">
        <v>120</v>
      </c>
      <c r="N60" s="77"/>
      <c r="O60" s="78" t="s">
        <v>136</v>
      </c>
      <c r="P60" s="78" t="s">
        <v>127</v>
      </c>
    </row>
    <row r="61" spans="1:16" ht="12.75" customHeight="1" thickBot="1" x14ac:dyDescent="0.25">
      <c r="A61" s="67" t="str">
        <f t="shared" si="6"/>
        <v> BRNO 27 </v>
      </c>
      <c r="B61" s="22" t="str">
        <f t="shared" si="7"/>
        <v>I</v>
      </c>
      <c r="C61" s="67">
        <f t="shared" si="8"/>
        <v>46252.46</v>
      </c>
      <c r="D61" s="18" t="str">
        <f t="shared" si="9"/>
        <v>vis</v>
      </c>
      <c r="E61" s="75">
        <f>VLOOKUP(C61,Active!C$21:E$973,3,FALSE)</f>
        <v>-6234.0075134029057</v>
      </c>
      <c r="F61" s="22" t="s">
        <v>99</v>
      </c>
      <c r="G61" s="18" t="str">
        <f t="shared" si="10"/>
        <v>46252.460</v>
      </c>
      <c r="H61" s="67">
        <f t="shared" si="11"/>
        <v>-6234</v>
      </c>
      <c r="I61" s="76" t="s">
        <v>141</v>
      </c>
      <c r="J61" s="77" t="s">
        <v>142</v>
      </c>
      <c r="K61" s="76">
        <v>-6234</v>
      </c>
      <c r="L61" s="76" t="s">
        <v>143</v>
      </c>
      <c r="M61" s="77" t="s">
        <v>120</v>
      </c>
      <c r="N61" s="77"/>
      <c r="O61" s="78" t="s">
        <v>144</v>
      </c>
      <c r="P61" s="78" t="s">
        <v>127</v>
      </c>
    </row>
    <row r="62" spans="1:16" ht="12.75" customHeight="1" thickBot="1" x14ac:dyDescent="0.25">
      <c r="A62" s="67" t="str">
        <f t="shared" si="6"/>
        <v>BAVM 80 </v>
      </c>
      <c r="B62" s="22" t="str">
        <f t="shared" si="7"/>
        <v>I</v>
      </c>
      <c r="C62" s="67">
        <f t="shared" si="8"/>
        <v>48803.362999999998</v>
      </c>
      <c r="D62" s="18" t="str">
        <f t="shared" si="9"/>
        <v>vis</v>
      </c>
      <c r="E62" s="75">
        <f>VLOOKUP(C62,Active!C$21:E$973,3,FALSE)</f>
        <v>-4431.0007386176894</v>
      </c>
      <c r="F62" s="22" t="s">
        <v>99</v>
      </c>
      <c r="G62" s="18" t="str">
        <f t="shared" si="10"/>
        <v>48803.363</v>
      </c>
      <c r="H62" s="67">
        <f t="shared" si="11"/>
        <v>-4431</v>
      </c>
      <c r="I62" s="76" t="s">
        <v>220</v>
      </c>
      <c r="J62" s="77" t="s">
        <v>221</v>
      </c>
      <c r="K62" s="76">
        <v>-4431</v>
      </c>
      <c r="L62" s="76" t="s">
        <v>222</v>
      </c>
      <c r="M62" s="77" t="s">
        <v>194</v>
      </c>
      <c r="N62" s="77" t="s">
        <v>35</v>
      </c>
      <c r="O62" s="78" t="s">
        <v>223</v>
      </c>
      <c r="P62" s="79" t="s">
        <v>224</v>
      </c>
    </row>
    <row r="63" spans="1:16" ht="12.75" customHeight="1" thickBot="1" x14ac:dyDescent="0.25">
      <c r="A63" s="67" t="str">
        <f t="shared" si="6"/>
        <v>BAVM 80 </v>
      </c>
      <c r="B63" s="22" t="str">
        <f t="shared" si="7"/>
        <v>I</v>
      </c>
      <c r="C63" s="67">
        <f t="shared" si="8"/>
        <v>49158.476999999999</v>
      </c>
      <c r="D63" s="18" t="str">
        <f t="shared" si="9"/>
        <v>vis</v>
      </c>
      <c r="E63" s="75">
        <f>VLOOKUP(C63,Active!C$21:E$973,3,FALSE)</f>
        <v>-4180.002191114676</v>
      </c>
      <c r="F63" s="22" t="s">
        <v>99</v>
      </c>
      <c r="G63" s="18" t="str">
        <f t="shared" si="10"/>
        <v>49158.477</v>
      </c>
      <c r="H63" s="67">
        <f t="shared" si="11"/>
        <v>-4180</v>
      </c>
      <c r="I63" s="76" t="s">
        <v>237</v>
      </c>
      <c r="J63" s="77" t="s">
        <v>238</v>
      </c>
      <c r="K63" s="76">
        <v>-4180</v>
      </c>
      <c r="L63" s="76" t="s">
        <v>101</v>
      </c>
      <c r="M63" s="77" t="s">
        <v>194</v>
      </c>
      <c r="N63" s="77" t="s">
        <v>35</v>
      </c>
      <c r="O63" s="78" t="s">
        <v>223</v>
      </c>
      <c r="P63" s="79" t="s">
        <v>224</v>
      </c>
    </row>
    <row r="64" spans="1:16" ht="12.75" customHeight="1" thickBot="1" x14ac:dyDescent="0.25">
      <c r="A64" s="67" t="str">
        <f t="shared" si="6"/>
        <v>BAVM 80 </v>
      </c>
      <c r="B64" s="22" t="str">
        <f t="shared" si="7"/>
        <v>I</v>
      </c>
      <c r="C64" s="67">
        <f t="shared" si="8"/>
        <v>49158.482000000004</v>
      </c>
      <c r="D64" s="18" t="str">
        <f t="shared" si="9"/>
        <v>vis</v>
      </c>
      <c r="E64" s="75">
        <f>VLOOKUP(C64,Active!C$21:E$973,3,FALSE)</f>
        <v>-4179.9986570587425</v>
      </c>
      <c r="F64" s="22" t="s">
        <v>99</v>
      </c>
      <c r="G64" s="18" t="str">
        <f t="shared" si="10"/>
        <v>49158.482</v>
      </c>
      <c r="H64" s="67">
        <f t="shared" si="11"/>
        <v>-4180</v>
      </c>
      <c r="I64" s="76" t="s">
        <v>239</v>
      </c>
      <c r="J64" s="77" t="s">
        <v>240</v>
      </c>
      <c r="K64" s="76">
        <v>-4180</v>
      </c>
      <c r="L64" s="76" t="s">
        <v>241</v>
      </c>
      <c r="M64" s="77" t="s">
        <v>194</v>
      </c>
      <c r="N64" s="77" t="s">
        <v>228</v>
      </c>
      <c r="O64" s="78" t="s">
        <v>223</v>
      </c>
      <c r="P64" s="79" t="s">
        <v>224</v>
      </c>
    </row>
    <row r="65" spans="1:16" ht="12.75" customHeight="1" thickBot="1" x14ac:dyDescent="0.25">
      <c r="A65" s="67" t="str">
        <f t="shared" si="6"/>
        <v>BAVM 68 </v>
      </c>
      <c r="B65" s="22" t="str">
        <f t="shared" si="7"/>
        <v>I</v>
      </c>
      <c r="C65" s="67">
        <f t="shared" si="8"/>
        <v>49216.483200000002</v>
      </c>
      <c r="D65" s="18" t="str">
        <f t="shared" si="9"/>
        <v>vis</v>
      </c>
      <c r="E65" s="75">
        <f>VLOOKUP(C65,Active!C$21:E$973,3,FALSE)</f>
        <v>-4139.0027600976782</v>
      </c>
      <c r="F65" s="22" t="s">
        <v>99</v>
      </c>
      <c r="G65" s="18" t="str">
        <f t="shared" si="10"/>
        <v>49216.4832</v>
      </c>
      <c r="H65" s="67">
        <f t="shared" si="11"/>
        <v>-4139</v>
      </c>
      <c r="I65" s="76" t="s">
        <v>242</v>
      </c>
      <c r="J65" s="77" t="s">
        <v>243</v>
      </c>
      <c r="K65" s="76">
        <v>-4139</v>
      </c>
      <c r="L65" s="76" t="s">
        <v>244</v>
      </c>
      <c r="M65" s="77" t="s">
        <v>194</v>
      </c>
      <c r="N65" s="77" t="s">
        <v>245</v>
      </c>
      <c r="O65" s="78" t="s">
        <v>223</v>
      </c>
      <c r="P65" s="79" t="s">
        <v>246</v>
      </c>
    </row>
    <row r="66" spans="1:16" ht="12.75" customHeight="1" thickBot="1" x14ac:dyDescent="0.25">
      <c r="A66" s="67" t="str">
        <f t="shared" si="6"/>
        <v>BAVM 68 </v>
      </c>
      <c r="B66" s="22" t="str">
        <f t="shared" si="7"/>
        <v>I</v>
      </c>
      <c r="C66" s="67">
        <f t="shared" si="8"/>
        <v>49216.484199999999</v>
      </c>
      <c r="D66" s="18" t="str">
        <f t="shared" si="9"/>
        <v>vis</v>
      </c>
      <c r="E66" s="75">
        <f>VLOOKUP(C66,Active!C$21:E$973,3,FALSE)</f>
        <v>-4139.0020532864946</v>
      </c>
      <c r="F66" s="22" t="s">
        <v>99</v>
      </c>
      <c r="G66" s="18" t="str">
        <f t="shared" si="10"/>
        <v>49216.4842</v>
      </c>
      <c r="H66" s="67">
        <f t="shared" si="11"/>
        <v>-4139</v>
      </c>
      <c r="I66" s="76" t="s">
        <v>247</v>
      </c>
      <c r="J66" s="77" t="s">
        <v>248</v>
      </c>
      <c r="K66" s="76">
        <v>-4139</v>
      </c>
      <c r="L66" s="76" t="s">
        <v>249</v>
      </c>
      <c r="M66" s="77" t="s">
        <v>194</v>
      </c>
      <c r="N66" s="77" t="s">
        <v>228</v>
      </c>
      <c r="O66" s="78" t="s">
        <v>223</v>
      </c>
      <c r="P66" s="79" t="s">
        <v>246</v>
      </c>
    </row>
    <row r="67" spans="1:16" ht="12.75" customHeight="1" thickBot="1" x14ac:dyDescent="0.25">
      <c r="A67" s="67" t="str">
        <f t="shared" si="6"/>
        <v>BAVM 80 </v>
      </c>
      <c r="B67" s="22" t="str">
        <f t="shared" si="7"/>
        <v>II</v>
      </c>
      <c r="C67" s="67">
        <f t="shared" si="8"/>
        <v>49569.481200000002</v>
      </c>
      <c r="D67" s="18" t="str">
        <f t="shared" si="9"/>
        <v>vis</v>
      </c>
      <c r="E67" s="75">
        <f>VLOOKUP(C67,Active!C$21:E$973,3,FALSE)</f>
        <v>-3889.4998250642284</v>
      </c>
      <c r="F67" s="22" t="s">
        <v>99</v>
      </c>
      <c r="G67" s="18" t="str">
        <f t="shared" si="10"/>
        <v>49569.4812</v>
      </c>
      <c r="H67" s="67">
        <f t="shared" si="11"/>
        <v>-3889.5</v>
      </c>
      <c r="I67" s="76" t="s">
        <v>254</v>
      </c>
      <c r="J67" s="77" t="s">
        <v>255</v>
      </c>
      <c r="K67" s="76">
        <v>-3889.5</v>
      </c>
      <c r="L67" s="76" t="s">
        <v>256</v>
      </c>
      <c r="M67" s="77" t="s">
        <v>194</v>
      </c>
      <c r="N67" s="77" t="s">
        <v>245</v>
      </c>
      <c r="O67" s="78" t="s">
        <v>223</v>
      </c>
      <c r="P67" s="79" t="s">
        <v>224</v>
      </c>
    </row>
    <row r="68" spans="1:16" ht="12.75" customHeight="1" thickBot="1" x14ac:dyDescent="0.25">
      <c r="A68" s="67" t="str">
        <f t="shared" si="6"/>
        <v>BAVM 80 </v>
      </c>
      <c r="B68" s="22" t="str">
        <f t="shared" si="7"/>
        <v>II</v>
      </c>
      <c r="C68" s="67">
        <f t="shared" si="8"/>
        <v>49569.481800000001</v>
      </c>
      <c r="D68" s="18" t="str">
        <f t="shared" si="9"/>
        <v>vis</v>
      </c>
      <c r="E68" s="75">
        <f>VLOOKUP(C68,Active!C$21:E$973,3,FALSE)</f>
        <v>-3889.4994009775173</v>
      </c>
      <c r="F68" s="22" t="s">
        <v>99</v>
      </c>
      <c r="G68" s="18" t="str">
        <f t="shared" si="10"/>
        <v>49569.4818</v>
      </c>
      <c r="H68" s="67">
        <f t="shared" si="11"/>
        <v>-3889.5</v>
      </c>
      <c r="I68" s="76" t="s">
        <v>257</v>
      </c>
      <c r="J68" s="77" t="s">
        <v>258</v>
      </c>
      <c r="K68" s="76">
        <v>-3889.5</v>
      </c>
      <c r="L68" s="76" t="s">
        <v>259</v>
      </c>
      <c r="M68" s="77" t="s">
        <v>194</v>
      </c>
      <c r="N68" s="77" t="s">
        <v>228</v>
      </c>
      <c r="O68" s="78" t="s">
        <v>223</v>
      </c>
      <c r="P68" s="79" t="s">
        <v>224</v>
      </c>
    </row>
    <row r="69" spans="1:16" ht="12.75" customHeight="1" thickBot="1" x14ac:dyDescent="0.25">
      <c r="A69" s="67" t="str">
        <f t="shared" si="6"/>
        <v>BAVM 90 </v>
      </c>
      <c r="B69" s="22" t="str">
        <f t="shared" si="7"/>
        <v>I</v>
      </c>
      <c r="C69" s="67">
        <f t="shared" si="8"/>
        <v>49888.517200000002</v>
      </c>
      <c r="D69" s="18" t="str">
        <f t="shared" si="9"/>
        <v>vis</v>
      </c>
      <c r="E69" s="75">
        <f>VLOOKUP(C69,Active!C$21:E$973,3,FALSE)</f>
        <v>-3664.0016115295011</v>
      </c>
      <c r="F69" s="22" t="s">
        <v>99</v>
      </c>
      <c r="G69" s="18" t="str">
        <f t="shared" si="10"/>
        <v>49888.5172</v>
      </c>
      <c r="H69" s="67">
        <f t="shared" si="11"/>
        <v>-3664</v>
      </c>
      <c r="I69" s="76" t="s">
        <v>264</v>
      </c>
      <c r="J69" s="77" t="s">
        <v>265</v>
      </c>
      <c r="K69" s="76">
        <v>-3664</v>
      </c>
      <c r="L69" s="76" t="s">
        <v>266</v>
      </c>
      <c r="M69" s="77" t="s">
        <v>194</v>
      </c>
      <c r="N69" s="77" t="s">
        <v>245</v>
      </c>
      <c r="O69" s="78" t="s">
        <v>223</v>
      </c>
      <c r="P69" s="79" t="s">
        <v>267</v>
      </c>
    </row>
    <row r="70" spans="1:16" ht="12.75" customHeight="1" thickBot="1" x14ac:dyDescent="0.25">
      <c r="A70" s="67" t="str">
        <f t="shared" si="6"/>
        <v>BAVM 90 </v>
      </c>
      <c r="B70" s="22" t="str">
        <f t="shared" si="7"/>
        <v>I</v>
      </c>
      <c r="C70" s="67">
        <f t="shared" si="8"/>
        <v>49888.518100000001</v>
      </c>
      <c r="D70" s="18" t="str">
        <f t="shared" si="9"/>
        <v>vis</v>
      </c>
      <c r="E70" s="75">
        <f>VLOOKUP(C70,Active!C$21:E$973,3,FALSE)</f>
        <v>-3664.0009753994341</v>
      </c>
      <c r="F70" s="22" t="s">
        <v>99</v>
      </c>
      <c r="G70" s="18" t="str">
        <f t="shared" si="10"/>
        <v>49888.5181</v>
      </c>
      <c r="H70" s="67">
        <f t="shared" si="11"/>
        <v>-3664</v>
      </c>
      <c r="I70" s="76" t="s">
        <v>268</v>
      </c>
      <c r="J70" s="77" t="s">
        <v>269</v>
      </c>
      <c r="K70" s="76">
        <v>-3664</v>
      </c>
      <c r="L70" s="76" t="s">
        <v>270</v>
      </c>
      <c r="M70" s="77" t="s">
        <v>194</v>
      </c>
      <c r="N70" s="77" t="s">
        <v>228</v>
      </c>
      <c r="O70" s="78" t="s">
        <v>223</v>
      </c>
      <c r="P70" s="79" t="s">
        <v>267</v>
      </c>
    </row>
    <row r="71" spans="1:16" ht="12.75" customHeight="1" thickBot="1" x14ac:dyDescent="0.25">
      <c r="A71" s="67" t="str">
        <f t="shared" si="6"/>
        <v>BAVM 131 </v>
      </c>
      <c r="B71" s="22" t="str">
        <f t="shared" si="7"/>
        <v>II</v>
      </c>
      <c r="C71" s="67">
        <f t="shared" si="8"/>
        <v>51424.364000000001</v>
      </c>
      <c r="D71" s="18" t="str">
        <f t="shared" si="9"/>
        <v>vis</v>
      </c>
      <c r="E71" s="75">
        <f>VLOOKUP(C71,Active!C$21:E$973,3,FALSE)</f>
        <v>-2578.4479133166737</v>
      </c>
      <c r="F71" s="22" t="s">
        <v>99</v>
      </c>
      <c r="G71" s="18" t="str">
        <f t="shared" si="10"/>
        <v>51424.364</v>
      </c>
      <c r="H71" s="67">
        <f t="shared" si="11"/>
        <v>-2578.5</v>
      </c>
      <c r="I71" s="76" t="s">
        <v>299</v>
      </c>
      <c r="J71" s="77" t="s">
        <v>300</v>
      </c>
      <c r="K71" s="76">
        <v>-2578.5</v>
      </c>
      <c r="L71" s="76" t="s">
        <v>301</v>
      </c>
      <c r="M71" s="77" t="s">
        <v>120</v>
      </c>
      <c r="N71" s="77"/>
      <c r="O71" s="78" t="s">
        <v>302</v>
      </c>
      <c r="P71" s="79" t="s">
        <v>303</v>
      </c>
    </row>
    <row r="72" spans="1:16" ht="12.75" customHeight="1" thickBot="1" x14ac:dyDescent="0.25">
      <c r="A72" s="67" t="str">
        <f t="shared" si="6"/>
        <v>BAVM 157 </v>
      </c>
      <c r="B72" s="22" t="str">
        <f t="shared" si="7"/>
        <v>I</v>
      </c>
      <c r="C72" s="67">
        <f t="shared" si="8"/>
        <v>52463.453000000001</v>
      </c>
      <c r="D72" s="18" t="str">
        <f t="shared" si="9"/>
        <v>vis</v>
      </c>
      <c r="E72" s="75">
        <f>VLOOKUP(C72,Active!C$21:E$973,3,FALSE)</f>
        <v>-1844.0081848735313</v>
      </c>
      <c r="F72" s="22" t="s">
        <v>99</v>
      </c>
      <c r="G72" s="18" t="str">
        <f t="shared" si="10"/>
        <v>52463.453</v>
      </c>
      <c r="H72" s="67">
        <f t="shared" si="11"/>
        <v>-1844</v>
      </c>
      <c r="I72" s="76" t="s">
        <v>304</v>
      </c>
      <c r="J72" s="77" t="s">
        <v>305</v>
      </c>
      <c r="K72" s="76">
        <v>-1844</v>
      </c>
      <c r="L72" s="76" t="s">
        <v>306</v>
      </c>
      <c r="M72" s="77" t="s">
        <v>120</v>
      </c>
      <c r="N72" s="77"/>
      <c r="O72" s="78" t="s">
        <v>307</v>
      </c>
      <c r="P72" s="79" t="s">
        <v>308</v>
      </c>
    </row>
    <row r="73" spans="1:16" ht="12.75" customHeight="1" thickBot="1" x14ac:dyDescent="0.25">
      <c r="A73" s="67" t="str">
        <f t="shared" si="6"/>
        <v>BAVM 157 </v>
      </c>
      <c r="B73" s="22" t="str">
        <f t="shared" si="7"/>
        <v>I</v>
      </c>
      <c r="C73" s="67">
        <f t="shared" si="8"/>
        <v>52548.330999999998</v>
      </c>
      <c r="D73" s="18" t="str">
        <f t="shared" si="9"/>
        <v>vis</v>
      </c>
      <c r="E73" s="75">
        <f>VLOOKUP(C73,Active!C$21:E$973,3,FALSE)</f>
        <v>-1784.0154650287491</v>
      </c>
      <c r="F73" s="22" t="s">
        <v>99</v>
      </c>
      <c r="G73" s="18" t="str">
        <f t="shared" si="10"/>
        <v>52548.331</v>
      </c>
      <c r="H73" s="67">
        <f t="shared" si="11"/>
        <v>-1784</v>
      </c>
      <c r="I73" s="76" t="s">
        <v>309</v>
      </c>
      <c r="J73" s="77" t="s">
        <v>310</v>
      </c>
      <c r="K73" s="76">
        <v>-1784</v>
      </c>
      <c r="L73" s="76" t="s">
        <v>180</v>
      </c>
      <c r="M73" s="77" t="s">
        <v>120</v>
      </c>
      <c r="N73" s="77"/>
      <c r="O73" s="78" t="s">
        <v>307</v>
      </c>
      <c r="P73" s="79" t="s">
        <v>308</v>
      </c>
    </row>
    <row r="74" spans="1:16" ht="12.75" customHeight="1" thickBot="1" x14ac:dyDescent="0.25">
      <c r="A74" s="67" t="str">
        <f t="shared" si="6"/>
        <v>BAVM 171 </v>
      </c>
      <c r="B74" s="22" t="str">
        <f t="shared" si="7"/>
        <v>I</v>
      </c>
      <c r="C74" s="67">
        <f t="shared" si="8"/>
        <v>52848.279000000002</v>
      </c>
      <c r="D74" s="18" t="str">
        <f t="shared" si="9"/>
        <v>vis</v>
      </c>
      <c r="E74" s="75">
        <f>VLOOKUP(C74,Active!C$21:E$973,3,FALSE)</f>
        <v>-1572.0088634122692</v>
      </c>
      <c r="F74" s="22" t="s">
        <v>99</v>
      </c>
      <c r="G74" s="18" t="str">
        <f t="shared" si="10"/>
        <v>52848.279</v>
      </c>
      <c r="H74" s="67">
        <f t="shared" si="11"/>
        <v>-1572</v>
      </c>
      <c r="I74" s="76" t="s">
        <v>320</v>
      </c>
      <c r="J74" s="77" t="s">
        <v>321</v>
      </c>
      <c r="K74" s="76">
        <v>-1572</v>
      </c>
      <c r="L74" s="76" t="s">
        <v>322</v>
      </c>
      <c r="M74" s="77" t="s">
        <v>120</v>
      </c>
      <c r="N74" s="77"/>
      <c r="O74" s="78" t="s">
        <v>323</v>
      </c>
      <c r="P74" s="79" t="s">
        <v>324</v>
      </c>
    </row>
    <row r="75" spans="1:16" ht="12.75" customHeight="1" thickBot="1" x14ac:dyDescent="0.25">
      <c r="A75" s="67" t="str">
        <f t="shared" ref="A75:A90" si="12">P75</f>
        <v>BAVM 171 </v>
      </c>
      <c r="B75" s="22" t="str">
        <f t="shared" ref="B75:B90" si="13">IF(H75=INT(H75),"I","II")</f>
        <v>II</v>
      </c>
      <c r="C75" s="67">
        <f t="shared" ref="C75:C90" si="14">1*G75</f>
        <v>52848.964999999997</v>
      </c>
      <c r="D75" s="18" t="str">
        <f t="shared" ref="D75:D90" si="15">VLOOKUP(F75,I$1:J$5,2,FALSE)</f>
        <v>vis</v>
      </c>
      <c r="E75" s="75">
        <f>VLOOKUP(C75,Active!C$21:E$973,3,FALSE)</f>
        <v>-1571.5239909386814</v>
      </c>
      <c r="F75" s="22" t="s">
        <v>99</v>
      </c>
      <c r="G75" s="18" t="str">
        <f t="shared" ref="G75:G90" si="16">MID(I75,3,LEN(I75)-3)</f>
        <v>52848.965</v>
      </c>
      <c r="H75" s="67">
        <f t="shared" ref="H75:H90" si="17">1*K75</f>
        <v>-1571.5</v>
      </c>
      <c r="I75" s="76" t="s">
        <v>325</v>
      </c>
      <c r="J75" s="77" t="s">
        <v>326</v>
      </c>
      <c r="K75" s="76">
        <v>-1571.5</v>
      </c>
      <c r="L75" s="76" t="s">
        <v>184</v>
      </c>
      <c r="M75" s="77" t="s">
        <v>120</v>
      </c>
      <c r="N75" s="77"/>
      <c r="O75" s="78" t="s">
        <v>323</v>
      </c>
      <c r="P75" s="79" t="s">
        <v>324</v>
      </c>
    </row>
    <row r="76" spans="1:16" ht="12.75" customHeight="1" thickBot="1" x14ac:dyDescent="0.25">
      <c r="A76" s="67" t="str">
        <f t="shared" si="12"/>
        <v>BAVM 203 </v>
      </c>
      <c r="B76" s="22" t="str">
        <f t="shared" si="13"/>
        <v>I</v>
      </c>
      <c r="C76" s="67">
        <f t="shared" si="14"/>
        <v>54001.355000000003</v>
      </c>
      <c r="D76" s="18" t="str">
        <f t="shared" si="15"/>
        <v>vis</v>
      </c>
      <c r="E76" s="75">
        <f>VLOOKUP(C76,Active!C$21:E$973,3,FALSE)</f>
        <v>-757.00184831124761</v>
      </c>
      <c r="F76" s="22" t="s">
        <v>99</v>
      </c>
      <c r="G76" s="18" t="str">
        <f t="shared" si="16"/>
        <v>54001.3550</v>
      </c>
      <c r="H76" s="67">
        <f t="shared" si="17"/>
        <v>-757</v>
      </c>
      <c r="I76" s="76" t="s">
        <v>342</v>
      </c>
      <c r="J76" s="77" t="s">
        <v>343</v>
      </c>
      <c r="K76" s="76" t="s">
        <v>344</v>
      </c>
      <c r="L76" s="76" t="s">
        <v>345</v>
      </c>
      <c r="M76" s="77" t="s">
        <v>346</v>
      </c>
      <c r="N76" s="77" t="s">
        <v>99</v>
      </c>
      <c r="O76" s="78" t="s">
        <v>347</v>
      </c>
      <c r="P76" s="79" t="s">
        <v>348</v>
      </c>
    </row>
    <row r="77" spans="1:16" ht="12.75" customHeight="1" thickBot="1" x14ac:dyDescent="0.25">
      <c r="A77" s="67" t="str">
        <f t="shared" si="12"/>
        <v>OEJV 0074 </v>
      </c>
      <c r="B77" s="22" t="str">
        <f t="shared" si="13"/>
        <v>I</v>
      </c>
      <c r="C77" s="67">
        <f t="shared" si="14"/>
        <v>54298.467230000002</v>
      </c>
      <c r="D77" s="18" t="str">
        <f t="shared" si="15"/>
        <v>vis</v>
      </c>
      <c r="E77" s="75">
        <f>VLOOKUP(C77,Active!C$21:E$973,3,FALSE)</f>
        <v>-546.99960065167704</v>
      </c>
      <c r="F77" s="22" t="s">
        <v>99</v>
      </c>
      <c r="G77" s="18" t="str">
        <f t="shared" si="16"/>
        <v>54298.46723</v>
      </c>
      <c r="H77" s="67">
        <f t="shared" si="17"/>
        <v>-547</v>
      </c>
      <c r="I77" s="76" t="s">
        <v>349</v>
      </c>
      <c r="J77" s="77" t="s">
        <v>350</v>
      </c>
      <c r="K77" s="76" t="s">
        <v>351</v>
      </c>
      <c r="L77" s="76" t="s">
        <v>352</v>
      </c>
      <c r="M77" s="77" t="s">
        <v>346</v>
      </c>
      <c r="N77" s="77" t="s">
        <v>353</v>
      </c>
      <c r="O77" s="78" t="s">
        <v>354</v>
      </c>
      <c r="P77" s="79" t="s">
        <v>355</v>
      </c>
    </row>
    <row r="78" spans="1:16" ht="12.75" customHeight="1" thickBot="1" x14ac:dyDescent="0.25">
      <c r="A78" s="67" t="str">
        <f t="shared" si="12"/>
        <v>BAVM 203 </v>
      </c>
      <c r="B78" s="22" t="str">
        <f t="shared" si="13"/>
        <v>II</v>
      </c>
      <c r="C78" s="67">
        <f t="shared" si="14"/>
        <v>54675.513299999999</v>
      </c>
      <c r="D78" s="18" t="str">
        <f t="shared" si="15"/>
        <v>CCD</v>
      </c>
      <c r="E78" s="75">
        <f>VLOOKUP(C78,Active!C$21:E$973,3,FALSE)</f>
        <v>-280.49922074066689</v>
      </c>
      <c r="F78" s="22" t="str">
        <f>LEFT(M78,1)</f>
        <v>C</v>
      </c>
      <c r="G78" s="18" t="str">
        <f t="shared" si="16"/>
        <v>54675.5133</v>
      </c>
      <c r="H78" s="67">
        <f t="shared" si="17"/>
        <v>-280.5</v>
      </c>
      <c r="I78" s="76" t="s">
        <v>356</v>
      </c>
      <c r="J78" s="77" t="s">
        <v>357</v>
      </c>
      <c r="K78" s="76" t="s">
        <v>358</v>
      </c>
      <c r="L78" s="76" t="s">
        <v>359</v>
      </c>
      <c r="M78" s="77" t="s">
        <v>346</v>
      </c>
      <c r="N78" s="77" t="s">
        <v>330</v>
      </c>
      <c r="O78" s="78" t="s">
        <v>223</v>
      </c>
      <c r="P78" s="79" t="s">
        <v>348</v>
      </c>
    </row>
    <row r="79" spans="1:16" ht="12.75" customHeight="1" thickBot="1" x14ac:dyDescent="0.25">
      <c r="A79" s="67" t="str">
        <f t="shared" si="12"/>
        <v>BAVM 203 </v>
      </c>
      <c r="B79" s="22" t="str">
        <f t="shared" si="13"/>
        <v>I</v>
      </c>
      <c r="C79" s="67">
        <f t="shared" si="14"/>
        <v>54697.438800000004</v>
      </c>
      <c r="D79" s="18" t="str">
        <f t="shared" si="15"/>
        <v>CCD</v>
      </c>
      <c r="E79" s="75">
        <f>VLOOKUP(C79,Active!C$21:E$973,3,FALSE)</f>
        <v>-265.00203208215578</v>
      </c>
      <c r="F79" s="22" t="str">
        <f>LEFT(M79,1)</f>
        <v>C</v>
      </c>
      <c r="G79" s="18" t="str">
        <f t="shared" si="16"/>
        <v>54697.4388</v>
      </c>
      <c r="H79" s="67">
        <f t="shared" si="17"/>
        <v>-265</v>
      </c>
      <c r="I79" s="76" t="s">
        <v>360</v>
      </c>
      <c r="J79" s="77" t="s">
        <v>361</v>
      </c>
      <c r="K79" s="76" t="s">
        <v>362</v>
      </c>
      <c r="L79" s="76" t="s">
        <v>249</v>
      </c>
      <c r="M79" s="77" t="s">
        <v>346</v>
      </c>
      <c r="N79" s="77" t="s">
        <v>330</v>
      </c>
      <c r="O79" s="78" t="s">
        <v>363</v>
      </c>
      <c r="P79" s="79" t="s">
        <v>348</v>
      </c>
    </row>
    <row r="80" spans="1:16" ht="12.75" customHeight="1" thickBot="1" x14ac:dyDescent="0.25">
      <c r="A80" s="67" t="str">
        <f t="shared" si="12"/>
        <v>BAVM 209 </v>
      </c>
      <c r="B80" s="22" t="str">
        <f t="shared" si="13"/>
        <v>II</v>
      </c>
      <c r="C80" s="67">
        <f t="shared" si="14"/>
        <v>55016.479399999997</v>
      </c>
      <c r="D80" s="18" t="str">
        <f t="shared" si="15"/>
        <v>CCD</v>
      </c>
      <c r="E80" s="75">
        <f>VLOOKUP(C80,Active!C$21:E$973,3,FALSE)</f>
        <v>-39.500567215977767</v>
      </c>
      <c r="F80" s="22" t="str">
        <f>LEFT(M80,1)</f>
        <v>C</v>
      </c>
      <c r="G80" s="18" t="str">
        <f t="shared" si="16"/>
        <v>55016.4794</v>
      </c>
      <c r="H80" s="67">
        <f t="shared" si="17"/>
        <v>-39.5</v>
      </c>
      <c r="I80" s="76" t="s">
        <v>364</v>
      </c>
      <c r="J80" s="77" t="s">
        <v>365</v>
      </c>
      <c r="K80" s="76" t="s">
        <v>366</v>
      </c>
      <c r="L80" s="76" t="s">
        <v>367</v>
      </c>
      <c r="M80" s="77" t="s">
        <v>346</v>
      </c>
      <c r="N80" s="77" t="s">
        <v>276</v>
      </c>
      <c r="O80" s="78" t="s">
        <v>368</v>
      </c>
      <c r="P80" s="79" t="s">
        <v>369</v>
      </c>
    </row>
    <row r="81" spans="1:16" ht="12.75" customHeight="1" thickBot="1" x14ac:dyDescent="0.25">
      <c r="A81" s="67" t="str">
        <f t="shared" si="12"/>
        <v>BAVM 212 </v>
      </c>
      <c r="B81" s="22" t="str">
        <f t="shared" si="13"/>
        <v>II</v>
      </c>
      <c r="C81" s="67">
        <f t="shared" si="14"/>
        <v>55067.398399999998</v>
      </c>
      <c r="D81" s="18" t="str">
        <f t="shared" si="15"/>
        <v>CCD</v>
      </c>
      <c r="E81" s="75">
        <f>VLOOKUP(C81,Active!C$21:E$973,3,FALSE)</f>
        <v>-3.5104484363567727</v>
      </c>
      <c r="F81" s="22" t="str">
        <f>LEFT(M81,1)</f>
        <v>C</v>
      </c>
      <c r="G81" s="18" t="str">
        <f t="shared" si="16"/>
        <v>55067.3984</v>
      </c>
      <c r="H81" s="67">
        <f t="shared" si="17"/>
        <v>-3.5</v>
      </c>
      <c r="I81" s="76" t="s">
        <v>370</v>
      </c>
      <c r="J81" s="77" t="s">
        <v>371</v>
      </c>
      <c r="K81" s="76" t="s">
        <v>372</v>
      </c>
      <c r="L81" s="76" t="s">
        <v>373</v>
      </c>
      <c r="M81" s="77" t="s">
        <v>346</v>
      </c>
      <c r="N81" s="77" t="s">
        <v>276</v>
      </c>
      <c r="O81" s="78" t="s">
        <v>374</v>
      </c>
      <c r="P81" s="79" t="s">
        <v>375</v>
      </c>
    </row>
    <row r="82" spans="1:16" ht="12.75" customHeight="1" thickBot="1" x14ac:dyDescent="0.25">
      <c r="A82" s="67" t="str">
        <f t="shared" si="12"/>
        <v>BAVM 212 </v>
      </c>
      <c r="B82" s="22" t="str">
        <f t="shared" si="13"/>
        <v>II</v>
      </c>
      <c r="C82" s="67">
        <f t="shared" si="14"/>
        <v>55067.409</v>
      </c>
      <c r="D82" s="18" t="str">
        <f t="shared" si="15"/>
        <v>CCD</v>
      </c>
      <c r="E82" s="75">
        <f>VLOOKUP(C82,Active!C$21:E$973,3,FALSE)</f>
        <v>-3.5029562377842258</v>
      </c>
      <c r="F82" s="22" t="str">
        <f>LEFT(M82,1)</f>
        <v>C</v>
      </c>
      <c r="G82" s="18" t="str">
        <f t="shared" si="16"/>
        <v>55067.4090</v>
      </c>
      <c r="H82" s="67">
        <f t="shared" si="17"/>
        <v>-3.5</v>
      </c>
      <c r="I82" s="76" t="s">
        <v>376</v>
      </c>
      <c r="J82" s="77" t="s">
        <v>377</v>
      </c>
      <c r="K82" s="76" t="s">
        <v>372</v>
      </c>
      <c r="L82" s="76" t="s">
        <v>378</v>
      </c>
      <c r="M82" s="77" t="s">
        <v>346</v>
      </c>
      <c r="N82" s="77" t="s">
        <v>330</v>
      </c>
      <c r="O82" s="78" t="s">
        <v>379</v>
      </c>
      <c r="P82" s="79" t="s">
        <v>375</v>
      </c>
    </row>
    <row r="83" spans="1:16" ht="12.75" customHeight="1" thickBot="1" x14ac:dyDescent="0.25">
      <c r="A83" s="67" t="str">
        <f t="shared" si="12"/>
        <v>BAVM 212 </v>
      </c>
      <c r="B83" s="22" t="str">
        <f t="shared" si="13"/>
        <v>I</v>
      </c>
      <c r="C83" s="67">
        <f t="shared" si="14"/>
        <v>55072.364999999998</v>
      </c>
      <c r="D83" s="18" t="str">
        <f t="shared" si="15"/>
        <v>vis</v>
      </c>
      <c r="E83" s="75">
        <f>VLOOKUP(C83,Active!C$21:E$973,3,FALSE)</f>
        <v>0</v>
      </c>
      <c r="F83" s="22" t="s">
        <v>99</v>
      </c>
      <c r="G83" s="18" t="str">
        <f t="shared" si="16"/>
        <v>55072.3650</v>
      </c>
      <c r="H83" s="67">
        <f t="shared" si="17"/>
        <v>0</v>
      </c>
      <c r="I83" s="76" t="s">
        <v>380</v>
      </c>
      <c r="J83" s="77" t="s">
        <v>381</v>
      </c>
      <c r="K83" s="76" t="s">
        <v>382</v>
      </c>
      <c r="L83" s="76" t="s">
        <v>383</v>
      </c>
      <c r="M83" s="77" t="s">
        <v>346</v>
      </c>
      <c r="N83" s="77" t="s">
        <v>276</v>
      </c>
      <c r="O83" s="78" t="s">
        <v>374</v>
      </c>
      <c r="P83" s="79" t="s">
        <v>375</v>
      </c>
    </row>
    <row r="84" spans="1:16" ht="12.75" customHeight="1" thickBot="1" x14ac:dyDescent="0.25">
      <c r="A84" s="67" t="str">
        <f t="shared" si="12"/>
        <v>BAVM 220 </v>
      </c>
      <c r="B84" s="22" t="str">
        <f t="shared" si="13"/>
        <v>I</v>
      </c>
      <c r="C84" s="67">
        <f t="shared" si="14"/>
        <v>55369.474399999999</v>
      </c>
      <c r="D84" s="18" t="str">
        <f t="shared" si="15"/>
        <v>vis</v>
      </c>
      <c r="E84" s="75">
        <f>VLOOKUP(C84,Active!C$21:E$973,3,FALSE)</f>
        <v>210.00024738391593</v>
      </c>
      <c r="F84" s="22" t="s">
        <v>99</v>
      </c>
      <c r="G84" s="18" t="str">
        <f t="shared" si="16"/>
        <v>55369.4744</v>
      </c>
      <c r="H84" s="67">
        <f t="shared" si="17"/>
        <v>210</v>
      </c>
      <c r="I84" s="76" t="s">
        <v>384</v>
      </c>
      <c r="J84" s="77" t="s">
        <v>385</v>
      </c>
      <c r="K84" s="76" t="s">
        <v>386</v>
      </c>
      <c r="L84" s="76" t="s">
        <v>339</v>
      </c>
      <c r="M84" s="77" t="s">
        <v>346</v>
      </c>
      <c r="N84" s="77" t="s">
        <v>330</v>
      </c>
      <c r="O84" s="78" t="s">
        <v>387</v>
      </c>
      <c r="P84" s="79" t="s">
        <v>388</v>
      </c>
    </row>
    <row r="85" spans="1:16" ht="12.75" customHeight="1" thickBot="1" x14ac:dyDescent="0.25">
      <c r="A85" s="67" t="str">
        <f t="shared" si="12"/>
        <v>BAVM 238 </v>
      </c>
      <c r="B85" s="22" t="str">
        <f t="shared" si="13"/>
        <v>I</v>
      </c>
      <c r="C85" s="67">
        <f t="shared" si="14"/>
        <v>56822.474800000004</v>
      </c>
      <c r="D85" s="18" t="str">
        <f t="shared" si="15"/>
        <v>vis</v>
      </c>
      <c r="E85" s="75">
        <f>VLOOKUP(C85,Active!C$21:E$973,3,FALSE)</f>
        <v>1236.9971833574277</v>
      </c>
      <c r="F85" s="22" t="s">
        <v>99</v>
      </c>
      <c r="G85" s="18" t="str">
        <f t="shared" si="16"/>
        <v>56822.4748</v>
      </c>
      <c r="H85" s="67">
        <f t="shared" si="17"/>
        <v>1237</v>
      </c>
      <c r="I85" s="76" t="s">
        <v>389</v>
      </c>
      <c r="J85" s="77" t="s">
        <v>390</v>
      </c>
      <c r="K85" s="76" t="s">
        <v>391</v>
      </c>
      <c r="L85" s="76" t="s">
        <v>392</v>
      </c>
      <c r="M85" s="77" t="s">
        <v>346</v>
      </c>
      <c r="N85" s="77" t="s">
        <v>330</v>
      </c>
      <c r="O85" s="78" t="s">
        <v>223</v>
      </c>
      <c r="P85" s="79" t="s">
        <v>393</v>
      </c>
    </row>
    <row r="86" spans="1:16" ht="12.75" customHeight="1" thickBot="1" x14ac:dyDescent="0.25">
      <c r="A86" s="67" t="str">
        <f t="shared" si="12"/>
        <v>BAVM 238 </v>
      </c>
      <c r="B86" s="22" t="str">
        <f t="shared" si="13"/>
        <v>II</v>
      </c>
      <c r="C86" s="67">
        <f t="shared" si="14"/>
        <v>56834.501100000001</v>
      </c>
      <c r="D86" s="18" t="str">
        <f t="shared" si="15"/>
        <v>vis</v>
      </c>
      <c r="E86" s="75">
        <f>VLOOKUP(C86,Active!C$21:E$973,3,FALSE)</f>
        <v>1245.4975067235437</v>
      </c>
      <c r="F86" s="22" t="s">
        <v>99</v>
      </c>
      <c r="G86" s="18" t="str">
        <f t="shared" si="16"/>
        <v>56834.5011</v>
      </c>
      <c r="H86" s="67">
        <f t="shared" si="17"/>
        <v>1245.5</v>
      </c>
      <c r="I86" s="76" t="s">
        <v>394</v>
      </c>
      <c r="J86" s="77" t="s">
        <v>395</v>
      </c>
      <c r="K86" s="76" t="s">
        <v>396</v>
      </c>
      <c r="L86" s="76" t="s">
        <v>397</v>
      </c>
      <c r="M86" s="77" t="s">
        <v>346</v>
      </c>
      <c r="N86" s="77" t="s">
        <v>330</v>
      </c>
      <c r="O86" s="78" t="s">
        <v>223</v>
      </c>
      <c r="P86" s="79" t="s">
        <v>393</v>
      </c>
    </row>
    <row r="87" spans="1:16" ht="12.75" customHeight="1" thickBot="1" x14ac:dyDescent="0.25">
      <c r="A87" s="67" t="str">
        <f t="shared" si="12"/>
        <v>OEJV 0172 </v>
      </c>
      <c r="B87" s="22" t="str">
        <f t="shared" si="13"/>
        <v>I</v>
      </c>
      <c r="C87" s="67">
        <f t="shared" si="14"/>
        <v>56856.432000000001</v>
      </c>
      <c r="D87" s="18" t="str">
        <f t="shared" si="15"/>
        <v>vis</v>
      </c>
      <c r="E87" s="75">
        <f>VLOOKUP(C87,Active!C$21:E$973,3,FALSE)</f>
        <v>1260.9985121624554</v>
      </c>
      <c r="F87" s="22" t="s">
        <v>99</v>
      </c>
      <c r="G87" s="18" t="str">
        <f t="shared" si="16"/>
        <v>56856.432</v>
      </c>
      <c r="H87" s="67">
        <f t="shared" si="17"/>
        <v>1261</v>
      </c>
      <c r="I87" s="76" t="s">
        <v>398</v>
      </c>
      <c r="J87" s="77" t="s">
        <v>399</v>
      </c>
      <c r="K87" s="76" t="s">
        <v>400</v>
      </c>
      <c r="L87" s="76" t="s">
        <v>166</v>
      </c>
      <c r="M87" s="77" t="s">
        <v>346</v>
      </c>
      <c r="N87" s="77" t="s">
        <v>276</v>
      </c>
      <c r="O87" s="78" t="s">
        <v>151</v>
      </c>
      <c r="P87" s="79" t="s">
        <v>401</v>
      </c>
    </row>
    <row r="88" spans="1:16" ht="12.75" customHeight="1" thickBot="1" x14ac:dyDescent="0.25">
      <c r="A88" s="67" t="str">
        <f t="shared" si="12"/>
        <v>BAVM 241 (=IBVS 6157) </v>
      </c>
      <c r="B88" s="22" t="str">
        <f t="shared" si="13"/>
        <v>I</v>
      </c>
      <c r="C88" s="67">
        <f t="shared" si="14"/>
        <v>57204.474099999999</v>
      </c>
      <c r="D88" s="18" t="str">
        <f t="shared" si="15"/>
        <v>vis</v>
      </c>
      <c r="E88" s="75">
        <f>VLOOKUP(C88,Active!C$21:E$973,3,FALSE)</f>
        <v>1506.9985616392376</v>
      </c>
      <c r="F88" s="22" t="s">
        <v>99</v>
      </c>
      <c r="G88" s="18" t="str">
        <f t="shared" si="16"/>
        <v>57204.4741</v>
      </c>
      <c r="H88" s="67">
        <f t="shared" si="17"/>
        <v>1507</v>
      </c>
      <c r="I88" s="76" t="s">
        <v>402</v>
      </c>
      <c r="J88" s="77" t="s">
        <v>403</v>
      </c>
      <c r="K88" s="76" t="s">
        <v>404</v>
      </c>
      <c r="L88" s="76" t="s">
        <v>334</v>
      </c>
      <c r="M88" s="77" t="s">
        <v>346</v>
      </c>
      <c r="N88" s="77" t="s">
        <v>330</v>
      </c>
      <c r="O88" s="78" t="s">
        <v>223</v>
      </c>
      <c r="P88" s="79" t="s">
        <v>405</v>
      </c>
    </row>
    <row r="89" spans="1:16" ht="12.75" customHeight="1" thickBot="1" x14ac:dyDescent="0.25">
      <c r="A89" s="67" t="str">
        <f t="shared" si="12"/>
        <v>BAVM 241 (=IBVS 6157) </v>
      </c>
      <c r="B89" s="22" t="str">
        <f t="shared" si="13"/>
        <v>I</v>
      </c>
      <c r="C89" s="67">
        <f t="shared" si="14"/>
        <v>57238.424800000001</v>
      </c>
      <c r="D89" s="18" t="str">
        <f t="shared" si="15"/>
        <v>vis</v>
      </c>
      <c r="E89" s="75">
        <f>VLOOKUP(C89,Active!C$21:E$973,3,FALSE)</f>
        <v>1530.9952961715589</v>
      </c>
      <c r="F89" s="22" t="s">
        <v>99</v>
      </c>
      <c r="G89" s="18" t="str">
        <f t="shared" si="16"/>
        <v>57238.4248</v>
      </c>
      <c r="H89" s="67">
        <f t="shared" si="17"/>
        <v>1531</v>
      </c>
      <c r="I89" s="76" t="s">
        <v>406</v>
      </c>
      <c r="J89" s="77" t="s">
        <v>407</v>
      </c>
      <c r="K89" s="76" t="s">
        <v>408</v>
      </c>
      <c r="L89" s="76" t="s">
        <v>409</v>
      </c>
      <c r="M89" s="77" t="s">
        <v>346</v>
      </c>
      <c r="N89" s="77" t="s">
        <v>99</v>
      </c>
      <c r="O89" s="78" t="s">
        <v>410</v>
      </c>
      <c r="P89" s="79" t="s">
        <v>405</v>
      </c>
    </row>
    <row r="90" spans="1:16" ht="12.75" customHeight="1" thickBot="1" x14ac:dyDescent="0.25">
      <c r="A90" s="67" t="str">
        <f t="shared" si="12"/>
        <v>BAVM 241 (=IBVS 6157) </v>
      </c>
      <c r="B90" s="22" t="str">
        <f t="shared" si="13"/>
        <v>I</v>
      </c>
      <c r="C90" s="67">
        <f t="shared" si="14"/>
        <v>57255.404199999997</v>
      </c>
      <c r="D90" s="18" t="str">
        <f t="shared" si="15"/>
        <v>vis</v>
      </c>
      <c r="E90" s="75">
        <f>VLOOKUP(C90,Active!C$21:E$973,3,FALSE)</f>
        <v>1542.9965260230201</v>
      </c>
      <c r="F90" s="22" t="s">
        <v>99</v>
      </c>
      <c r="G90" s="18" t="str">
        <f t="shared" si="16"/>
        <v>57255.4042</v>
      </c>
      <c r="H90" s="67">
        <f t="shared" si="17"/>
        <v>1543</v>
      </c>
      <c r="I90" s="76" t="s">
        <v>411</v>
      </c>
      <c r="J90" s="77" t="s">
        <v>412</v>
      </c>
      <c r="K90" s="76" t="s">
        <v>413</v>
      </c>
      <c r="L90" s="76" t="s">
        <v>414</v>
      </c>
      <c r="M90" s="77" t="s">
        <v>346</v>
      </c>
      <c r="N90" s="77" t="s">
        <v>276</v>
      </c>
      <c r="O90" s="78" t="s">
        <v>410</v>
      </c>
      <c r="P90" s="79" t="s">
        <v>405</v>
      </c>
    </row>
    <row r="91" spans="1:16" x14ac:dyDescent="0.2">
      <c r="B91" s="22"/>
      <c r="F91" s="22"/>
    </row>
    <row r="92" spans="1:16" x14ac:dyDescent="0.2">
      <c r="B92" s="22"/>
      <c r="F92" s="22"/>
    </row>
    <row r="93" spans="1:16" x14ac:dyDescent="0.2">
      <c r="B93" s="22"/>
      <c r="F93" s="22"/>
    </row>
    <row r="94" spans="1:16" x14ac:dyDescent="0.2">
      <c r="B94" s="22"/>
      <c r="F94" s="22"/>
    </row>
    <row r="95" spans="1:16" x14ac:dyDescent="0.2">
      <c r="B95" s="22"/>
      <c r="F95" s="22"/>
    </row>
    <row r="96" spans="1:1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</sheetData>
  <phoneticPr fontId="0" type="noConversion"/>
  <hyperlinks>
    <hyperlink ref="A3" r:id="rId1" xr:uid="{00000000-0004-0000-0200-000000000000}"/>
    <hyperlink ref="P62" r:id="rId2" display="http://www.bav-astro.de/sfs/BAVM_link.php?BAVMnr=80" xr:uid="{00000000-0004-0000-0200-000001000000}"/>
    <hyperlink ref="P36" r:id="rId3" display="http://www.bav-astro.de/sfs/BAVM_link.php?BAVMnr=80" xr:uid="{00000000-0004-0000-0200-000002000000}"/>
    <hyperlink ref="P63" r:id="rId4" display="http://www.bav-astro.de/sfs/BAVM_link.php?BAVMnr=80" xr:uid="{00000000-0004-0000-0200-000003000000}"/>
    <hyperlink ref="P64" r:id="rId5" display="http://www.bav-astro.de/sfs/BAVM_link.php?BAVMnr=80" xr:uid="{00000000-0004-0000-0200-000004000000}"/>
    <hyperlink ref="P65" r:id="rId6" display="http://www.bav-astro.de/sfs/BAVM_link.php?BAVMnr=68" xr:uid="{00000000-0004-0000-0200-000005000000}"/>
    <hyperlink ref="P66" r:id="rId7" display="http://www.bav-astro.de/sfs/BAVM_link.php?BAVMnr=68" xr:uid="{00000000-0004-0000-0200-000006000000}"/>
    <hyperlink ref="P67" r:id="rId8" display="http://www.bav-astro.de/sfs/BAVM_link.php?BAVMnr=80" xr:uid="{00000000-0004-0000-0200-000007000000}"/>
    <hyperlink ref="P68" r:id="rId9" display="http://www.bav-astro.de/sfs/BAVM_link.php?BAVMnr=80" xr:uid="{00000000-0004-0000-0200-000008000000}"/>
    <hyperlink ref="P69" r:id="rId10" display="http://www.bav-astro.de/sfs/BAVM_link.php?BAVMnr=90" xr:uid="{00000000-0004-0000-0200-000009000000}"/>
    <hyperlink ref="P70" r:id="rId11" display="http://www.bav-astro.de/sfs/BAVM_link.php?BAVMnr=90" xr:uid="{00000000-0004-0000-0200-00000A000000}"/>
    <hyperlink ref="P42" r:id="rId12" display="http://www.bav-astro.de/sfs/BAVM_link.php?BAVMnr=90" xr:uid="{00000000-0004-0000-0200-00000B000000}"/>
    <hyperlink ref="P71" r:id="rId13" display="http://www.bav-astro.de/sfs/BAVM_link.php?BAVMnr=131" xr:uid="{00000000-0004-0000-0200-00000C000000}"/>
    <hyperlink ref="P72" r:id="rId14" display="http://www.bav-astro.de/sfs/BAVM_link.php?BAVMnr=157" xr:uid="{00000000-0004-0000-0200-00000D000000}"/>
    <hyperlink ref="P73" r:id="rId15" display="http://www.bav-astro.de/sfs/BAVM_link.php?BAVMnr=157" xr:uid="{00000000-0004-0000-0200-00000E000000}"/>
    <hyperlink ref="P50" r:id="rId16" display="http://www.konkoly.hu/cgi-bin/IBVS?5378" xr:uid="{00000000-0004-0000-0200-00000F000000}"/>
    <hyperlink ref="P51" r:id="rId17" display="http://www.bav-astro.de/sfs/BAVM_link.php?BAVMnr=172" xr:uid="{00000000-0004-0000-0200-000010000000}"/>
    <hyperlink ref="P74" r:id="rId18" display="http://www.bav-astro.de/sfs/BAVM_link.php?BAVMnr=171" xr:uid="{00000000-0004-0000-0200-000011000000}"/>
    <hyperlink ref="P75" r:id="rId19" display="http://www.bav-astro.de/sfs/BAVM_link.php?BAVMnr=171" xr:uid="{00000000-0004-0000-0200-000012000000}"/>
    <hyperlink ref="P52" r:id="rId20" display="http://www.bav-astro.de/sfs/BAVM_link.php?BAVMnr=172" xr:uid="{00000000-0004-0000-0200-000013000000}"/>
    <hyperlink ref="P53" r:id="rId21" display="http://www.bav-astro.de/sfs/BAVM_link.php?BAVMnr=172" xr:uid="{00000000-0004-0000-0200-000014000000}"/>
    <hyperlink ref="P54" r:id="rId22" display="http://www.bav-astro.de/sfs/BAVM_link.php?BAVMnr=173" xr:uid="{00000000-0004-0000-0200-000015000000}"/>
    <hyperlink ref="P76" r:id="rId23" display="http://www.bav-astro.de/sfs/BAVM_link.php?BAVMnr=203" xr:uid="{00000000-0004-0000-0200-000016000000}"/>
    <hyperlink ref="P77" r:id="rId24" display="http://var.astro.cz/oejv/issues/oejv0074.pdf" xr:uid="{00000000-0004-0000-0200-000017000000}"/>
    <hyperlink ref="P78" r:id="rId25" display="http://www.bav-astro.de/sfs/BAVM_link.php?BAVMnr=203" xr:uid="{00000000-0004-0000-0200-000018000000}"/>
    <hyperlink ref="P79" r:id="rId26" display="http://www.bav-astro.de/sfs/BAVM_link.php?BAVMnr=203" xr:uid="{00000000-0004-0000-0200-000019000000}"/>
    <hyperlink ref="P80" r:id="rId27" display="http://www.bav-astro.de/sfs/BAVM_link.php?BAVMnr=209" xr:uid="{00000000-0004-0000-0200-00001A000000}"/>
    <hyperlink ref="P81" r:id="rId28" display="http://www.bav-astro.de/sfs/BAVM_link.php?BAVMnr=212" xr:uid="{00000000-0004-0000-0200-00001B000000}"/>
    <hyperlink ref="P82" r:id="rId29" display="http://www.bav-astro.de/sfs/BAVM_link.php?BAVMnr=212" xr:uid="{00000000-0004-0000-0200-00001C000000}"/>
    <hyperlink ref="P83" r:id="rId30" display="http://www.bav-astro.de/sfs/BAVM_link.php?BAVMnr=212" xr:uid="{00000000-0004-0000-0200-00001D000000}"/>
    <hyperlink ref="P84" r:id="rId31" display="http://www.bav-astro.de/sfs/BAVM_link.php?BAVMnr=220" xr:uid="{00000000-0004-0000-0200-00001E000000}"/>
    <hyperlink ref="P85" r:id="rId32" display="http://www.bav-astro.de/sfs/BAVM_link.php?BAVMnr=238" xr:uid="{00000000-0004-0000-0200-00001F000000}"/>
    <hyperlink ref="P86" r:id="rId33" display="http://www.bav-astro.de/sfs/BAVM_link.php?BAVMnr=238" xr:uid="{00000000-0004-0000-0200-000020000000}"/>
    <hyperlink ref="P87" r:id="rId34" display="http://var.astro.cz/oejv/issues/oejv0172.pdf" xr:uid="{00000000-0004-0000-0200-000021000000}"/>
    <hyperlink ref="P88" r:id="rId35" display="http://www.bav-astro.de/sfs/BAVM_link.php?BAVMnr=241" xr:uid="{00000000-0004-0000-0200-000022000000}"/>
    <hyperlink ref="P89" r:id="rId36" display="http://www.bav-astro.de/sfs/BAVM_link.php?BAVMnr=241" xr:uid="{00000000-0004-0000-0200-000023000000}"/>
    <hyperlink ref="P90" r:id="rId37" display="http://www.bav-astro.de/sfs/BAVM_link.php?BAVMnr=241" xr:uid="{00000000-0004-0000-02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2002-07-31T23:54:07Z</dcterms:created>
  <dcterms:modified xsi:type="dcterms:W3CDTF">2025-01-01T07:25:38Z</dcterms:modified>
</cp:coreProperties>
</file>