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DC25C6-95BF-4FB8-A7E9-1FB369C07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21" i="1" l="1"/>
  <c r="F22" i="1"/>
  <c r="E52" i="1"/>
  <c r="F52" i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F14" i="1"/>
  <c r="E51" i="1"/>
  <c r="F51" i="1" s="1"/>
  <c r="G51" i="1" s="1"/>
  <c r="K51" i="1" s="1"/>
  <c r="Q51" i="1"/>
  <c r="E50" i="1"/>
  <c r="F50" i="1" s="1"/>
  <c r="G50" i="1" s="1"/>
  <c r="K50" i="1" s="1"/>
  <c r="Q50" i="1"/>
  <c r="E49" i="1"/>
  <c r="F49" i="1" s="1"/>
  <c r="G49" i="1" s="1"/>
  <c r="K49" i="1" s="1"/>
  <c r="Q47" i="1"/>
  <c r="Q48" i="1"/>
  <c r="Q49" i="1"/>
  <c r="Q42" i="1"/>
  <c r="Q44" i="1"/>
  <c r="Q45" i="1"/>
  <c r="Q46" i="1"/>
  <c r="Q43" i="1"/>
  <c r="Q40" i="1"/>
  <c r="Q41" i="1"/>
  <c r="Q39" i="1"/>
  <c r="C9" i="1"/>
  <c r="Q31" i="1"/>
  <c r="Q32" i="1"/>
  <c r="Q33" i="1"/>
  <c r="G21" i="2"/>
  <c r="C21" i="2"/>
  <c r="E21" i="2"/>
  <c r="G20" i="2"/>
  <c r="C20" i="2"/>
  <c r="G19" i="2"/>
  <c r="C19" i="2"/>
  <c r="G18" i="2"/>
  <c r="C18" i="2"/>
  <c r="E18" i="2"/>
  <c r="G17" i="2"/>
  <c r="C17" i="2"/>
  <c r="G24" i="2"/>
  <c r="C24" i="2"/>
  <c r="G23" i="2"/>
  <c r="C23" i="2"/>
  <c r="G22" i="2"/>
  <c r="C22" i="2"/>
  <c r="G16" i="2"/>
  <c r="C16" i="2"/>
  <c r="G15" i="2"/>
  <c r="C15" i="2"/>
  <c r="G14" i="2"/>
  <c r="C14" i="2"/>
  <c r="G13" i="2"/>
  <c r="C13" i="2"/>
  <c r="G12" i="2"/>
  <c r="C12" i="2"/>
  <c r="G11" i="2"/>
  <c r="C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4" i="2"/>
  <c r="B24" i="2"/>
  <c r="D24" i="2"/>
  <c r="A24" i="2"/>
  <c r="H23" i="2"/>
  <c r="B23" i="2"/>
  <c r="D23" i="2"/>
  <c r="A23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8" i="1"/>
  <c r="Q28" i="1"/>
  <c r="Q29" i="1"/>
  <c r="Q30" i="1"/>
  <c r="Q35" i="1"/>
  <c r="Q37" i="1"/>
  <c r="D9" i="1"/>
  <c r="Q34" i="1"/>
  <c r="Q36" i="1"/>
  <c r="Q23" i="1"/>
  <c r="Q24" i="1"/>
  <c r="Q25" i="1"/>
  <c r="Q27" i="1"/>
  <c r="E47" i="1"/>
  <c r="F47" i="1" s="1"/>
  <c r="G47" i="1" s="1"/>
  <c r="I47" i="1" s="1"/>
  <c r="E41" i="1"/>
  <c r="F41" i="1"/>
  <c r="G41" i="1"/>
  <c r="K41" i="1" s="1"/>
  <c r="E30" i="1"/>
  <c r="F30" i="1" s="1"/>
  <c r="G30" i="1" s="1"/>
  <c r="K30" i="1" s="1"/>
  <c r="C17" i="1"/>
  <c r="Q26" i="1"/>
  <c r="Q21" i="1"/>
  <c r="Q22" i="1"/>
  <c r="E34" i="1"/>
  <c r="E17" i="2" s="1"/>
  <c r="E31" i="1"/>
  <c r="E22" i="2" s="1"/>
  <c r="F31" i="1"/>
  <c r="G31" i="1" s="1"/>
  <c r="K31" i="1" s="1"/>
  <c r="E37" i="1"/>
  <c r="F37" i="1" s="1"/>
  <c r="G37" i="1" s="1"/>
  <c r="J37" i="1" s="1"/>
  <c r="E25" i="1"/>
  <c r="F25" i="1" s="1"/>
  <c r="G25" i="1" s="1"/>
  <c r="J25" i="1" s="1"/>
  <c r="E22" i="1"/>
  <c r="E40" i="1"/>
  <c r="F40" i="1" s="1"/>
  <c r="G40" i="1" s="1"/>
  <c r="K40" i="1" s="1"/>
  <c r="E43" i="1"/>
  <c r="F43" i="1" s="1"/>
  <c r="G43" i="1" s="1"/>
  <c r="K43" i="1" s="1"/>
  <c r="E35" i="1"/>
  <c r="F35" i="1" s="1"/>
  <c r="G35" i="1" s="1"/>
  <c r="K35" i="1" s="1"/>
  <c r="E29" i="1"/>
  <c r="E15" i="2" s="1"/>
  <c r="F29" i="1"/>
  <c r="G29" i="1" s="1"/>
  <c r="K29" i="1" s="1"/>
  <c r="E36" i="1"/>
  <c r="E19" i="2" s="1"/>
  <c r="E23" i="1"/>
  <c r="E11" i="2" s="1"/>
  <c r="F23" i="1"/>
  <c r="G23" i="1" s="1"/>
  <c r="J23" i="1" s="1"/>
  <c r="E33" i="1"/>
  <c r="F33" i="1" s="1"/>
  <c r="G33" i="1" s="1"/>
  <c r="K33" i="1" s="1"/>
  <c r="E24" i="1"/>
  <c r="F24" i="1"/>
  <c r="E28" i="1"/>
  <c r="F28" i="1" s="1"/>
  <c r="G28" i="1" s="1"/>
  <c r="K28" i="1" s="1"/>
  <c r="E26" i="1"/>
  <c r="F26" i="1" s="1"/>
  <c r="G26" i="1" s="1"/>
  <c r="K26" i="1" s="1"/>
  <c r="E32" i="1"/>
  <c r="E23" i="2" s="1"/>
  <c r="E39" i="1"/>
  <c r="F39" i="1"/>
  <c r="G39" i="1" s="1"/>
  <c r="K39" i="1" s="1"/>
  <c r="E38" i="1"/>
  <c r="F38" i="1"/>
  <c r="G38" i="1" s="1"/>
  <c r="J38" i="1" s="1"/>
  <c r="E27" i="1"/>
  <c r="F27" i="1" s="1"/>
  <c r="G27" i="1" s="1"/>
  <c r="K27" i="1" s="1"/>
  <c r="E21" i="1"/>
  <c r="F32" i="1"/>
  <c r="G32" i="1" s="1"/>
  <c r="K32" i="1" s="1"/>
  <c r="F36" i="1"/>
  <c r="G36" i="1" s="1"/>
  <c r="K36" i="1" s="1"/>
  <c r="E45" i="1"/>
  <c r="F45" i="1" s="1"/>
  <c r="G45" i="1" s="1"/>
  <c r="K45" i="1" s="1"/>
  <c r="E42" i="1"/>
  <c r="F42" i="1"/>
  <c r="G42" i="1" s="1"/>
  <c r="K42" i="1" s="1"/>
  <c r="E48" i="1"/>
  <c r="F48" i="1" s="1"/>
  <c r="G48" i="1" s="1"/>
  <c r="K48" i="1" s="1"/>
  <c r="E46" i="1"/>
  <c r="F46" i="1" s="1"/>
  <c r="G46" i="1" s="1"/>
  <c r="K46" i="1" s="1"/>
  <c r="E44" i="1"/>
  <c r="F44" i="1" s="1"/>
  <c r="G44" i="1" s="1"/>
  <c r="K44" i="1" s="1"/>
  <c r="G21" i="1" l="1"/>
  <c r="I21" i="1" s="1"/>
  <c r="G22" i="1"/>
  <c r="K22" i="1" s="1"/>
  <c r="E14" i="2"/>
  <c r="E16" i="2"/>
  <c r="E20" i="2"/>
  <c r="E24" i="2"/>
  <c r="F34" i="1"/>
  <c r="G34" i="1" s="1"/>
  <c r="E13" i="2"/>
  <c r="E12" i="2"/>
  <c r="F15" i="1"/>
  <c r="C11" i="1"/>
  <c r="C12" i="1"/>
  <c r="O54" i="1" l="1"/>
  <c r="O53" i="1"/>
  <c r="O52" i="1"/>
  <c r="O55" i="1"/>
  <c r="C16" i="1"/>
  <c r="D18" i="1" s="1"/>
  <c r="O40" i="1"/>
  <c r="O29" i="1"/>
  <c r="O21" i="1"/>
  <c r="O47" i="1"/>
  <c r="O42" i="1"/>
  <c r="O39" i="1"/>
  <c r="O31" i="1"/>
  <c r="O28" i="1"/>
  <c r="O33" i="1"/>
  <c r="C15" i="1"/>
  <c r="F16" i="1" s="1"/>
  <c r="F17" i="1" s="1"/>
  <c r="O46" i="1"/>
  <c r="O23" i="1"/>
  <c r="O35" i="1"/>
  <c r="O37" i="1"/>
  <c r="O22" i="1"/>
  <c r="O32" i="1"/>
  <c r="O24" i="1"/>
  <c r="O30" i="1"/>
  <c r="O36" i="1"/>
  <c r="O34" i="1"/>
  <c r="O45" i="1"/>
  <c r="O43" i="1"/>
  <c r="O44" i="1"/>
  <c r="O48" i="1"/>
  <c r="O25" i="1"/>
  <c r="O26" i="1"/>
  <c r="O49" i="1"/>
  <c r="O51" i="1"/>
  <c r="O41" i="1"/>
  <c r="O50" i="1"/>
  <c r="O38" i="1"/>
  <c r="O27" i="1"/>
  <c r="K34" i="1"/>
  <c r="C18" i="1" l="1"/>
  <c r="F18" i="1"/>
</calcChain>
</file>

<file path=xl/sharedStrings.xml><?xml version="1.0" encoding="utf-8"?>
<sst xmlns="http://schemas.openxmlformats.org/spreadsheetml/2006/main" count="245" uniqueCount="134">
  <si>
    <t>IBVS 6244</t>
  </si>
  <si>
    <t>OEJV 0191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</si>
  <si>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</si>
  <si>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</si>
  <si>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</si>
  <si>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</si>
  <si>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</si>
  <si>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</si>
  <si>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</si>
  <si>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</si>
  <si>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</si>
  <si>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</si>
  <si>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</si>
  <si>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</si>
  <si>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</si>
  <si>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</si>
  <si>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</si>
  <si>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</si>
  <si>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</si>
  <si>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</si>
  <si>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</si>
  <si>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</si>
  <si>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</si>
  <si>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</si>
  <si>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</si>
  <si>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</si>
  <si>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</si>
  <si>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</si>
  <si>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</si>
  <si>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</si>
  <si>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</si>
  <si>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</si>
  <si>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</si>
  <si>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GW Boo / GSC 1473-1049</t>
  </si>
  <si>
    <t>BD+20 2890</t>
  </si>
  <si>
    <t>IBVS 5532</t>
  </si>
  <si>
    <t xml:space="preserve">EW      </t>
  </si>
  <si>
    <t>IBVS 5945</t>
  </si>
  <si>
    <t>II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</si>
  <si>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</si>
  <si>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</si>
  <si>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</si>
  <si>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</si>
  <si>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</si>
  <si>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5959</t>
  </si>
  <si>
    <t>I</t>
  </si>
  <si>
    <t>IBVS 5992</t>
  </si>
  <si>
    <t>IBVS 6029</t>
  </si>
  <si>
    <t>Add cycle</t>
  </si>
  <si>
    <t>Old Cycle</t>
  </si>
  <si>
    <t>OEJV 0160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</si>
  <si>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</si>
  <si>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</si>
  <si>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</si>
  <si>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</si>
  <si>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</si>
  <si>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</si>
  <si>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</si>
  <si>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</si>
  <si>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</si>
  <si>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</si>
  <si>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</si>
  <si>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</si>
  <si>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</si>
  <si>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2455294.3962 </t>
  </si>
  <si>
    <t> 07.04.2010 21:30 </t>
  </si>
  <si>
    <t> 0.1044 </t>
  </si>
  <si>
    <t>C </t>
  </si>
  <si>
    <t> F.Agerer </t>
  </si>
  <si>
    <t>BAVM 214 </t>
  </si>
  <si>
    <t>2455352.864 </t>
  </si>
  <si>
    <t> 05.06.2010 08:44 </t>
  </si>
  <si>
    <t> 0.098 </t>
  </si>
  <si>
    <t> R.Diethelm </t>
  </si>
  <si>
    <t>IBVS 5945 </t>
  </si>
  <si>
    <t>2455631.9288 </t>
  </si>
  <si>
    <t> 11.03.2011 10:17 </t>
  </si>
  <si>
    <t> 0.0837 </t>
  </si>
  <si>
    <t>IBVS 5992 </t>
  </si>
  <si>
    <t>2455687.47427 </t>
  </si>
  <si>
    <t> 05.05.2011 23:22 </t>
  </si>
  <si>
    <t> 0.07903 </t>
  </si>
  <si>
    <t>R</t>
  </si>
  <si>
    <t> H.Ku?akova </t>
  </si>
  <si>
    <t>OEJV 0160 </t>
  </si>
  <si>
    <t>2455687.47467 </t>
  </si>
  <si>
    <t> 05.05.2011 23:23 </t>
  </si>
  <si>
    <t> 0.07943 </t>
  </si>
  <si>
    <t>2455687.47537 </t>
  </si>
  <si>
    <t> 05.05.2011 23:24 </t>
  </si>
  <si>
    <t> 0.08013 </t>
  </si>
  <si>
    <t>2455698.3703 </t>
  </si>
  <si>
    <t> 16.05.2011 20:53 </t>
  </si>
  <si>
    <t> 0.0777 </t>
  </si>
  <si>
    <t> K.Kasai </t>
  </si>
  <si>
    <t>VSB 53 </t>
  </si>
  <si>
    <t>2455702.3597 </t>
  </si>
  <si>
    <t> 20.05.2011 20:37 </t>
  </si>
  <si>
    <t> 0.0802 </t>
  </si>
  <si>
    <t>2455711.3947 </t>
  </si>
  <si>
    <t> 29.05.2011 21:28 </t>
  </si>
  <si>
    <t> 0.0784 </t>
  </si>
  <si>
    <t>2456001.8846 </t>
  </si>
  <si>
    <t> 15.03.2012 09:13 </t>
  </si>
  <si>
    <t> 0.0598 </t>
  </si>
  <si>
    <t>IBVS 6029 </t>
  </si>
  <si>
    <t>2456056.36626 </t>
  </si>
  <si>
    <t> 08.05.2012 20:47 </t>
  </si>
  <si>
    <t> 0.05450 </t>
  </si>
  <si>
    <t> M.Urbanik </t>
  </si>
  <si>
    <t>2456074.7055 </t>
  </si>
  <si>
    <t> 27.05.2012 04:55 </t>
  </si>
  <si>
    <t> 0.0542 </t>
  </si>
  <si>
    <t>2456418.3519 </t>
  </si>
  <si>
    <t> 05.05.2013 20:26 </t>
  </si>
  <si>
    <t> 0.0342 </t>
  </si>
  <si>
    <t>BAVM 232 </t>
  </si>
  <si>
    <t>2456764.3830 </t>
  </si>
  <si>
    <t> 16.04.2014 21:11 </t>
  </si>
  <si>
    <t> 0.0067 </t>
  </si>
  <si>
    <t>BAVM 238 </t>
  </si>
  <si>
    <t>JAVSO..44..164</t>
  </si>
  <si>
    <t>JAVSO..45..215</t>
  </si>
  <si>
    <t>VSB-64</t>
  </si>
  <si>
    <t>Rc</t>
  </si>
  <si>
    <t>JBAV, 55</t>
  </si>
  <si>
    <t>JAAVSO, 51, 250</t>
  </si>
  <si>
    <t>JAAVSO, 52, 243</t>
  </si>
  <si>
    <t>JBAV 96</t>
  </si>
  <si>
    <t xml:space="preserve">Mag </t>
  </si>
  <si>
    <t>Next ToM-P</t>
  </si>
  <si>
    <t>Next ToM-S</t>
  </si>
  <si>
    <t>10.22-10.60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</si>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</sst>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9" xfId="0" applyFont="1" applyBorder="1" applyAlignment="1"/>
    <xf numFmtId="0" fontId="12" fillId="0" borderId="10" xfId="0" applyFont="1" applyBorder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24" borderId="0" xfId="0" applyFont="1" applyFill="1" applyAlignme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1" fillId="25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19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0" fontId="0" fillId="0" borderId="8" xfId="0" applyBorder="1" applyAlignment="1">
      <alignment horizontal="left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42" applyFont="1" applyAlignment="1">
      <alignment horizontal="right"/>
    </xf>
    <xf numFmtId="0" fontId="5" fillId="0" borderId="0" xfId="0" applyFont="1" applyAlignment="1">
      <alignment horizontal="right" vertical="top"/>
    </xf>
    <xf numFmtId="0" fontId="19" fillId="0" borderId="0" xfId="42" applyFont="1" applyAlignment="1">
      <alignment horizontal="right"/>
    </xf>
    <xf numFmtId="0" fontId="19" fillId="0" borderId="0" xfId="42" applyFont="1" applyAlignment="1">
      <alignment horizontal="right" wrapText="1"/>
    </xf>
    <xf numFmtId="0" fontId="40" fillId="0" borderId="0" xfId="0" applyFont="1" applyAlignment="1">
      <alignment horizontal="right" vertical="center" wrapText="1"/>
    </xf>
    <xf numFmtId="166" fontId="40" fillId="0" borderId="0" xfId="0" applyNumberFormat="1" applyFont="1" applyAlignment="1" applyProtection="1">
      <alignment horizontal="left"/>
      <protection locked="0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0" fillId="26" borderId="20" xfId="0" applyFill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0" fontId="6" fillId="26" borderId="21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42" applyNumberFormat="1" applyFont="1" applyAlignment="1">
      <alignment horizontal="right" wrapText="1"/>
    </xf>
    <xf numFmtId="0" fontId="39" fillId="0" borderId="0" xfId="42" applyNumberFormat="1" applyFont="1" applyAlignment="1">
      <alignment horizontal="righ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Boo - O-C Diagr.</a:t>
            </a:r>
          </a:p>
        </c:rich>
      </c:tx>
      <c:layout>
        <c:manualLayout>
          <c:xMode val="edge"/>
          <c:yMode val="edge"/>
          <c:x val="0.37156738283320401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8966565349544"/>
          <c:w val="0.8093705899846258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D-42B1-A8BD-56E6FD5765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-8.4320000023581088E-3</c:v>
                </c:pt>
                <c:pt idx="26">
                  <c:v>-0.2653920000011567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D-42B1-A8BD-56E6FD5765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-0.26472799999464769</c:v>
                </c:pt>
                <c:pt idx="4">
                  <c:v>-0.29011999999784166</c:v>
                </c:pt>
                <c:pt idx="16">
                  <c:v>-0.25881599999411264</c:v>
                </c:pt>
                <c:pt idx="17">
                  <c:v>-0.26285999999527121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D-42B1-A8BD-56E6FD5765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-7.2579999978188425E-3</c:v>
                </c:pt>
                <c:pt idx="5">
                  <c:v>-0.26676799999404466</c:v>
                </c:pt>
                <c:pt idx="6">
                  <c:v>-0.26256799999828218</c:v>
                </c:pt>
                <c:pt idx="7">
                  <c:v>-0.26344599999720231</c:v>
                </c:pt>
                <c:pt idx="8">
                  <c:v>-0.26304599999275524</c:v>
                </c:pt>
                <c:pt idx="9">
                  <c:v>-0.26234599999588681</c:v>
                </c:pt>
                <c:pt idx="10">
                  <c:v>-0.26406799999676878</c:v>
                </c:pt>
                <c:pt idx="11">
                  <c:v>-0.26124799999524839</c:v>
                </c:pt>
                <c:pt idx="12">
                  <c:v>-0.26249600000301143</c:v>
                </c:pt>
                <c:pt idx="13">
                  <c:v>-0.2613920000003418</c:v>
                </c:pt>
                <c:pt idx="14">
                  <c:v>-0.26299199999630218</c:v>
                </c:pt>
                <c:pt idx="15">
                  <c:v>-0.26202000000193948</c:v>
                </c:pt>
                <c:pt idx="18">
                  <c:v>-0.26565199999458855</c:v>
                </c:pt>
                <c:pt idx="19">
                  <c:v>-0.26419999999779975</c:v>
                </c:pt>
                <c:pt idx="20">
                  <c:v>-0.2631760000003851</c:v>
                </c:pt>
                <c:pt idx="21">
                  <c:v>-0.26419599999644561</c:v>
                </c:pt>
                <c:pt idx="22">
                  <c:v>-0.26401999999507098</c:v>
                </c:pt>
                <c:pt idx="23">
                  <c:v>-0.26762800000142306</c:v>
                </c:pt>
                <c:pt idx="24">
                  <c:v>-0.26931199999671662</c:v>
                </c:pt>
                <c:pt idx="25">
                  <c:v>-0.26542799999879207</c:v>
                </c:pt>
                <c:pt idx="27">
                  <c:v>-0.2675799999924493</c:v>
                </c:pt>
                <c:pt idx="28">
                  <c:v>-0.26504399999976158</c:v>
                </c:pt>
                <c:pt idx="29">
                  <c:v>-0.27232400009961566</c:v>
                </c:pt>
                <c:pt idx="30">
                  <c:v>-0.27054399999178713</c:v>
                </c:pt>
                <c:pt idx="31">
                  <c:v>-0.27513999999791849</c:v>
                </c:pt>
                <c:pt idx="32">
                  <c:v>-0.2719039999137749</c:v>
                </c:pt>
                <c:pt idx="33">
                  <c:v>-0.27473199989617569</c:v>
                </c:pt>
                <c:pt idx="34">
                  <c:v>-0.27580399990984006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D-42B1-A8BD-56E6FD5765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D-42B1-A8BD-56E6FD5765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D-42B1-A8BD-56E6FD5765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3.3999999999999998E-3</c:v>
                  </c:pt>
                  <c:pt idx="19">
                    <c:v>3.0999999999999999E-3</c:v>
                  </c:pt>
                  <c:pt idx="20">
                    <c:v>3.0999999999999999E-3</c:v>
                  </c:pt>
                  <c:pt idx="21">
                    <c:v>2.0000000000000001E-4</c:v>
                  </c:pt>
                  <c:pt idx="22">
                    <c:v>2.8E-3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8.0000000000000002E-3</c:v>
                  </c:pt>
                  <c:pt idx="33">
                    <c:v>5.0000000000000001E-3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D-42B1-A8BD-56E6FD5765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-9747</c:v>
                </c:pt>
                <c:pt idx="1">
                  <c:v>-9678</c:v>
                </c:pt>
                <c:pt idx="2">
                  <c:v>-4963</c:v>
                </c:pt>
                <c:pt idx="3">
                  <c:v>-4933</c:v>
                </c:pt>
                <c:pt idx="4">
                  <c:v>-4932.5</c:v>
                </c:pt>
                <c:pt idx="5">
                  <c:v>-4853</c:v>
                </c:pt>
                <c:pt idx="6">
                  <c:v>-4328</c:v>
                </c:pt>
                <c:pt idx="7">
                  <c:v>-4223.5</c:v>
                </c:pt>
                <c:pt idx="8">
                  <c:v>-4223.5</c:v>
                </c:pt>
                <c:pt idx="9">
                  <c:v>-4223.5</c:v>
                </c:pt>
                <c:pt idx="10">
                  <c:v>-4203</c:v>
                </c:pt>
                <c:pt idx="11">
                  <c:v>-4195.5</c:v>
                </c:pt>
                <c:pt idx="12">
                  <c:v>-4178.5</c:v>
                </c:pt>
                <c:pt idx="13">
                  <c:v>-3632</c:v>
                </c:pt>
                <c:pt idx="14">
                  <c:v>-3529.5</c:v>
                </c:pt>
                <c:pt idx="15">
                  <c:v>-3495</c:v>
                </c:pt>
                <c:pt idx="16">
                  <c:v>-2848.5</c:v>
                </c:pt>
                <c:pt idx="17">
                  <c:v>-2197.5</c:v>
                </c:pt>
                <c:pt idx="18">
                  <c:v>-1529.5</c:v>
                </c:pt>
                <c:pt idx="19">
                  <c:v>-1512.5</c:v>
                </c:pt>
                <c:pt idx="20">
                  <c:v>-833.5</c:v>
                </c:pt>
                <c:pt idx="21">
                  <c:v>-816</c:v>
                </c:pt>
                <c:pt idx="22">
                  <c:v>-782.5</c:v>
                </c:pt>
                <c:pt idx="23">
                  <c:v>-238</c:v>
                </c:pt>
                <c:pt idx="24">
                  <c:v>-227</c:v>
                </c:pt>
                <c:pt idx="25">
                  <c:v>-138</c:v>
                </c:pt>
                <c:pt idx="26">
                  <c:v>-32</c:v>
                </c:pt>
                <c:pt idx="27">
                  <c:v>-167.5</c:v>
                </c:pt>
                <c:pt idx="28">
                  <c:v>-161.5</c:v>
                </c:pt>
                <c:pt idx="29">
                  <c:v>2733.5</c:v>
                </c:pt>
                <c:pt idx="30">
                  <c:v>3976</c:v>
                </c:pt>
                <c:pt idx="31">
                  <c:v>4610</c:v>
                </c:pt>
                <c:pt idx="32">
                  <c:v>4741</c:v>
                </c:pt>
                <c:pt idx="33">
                  <c:v>4765.5</c:v>
                </c:pt>
                <c:pt idx="34">
                  <c:v>4778.5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-0.2590439628608317</c:v>
                </c:pt>
                <c:pt idx="1">
                  <c:v>-0.25910509499266871</c:v>
                </c:pt>
                <c:pt idx="2">
                  <c:v>-0.26328245733486588</c:v>
                </c:pt>
                <c:pt idx="3">
                  <c:v>-0.26330903652262111</c:v>
                </c:pt>
                <c:pt idx="4">
                  <c:v>-0.26330947950908368</c:v>
                </c:pt>
                <c:pt idx="5">
                  <c:v>-0.26337991435663505</c:v>
                </c:pt>
                <c:pt idx="6">
                  <c:v>-0.2638450501423516</c:v>
                </c:pt>
                <c:pt idx="7">
                  <c:v>-0.2639376343130323</c:v>
                </c:pt>
                <c:pt idx="8">
                  <c:v>-0.2639376343130323</c:v>
                </c:pt>
                <c:pt idx="9">
                  <c:v>-0.2639376343130323</c:v>
                </c:pt>
                <c:pt idx="10">
                  <c:v>-0.26395579675799835</c:v>
                </c:pt>
                <c:pt idx="11">
                  <c:v>-0.2639624415549372</c:v>
                </c:pt>
                <c:pt idx="12">
                  <c:v>-0.26397750309466517</c:v>
                </c:pt>
                <c:pt idx="13">
                  <c:v>-0.26446168729827296</c:v>
                </c:pt>
                <c:pt idx="14">
                  <c:v>-0.26455249952310333</c:v>
                </c:pt>
                <c:pt idx="15">
                  <c:v>-0.26458306558902184</c:v>
                </c:pt>
                <c:pt idx="16">
                  <c:v>-0.26515584708514706</c:v>
                </c:pt>
                <c:pt idx="17">
                  <c:v>-0.26573261545943555</c:v>
                </c:pt>
                <c:pt idx="18">
                  <c:v>-0.26632444537345207</c:v>
                </c:pt>
                <c:pt idx="19">
                  <c:v>-0.26633950691317998</c:v>
                </c:pt>
                <c:pt idx="20">
                  <c:v>-0.26694108252937337</c:v>
                </c:pt>
                <c:pt idx="21">
                  <c:v>-0.26695658705556397</c:v>
                </c:pt>
                <c:pt idx="22">
                  <c:v>-0.26698626714855728</c:v>
                </c:pt>
                <c:pt idx="23">
                  <c:v>-0.26746867940631475</c:v>
                </c:pt>
                <c:pt idx="24">
                  <c:v>-0.26747842510849168</c:v>
                </c:pt>
                <c:pt idx="25">
                  <c:v>-0.26755727669883217</c:v>
                </c:pt>
                <c:pt idx="26">
                  <c:v>-0.26765118982890068</c:v>
                </c:pt>
                <c:pt idx="27">
                  <c:v>-0.26753114049753951</c:v>
                </c:pt>
                <c:pt idx="28">
                  <c:v>-0.2675364563350906</c:v>
                </c:pt>
                <c:pt idx="29">
                  <c:v>-0.27010134795347035</c:v>
                </c:pt>
                <c:pt idx="30">
                  <c:v>-0.27120216931299951</c:v>
                </c:pt>
                <c:pt idx="31">
                  <c:v>-0.27176387614756004</c:v>
                </c:pt>
                <c:pt idx="32">
                  <c:v>-0.27187993860075788</c:v>
                </c:pt>
                <c:pt idx="33">
                  <c:v>-0.27190164493742469</c:v>
                </c:pt>
                <c:pt idx="34">
                  <c:v>-0.27191316258545195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D-42B1-A8BD-56E6FD57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8672"/>
        <c:axId val="1"/>
      </c:scatterChart>
      <c:valAx>
        <c:axId val="51360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7869224343726"/>
          <c:y val="0.92097257781427622"/>
          <c:w val="0.67528322287662346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66675</xdr:colOff>
      <xdr:row>18</xdr:row>
      <xdr:rowOff>38100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587F1A3F-ABF5-7E66-E8FB-E3A34F10C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992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28</v>
      </c>
      <c r="B2" s="11" t="s">
        <v>36</v>
      </c>
      <c r="C2" s="3" t="s">
        <v>34</v>
      </c>
      <c r="D2" s="3"/>
    </row>
    <row r="3" spans="1:6" ht="13.5" thickBot="1"/>
    <row r="4" spans="1:6" ht="13.5" thickBot="1">
      <c r="A4" s="5" t="s">
        <v>4</v>
      </c>
      <c r="C4" s="9">
        <v>52788.423710000003</v>
      </c>
      <c r="D4" s="10">
        <v>0.53158000000000005</v>
      </c>
    </row>
    <row r="5" spans="1:6">
      <c r="A5" s="12" t="s">
        <v>39</v>
      </c>
      <c r="B5" s="13"/>
      <c r="C5" s="14">
        <v>-9.5</v>
      </c>
      <c r="D5" s="13" t="s">
        <v>40</v>
      </c>
    </row>
    <row r="6" spans="1:6">
      <c r="A6" s="5" t="s">
        <v>5</v>
      </c>
    </row>
    <row r="7" spans="1:6">
      <c r="A7" t="s">
        <v>6</v>
      </c>
      <c r="C7">
        <v>57932.713799999998</v>
      </c>
      <c r="D7" s="110" t="s">
        <v>133</v>
      </c>
    </row>
    <row r="8" spans="1:6">
      <c r="A8" t="s">
        <v>7</v>
      </c>
      <c r="C8">
        <v>0.53154400000000002</v>
      </c>
      <c r="D8" s="110" t="s">
        <v>133</v>
      </c>
    </row>
    <row r="9" spans="1:6">
      <c r="A9" s="25" t="s">
        <v>43</v>
      </c>
      <c r="B9" s="26">
        <v>24</v>
      </c>
      <c r="C9" s="16" t="str">
        <f>"F"&amp;B9</f>
        <v>F24</v>
      </c>
      <c r="D9" s="17" t="str">
        <f>"G"&amp;B9</f>
        <v>G24</v>
      </c>
    </row>
    <row r="10" spans="1:6" ht="13.5" thickBot="1">
      <c r="A10" s="13"/>
      <c r="B10" s="13"/>
      <c r="C10" s="4" t="s">
        <v>24</v>
      </c>
      <c r="D10" s="4" t="s">
        <v>25</v>
      </c>
      <c r="E10" s="13"/>
    </row>
    <row r="11" spans="1:6">
      <c r="A11" s="13" t="s">
        <v>20</v>
      </c>
      <c r="B11" s="13"/>
      <c r="C11" s="15">
        <f ca="1">INTERCEPT(INDIRECT($D$9):G991,INDIRECT($C$9):F991)</f>
        <v>-0.26767954096250623</v>
      </c>
      <c r="D11" s="3"/>
      <c r="E11" s="13"/>
    </row>
    <row r="12" spans="1:6">
      <c r="A12" s="13" t="s">
        <v>21</v>
      </c>
      <c r="B12" s="13"/>
      <c r="C12" s="15">
        <f ca="1">SLOPE(INDIRECT($D$9):G991,INDIRECT($C$9):F991)</f>
        <v>-8.8597292517436587E-7</v>
      </c>
      <c r="D12" s="3"/>
      <c r="E12" s="104" t="s">
        <v>129</v>
      </c>
      <c r="F12" s="109" t="s">
        <v>132</v>
      </c>
    </row>
    <row r="13" spans="1:6">
      <c r="A13" s="13" t="s">
        <v>23</v>
      </c>
      <c r="B13" s="13"/>
      <c r="C13" s="3" t="s">
        <v>18</v>
      </c>
      <c r="E13" s="102" t="s">
        <v>48</v>
      </c>
      <c r="F13" s="106">
        <v>1</v>
      </c>
    </row>
    <row r="14" spans="1:6">
      <c r="A14" s="13"/>
      <c r="B14" s="13"/>
      <c r="C14" s="13"/>
      <c r="E14" s="102" t="s">
        <v>41</v>
      </c>
      <c r="F14" s="105">
        <f ca="1">NOW()+15018.5+$C$5/24</f>
        <v>60678.76413333333</v>
      </c>
    </row>
    <row r="15" spans="1:6">
      <c r="A15" s="18" t="s">
        <v>22</v>
      </c>
      <c r="B15" s="13"/>
      <c r="C15" s="19">
        <f ca="1">(C7+C11)+(C8+C12)*INT(MAX(F21:F3532))</f>
        <v>60472.159119280397</v>
      </c>
      <c r="E15" s="102" t="s">
        <v>49</v>
      </c>
      <c r="F15" s="105">
        <f ca="1">ROUND(2*($F$14-$C$7)/$C$8,0)/2+$F$13</f>
        <v>5167</v>
      </c>
    </row>
    <row r="16" spans="1:6">
      <c r="A16" s="21" t="s">
        <v>8</v>
      </c>
      <c r="B16" s="13"/>
      <c r="C16" s="22">
        <f ca="1">+C8+C12</f>
        <v>0.53154311402707488</v>
      </c>
      <c r="E16" s="102" t="s">
        <v>42</v>
      </c>
      <c r="F16" s="105">
        <f ca="1">ROUND(2*($F$14-$C$15)/$C$16,0)/2+$F$13</f>
        <v>389.5</v>
      </c>
    </row>
    <row r="17" spans="1:21" ht="13.5" thickBot="1">
      <c r="A17" s="20" t="s">
        <v>32</v>
      </c>
      <c r="B17" s="13"/>
      <c r="C17" s="13">
        <f>COUNT(C21:C2190)</f>
        <v>35</v>
      </c>
      <c r="E17" s="102" t="s">
        <v>130</v>
      </c>
      <c r="F17" s="107">
        <f ca="1">+$C$15+$C$16*$F$16-15018.5-$C$5/24</f>
        <v>45661.09099552728</v>
      </c>
    </row>
    <row r="18" spans="1:21" ht="14.25" thickTop="1" thickBot="1">
      <c r="A18" s="21" t="s">
        <v>9</v>
      </c>
      <c r="B18" s="13"/>
      <c r="C18" s="24">
        <f ca="1">+C15</f>
        <v>60472.159119280397</v>
      </c>
      <c r="D18" s="101">
        <f ca="1">+C16</f>
        <v>0.53154311402707488</v>
      </c>
      <c r="E18" s="103" t="s">
        <v>131</v>
      </c>
      <c r="F18" s="108">
        <f ca="1">+($C$15+$C$16*$F$16)-($C$16/2)-15018.5-$C$5/24</f>
        <v>45660.825223970263</v>
      </c>
    </row>
    <row r="19" spans="1:21" ht="13.5" thickTop="1">
      <c r="E19" s="20"/>
      <c r="F19" s="23"/>
    </row>
    <row r="20" spans="1:21" ht="13.5" thickBot="1">
      <c r="A20" s="4" t="s">
        <v>10</v>
      </c>
      <c r="B20" s="4" t="s">
        <v>11</v>
      </c>
      <c r="C20" s="82" t="s">
        <v>12</v>
      </c>
      <c r="D20" s="85" t="s">
        <v>17</v>
      </c>
      <c r="E20" s="4" t="s">
        <v>13</v>
      </c>
      <c r="F20" s="4" t="s">
        <v>14</v>
      </c>
      <c r="G20" s="4" t="s">
        <v>15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48" t="s">
        <v>2</v>
      </c>
    </row>
    <row r="21" spans="1:21">
      <c r="A21" t="s">
        <v>35</v>
      </c>
      <c r="C21" s="8">
        <v>52751.745999999999</v>
      </c>
      <c r="D21" s="86" t="s">
        <v>18</v>
      </c>
      <c r="E21">
        <f t="shared" ref="E21:E46" si="0">+(C21-C$7)/C$8</f>
        <v>-9747.0158632211042</v>
      </c>
      <c r="F21">
        <f>ROUND(2*E21,0)/2</f>
        <v>-9747</v>
      </c>
      <c r="G21">
        <f>+C21-(C$7+F21*C$8)</f>
        <v>-8.4320000023581088E-3</v>
      </c>
      <c r="I21">
        <f>+G21</f>
        <v>-8.4320000023581088E-3</v>
      </c>
      <c r="O21">
        <f t="shared" ref="O21:O46" ca="1" si="1">+C$11+C$12*$F21</f>
        <v>-0.2590439628608317</v>
      </c>
      <c r="Q21" s="2">
        <f t="shared" ref="Q21:Q46" si="2">+C21-15018.5</f>
        <v>37733.245999999999</v>
      </c>
    </row>
    <row r="22" spans="1:21">
      <c r="A22" s="27" t="s">
        <v>16</v>
      </c>
      <c r="B22" s="27"/>
      <c r="C22" s="28">
        <v>52788.423710000003</v>
      </c>
      <c r="D22" s="87" t="s">
        <v>18</v>
      </c>
      <c r="E22">
        <f t="shared" si="0"/>
        <v>-9678.0136545610421</v>
      </c>
      <c r="F22">
        <f>ROUND(2*E22,0)/2</f>
        <v>-9678</v>
      </c>
      <c r="G22">
        <f>+C22-(C$7+F22*C$8)</f>
        <v>-7.2579999978188425E-3</v>
      </c>
      <c r="K22">
        <f>+G22</f>
        <v>-7.2579999978188425E-3</v>
      </c>
      <c r="O22">
        <f t="shared" ca="1" si="1"/>
        <v>-0.25910509499266871</v>
      </c>
      <c r="Q22" s="2">
        <f t="shared" si="2"/>
        <v>37769.923710000003</v>
      </c>
    </row>
    <row r="23" spans="1:21">
      <c r="A23" s="29" t="s">
        <v>44</v>
      </c>
      <c r="B23" s="30" t="s">
        <v>45</v>
      </c>
      <c r="C23" s="29">
        <v>55294.396200000003</v>
      </c>
      <c r="D23" s="88">
        <v>5.7999999999999996E-3</v>
      </c>
      <c r="E23">
        <f t="shared" si="0"/>
        <v>-4963.4980359104702</v>
      </c>
      <c r="F23" s="31">
        <f t="shared" ref="F21:F49" si="3">ROUND(2*E23,0)/2+0.5</f>
        <v>-4963</v>
      </c>
      <c r="G23">
        <f>+C23-(C$7+F23*C$8)</f>
        <v>-0.26472799999464769</v>
      </c>
      <c r="J23">
        <f>+G23</f>
        <v>-0.26472799999464769</v>
      </c>
      <c r="O23">
        <f t="shared" ca="1" si="1"/>
        <v>-0.26328245733486588</v>
      </c>
      <c r="Q23" s="2">
        <f t="shared" si="2"/>
        <v>40275.896200000003</v>
      </c>
    </row>
    <row r="24" spans="1:21">
      <c r="A24" s="29" t="s">
        <v>44</v>
      </c>
      <c r="B24" s="30" t="s">
        <v>45</v>
      </c>
      <c r="C24" s="29">
        <v>55310.406600000002</v>
      </c>
      <c r="D24" s="88">
        <v>3.5999999999999999E-3</v>
      </c>
      <c r="E24">
        <f t="shared" si="0"/>
        <v>-4933.3774814502576</v>
      </c>
      <c r="F24" s="31">
        <f t="shared" si="3"/>
        <v>-4933</v>
      </c>
      <c r="O24">
        <f t="shared" ca="1" si="1"/>
        <v>-0.26330903652262111</v>
      </c>
      <c r="Q24" s="2">
        <f t="shared" si="2"/>
        <v>40291.906600000002</v>
      </c>
      <c r="U24" s="17">
        <v>-9.8420000002079178E-2</v>
      </c>
    </row>
    <row r="25" spans="1:21">
      <c r="A25" s="29" t="s">
        <v>44</v>
      </c>
      <c r="B25" s="30" t="s">
        <v>38</v>
      </c>
      <c r="C25" s="29">
        <v>55310.582900000001</v>
      </c>
      <c r="D25" s="88">
        <v>1.1000000000000001E-3</v>
      </c>
      <c r="E25">
        <f t="shared" si="0"/>
        <v>-4933.0458061797262</v>
      </c>
      <c r="F25" s="31">
        <f t="shared" si="3"/>
        <v>-4932.5</v>
      </c>
      <c r="G25">
        <f t="shared" ref="G25:G46" si="4">+C25-(C$7+F25*C$8)</f>
        <v>-0.29011999999784166</v>
      </c>
      <c r="J25">
        <f>+G25</f>
        <v>-0.29011999999784166</v>
      </c>
      <c r="O25">
        <f t="shared" ca="1" si="1"/>
        <v>-0.26330947950908368</v>
      </c>
      <c r="Q25" s="2">
        <f t="shared" si="2"/>
        <v>40292.082900000001</v>
      </c>
    </row>
    <row r="26" spans="1:21">
      <c r="A26" s="29" t="s">
        <v>37</v>
      </c>
      <c r="B26" s="30" t="s">
        <v>38</v>
      </c>
      <c r="C26" s="29">
        <v>55352.864000000001</v>
      </c>
      <c r="D26" s="88">
        <v>5.0000000000000001E-3</v>
      </c>
      <c r="E26">
        <f t="shared" si="0"/>
        <v>-4853.5018737865466</v>
      </c>
      <c r="F26" s="31">
        <f t="shared" si="3"/>
        <v>-4853</v>
      </c>
      <c r="G26">
        <f t="shared" si="4"/>
        <v>-0.26676799999404466</v>
      </c>
      <c r="K26">
        <f t="shared" ref="K26:K36" si="5">+G26</f>
        <v>-0.26676799999404466</v>
      </c>
      <c r="O26">
        <f t="shared" ca="1" si="1"/>
        <v>-0.26337991435663505</v>
      </c>
      <c r="Q26" s="2">
        <f t="shared" si="2"/>
        <v>40334.364000000001</v>
      </c>
    </row>
    <row r="27" spans="1:21">
      <c r="A27" s="49" t="s">
        <v>46</v>
      </c>
      <c r="B27" s="50" t="s">
        <v>38</v>
      </c>
      <c r="C27" s="49">
        <v>55631.928800000002</v>
      </c>
      <c r="D27" s="89">
        <v>5.0000000000000001E-4</v>
      </c>
      <c r="E27">
        <f t="shared" si="0"/>
        <v>-4328.4939722769823</v>
      </c>
      <c r="F27" s="31">
        <f t="shared" si="3"/>
        <v>-4328</v>
      </c>
      <c r="G27">
        <f t="shared" si="4"/>
        <v>-0.26256799999828218</v>
      </c>
      <c r="K27">
        <f t="shared" si="5"/>
        <v>-0.26256799999828218</v>
      </c>
      <c r="O27">
        <f t="shared" ca="1" si="1"/>
        <v>-0.2638450501423516</v>
      </c>
      <c r="Q27" s="2">
        <f t="shared" si="2"/>
        <v>40613.428800000002</v>
      </c>
    </row>
    <row r="28" spans="1:21">
      <c r="A28" s="51" t="s">
        <v>50</v>
      </c>
      <c r="B28" s="52" t="s">
        <v>45</v>
      </c>
      <c r="C28" s="53">
        <v>55687.474269999999</v>
      </c>
      <c r="D28" s="90">
        <v>2.0000000000000001E-4</v>
      </c>
      <c r="E28">
        <f t="shared" si="0"/>
        <v>-4223.9956240687488</v>
      </c>
      <c r="F28" s="31">
        <f t="shared" si="3"/>
        <v>-4223.5</v>
      </c>
      <c r="G28">
        <f t="shared" si="4"/>
        <v>-0.26344599999720231</v>
      </c>
      <c r="K28">
        <f t="shared" si="5"/>
        <v>-0.26344599999720231</v>
      </c>
      <c r="O28">
        <f t="shared" ca="1" si="1"/>
        <v>-0.2639376343130323</v>
      </c>
      <c r="Q28" s="2">
        <f t="shared" si="2"/>
        <v>40668.974269999999</v>
      </c>
    </row>
    <row r="29" spans="1:21">
      <c r="A29" s="51" t="s">
        <v>50</v>
      </c>
      <c r="B29" s="52" t="s">
        <v>45</v>
      </c>
      <c r="C29" s="53">
        <v>55687.474670000003</v>
      </c>
      <c r="D29" s="90">
        <v>2.0000000000000001E-4</v>
      </c>
      <c r="E29">
        <f t="shared" si="0"/>
        <v>-4223.9948715440196</v>
      </c>
      <c r="F29" s="31">
        <f t="shared" si="3"/>
        <v>-4223.5</v>
      </c>
      <c r="G29">
        <f t="shared" si="4"/>
        <v>-0.26304599999275524</v>
      </c>
      <c r="K29">
        <f t="shared" si="5"/>
        <v>-0.26304599999275524</v>
      </c>
      <c r="O29">
        <f t="shared" ca="1" si="1"/>
        <v>-0.2639376343130323</v>
      </c>
      <c r="Q29" s="2">
        <f t="shared" si="2"/>
        <v>40668.974670000003</v>
      </c>
    </row>
    <row r="30" spans="1:21">
      <c r="A30" s="51" t="s">
        <v>50</v>
      </c>
      <c r="B30" s="52" t="s">
        <v>45</v>
      </c>
      <c r="C30" s="53">
        <v>55687.47537</v>
      </c>
      <c r="D30" s="90">
        <v>2.0000000000000001E-4</v>
      </c>
      <c r="E30">
        <f t="shared" si="0"/>
        <v>-4223.9935546257648</v>
      </c>
      <c r="F30" s="31">
        <f t="shared" si="3"/>
        <v>-4223.5</v>
      </c>
      <c r="G30">
        <f t="shared" si="4"/>
        <v>-0.26234599999588681</v>
      </c>
      <c r="K30">
        <f t="shared" si="5"/>
        <v>-0.26234599999588681</v>
      </c>
      <c r="O30">
        <f t="shared" ca="1" si="1"/>
        <v>-0.2639376343130323</v>
      </c>
      <c r="Q30" s="2">
        <f t="shared" si="2"/>
        <v>40668.97537</v>
      </c>
    </row>
    <row r="31" spans="1:21">
      <c r="A31" s="46" t="s">
        <v>95</v>
      </c>
      <c r="B31" s="47" t="s">
        <v>45</v>
      </c>
      <c r="C31" s="46">
        <v>55698.370300000002</v>
      </c>
      <c r="D31" s="91" t="s">
        <v>63</v>
      </c>
      <c r="E31">
        <f t="shared" si="0"/>
        <v>-4203.496794244682</v>
      </c>
      <c r="F31" s="31">
        <f t="shared" si="3"/>
        <v>-4203</v>
      </c>
      <c r="G31">
        <f t="shared" si="4"/>
        <v>-0.26406799999676878</v>
      </c>
      <c r="K31">
        <f t="shared" si="5"/>
        <v>-0.26406799999676878</v>
      </c>
      <c r="O31">
        <f t="shared" ca="1" si="1"/>
        <v>-0.26395579675799835</v>
      </c>
      <c r="Q31" s="2">
        <f t="shared" si="2"/>
        <v>40679.870300000002</v>
      </c>
    </row>
    <row r="32" spans="1:21">
      <c r="A32" s="46" t="s">
        <v>95</v>
      </c>
      <c r="B32" s="47" t="s">
        <v>38</v>
      </c>
      <c r="C32" s="46">
        <v>55702.359700000001</v>
      </c>
      <c r="D32" s="91" t="s">
        <v>63</v>
      </c>
      <c r="E32">
        <f t="shared" si="0"/>
        <v>-4195.9914889454058</v>
      </c>
      <c r="F32" s="31">
        <f t="shared" si="3"/>
        <v>-4195.5</v>
      </c>
      <c r="G32">
        <f t="shared" si="4"/>
        <v>-0.26124799999524839</v>
      </c>
      <c r="K32">
        <f t="shared" si="5"/>
        <v>-0.26124799999524839</v>
      </c>
      <c r="O32">
        <f t="shared" ca="1" si="1"/>
        <v>-0.2639624415549372</v>
      </c>
      <c r="Q32" s="2">
        <f t="shared" si="2"/>
        <v>40683.859700000001</v>
      </c>
    </row>
    <row r="33" spans="1:17">
      <c r="A33" s="46" t="s">
        <v>95</v>
      </c>
      <c r="B33" s="47" t="s">
        <v>38</v>
      </c>
      <c r="C33" s="46">
        <v>55711.394699999997</v>
      </c>
      <c r="D33" s="91" t="s">
        <v>63</v>
      </c>
      <c r="E33">
        <f t="shared" si="0"/>
        <v>-4178.9938368225403</v>
      </c>
      <c r="F33" s="31">
        <f t="shared" si="3"/>
        <v>-4178.5</v>
      </c>
      <c r="G33">
        <f t="shared" si="4"/>
        <v>-0.26249600000301143</v>
      </c>
      <c r="K33">
        <f t="shared" si="5"/>
        <v>-0.26249600000301143</v>
      </c>
      <c r="O33">
        <f t="shared" ca="1" si="1"/>
        <v>-0.26397750309466517</v>
      </c>
      <c r="Q33" s="2">
        <f t="shared" si="2"/>
        <v>40692.894699999997</v>
      </c>
    </row>
    <row r="34" spans="1:17">
      <c r="A34" s="28" t="s">
        <v>47</v>
      </c>
      <c r="B34" s="32" t="s">
        <v>38</v>
      </c>
      <c r="C34" s="28">
        <v>56001.884599999998</v>
      </c>
      <c r="D34" s="87">
        <v>4.0000000000000002E-4</v>
      </c>
      <c r="E34">
        <f t="shared" si="0"/>
        <v>-3632.4917598543116</v>
      </c>
      <c r="F34" s="31">
        <f t="shared" si="3"/>
        <v>-3632</v>
      </c>
      <c r="G34">
        <f t="shared" si="4"/>
        <v>-0.2613920000003418</v>
      </c>
      <c r="K34">
        <f t="shared" si="5"/>
        <v>-0.2613920000003418</v>
      </c>
      <c r="O34">
        <f t="shared" ca="1" si="1"/>
        <v>-0.26446168729827296</v>
      </c>
      <c r="Q34" s="2">
        <f t="shared" si="2"/>
        <v>40983.384599999998</v>
      </c>
    </row>
    <row r="35" spans="1:17">
      <c r="A35" s="51" t="s">
        <v>50</v>
      </c>
      <c r="B35" s="52" t="s">
        <v>45</v>
      </c>
      <c r="C35" s="53">
        <v>56056.366260000003</v>
      </c>
      <c r="D35" s="90">
        <v>8.0000000000000004E-4</v>
      </c>
      <c r="E35">
        <f t="shared" si="0"/>
        <v>-3529.994769953184</v>
      </c>
      <c r="F35" s="31">
        <f t="shared" si="3"/>
        <v>-3529.5</v>
      </c>
      <c r="G35">
        <f t="shared" si="4"/>
        <v>-0.26299199999630218</v>
      </c>
      <c r="K35">
        <f t="shared" si="5"/>
        <v>-0.26299199999630218</v>
      </c>
      <c r="O35">
        <f t="shared" ca="1" si="1"/>
        <v>-0.26455249952310333</v>
      </c>
      <c r="Q35" s="2">
        <f t="shared" si="2"/>
        <v>41037.866260000003</v>
      </c>
    </row>
    <row r="36" spans="1:17">
      <c r="A36" s="53" t="s">
        <v>47</v>
      </c>
      <c r="B36" s="52" t="s">
        <v>38</v>
      </c>
      <c r="C36" s="53">
        <v>56074.705499999996</v>
      </c>
      <c r="D36" s="90">
        <v>5.9999999999999995E-4</v>
      </c>
      <c r="E36">
        <f t="shared" si="0"/>
        <v>-3495.4929413181248</v>
      </c>
      <c r="F36" s="31">
        <f t="shared" si="3"/>
        <v>-3495</v>
      </c>
      <c r="G36">
        <f t="shared" si="4"/>
        <v>-0.26202000000193948</v>
      </c>
      <c r="K36">
        <f t="shared" si="5"/>
        <v>-0.26202000000193948</v>
      </c>
      <c r="O36">
        <f t="shared" ca="1" si="1"/>
        <v>-0.26458306558902184</v>
      </c>
      <c r="Q36" s="2">
        <f t="shared" si="2"/>
        <v>41056.205499999996</v>
      </c>
    </row>
    <row r="37" spans="1:17">
      <c r="A37" s="53" t="s">
        <v>51</v>
      </c>
      <c r="B37" s="52" t="s">
        <v>45</v>
      </c>
      <c r="C37" s="53">
        <v>56418.351900000001</v>
      </c>
      <c r="D37" s="90">
        <v>4.0000000000000001E-3</v>
      </c>
      <c r="E37">
        <f t="shared" si="0"/>
        <v>-2848.9869135951044</v>
      </c>
      <c r="F37" s="31">
        <f t="shared" si="3"/>
        <v>-2848.5</v>
      </c>
      <c r="G37">
        <f t="shared" si="4"/>
        <v>-0.25881599999411264</v>
      </c>
      <c r="J37">
        <f>+G37</f>
        <v>-0.25881599999411264</v>
      </c>
      <c r="O37">
        <f t="shared" ca="1" si="1"/>
        <v>-0.26515584708514706</v>
      </c>
      <c r="Q37" s="2">
        <f t="shared" si="2"/>
        <v>41399.851900000001</v>
      </c>
    </row>
    <row r="38" spans="1:17">
      <c r="A38" s="54" t="s">
        <v>52</v>
      </c>
      <c r="B38" s="55" t="s">
        <v>45</v>
      </c>
      <c r="C38" s="54">
        <v>56764.383000000002</v>
      </c>
      <c r="D38" s="92">
        <v>1.5E-3</v>
      </c>
      <c r="E38">
        <f t="shared" si="0"/>
        <v>-2197.9945216200276</v>
      </c>
      <c r="F38" s="31">
        <f t="shared" si="3"/>
        <v>-2197.5</v>
      </c>
      <c r="G38">
        <f t="shared" si="4"/>
        <v>-0.26285999999527121</v>
      </c>
      <c r="J38">
        <f>+G38</f>
        <v>-0.26285999999527121</v>
      </c>
      <c r="O38">
        <f t="shared" ca="1" si="1"/>
        <v>-0.26573261545943555</v>
      </c>
      <c r="Q38" s="2">
        <f t="shared" si="2"/>
        <v>41745.883000000002</v>
      </c>
    </row>
    <row r="39" spans="1:17">
      <c r="A39" s="56" t="s">
        <v>3</v>
      </c>
      <c r="B39" s="57" t="s">
        <v>45</v>
      </c>
      <c r="C39" s="58">
        <v>57119.4516</v>
      </c>
      <c r="D39" s="112">
        <v>3.3999999999999998E-3</v>
      </c>
      <c r="E39">
        <f t="shared" si="0"/>
        <v>-1529.999774242579</v>
      </c>
      <c r="F39" s="31">
        <f t="shared" si="3"/>
        <v>-1529.5</v>
      </c>
      <c r="G39">
        <f t="shared" si="4"/>
        <v>-0.26565199999458855</v>
      </c>
      <c r="K39">
        <f t="shared" ref="K39:K46" si="6">+G39</f>
        <v>-0.26565199999458855</v>
      </c>
      <c r="O39">
        <f t="shared" ca="1" si="1"/>
        <v>-0.26632444537345207</v>
      </c>
      <c r="Q39" s="2">
        <f t="shared" si="2"/>
        <v>42100.9516</v>
      </c>
    </row>
    <row r="40" spans="1:17">
      <c r="A40" s="60" t="s">
        <v>3</v>
      </c>
      <c r="B40" s="61" t="s">
        <v>45</v>
      </c>
      <c r="C40" s="62">
        <v>57128.489300000001</v>
      </c>
      <c r="D40" s="111">
        <v>3.0999999999999999E-3</v>
      </c>
      <c r="E40">
        <f t="shared" si="0"/>
        <v>-1512.9970425778422</v>
      </c>
      <c r="F40" s="31">
        <f t="shared" si="3"/>
        <v>-1512.5</v>
      </c>
      <c r="G40">
        <f t="shared" si="4"/>
        <v>-0.26419999999779975</v>
      </c>
      <c r="K40">
        <f t="shared" si="6"/>
        <v>-0.26419999999779975</v>
      </c>
      <c r="O40">
        <f t="shared" ca="1" si="1"/>
        <v>-0.26633950691317998</v>
      </c>
      <c r="Q40" s="2">
        <f t="shared" si="2"/>
        <v>42109.989300000001</v>
      </c>
    </row>
    <row r="41" spans="1:17">
      <c r="A41" s="60" t="s">
        <v>3</v>
      </c>
      <c r="B41" s="61" t="s">
        <v>45</v>
      </c>
      <c r="C41" s="62">
        <v>57489.4087</v>
      </c>
      <c r="D41" s="111">
        <v>3.0999999999999999E-3</v>
      </c>
      <c r="E41">
        <f t="shared" si="0"/>
        <v>-833.99511611456012</v>
      </c>
      <c r="F41" s="31">
        <f t="shared" si="3"/>
        <v>-833.5</v>
      </c>
      <c r="G41">
        <f t="shared" si="4"/>
        <v>-0.2631760000003851</v>
      </c>
      <c r="K41">
        <f t="shared" si="6"/>
        <v>-0.2631760000003851</v>
      </c>
      <c r="O41">
        <f t="shared" ca="1" si="1"/>
        <v>-0.26694108252937337</v>
      </c>
      <c r="Q41" s="2">
        <f t="shared" si="2"/>
        <v>42470.9087</v>
      </c>
    </row>
    <row r="42" spans="1:17">
      <c r="A42" s="63" t="s">
        <v>121</v>
      </c>
      <c r="B42" s="64" t="s">
        <v>38</v>
      </c>
      <c r="C42" s="65">
        <v>57498.709699999999</v>
      </c>
      <c r="D42" s="93">
        <v>2.0000000000000001E-4</v>
      </c>
      <c r="E42">
        <f t="shared" si="0"/>
        <v>-816.49703505259822</v>
      </c>
      <c r="F42" s="31">
        <f t="shared" si="3"/>
        <v>-816</v>
      </c>
      <c r="G42">
        <f t="shared" si="4"/>
        <v>-0.26419599999644561</v>
      </c>
      <c r="K42">
        <f t="shared" si="6"/>
        <v>-0.26419599999644561</v>
      </c>
      <c r="O42">
        <f t="shared" ca="1" si="1"/>
        <v>-0.26695658705556397</v>
      </c>
      <c r="Q42" s="2">
        <f t="shared" si="2"/>
        <v>42480.209699999999</v>
      </c>
    </row>
    <row r="43" spans="1:17">
      <c r="A43" s="60" t="s">
        <v>3</v>
      </c>
      <c r="B43" s="61" t="s">
        <v>45</v>
      </c>
      <c r="C43" s="62">
        <v>57516.516600000003</v>
      </c>
      <c r="D43" s="111">
        <v>2.8E-3</v>
      </c>
      <c r="E43">
        <f t="shared" si="0"/>
        <v>-782.99670394171517</v>
      </c>
      <c r="F43" s="31">
        <f t="shared" si="3"/>
        <v>-782.5</v>
      </c>
      <c r="G43">
        <f t="shared" si="4"/>
        <v>-0.26401999999507098</v>
      </c>
      <c r="K43">
        <f t="shared" si="6"/>
        <v>-0.26401999999507098</v>
      </c>
      <c r="O43">
        <f t="shared" ca="1" si="1"/>
        <v>-0.26698626714855728</v>
      </c>
      <c r="Q43" s="2">
        <f t="shared" si="2"/>
        <v>42498.016600000003</v>
      </c>
    </row>
    <row r="44" spans="1:17">
      <c r="A44" s="66" t="s">
        <v>122</v>
      </c>
      <c r="B44" s="67" t="s">
        <v>38</v>
      </c>
      <c r="C44" s="68">
        <v>57805.938699999999</v>
      </c>
      <c r="D44" s="94">
        <v>2.9999999999999997E-4</v>
      </c>
      <c r="E44">
        <f t="shared" si="0"/>
        <v>-238.5034917147008</v>
      </c>
      <c r="F44" s="31">
        <f t="shared" si="3"/>
        <v>-238</v>
      </c>
      <c r="G44">
        <f t="shared" si="4"/>
        <v>-0.26762800000142306</v>
      </c>
      <c r="K44">
        <f t="shared" si="6"/>
        <v>-0.26762800000142306</v>
      </c>
      <c r="O44">
        <f t="shared" ca="1" si="1"/>
        <v>-0.26746867940631475</v>
      </c>
      <c r="Q44" s="2">
        <f t="shared" si="2"/>
        <v>42787.438699999999</v>
      </c>
    </row>
    <row r="45" spans="1:17">
      <c r="A45" s="66" t="s">
        <v>122</v>
      </c>
      <c r="B45" s="67" t="s">
        <v>38</v>
      </c>
      <c r="C45" s="68">
        <v>57811.784</v>
      </c>
      <c r="D45" s="94">
        <v>2.0000000000000001E-4</v>
      </c>
      <c r="E45">
        <f t="shared" si="0"/>
        <v>-227.50665984377221</v>
      </c>
      <c r="F45" s="31">
        <f t="shared" si="3"/>
        <v>-227</v>
      </c>
      <c r="G45">
        <f t="shared" si="4"/>
        <v>-0.26931199999671662</v>
      </c>
      <c r="K45">
        <f t="shared" si="6"/>
        <v>-0.26931199999671662</v>
      </c>
      <c r="O45">
        <f t="shared" ca="1" si="1"/>
        <v>-0.26747842510849168</v>
      </c>
      <c r="Q45" s="2">
        <f t="shared" si="2"/>
        <v>42793.284</v>
      </c>
    </row>
    <row r="46" spans="1:17">
      <c r="A46" s="69" t="s">
        <v>123</v>
      </c>
      <c r="B46" s="70" t="s">
        <v>38</v>
      </c>
      <c r="C46" s="71">
        <v>57859.095300000001</v>
      </c>
      <c r="D46" s="95" t="s">
        <v>124</v>
      </c>
      <c r="E46">
        <f t="shared" si="0"/>
        <v>-138.49935282873452</v>
      </c>
      <c r="F46" s="31">
        <f t="shared" si="3"/>
        <v>-138</v>
      </c>
      <c r="G46">
        <f t="shared" si="4"/>
        <v>-0.26542799999879207</v>
      </c>
      <c r="K46">
        <f t="shared" si="6"/>
        <v>-0.26542799999879207</v>
      </c>
      <c r="O46">
        <f t="shared" ca="1" si="1"/>
        <v>-0.26755727669883217</v>
      </c>
      <c r="Q46" s="2">
        <f t="shared" si="2"/>
        <v>42840.595300000001</v>
      </c>
    </row>
    <row r="47" spans="1:17">
      <c r="A47" s="76" t="s">
        <v>1</v>
      </c>
      <c r="B47" s="73" t="s">
        <v>38</v>
      </c>
      <c r="C47" s="59">
        <v>57915.438999999998</v>
      </c>
      <c r="D47" s="96">
        <v>0.01</v>
      </c>
      <c r="E47">
        <f>+(C47-C$7)/C$8</f>
        <v>-32.49928510151414</v>
      </c>
      <c r="F47" s="31">
        <f t="shared" si="3"/>
        <v>-32</v>
      </c>
      <c r="G47">
        <f>+C47-(C$7+F47*C$8)</f>
        <v>-0.2653920000011567</v>
      </c>
      <c r="I47">
        <f>+G47</f>
        <v>-0.2653920000011567</v>
      </c>
      <c r="O47">
        <f ca="1">+C$11+C$12*$F47</f>
        <v>-0.26765118982890068</v>
      </c>
      <c r="Q47" s="2">
        <f>+C47-15018.5</f>
        <v>42896.938999999998</v>
      </c>
    </row>
    <row r="48" spans="1:17">
      <c r="A48" s="72" t="s">
        <v>0</v>
      </c>
      <c r="B48" s="74" t="s">
        <v>45</v>
      </c>
      <c r="C48" s="75">
        <v>57843.412600000003</v>
      </c>
      <c r="D48" s="97">
        <v>1.1000000000000001E-3</v>
      </c>
      <c r="E48">
        <f>+(C48-C$7)/C$8</f>
        <v>-168.00340141172589</v>
      </c>
      <c r="F48" s="31">
        <f t="shared" si="3"/>
        <v>-167.5</v>
      </c>
      <c r="G48">
        <f>+C48-(C$7+F48*C$8)</f>
        <v>-0.2675799999924493</v>
      </c>
      <c r="K48">
        <f>+G48</f>
        <v>-0.2675799999924493</v>
      </c>
      <c r="O48">
        <f ca="1">+C$11+C$12*$F48</f>
        <v>-0.26753114049753951</v>
      </c>
      <c r="Q48" s="2">
        <f>+C48-15018.5</f>
        <v>42824.912600000003</v>
      </c>
    </row>
    <row r="49" spans="1:17">
      <c r="A49" s="72" t="s">
        <v>0</v>
      </c>
      <c r="B49" s="74" t="s">
        <v>45</v>
      </c>
      <c r="C49" s="75">
        <v>57846.604399999997</v>
      </c>
      <c r="D49" s="97">
        <v>1.6000000000000001E-3</v>
      </c>
      <c r="E49">
        <f>+(C49-C$7)/C$8</f>
        <v>-161.99863040501103</v>
      </c>
      <c r="F49" s="31">
        <f t="shared" si="3"/>
        <v>-161.5</v>
      </c>
      <c r="G49">
        <f>+C49-(C$7+F49*C$8)</f>
        <v>-0.26504399999976158</v>
      </c>
      <c r="K49">
        <f>+G49</f>
        <v>-0.26504399999976158</v>
      </c>
      <c r="O49">
        <f ca="1">+C$11+C$12*$F49</f>
        <v>-0.2675364563350906</v>
      </c>
      <c r="Q49" s="2">
        <f>+C49-15018.5</f>
        <v>42828.104399999997</v>
      </c>
    </row>
    <row r="50" spans="1:17">
      <c r="A50" s="77" t="s">
        <v>125</v>
      </c>
      <c r="B50" s="78" t="s">
        <v>45</v>
      </c>
      <c r="C50" s="83">
        <v>59385.416999999899</v>
      </c>
      <c r="D50" s="98">
        <v>8.0000000000000002E-3</v>
      </c>
      <c r="E50">
        <f>+(C50-C$7)/C$8</f>
        <v>2732.9876736448941</v>
      </c>
      <c r="F50" s="31">
        <f t="shared" ref="F50" si="7">ROUND(2*E50,0)/2+0.5</f>
        <v>2733.5</v>
      </c>
      <c r="G50">
        <f>+C50-(C$7+F50*C$8)</f>
        <v>-0.27232400009961566</v>
      </c>
      <c r="K50">
        <f>+G50</f>
        <v>-0.27232400009961566</v>
      </c>
      <c r="O50">
        <f ca="1">+C$11+C$12*$F50</f>
        <v>-0.27010134795347035</v>
      </c>
      <c r="Q50" s="2">
        <f>+C50-15018.5</f>
        <v>44366.916999999899</v>
      </c>
    </row>
    <row r="51" spans="1:17">
      <c r="A51" s="79" t="s">
        <v>126</v>
      </c>
      <c r="B51" s="80" t="s">
        <v>38</v>
      </c>
      <c r="C51" s="84">
        <v>60045.862200000003</v>
      </c>
      <c r="D51" s="98">
        <v>5.0000000000000001E-4</v>
      </c>
      <c r="E51">
        <f>+(C51-C$7)/C$8</f>
        <v>3975.4910223800953</v>
      </c>
      <c r="F51" s="81">
        <f t="shared" ref="F51" si="8">ROUND(2*E51,0)/2+0.5</f>
        <v>3976</v>
      </c>
      <c r="G51">
        <f>+C51-(C$7+F51*C$8)</f>
        <v>-0.27054399999178713</v>
      </c>
      <c r="K51">
        <f>+G51</f>
        <v>-0.27054399999178713</v>
      </c>
      <c r="O51">
        <f ca="1">+C$11+C$12*$F51</f>
        <v>-0.27120216931299951</v>
      </c>
      <c r="Q51" s="2">
        <f>+C51-15018.5</f>
        <v>45027.362200000003</v>
      </c>
    </row>
    <row r="52" spans="1:17">
      <c r="A52" s="77" t="s">
        <v>127</v>
      </c>
      <c r="B52" s="80" t="s">
        <v>38</v>
      </c>
      <c r="C52" s="100">
        <v>60382.856500000002</v>
      </c>
      <c r="D52" s="99">
        <v>2.9999999999999997E-4</v>
      </c>
      <c r="E52">
        <f t="shared" ref="E52:E55" si="9">+(C52-C$7)/C$8</f>
        <v>4609.4823758710545</v>
      </c>
      <c r="F52" s="81">
        <f t="shared" ref="F52:F55" si="10">ROUND(2*E52,0)/2+0.5</f>
        <v>4610</v>
      </c>
      <c r="G52">
        <f t="shared" ref="G52:G55" si="11">+C52-(C$7+F52*C$8)</f>
        <v>-0.27513999999791849</v>
      </c>
      <c r="K52">
        <f t="shared" ref="K52:K55" si="12">+G52</f>
        <v>-0.27513999999791849</v>
      </c>
      <c r="O52">
        <f t="shared" ref="O52:O55" ca="1" si="13">+C$11+C$12*$F52</f>
        <v>-0.27176387614756004</v>
      </c>
      <c r="Q52" s="2">
        <f t="shared" ref="Q52:Q55" si="14">+C52-15018.5</f>
        <v>45364.356500000002</v>
      </c>
    </row>
    <row r="53" spans="1:17">
      <c r="A53" s="79" t="s">
        <v>128</v>
      </c>
      <c r="B53" s="80" t="s">
        <v>38</v>
      </c>
      <c r="C53" s="100">
        <v>60452.492000000086</v>
      </c>
      <c r="D53" s="99">
        <v>8.0000000000000002E-3</v>
      </c>
      <c r="E53">
        <f t="shared" si="9"/>
        <v>4740.4884637962014</v>
      </c>
      <c r="F53" s="81">
        <f t="shared" si="10"/>
        <v>4741</v>
      </c>
      <c r="G53">
        <f t="shared" si="11"/>
        <v>-0.2719039999137749</v>
      </c>
      <c r="K53">
        <f t="shared" si="12"/>
        <v>-0.2719039999137749</v>
      </c>
      <c r="O53">
        <f t="shared" ca="1" si="13"/>
        <v>-0.27187993860075788</v>
      </c>
      <c r="Q53" s="2">
        <f t="shared" si="14"/>
        <v>45433.992000000086</v>
      </c>
    </row>
    <row r="54" spans="1:17">
      <c r="A54" s="79" t="s">
        <v>128</v>
      </c>
      <c r="B54" s="80" t="s">
        <v>45</v>
      </c>
      <c r="C54" s="100">
        <v>60465.512000000104</v>
      </c>
      <c r="D54" s="99">
        <v>5.0000000000000001E-3</v>
      </c>
      <c r="E54">
        <f t="shared" si="9"/>
        <v>4764.9831434464622</v>
      </c>
      <c r="F54" s="81">
        <f t="shared" si="10"/>
        <v>4765.5</v>
      </c>
      <c r="G54">
        <f t="shared" si="11"/>
        <v>-0.27473199989617569</v>
      </c>
      <c r="K54">
        <f t="shared" si="12"/>
        <v>-0.27473199989617569</v>
      </c>
      <c r="O54">
        <f t="shared" ca="1" si="13"/>
        <v>-0.27190164493742469</v>
      </c>
      <c r="Q54" s="2">
        <f t="shared" si="14"/>
        <v>45447.012000000104</v>
      </c>
    </row>
    <row r="55" spans="1:17">
      <c r="A55" s="79" t="s">
        <v>128</v>
      </c>
      <c r="B55" s="80" t="s">
        <v>45</v>
      </c>
      <c r="C55" s="100">
        <v>60472.421000000089</v>
      </c>
      <c r="D55" s="99">
        <v>5.0000000000000001E-3</v>
      </c>
      <c r="E55">
        <f t="shared" si="9"/>
        <v>4777.9811266801835</v>
      </c>
      <c r="F55" s="81">
        <f t="shared" si="10"/>
        <v>4778.5</v>
      </c>
      <c r="G55">
        <f t="shared" si="11"/>
        <v>-0.27580399990984006</v>
      </c>
      <c r="K55">
        <f t="shared" si="12"/>
        <v>-0.27580399990984006</v>
      </c>
      <c r="O55">
        <f t="shared" ca="1" si="13"/>
        <v>-0.27191316258545195</v>
      </c>
      <c r="Q55" s="2">
        <f t="shared" si="14"/>
        <v>45453.921000000089</v>
      </c>
    </row>
    <row r="56" spans="1:17">
      <c r="C56" s="8"/>
      <c r="D56" s="86"/>
    </row>
    <row r="57" spans="1:17">
      <c r="C57" s="8"/>
      <c r="D57" s="86"/>
    </row>
    <row r="58" spans="1:17">
      <c r="C58" s="8"/>
      <c r="D58" s="86"/>
    </row>
    <row r="59" spans="1:17">
      <c r="C59" s="8"/>
      <c r="D59" s="86"/>
    </row>
    <row r="60" spans="1:17">
      <c r="C60" s="8"/>
      <c r="D60" s="86"/>
    </row>
    <row r="61" spans="1:17">
      <c r="C61" s="8"/>
      <c r="D61" s="86"/>
    </row>
    <row r="62" spans="1:17">
      <c r="C62" s="8"/>
      <c r="D62" s="86"/>
    </row>
    <row r="63" spans="1:17">
      <c r="C63" s="8"/>
      <c r="D63" s="86"/>
    </row>
    <row r="64" spans="1:17">
      <c r="C64" s="8"/>
      <c r="D64" s="86"/>
    </row>
    <row r="65" spans="3:4">
      <c r="C65" s="8"/>
      <c r="D65" s="86"/>
    </row>
    <row r="66" spans="3:4">
      <c r="C66" s="8"/>
      <c r="D66" s="86"/>
    </row>
    <row r="67" spans="3:4">
      <c r="C67" s="8"/>
      <c r="D67" s="86"/>
    </row>
    <row r="68" spans="3:4">
      <c r="C68" s="8"/>
      <c r="D68" s="86"/>
    </row>
    <row r="69" spans="3:4">
      <c r="C69" s="8"/>
      <c r="D69" s="86"/>
    </row>
    <row r="70" spans="3:4">
      <c r="C70" s="8"/>
      <c r="D70" s="86"/>
    </row>
    <row r="71" spans="3:4">
      <c r="C71" s="8"/>
      <c r="D71" s="86"/>
    </row>
    <row r="72" spans="3:4">
      <c r="C72" s="8"/>
      <c r="D72" s="86"/>
    </row>
    <row r="73" spans="3:4">
      <c r="C73" s="8"/>
      <c r="D73" s="86"/>
    </row>
    <row r="74" spans="3:4">
      <c r="C74" s="8"/>
      <c r="D74" s="86"/>
    </row>
    <row r="75" spans="3:4">
      <c r="C75" s="8"/>
      <c r="D75" s="86"/>
    </row>
    <row r="76" spans="3:4">
      <c r="C76" s="8"/>
      <c r="D76" s="86"/>
    </row>
    <row r="77" spans="3:4">
      <c r="C77" s="8"/>
      <c r="D77" s="86"/>
    </row>
    <row r="78" spans="3:4">
      <c r="C78" s="8"/>
      <c r="D78" s="86"/>
    </row>
    <row r="79" spans="3:4">
      <c r="C79" s="8"/>
      <c r="D79" s="86"/>
    </row>
    <row r="80" spans="3:4">
      <c r="C80" s="8"/>
      <c r="D80" s="86"/>
    </row>
    <row r="81" spans="3:4">
      <c r="C81" s="8"/>
      <c r="D81" s="86"/>
    </row>
    <row r="82" spans="3:4">
      <c r="C82" s="8"/>
      <c r="D82" s="86"/>
    </row>
    <row r="83" spans="3:4">
      <c r="C83" s="8"/>
      <c r="D83" s="86"/>
    </row>
    <row r="84" spans="3:4">
      <c r="C84" s="8"/>
      <c r="D84" s="86"/>
    </row>
    <row r="85" spans="3:4">
      <c r="C85" s="8"/>
      <c r="D85" s="86"/>
    </row>
    <row r="86" spans="3:4">
      <c r="C86" s="8"/>
      <c r="D86" s="86"/>
    </row>
    <row r="87" spans="3:4">
      <c r="C87" s="8"/>
      <c r="D87" s="86"/>
    </row>
    <row r="88" spans="3:4">
      <c r="C88" s="8"/>
      <c r="D88" s="86"/>
    </row>
    <row r="89" spans="3:4">
      <c r="C89" s="8"/>
      <c r="D89" s="86"/>
    </row>
    <row r="90" spans="3:4">
      <c r="C90" s="8"/>
      <c r="D90" s="86"/>
    </row>
    <row r="91" spans="3:4">
      <c r="C91" s="8"/>
      <c r="D91" s="86"/>
    </row>
    <row r="92" spans="3:4">
      <c r="C92" s="8"/>
      <c r="D92" s="86"/>
    </row>
    <row r="93" spans="3:4">
      <c r="C93" s="8"/>
      <c r="D93" s="86"/>
    </row>
    <row r="94" spans="3:4">
      <c r="C94" s="8"/>
      <c r="D94" s="86"/>
    </row>
    <row r="95" spans="3:4">
      <c r="C95" s="8"/>
      <c r="D95" s="86"/>
    </row>
    <row r="96" spans="3:4">
      <c r="C96" s="8"/>
      <c r="D96" s="86"/>
    </row>
    <row r="97" spans="3:4">
      <c r="C97" s="8"/>
      <c r="D97" s="86"/>
    </row>
    <row r="98" spans="3:4">
      <c r="C98" s="8"/>
      <c r="D98" s="86"/>
    </row>
    <row r="99" spans="3:4">
      <c r="C99" s="8"/>
      <c r="D99" s="86"/>
    </row>
    <row r="100" spans="3:4">
      <c r="C100" s="8"/>
      <c r="D100" s="86"/>
    </row>
    <row r="101" spans="3:4">
      <c r="C101" s="8"/>
      <c r="D101" s="86"/>
    </row>
    <row r="102" spans="3:4">
      <c r="C102" s="8"/>
      <c r="D102" s="86"/>
    </row>
    <row r="103" spans="3:4">
      <c r="C103" s="8"/>
      <c r="D103" s="86"/>
    </row>
    <row r="104" spans="3:4">
      <c r="C104" s="8"/>
      <c r="D104" s="86"/>
    </row>
    <row r="105" spans="3:4">
      <c r="C105" s="8"/>
      <c r="D105" s="86"/>
    </row>
    <row r="106" spans="3:4">
      <c r="C106" s="8"/>
      <c r="D106" s="86"/>
    </row>
    <row r="107" spans="3:4">
      <c r="C107" s="8"/>
      <c r="D107" s="86"/>
    </row>
    <row r="108" spans="3:4">
      <c r="C108" s="8"/>
      <c r="D108" s="86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8" type="noConversion"/>
  <hyperlinks>
    <hyperlink ref="H2914" r:id="rId1" display="http://vsolj.cetus-net.org/bulletin.html" xr:uid="{00000000-0004-0000-0000-000000000000}"/>
    <hyperlink ref="H64724" r:id="rId2" display="http://vsolj.cetus-net.org/bulletin.html" xr:uid="{00000000-0004-0000-0000-000001000000}"/>
    <hyperlink ref="H64717" r:id="rId3" display="https://www.aavso.org/ejaavso" xr:uid="{00000000-0004-0000-0000-000002000000}"/>
    <hyperlink ref="AP1575" r:id="rId4" display="http://cdsbib.u-strasbg.fr/cgi-bin/cdsbib?1990RMxAA..21..381G" xr:uid="{00000000-0004-0000-0000-000003000000}"/>
    <hyperlink ref="AP1572" r:id="rId5" display="http://cdsbib.u-strasbg.fr/cgi-bin/cdsbib?1990RMxAA..21..381G" xr:uid="{00000000-0004-0000-0000-000004000000}"/>
    <hyperlink ref="AP1574" r:id="rId6" display="http://cdsbib.u-strasbg.fr/cgi-bin/cdsbib?1990RMxAA..21..381G" xr:uid="{00000000-0004-0000-0000-000005000000}"/>
    <hyperlink ref="AP1550" r:id="rId7" display="http://cdsbib.u-strasbg.fr/cgi-bin/cdsbib?1990RMxAA..21..381G" xr:uid="{00000000-0004-0000-0000-000006000000}"/>
    <hyperlink ref="I64724" r:id="rId8" display="http://vsolj.cetus-net.org/bulletin.html" xr:uid="{00000000-0004-0000-0000-000007000000}"/>
    <hyperlink ref="AQ1711" r:id="rId9" display="http://cdsbib.u-strasbg.fr/cgi-bin/cdsbib?1990RMxAA..21..381G" xr:uid="{00000000-0004-0000-0000-000008000000}"/>
    <hyperlink ref="AQ3355" r:id="rId10" display="http://cdsbib.u-strasbg.fr/cgi-bin/cdsbib?1990RMxAA..21..381G" xr:uid="{00000000-0004-0000-0000-000009000000}"/>
    <hyperlink ref="AQ1712" r:id="rId11" display="http://cdsbib.u-strasbg.fr/cgi-bin/cdsbib?1990RMxAA..21..381G" xr:uid="{00000000-0004-0000-0000-00000A000000}"/>
    <hyperlink ref="H64721" r:id="rId12" display="https://www.aavso.org/ejaavso" xr:uid="{00000000-0004-0000-0000-00000B000000}"/>
    <hyperlink ref="H2562" r:id="rId13" display="http://vsolj.cetus-net.org/bulletin.html" xr:uid="{00000000-0004-0000-0000-00000C000000}"/>
    <hyperlink ref="AP5800" r:id="rId14" display="http://cdsbib.u-strasbg.fr/cgi-bin/cdsbib?1990RMxAA..21..381G" xr:uid="{00000000-0004-0000-0000-00000D000000}"/>
    <hyperlink ref="AP5803" r:id="rId15" display="http://cdsbib.u-strasbg.fr/cgi-bin/cdsbib?1990RMxAA..21..381G" xr:uid="{00000000-0004-0000-0000-00000E000000}"/>
    <hyperlink ref="AP5801" r:id="rId16" display="http://cdsbib.u-strasbg.fr/cgi-bin/cdsbib?1990RMxAA..21..381G" xr:uid="{00000000-0004-0000-0000-00000F000000}"/>
    <hyperlink ref="AP5779" r:id="rId17" display="http://cdsbib.u-strasbg.fr/cgi-bin/cdsbib?1990RMxAA..21..381G" xr:uid="{00000000-0004-0000-0000-000010000000}"/>
    <hyperlink ref="I2562" r:id="rId18" display="http://vsolj.cetus-net.org/bulletin.html" xr:uid="{00000000-0004-0000-0000-000011000000}"/>
    <hyperlink ref="AQ5913" r:id="rId19" display="http://cdsbib.u-strasbg.fr/cgi-bin/cdsbib?1990RMxAA..21..381G" xr:uid="{00000000-0004-0000-0000-000012000000}"/>
    <hyperlink ref="AQ465" r:id="rId20" display="http://cdsbib.u-strasbg.fr/cgi-bin/cdsbib?1990RMxAA..21..381G" xr:uid="{00000000-0004-0000-0000-000013000000}"/>
    <hyperlink ref="AQ591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3"/>
  <sheetViews>
    <sheetView topLeftCell="A2" workbookViewId="0">
      <selection activeCell="N30" sqref="N30"/>
    </sheetView>
  </sheetViews>
  <sheetFormatPr defaultRowHeight="12.75"/>
  <cols>
    <col min="1" max="1" width="19.7109375" style="8" customWidth="1"/>
    <col min="2" max="2" width="4.42578125" style="13" customWidth="1"/>
    <col min="3" max="3" width="12.7109375" style="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3" t="s">
        <v>53</v>
      </c>
      <c r="I1" s="34" t="s">
        <v>54</v>
      </c>
      <c r="J1" s="35" t="s">
        <v>55</v>
      </c>
    </row>
    <row r="2" spans="1:16">
      <c r="I2" s="36" t="s">
        <v>56</v>
      </c>
      <c r="J2" s="37" t="s">
        <v>57</v>
      </c>
    </row>
    <row r="3" spans="1:16">
      <c r="A3" s="38" t="s">
        <v>58</v>
      </c>
      <c r="I3" s="36" t="s">
        <v>59</v>
      </c>
      <c r="J3" s="37" t="s">
        <v>60</v>
      </c>
    </row>
    <row r="4" spans="1:16">
      <c r="I4" s="36" t="s">
        <v>61</v>
      </c>
      <c r="J4" s="37" t="s">
        <v>60</v>
      </c>
    </row>
    <row r="5" spans="1:16" ht="13.5" thickBot="1">
      <c r="I5" s="39" t="s">
        <v>62</v>
      </c>
      <c r="J5" s="40" t="s">
        <v>63</v>
      </c>
    </row>
    <row r="10" spans="1:16" ht="13.5" thickBot="1"/>
    <row r="11" spans="1:16" ht="12.75" customHeight="1" thickBot="1">
      <c r="A11" s="8" t="str">
        <f t="shared" ref="A11:A24" si="0">P11</f>
        <v>BAVM 214 </v>
      </c>
      <c r="B11" s="3" t="str">
        <f t="shared" ref="B11:B24" si="1">IF(H11=INT(H11),"I","II")</f>
        <v>I</v>
      </c>
      <c r="C11" s="8">
        <f t="shared" ref="C11:C24" si="2">1*G11</f>
        <v>55294.396200000003</v>
      </c>
      <c r="D11" s="13" t="str">
        <f t="shared" ref="D11:D24" si="3">VLOOKUP(F11,I$1:J$5,2,FALSE)</f>
        <v>vis</v>
      </c>
      <c r="E11" s="41">
        <f>VLOOKUP(C11,Active!C$21:E$973,3,FALSE)</f>
        <v>-4963.4980359104702</v>
      </c>
      <c r="F11" s="3" t="s">
        <v>62</v>
      </c>
      <c r="G11" s="13" t="str">
        <f t="shared" ref="G11:G24" si="4">MID(I11,3,LEN(I11)-3)</f>
        <v>55294.3962</v>
      </c>
      <c r="H11" s="8">
        <f t="shared" ref="H11:H24" si="5">1*K11</f>
        <v>4714</v>
      </c>
      <c r="I11" s="42" t="s">
        <v>64</v>
      </c>
      <c r="J11" s="43" t="s">
        <v>65</v>
      </c>
      <c r="K11" s="42">
        <v>4714</v>
      </c>
      <c r="L11" s="42" t="s">
        <v>66</v>
      </c>
      <c r="M11" s="43" t="s">
        <v>67</v>
      </c>
      <c r="N11" s="43" t="s">
        <v>62</v>
      </c>
      <c r="O11" s="44" t="s">
        <v>68</v>
      </c>
      <c r="P11" s="45" t="s">
        <v>69</v>
      </c>
    </row>
    <row r="12" spans="1:16" ht="12.75" customHeight="1" thickBot="1">
      <c r="A12" s="8" t="str">
        <f t="shared" si="0"/>
        <v>IBVS 5945 </v>
      </c>
      <c r="B12" s="3" t="str">
        <f t="shared" si="1"/>
        <v>I</v>
      </c>
      <c r="C12" s="8">
        <f t="shared" si="2"/>
        <v>55352.864000000001</v>
      </c>
      <c r="D12" s="13" t="str">
        <f t="shared" si="3"/>
        <v>vis</v>
      </c>
      <c r="E12" s="41">
        <f>VLOOKUP(C12,Active!C$21:E$973,3,FALSE)</f>
        <v>-4853.5018737865466</v>
      </c>
      <c r="F12" s="3" t="s">
        <v>62</v>
      </c>
      <c r="G12" s="13" t="str">
        <f t="shared" si="4"/>
        <v>55352.864</v>
      </c>
      <c r="H12" s="8">
        <f t="shared" si="5"/>
        <v>4824</v>
      </c>
      <c r="I12" s="42" t="s">
        <v>70</v>
      </c>
      <c r="J12" s="43" t="s">
        <v>71</v>
      </c>
      <c r="K12" s="42">
        <v>4824</v>
      </c>
      <c r="L12" s="42" t="s">
        <v>72</v>
      </c>
      <c r="M12" s="43" t="s">
        <v>67</v>
      </c>
      <c r="N12" s="43" t="s">
        <v>62</v>
      </c>
      <c r="O12" s="44" t="s">
        <v>73</v>
      </c>
      <c r="P12" s="45" t="s">
        <v>74</v>
      </c>
    </row>
    <row r="13" spans="1:16" ht="12.75" customHeight="1" thickBot="1">
      <c r="A13" s="8" t="str">
        <f t="shared" si="0"/>
        <v>IBVS 5992 </v>
      </c>
      <c r="B13" s="3" t="str">
        <f t="shared" si="1"/>
        <v>I</v>
      </c>
      <c r="C13" s="8">
        <f t="shared" si="2"/>
        <v>55631.928800000002</v>
      </c>
      <c r="D13" s="13" t="str">
        <f t="shared" si="3"/>
        <v>vis</v>
      </c>
      <c r="E13" s="41">
        <f>VLOOKUP(C13,Active!C$21:E$973,3,FALSE)</f>
        <v>-4328.4939722769823</v>
      </c>
      <c r="F13" s="3" t="s">
        <v>62</v>
      </c>
      <c r="G13" s="13" t="str">
        <f t="shared" si="4"/>
        <v>55631.9288</v>
      </c>
      <c r="H13" s="8">
        <f t="shared" si="5"/>
        <v>5349</v>
      </c>
      <c r="I13" s="42" t="s">
        <v>75</v>
      </c>
      <c r="J13" s="43" t="s">
        <v>76</v>
      </c>
      <c r="K13" s="42">
        <v>5349</v>
      </c>
      <c r="L13" s="42" t="s">
        <v>77</v>
      </c>
      <c r="M13" s="43" t="s">
        <v>67</v>
      </c>
      <c r="N13" s="43" t="s">
        <v>62</v>
      </c>
      <c r="O13" s="44" t="s">
        <v>73</v>
      </c>
      <c r="P13" s="45" t="s">
        <v>78</v>
      </c>
    </row>
    <row r="14" spans="1:16" ht="12.75" customHeight="1" thickBot="1">
      <c r="A14" s="8" t="str">
        <f t="shared" si="0"/>
        <v>OEJV 0160 </v>
      </c>
      <c r="B14" s="3" t="str">
        <f t="shared" si="1"/>
        <v>II</v>
      </c>
      <c r="C14" s="8">
        <f t="shared" si="2"/>
        <v>55687.474269999999</v>
      </c>
      <c r="D14" s="13" t="str">
        <f t="shared" si="3"/>
        <v>vis</v>
      </c>
      <c r="E14" s="41">
        <f>VLOOKUP(C14,Active!C$21:E$973,3,FALSE)</f>
        <v>-4223.9956240687488</v>
      </c>
      <c r="F14" s="3" t="s">
        <v>62</v>
      </c>
      <c r="G14" s="13" t="str">
        <f t="shared" si="4"/>
        <v>55687.47427</v>
      </c>
      <c r="H14" s="8">
        <f t="shared" si="5"/>
        <v>5453.5</v>
      </c>
      <c r="I14" s="42" t="s">
        <v>79</v>
      </c>
      <c r="J14" s="43" t="s">
        <v>80</v>
      </c>
      <c r="K14" s="42">
        <v>5453.5</v>
      </c>
      <c r="L14" s="42" t="s">
        <v>81</v>
      </c>
      <c r="M14" s="43" t="s">
        <v>67</v>
      </c>
      <c r="N14" s="43" t="s">
        <v>82</v>
      </c>
      <c r="O14" s="44" t="s">
        <v>83</v>
      </c>
      <c r="P14" s="45" t="s">
        <v>84</v>
      </c>
    </row>
    <row r="15" spans="1:16" ht="12.75" customHeight="1" thickBot="1">
      <c r="A15" s="8" t="str">
        <f t="shared" si="0"/>
        <v>OEJV 0160 </v>
      </c>
      <c r="B15" s="3" t="str">
        <f t="shared" si="1"/>
        <v>II</v>
      </c>
      <c r="C15" s="8">
        <f t="shared" si="2"/>
        <v>55687.474670000003</v>
      </c>
      <c r="D15" s="13" t="str">
        <f t="shared" si="3"/>
        <v>vis</v>
      </c>
      <c r="E15" s="41">
        <f>VLOOKUP(C15,Active!C$21:E$973,3,FALSE)</f>
        <v>-4223.9948715440196</v>
      </c>
      <c r="F15" s="3" t="s">
        <v>62</v>
      </c>
      <c r="G15" s="13" t="str">
        <f t="shared" si="4"/>
        <v>55687.47467</v>
      </c>
      <c r="H15" s="8">
        <f t="shared" si="5"/>
        <v>5453.5</v>
      </c>
      <c r="I15" s="42" t="s">
        <v>85</v>
      </c>
      <c r="J15" s="43" t="s">
        <v>86</v>
      </c>
      <c r="K15" s="42">
        <v>5453.5</v>
      </c>
      <c r="L15" s="42" t="s">
        <v>87</v>
      </c>
      <c r="M15" s="43" t="s">
        <v>67</v>
      </c>
      <c r="N15" s="43" t="s">
        <v>45</v>
      </c>
      <c r="O15" s="44" t="s">
        <v>83</v>
      </c>
      <c r="P15" s="45" t="s">
        <v>84</v>
      </c>
    </row>
    <row r="16" spans="1:16" ht="12.75" customHeight="1" thickBot="1">
      <c r="A16" s="8" t="str">
        <f t="shared" si="0"/>
        <v>OEJV 0160 </v>
      </c>
      <c r="B16" s="3" t="str">
        <f t="shared" si="1"/>
        <v>II</v>
      </c>
      <c r="C16" s="8">
        <f t="shared" si="2"/>
        <v>55687.47537</v>
      </c>
      <c r="D16" s="13" t="str">
        <f t="shared" si="3"/>
        <v>vis</v>
      </c>
      <c r="E16" s="41">
        <f>VLOOKUP(C16,Active!C$21:E$973,3,FALSE)</f>
        <v>-4223.9935546257648</v>
      </c>
      <c r="F16" s="3" t="s">
        <v>62</v>
      </c>
      <c r="G16" s="13" t="str">
        <f t="shared" si="4"/>
        <v>55687.47537</v>
      </c>
      <c r="H16" s="8">
        <f t="shared" si="5"/>
        <v>5453.5</v>
      </c>
      <c r="I16" s="42" t="s">
        <v>88</v>
      </c>
      <c r="J16" s="43" t="s">
        <v>89</v>
      </c>
      <c r="K16" s="42">
        <v>5453.5</v>
      </c>
      <c r="L16" s="42" t="s">
        <v>90</v>
      </c>
      <c r="M16" s="43" t="s">
        <v>67</v>
      </c>
      <c r="N16" s="43" t="s">
        <v>62</v>
      </c>
      <c r="O16" s="44" t="s">
        <v>83</v>
      </c>
      <c r="P16" s="45" t="s">
        <v>84</v>
      </c>
    </row>
    <row r="17" spans="1:16" ht="12.75" customHeight="1" thickBot="1">
      <c r="A17" s="8" t="str">
        <f t="shared" si="0"/>
        <v>IBVS 6029 </v>
      </c>
      <c r="B17" s="3" t="str">
        <f t="shared" si="1"/>
        <v>I</v>
      </c>
      <c r="C17" s="8">
        <f t="shared" si="2"/>
        <v>56001.884599999998</v>
      </c>
      <c r="D17" s="13" t="str">
        <f t="shared" si="3"/>
        <v>vis</v>
      </c>
      <c r="E17" s="41">
        <f>VLOOKUP(C17,Active!C$21:E$973,3,FALSE)</f>
        <v>-3632.4917598543116</v>
      </c>
      <c r="F17" s="3" t="s">
        <v>62</v>
      </c>
      <c r="G17" s="13" t="str">
        <f t="shared" si="4"/>
        <v>56001.8846</v>
      </c>
      <c r="H17" s="8">
        <f t="shared" si="5"/>
        <v>6045</v>
      </c>
      <c r="I17" s="42" t="s">
        <v>102</v>
      </c>
      <c r="J17" s="43" t="s">
        <v>103</v>
      </c>
      <c r="K17" s="42">
        <v>6045</v>
      </c>
      <c r="L17" s="42" t="s">
        <v>104</v>
      </c>
      <c r="M17" s="43" t="s">
        <v>67</v>
      </c>
      <c r="N17" s="43" t="s">
        <v>62</v>
      </c>
      <c r="O17" s="44" t="s">
        <v>73</v>
      </c>
      <c r="P17" s="45" t="s">
        <v>105</v>
      </c>
    </row>
    <row r="18" spans="1:16" ht="12.75" customHeight="1" thickBot="1">
      <c r="A18" s="8" t="str">
        <f t="shared" si="0"/>
        <v>OEJV 0160 </v>
      </c>
      <c r="B18" s="3" t="str">
        <f t="shared" si="1"/>
        <v>II</v>
      </c>
      <c r="C18" s="8">
        <f t="shared" si="2"/>
        <v>56056.366260000003</v>
      </c>
      <c r="D18" s="13" t="str">
        <f t="shared" si="3"/>
        <v>vis</v>
      </c>
      <c r="E18" s="41">
        <f>VLOOKUP(C18,Active!C$21:E$973,3,FALSE)</f>
        <v>-3529.994769953184</v>
      </c>
      <c r="F18" s="3" t="s">
        <v>62</v>
      </c>
      <c r="G18" s="13" t="str">
        <f t="shared" si="4"/>
        <v>56056.36626</v>
      </c>
      <c r="H18" s="8">
        <f t="shared" si="5"/>
        <v>6147.5</v>
      </c>
      <c r="I18" s="42" t="s">
        <v>106</v>
      </c>
      <c r="J18" s="43" t="s">
        <v>107</v>
      </c>
      <c r="K18" s="42">
        <v>6147.5</v>
      </c>
      <c r="L18" s="42" t="s">
        <v>108</v>
      </c>
      <c r="M18" s="43" t="s">
        <v>67</v>
      </c>
      <c r="N18" s="43" t="s">
        <v>54</v>
      </c>
      <c r="O18" s="44" t="s">
        <v>109</v>
      </c>
      <c r="P18" s="45" t="s">
        <v>84</v>
      </c>
    </row>
    <row r="19" spans="1:16" ht="12.75" customHeight="1" thickBot="1">
      <c r="A19" s="8" t="str">
        <f t="shared" si="0"/>
        <v>IBVS 6029 </v>
      </c>
      <c r="B19" s="3" t="str">
        <f t="shared" si="1"/>
        <v>I</v>
      </c>
      <c r="C19" s="8">
        <f t="shared" si="2"/>
        <v>56074.705499999996</v>
      </c>
      <c r="D19" s="13" t="str">
        <f t="shared" si="3"/>
        <v>vis</v>
      </c>
      <c r="E19" s="41">
        <f>VLOOKUP(C19,Active!C$21:E$973,3,FALSE)</f>
        <v>-3495.4929413181248</v>
      </c>
      <c r="F19" s="3" t="s">
        <v>62</v>
      </c>
      <c r="G19" s="13" t="str">
        <f t="shared" si="4"/>
        <v>56074.7055</v>
      </c>
      <c r="H19" s="8">
        <f t="shared" si="5"/>
        <v>6182</v>
      </c>
      <c r="I19" s="42" t="s">
        <v>110</v>
      </c>
      <c r="J19" s="43" t="s">
        <v>111</v>
      </c>
      <c r="K19" s="42">
        <v>6182</v>
      </c>
      <c r="L19" s="42" t="s">
        <v>112</v>
      </c>
      <c r="M19" s="43" t="s">
        <v>67</v>
      </c>
      <c r="N19" s="43" t="s">
        <v>62</v>
      </c>
      <c r="O19" s="44" t="s">
        <v>73</v>
      </c>
      <c r="P19" s="45" t="s">
        <v>105</v>
      </c>
    </row>
    <row r="20" spans="1:16" ht="12.75" customHeight="1" thickBot="1">
      <c r="A20" s="8" t="str">
        <f t="shared" si="0"/>
        <v>BAVM 232 </v>
      </c>
      <c r="B20" s="3" t="str">
        <f t="shared" si="1"/>
        <v>II</v>
      </c>
      <c r="C20" s="8">
        <f t="shared" si="2"/>
        <v>56418.351900000001</v>
      </c>
      <c r="D20" s="13" t="str">
        <f t="shared" si="3"/>
        <v>vis</v>
      </c>
      <c r="E20" s="41">
        <f>VLOOKUP(C20,Active!C$21:E$973,3,FALSE)</f>
        <v>-2848.9869135951044</v>
      </c>
      <c r="F20" s="3" t="s">
        <v>62</v>
      </c>
      <c r="G20" s="13" t="str">
        <f t="shared" si="4"/>
        <v>56418.3519</v>
      </c>
      <c r="H20" s="8">
        <f t="shared" si="5"/>
        <v>6828.5</v>
      </c>
      <c r="I20" s="42" t="s">
        <v>113</v>
      </c>
      <c r="J20" s="43" t="s">
        <v>114</v>
      </c>
      <c r="K20" s="42">
        <v>6828.5</v>
      </c>
      <c r="L20" s="42" t="s">
        <v>115</v>
      </c>
      <c r="M20" s="43" t="s">
        <v>67</v>
      </c>
      <c r="N20" s="43">
        <v>0</v>
      </c>
      <c r="O20" s="44" t="s">
        <v>68</v>
      </c>
      <c r="P20" s="45" t="s">
        <v>116</v>
      </c>
    </row>
    <row r="21" spans="1:16" ht="12.75" customHeight="1" thickBot="1">
      <c r="A21" s="8" t="str">
        <f t="shared" si="0"/>
        <v>BAVM 238 </v>
      </c>
      <c r="B21" s="3" t="str">
        <f t="shared" si="1"/>
        <v>II</v>
      </c>
      <c r="C21" s="8">
        <f t="shared" si="2"/>
        <v>56764.383000000002</v>
      </c>
      <c r="D21" s="13" t="str">
        <f t="shared" si="3"/>
        <v>vis</v>
      </c>
      <c r="E21" s="41">
        <f>VLOOKUP(C21,Active!C$21:E$973,3,FALSE)</f>
        <v>-2197.9945216200276</v>
      </c>
      <c r="F21" s="3" t="s">
        <v>62</v>
      </c>
      <c r="G21" s="13" t="str">
        <f t="shared" si="4"/>
        <v>56764.3830</v>
      </c>
      <c r="H21" s="8">
        <f t="shared" si="5"/>
        <v>7479.5</v>
      </c>
      <c r="I21" s="42" t="s">
        <v>117</v>
      </c>
      <c r="J21" s="43" t="s">
        <v>118</v>
      </c>
      <c r="K21" s="42">
        <v>7479.5</v>
      </c>
      <c r="L21" s="42" t="s">
        <v>119</v>
      </c>
      <c r="M21" s="43" t="s">
        <v>67</v>
      </c>
      <c r="N21" s="43">
        <v>0</v>
      </c>
      <c r="O21" s="44" t="s">
        <v>68</v>
      </c>
      <c r="P21" s="45" t="s">
        <v>120</v>
      </c>
    </row>
    <row r="22" spans="1:16" ht="12.75" customHeight="1" thickBot="1">
      <c r="A22" s="8" t="str">
        <f t="shared" si="0"/>
        <v>VSB 53 </v>
      </c>
      <c r="B22" s="3" t="str">
        <f t="shared" si="1"/>
        <v>I</v>
      </c>
      <c r="C22" s="8">
        <f t="shared" si="2"/>
        <v>55698.370300000002</v>
      </c>
      <c r="D22" s="13" t="str">
        <f t="shared" si="3"/>
        <v>vis</v>
      </c>
      <c r="E22" s="41">
        <f>VLOOKUP(C22,Active!C$21:E$973,3,FALSE)</f>
        <v>-4203.496794244682</v>
      </c>
      <c r="F22" s="3" t="s">
        <v>62</v>
      </c>
      <c r="G22" s="13" t="str">
        <f t="shared" si="4"/>
        <v>55698.3703</v>
      </c>
      <c r="H22" s="8">
        <f t="shared" si="5"/>
        <v>5474</v>
      </c>
      <c r="I22" s="42" t="s">
        <v>91</v>
      </c>
      <c r="J22" s="43" t="s">
        <v>92</v>
      </c>
      <c r="K22" s="42">
        <v>5474</v>
      </c>
      <c r="L22" s="42" t="s">
        <v>93</v>
      </c>
      <c r="M22" s="43" t="s">
        <v>67</v>
      </c>
      <c r="N22" s="43" t="s">
        <v>62</v>
      </c>
      <c r="O22" s="44" t="s">
        <v>94</v>
      </c>
      <c r="P22" s="45" t="s">
        <v>95</v>
      </c>
    </row>
    <row r="23" spans="1:16" ht="12.75" customHeight="1" thickBot="1">
      <c r="A23" s="8" t="str">
        <f t="shared" si="0"/>
        <v>VSB 53 </v>
      </c>
      <c r="B23" s="3" t="str">
        <f t="shared" si="1"/>
        <v>II</v>
      </c>
      <c r="C23" s="8">
        <f t="shared" si="2"/>
        <v>55702.359700000001</v>
      </c>
      <c r="D23" s="13" t="str">
        <f t="shared" si="3"/>
        <v>vis</v>
      </c>
      <c r="E23" s="41">
        <f>VLOOKUP(C23,Active!C$21:E$973,3,FALSE)</f>
        <v>-4195.9914889454058</v>
      </c>
      <c r="F23" s="3" t="s">
        <v>62</v>
      </c>
      <c r="G23" s="13" t="str">
        <f t="shared" si="4"/>
        <v>55702.3597</v>
      </c>
      <c r="H23" s="8">
        <f t="shared" si="5"/>
        <v>5481.5</v>
      </c>
      <c r="I23" s="42" t="s">
        <v>96</v>
      </c>
      <c r="J23" s="43" t="s">
        <v>97</v>
      </c>
      <c r="K23" s="42">
        <v>5481.5</v>
      </c>
      <c r="L23" s="42" t="s">
        <v>98</v>
      </c>
      <c r="M23" s="43" t="s">
        <v>67</v>
      </c>
      <c r="N23" s="43" t="s">
        <v>62</v>
      </c>
      <c r="O23" s="44" t="s">
        <v>94</v>
      </c>
      <c r="P23" s="45" t="s">
        <v>95</v>
      </c>
    </row>
    <row r="24" spans="1:16" ht="12.75" customHeight="1" thickBot="1">
      <c r="A24" s="8" t="str">
        <f t="shared" si="0"/>
        <v>VSB 53 </v>
      </c>
      <c r="B24" s="3" t="str">
        <f t="shared" si="1"/>
        <v>II</v>
      </c>
      <c r="C24" s="8">
        <f t="shared" si="2"/>
        <v>55711.394699999997</v>
      </c>
      <c r="D24" s="13" t="str">
        <f t="shared" si="3"/>
        <v>vis</v>
      </c>
      <c r="E24" s="41">
        <f>VLOOKUP(C24,Active!C$21:E$973,3,FALSE)</f>
        <v>-4178.9938368225403</v>
      </c>
      <c r="F24" s="3" t="s">
        <v>62</v>
      </c>
      <c r="G24" s="13" t="str">
        <f t="shared" si="4"/>
        <v>55711.3947</v>
      </c>
      <c r="H24" s="8">
        <f t="shared" si="5"/>
        <v>5498.5</v>
      </c>
      <c r="I24" s="42" t="s">
        <v>99</v>
      </c>
      <c r="J24" s="43" t="s">
        <v>100</v>
      </c>
      <c r="K24" s="42">
        <v>5498.5</v>
      </c>
      <c r="L24" s="42" t="s">
        <v>101</v>
      </c>
      <c r="M24" s="43" t="s">
        <v>67</v>
      </c>
      <c r="N24" s="43" t="s">
        <v>62</v>
      </c>
      <c r="O24" s="44" t="s">
        <v>94</v>
      </c>
      <c r="P24" s="45" t="s">
        <v>95</v>
      </c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konkoly.hu/cgi-bin/IBVS?5945" xr:uid="{00000000-0004-0000-0100-000002000000}"/>
    <hyperlink ref="P13" r:id="rId4" display="http://www.konkoly.hu/cgi-bin/IBVS?5992" xr:uid="{00000000-0004-0000-0100-000003000000}"/>
    <hyperlink ref="P14" r:id="rId5" display="http://var.astro.cz/oejv/issues/oejv0160.pdf" xr:uid="{00000000-0004-0000-0100-000004000000}"/>
    <hyperlink ref="P15" r:id="rId6" display="http://var.astro.cz/oejv/issues/oejv0160.pdf" xr:uid="{00000000-0004-0000-0100-000005000000}"/>
    <hyperlink ref="P16" r:id="rId7" display="http://var.astro.cz/oejv/issues/oejv0160.pdf" xr:uid="{00000000-0004-0000-0100-000006000000}"/>
    <hyperlink ref="P22" r:id="rId8" display="http://vsolj.cetus-net.org/vsoljno53.pdf" xr:uid="{00000000-0004-0000-0100-000007000000}"/>
    <hyperlink ref="P23" r:id="rId9" display="http://vsolj.cetus-net.org/vsoljno53.pdf" xr:uid="{00000000-0004-0000-0100-000008000000}"/>
    <hyperlink ref="P24" r:id="rId10" display="http://vsolj.cetus-net.org/vsoljno53.pdf" xr:uid="{00000000-0004-0000-0100-000009000000}"/>
    <hyperlink ref="P17" r:id="rId11" display="http://www.konkoly.hu/cgi-bin/IBVS?6029" xr:uid="{00000000-0004-0000-0100-00000A000000}"/>
    <hyperlink ref="P18" r:id="rId12" display="http://var.astro.cz/oejv/issues/oejv0160.pdf" xr:uid="{00000000-0004-0000-0100-00000B000000}"/>
    <hyperlink ref="P19" r:id="rId13" display="http://www.konkoly.hu/cgi-bin/IBVS?6029" xr:uid="{00000000-0004-0000-0100-00000C000000}"/>
    <hyperlink ref="P20" r:id="rId14" display="http://www.bav-astro.de/sfs/BAVM_link.php?BAVMnr=232" xr:uid="{00000000-0004-0000-0100-00000D000000}"/>
    <hyperlink ref="P21" r:id="rId15" display="http://www.bav-astro.de/sfs/BAVM_link.php?BAVMnr=23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2025-01-03T05:20:21Z</dcterms:modified>
</cp:coreProperties>
</file>