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5501738-5831-4835-8654-65F9740BB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K38" i="1" s="1"/>
  <c r="Q38" i="1"/>
  <c r="F14" i="1"/>
  <c r="E37" i="1"/>
  <c r="F37" i="1" s="1"/>
  <c r="G37" i="1" s="1"/>
  <c r="K37" i="1" s="1"/>
  <c r="Q37" i="1"/>
  <c r="E36" i="1"/>
  <c r="F36" i="1" s="1"/>
  <c r="G36" i="1" s="1"/>
  <c r="K36" i="1" s="1"/>
  <c r="Q36" i="1"/>
  <c r="E35" i="1"/>
  <c r="F35" i="1"/>
  <c r="G35" i="1"/>
  <c r="K35" i="1" s="1"/>
  <c r="Q35" i="1"/>
  <c r="E34" i="1"/>
  <c r="F34" i="1" s="1"/>
  <c r="G34" i="1" s="1"/>
  <c r="K34" i="1" s="1"/>
  <c r="E22" i="1"/>
  <c r="F22" i="1"/>
  <c r="G22" i="1" s="1"/>
  <c r="K22" i="1" s="1"/>
  <c r="E23" i="1"/>
  <c r="F23" i="1" s="1"/>
  <c r="G23" i="1" s="1"/>
  <c r="J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J26" i="1" s="1"/>
  <c r="E27" i="1"/>
  <c r="F27" i="1" s="1"/>
  <c r="G27" i="1" s="1"/>
  <c r="J27" i="1" s="1"/>
  <c r="E28" i="1"/>
  <c r="F28" i="1"/>
  <c r="G28" i="1" s="1"/>
  <c r="K28" i="1" s="1"/>
  <c r="E29" i="1"/>
  <c r="F29" i="1" s="1"/>
  <c r="G29" i="1" s="1"/>
  <c r="K29" i="1" s="1"/>
  <c r="E30" i="1"/>
  <c r="F30" i="1"/>
  <c r="G30" i="1"/>
  <c r="K30" i="1" s="1"/>
  <c r="E31" i="1"/>
  <c r="F31" i="1"/>
  <c r="G31" i="1" s="1"/>
  <c r="K31" i="1" s="1"/>
  <c r="E32" i="1"/>
  <c r="F32" i="1"/>
  <c r="G32" i="1"/>
  <c r="K32" i="1" s="1"/>
  <c r="E33" i="1"/>
  <c r="F33" i="1"/>
  <c r="G33" i="1" s="1"/>
  <c r="K33" i="1" s="1"/>
  <c r="E21" i="1"/>
  <c r="F21" i="1"/>
  <c r="U21" i="1"/>
  <c r="Q34" i="1"/>
  <c r="D9" i="1"/>
  <c r="C9" i="1"/>
  <c r="Q33" i="1"/>
  <c r="Q32" i="1"/>
  <c r="Q31" i="1"/>
  <c r="Q29" i="1"/>
  <c r="Q30" i="1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4" i="1"/>
  <c r="Q26" i="1"/>
  <c r="Q27" i="1"/>
  <c r="Q25" i="1"/>
  <c r="Q28" i="1"/>
  <c r="Q21" i="1"/>
  <c r="Q23" i="1"/>
  <c r="C17" i="1"/>
  <c r="Q22" i="1"/>
  <c r="C12" i="1"/>
  <c r="C11" i="1"/>
  <c r="O38" i="1" l="1"/>
  <c r="F15" i="1"/>
  <c r="O37" i="1"/>
  <c r="O32" i="1"/>
  <c r="O26" i="1"/>
  <c r="O23" i="1"/>
  <c r="O36" i="1"/>
  <c r="O29" i="1"/>
  <c r="O27" i="1"/>
  <c r="O31" i="1"/>
  <c r="C15" i="1"/>
  <c r="O22" i="1"/>
  <c r="O21" i="1"/>
  <c r="O28" i="1"/>
  <c r="O35" i="1"/>
  <c r="O25" i="1"/>
  <c r="O34" i="1"/>
  <c r="O33" i="1"/>
  <c r="O24" i="1"/>
  <c r="O30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<sst xmlns="http://schemas.openxmlformats.org/spreadsheetml/2006/main" count="150" uniqueCount="105">
  <si>
    <t>VSB-063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</si>
  <si>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</si>
  <si>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</si>
  <si>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</si>
  <si>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</si>
  <si>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</si>
  <si>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</si>
  <si>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</si>
  <si>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</si>
  <si>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</si>
  <si>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</si>
  <si>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</si>
  <si>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</si>
  <si>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</si>
  <si>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</si>
  <si>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</si>
  <si>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</si>
  <si>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</si>
  <si>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</si>
  <si>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</si>
  <si>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</si>
  <si>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</si>
  <si>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</si>
  <si>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</si>
  <si>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</si>
  <si>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</si>
  <si>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</si>
  <si>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</si>
  <si>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</si>
  <si>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</si>
  <si>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</si>
  <si>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</si>
  <si>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</si>
  <si>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</si>
  <si>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</si>
  <si>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</si>
  <si>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</si>
  <si>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</si>
  <si>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</si>
  <si>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LM Boo</t>
  </si>
  <si>
    <t>LM Boo / GSC 2015-0044</t>
  </si>
  <si>
    <t>G2015-0044</t>
  </si>
  <si>
    <t xml:space="preserve">EW        </t>
  </si>
  <si>
    <t>IBVS 5713</t>
  </si>
  <si>
    <t>I</t>
  </si>
  <si>
    <t>II</t>
  </si>
  <si>
    <t>IBVS 6029</t>
  </si>
  <si>
    <t>OEJV 0155</t>
  </si>
  <si>
    <t>0,0100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</si>
  <si>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</si>
  <si>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</si>
  <si>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</si>
  <si>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</si>
  <si>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</si>
  <si>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</si>
  <si>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</si>
  <si>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</si>
  <si>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</si>
  <si>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</si>
  <si>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</si>
  <si>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</si>
  <si>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2454570.723 </t>
  </si>
  <si>
    <t> 14.04.2008 05:21 </t>
  </si>
  <si>
    <t> -0.007 </t>
  </si>
  <si>
    <t>C </t>
  </si>
  <si>
    <t>ns</t>
  </si>
  <si>
    <t> A.Paschke </t>
  </si>
  <si>
    <t>OEJV 0155 </t>
  </si>
  <si>
    <t>2456013.9204 </t>
  </si>
  <si>
    <t> 27.03.2012 10:05 </t>
  </si>
  <si>
    <t> -0.0078 </t>
  </si>
  <si>
    <t> R.Diethelm </t>
  </si>
  <si>
    <t>IBVS 6029 </t>
  </si>
  <si>
    <t>2456015.3956 </t>
  </si>
  <si>
    <t> 28.03.2012 21:29 </t>
  </si>
  <si>
    <t> -0.0082 </t>
  </si>
  <si>
    <t>-I</t>
  </si>
  <si>
    <t> F.Agerer </t>
  </si>
  <si>
    <t>BAVM 228 </t>
  </si>
  <si>
    <t>2456015.5604 </t>
  </si>
  <si>
    <t> 29.03.2012 01:26 </t>
  </si>
  <si>
    <t>6684</t>
  </si>
  <si>
    <t> -0.0074 </t>
  </si>
  <si>
    <t>2456077.6998 </t>
  </si>
  <si>
    <t> 30.05.2012 04:47 </t>
  </si>
  <si>
    <t>6873.5</t>
  </si>
  <si>
    <t> -0.0098 </t>
  </si>
  <si>
    <t>2457134.4358 </t>
  </si>
  <si>
    <t> 21.04.2015 22:27 </t>
  </si>
  <si>
    <t>10096</t>
  </si>
  <si>
    <t> -0.0121 </t>
  </si>
  <si>
    <t>o</t>
  </si>
  <si>
    <t> W.Moschner &amp; P.Frank </t>
  </si>
  <si>
    <t>BAVM 241 (=IBVS 6157) </t>
  </si>
  <si>
    <t>IBVS 6157</t>
  </si>
  <si>
    <t>OEJV 0179</t>
  </si>
  <si>
    <t>JAVSO..48..256</t>
  </si>
  <si>
    <t>JAVSO 49, 106</t>
  </si>
  <si>
    <t>JAAVSO, 50, 255</t>
  </si>
  <si>
    <t>JAAVSO, 52, 243</t>
  </si>
  <si>
    <t xml:space="preserve">Mag </t>
  </si>
  <si>
    <t>Next ToM-P</t>
  </si>
  <si>
    <t>Next ToM-S</t>
  </si>
  <si>
    <t>12.60-13.20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</si>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</sst>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1" fillId="0" borderId="0" xfId="0" applyFont="1" applyAlignment="1"/>
    <xf numFmtId="0" fontId="0" fillId="0" borderId="10" xfId="0" applyBorder="1" applyAlignment="1">
      <alignment horizontal="center"/>
    </xf>
    <xf numFmtId="0" fontId="5" fillId="0" borderId="5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6" fillId="0" borderId="0" xfId="0" applyFont="1">
      <alignment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6" fillId="0" borderId="0" xfId="0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horizontal="left"/>
      <protection locked="0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0" fillId="0" borderId="19" xfId="0" applyBorder="1">
      <alignment vertical="top"/>
    </xf>
    <xf numFmtId="0" fontId="4" fillId="0" borderId="23" xfId="0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0" fontId="37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38" fillId="0" borderId="23" xfId="0" applyFont="1" applyBorder="1" applyAlignment="1">
      <alignment horizontal="right" vertical="center"/>
    </xf>
    <xf numFmtId="22" fontId="38" fillId="0" borderId="23" xfId="0" applyNumberFormat="1" applyFont="1" applyBorder="1" applyAlignment="1">
      <alignment horizontal="right" vertical="center"/>
    </xf>
    <xf numFmtId="22" fontId="38" fillId="0" borderId="25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Boo - O-C Diagr.</a:t>
            </a:r>
          </a:p>
        </c:rich>
      </c:tx>
      <c:layout>
        <c:manualLayout>
          <c:xMode val="edge"/>
          <c:yMode val="edge"/>
          <c:x val="0.3834586466165413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  <c:pt idx="17">
                  <c:v>20187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E-43A0-8C42-EDA63CC476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  <c:pt idx="17">
                  <c:v>20187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7E-43A0-8C42-EDA63CC476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  <c:pt idx="17">
                  <c:v>20187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5.2374999941093847E-3</c:v>
                </c:pt>
                <c:pt idx="5">
                  <c:v>-8.237499998358544E-3</c:v>
                </c:pt>
                <c:pt idx="6">
                  <c:v>-7.4000000022351742E-3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7E-43A0-8C42-EDA63CC476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  <c:pt idx="17">
                  <c:v>20187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</c:v>
                </c:pt>
                <c:pt idx="3">
                  <c:v>-7.2500000023865141E-3</c:v>
                </c:pt>
                <c:pt idx="4">
                  <c:v>-7.7749999982188456E-3</c:v>
                </c:pt>
                <c:pt idx="7">
                  <c:v>-9.7874999992200173E-3</c:v>
                </c:pt>
                <c:pt idx="8">
                  <c:v>-8.0349999989266507E-3</c:v>
                </c:pt>
                <c:pt idx="9">
                  <c:v>-1.2099999999918509E-2</c:v>
                </c:pt>
                <c:pt idx="10">
                  <c:v>-1.2900000001536682E-2</c:v>
                </c:pt>
                <c:pt idx="11">
                  <c:v>-1.21625000028871E-2</c:v>
                </c:pt>
                <c:pt idx="12">
                  <c:v>-1.329999999870779E-2</c:v>
                </c:pt>
                <c:pt idx="13">
                  <c:v>-1.4000000002852175E-2</c:v>
                </c:pt>
                <c:pt idx="14">
                  <c:v>-1.2875000000349246E-2</c:v>
                </c:pt>
                <c:pt idx="15">
                  <c:v>-1.2514000183728058E-2</c:v>
                </c:pt>
                <c:pt idx="16">
                  <c:v>-1.3237499995739199E-2</c:v>
                </c:pt>
                <c:pt idx="17">
                  <c:v>-1.5375000002677552E-2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7E-43A0-8C42-EDA63CC476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  <c:pt idx="17">
                  <c:v>20187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7E-43A0-8C42-EDA63CC476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  <c:pt idx="17">
                  <c:v>20187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7E-43A0-8C42-EDA63CC476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  <c:pt idx="17">
                  <c:v>20187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7E-43A0-8C42-EDA63CC476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  <c:pt idx="17">
                  <c:v>20187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-1.056104063327532E-3</c:v>
                </c:pt>
                <c:pt idx="1">
                  <c:v>-1.8844591313919917E-3</c:v>
                </c:pt>
                <c:pt idx="2">
                  <c:v>-1.9426526802627992E-3</c:v>
                </c:pt>
                <c:pt idx="3">
                  <c:v>-3.7129405703947432E-3</c:v>
                </c:pt>
                <c:pt idx="4">
                  <c:v>-7.245489654262657E-3</c:v>
                </c:pt>
                <c:pt idx="5">
                  <c:v>-7.2491016676408454E-3</c:v>
                </c:pt>
                <c:pt idx="6">
                  <c:v>-7.2495030024606437E-3</c:v>
                </c:pt>
                <c:pt idx="7">
                  <c:v>-7.4016088991643407E-3</c:v>
                </c:pt>
                <c:pt idx="8">
                  <c:v>-9.8830620899795323E-3</c:v>
                </c:pt>
                <c:pt idx="9">
                  <c:v>-9.9882118127667847E-3</c:v>
                </c:pt>
                <c:pt idx="10">
                  <c:v>-1.0883991130557422E-2</c:v>
                </c:pt>
                <c:pt idx="11">
                  <c:v>-1.0884392465377219E-2</c:v>
                </c:pt>
                <c:pt idx="12">
                  <c:v>-1.0925729951816482E-2</c:v>
                </c:pt>
                <c:pt idx="13">
                  <c:v>-1.0993154201542659E-2</c:v>
                </c:pt>
                <c:pt idx="14">
                  <c:v>-1.4328246554069626E-2</c:v>
                </c:pt>
                <c:pt idx="15">
                  <c:v>-1.2715683248118562E-2</c:v>
                </c:pt>
                <c:pt idx="16">
                  <c:v>-1.6335321987882786E-2</c:v>
                </c:pt>
                <c:pt idx="17">
                  <c:v>-1.8087951145943592E-2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7E-43A0-8C42-EDA63CC476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  <c:pt idx="17">
                  <c:v>20187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6.3799999996263068E-2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7E-43A0-8C42-EDA63CC47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8680"/>
        <c:axId val="1"/>
      </c:scatterChart>
      <c:valAx>
        <c:axId val="513628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8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5A04072-7891-AA3E-4ADA-39898A854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1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s="27" t="s">
        <v>39</v>
      </c>
      <c r="F1" t="s">
        <v>41</v>
      </c>
    </row>
    <row r="2" spans="1:6" x14ac:dyDescent="0.2">
      <c r="A2" t="s">
        <v>25</v>
      </c>
      <c r="B2" t="s">
        <v>42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2</v>
      </c>
      <c r="C4" s="26">
        <v>53823.717100000002</v>
      </c>
      <c r="D4" s="28">
        <v>0.32792500000000002</v>
      </c>
    </row>
    <row r="5" spans="1:6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65">
        <v>53823.717100000002</v>
      </c>
      <c r="D7" s="25" t="s">
        <v>104</v>
      </c>
    </row>
    <row r="8" spans="1:6" x14ac:dyDescent="0.2">
      <c r="A8" t="s">
        <v>5</v>
      </c>
      <c r="C8" s="65">
        <v>0.32792500000000002</v>
      </c>
      <c r="D8" s="25" t="s">
        <v>104</v>
      </c>
    </row>
    <row r="9" spans="1:6" x14ac:dyDescent="0.2">
      <c r="A9" s="22" t="s">
        <v>34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19">
        <f ca="1">INTERCEPT(INDIRECT($D$9):G991,INDIRECT($C$9):F991)</f>
        <v>-1.8844591313919917E-3</v>
      </c>
      <c r="D11" s="3"/>
      <c r="E11" s="10"/>
    </row>
    <row r="12" spans="1:6" x14ac:dyDescent="0.2">
      <c r="A12" s="10" t="s">
        <v>18</v>
      </c>
      <c r="B12" s="10"/>
      <c r="C12" s="19">
        <f ca="1">SLOPE(INDIRECT($D$9):G991,INDIRECT($C$9):F991)</f>
        <v>-8.0266963959734472E-7</v>
      </c>
      <c r="D12" s="3"/>
      <c r="E12" s="73" t="s">
        <v>100</v>
      </c>
      <c r="F12" s="74" t="s">
        <v>103</v>
      </c>
    </row>
    <row r="13" spans="1:6" x14ac:dyDescent="0.2">
      <c r="A13" s="10" t="s">
        <v>20</v>
      </c>
      <c r="B13" s="10"/>
      <c r="C13" s="3" t="s">
        <v>15</v>
      </c>
      <c r="E13" s="71" t="s">
        <v>36</v>
      </c>
      <c r="F13" s="70">
        <v>1</v>
      </c>
    </row>
    <row r="14" spans="1:6" x14ac:dyDescent="0.2">
      <c r="A14" s="10"/>
      <c r="B14" s="10"/>
      <c r="C14" s="10"/>
      <c r="E14" s="71" t="s">
        <v>32</v>
      </c>
      <c r="F14" s="75">
        <f ca="1">NOW()+15018.5+$C$5/24</f>
        <v>60678.766514351846</v>
      </c>
    </row>
    <row r="15" spans="1:6" x14ac:dyDescent="0.2">
      <c r="A15" s="12" t="s">
        <v>19</v>
      </c>
      <c r="B15" s="10"/>
      <c r="C15" s="13">
        <f ca="1">(C7+C11)+(C8+C12)*INT(MAX(F21:F3532))</f>
        <v>60443.520987048854</v>
      </c>
      <c r="E15" s="71" t="s">
        <v>37</v>
      </c>
      <c r="F15" s="75">
        <f ca="1">ROUND(2*($F$14-$C$7)/$C$8,0)/2+$F$13</f>
        <v>20905.5</v>
      </c>
    </row>
    <row r="16" spans="1:6" x14ac:dyDescent="0.2">
      <c r="A16" s="15" t="s">
        <v>6</v>
      </c>
      <c r="B16" s="10"/>
      <c r="C16" s="16">
        <f ca="1">+C8+C12</f>
        <v>0.32792419733036043</v>
      </c>
      <c r="E16" s="71" t="s">
        <v>33</v>
      </c>
      <c r="F16" s="75">
        <f ca="1">ROUND(2*($F$14-$C$15)/$C$16,0)/2+$F$13</f>
        <v>718.5</v>
      </c>
    </row>
    <row r="17" spans="1:21" ht="13.5" thickBot="1" x14ac:dyDescent="0.25">
      <c r="A17" s="14" t="s">
        <v>29</v>
      </c>
      <c r="B17" s="10"/>
      <c r="C17" s="10">
        <f>COUNT(C21:C2190)</f>
        <v>18</v>
      </c>
      <c r="E17" s="71" t="s">
        <v>101</v>
      </c>
      <c r="F17" s="76">
        <f ca="1">+$C$15+$C$16*$F$16-15018.5-$C$5/24</f>
        <v>45661.030356164054</v>
      </c>
    </row>
    <row r="18" spans="1:21" ht="14.25" thickTop="1" thickBot="1" x14ac:dyDescent="0.25">
      <c r="A18" s="15" t="s">
        <v>7</v>
      </c>
      <c r="B18" s="10"/>
      <c r="C18" s="18">
        <f ca="1">+C15</f>
        <v>60443.520987048854</v>
      </c>
      <c r="D18" s="69">
        <f ca="1">+C16</f>
        <v>0.32792419733036043</v>
      </c>
      <c r="E18" s="72" t="s">
        <v>102</v>
      </c>
      <c r="F18" s="77">
        <f ca="1">+($C$15+$C$16*$F$16)-($C$16/2)-15018.5-$C$5/24</f>
        <v>45660.866394065386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4" t="s">
        <v>35</v>
      </c>
    </row>
    <row r="21" spans="1:21" x14ac:dyDescent="0.2">
      <c r="A21" s="29" t="s">
        <v>43</v>
      </c>
      <c r="B21" s="30" t="s">
        <v>44</v>
      </c>
      <c r="C21" s="29">
        <v>53485.362300000001</v>
      </c>
      <c r="D21" s="29">
        <v>5.0000000000000001E-4</v>
      </c>
      <c r="E21">
        <f t="shared" ref="E21:E34" si="0">+(C21-C$7)/C$8</f>
        <v>-1031.8054433178347</v>
      </c>
      <c r="F21">
        <f t="shared" ref="F21:F35" si="1">ROUND(2*E21,0)/2</f>
        <v>-1032</v>
      </c>
      <c r="O21">
        <f t="shared" ref="O21:O34" ca="1" si="2">+C$11+C$12*$F21</f>
        <v>-1.056104063327532E-3</v>
      </c>
      <c r="Q21" s="2">
        <f t="shared" ref="Q21:Q34" si="3">+C21-15018.5</f>
        <v>38466.862300000001</v>
      </c>
      <c r="U21">
        <f>+C21-(C$7+F21*C$8)</f>
        <v>6.3799999996263068E-2</v>
      </c>
    </row>
    <row r="22" spans="1:21" x14ac:dyDescent="0.2">
      <c r="A22" s="31" t="s">
        <v>38</v>
      </c>
      <c r="B22" s="31"/>
      <c r="C22" s="32">
        <v>53823.717100000002</v>
      </c>
      <c r="D22" s="32" t="s">
        <v>15</v>
      </c>
      <c r="E22">
        <f t="shared" si="0"/>
        <v>0</v>
      </c>
      <c r="F22">
        <f t="shared" si="1"/>
        <v>0</v>
      </c>
      <c r="G22">
        <f t="shared" ref="G22:G34" si="4">+C22-(C$7+F22*C$8)</f>
        <v>0</v>
      </c>
      <c r="K22">
        <f>+G22</f>
        <v>0</v>
      </c>
      <c r="O22">
        <f t="shared" ca="1" si="2"/>
        <v>-1.8844591313919917E-3</v>
      </c>
      <c r="Q22" s="2">
        <f t="shared" si="3"/>
        <v>38805.217100000002</v>
      </c>
    </row>
    <row r="23" spans="1:21" x14ac:dyDescent="0.2">
      <c r="A23" s="29" t="s">
        <v>43</v>
      </c>
      <c r="B23" s="30" t="s">
        <v>45</v>
      </c>
      <c r="C23" s="29">
        <v>53847.496899999998</v>
      </c>
      <c r="D23" s="29">
        <v>5.9999999999999995E-4</v>
      </c>
      <c r="E23">
        <f t="shared" si="0"/>
        <v>72.515971639846342</v>
      </c>
      <c r="F23">
        <f t="shared" si="1"/>
        <v>72.5</v>
      </c>
      <c r="G23">
        <f t="shared" si="4"/>
        <v>5.2374999941093847E-3</v>
      </c>
      <c r="J23">
        <f>+G23</f>
        <v>5.2374999941093847E-3</v>
      </c>
      <c r="O23">
        <f t="shared" ca="1" si="2"/>
        <v>-1.9426526802627992E-3</v>
      </c>
      <c r="Q23" s="2">
        <f t="shared" si="3"/>
        <v>38828.996899999998</v>
      </c>
    </row>
    <row r="24" spans="1:21" x14ac:dyDescent="0.2">
      <c r="A24" s="47" t="s">
        <v>47</v>
      </c>
      <c r="B24" s="33" t="s">
        <v>44</v>
      </c>
      <c r="C24" s="32">
        <v>54570.722999999998</v>
      </c>
      <c r="D24" s="62" t="s">
        <v>48</v>
      </c>
      <c r="E24">
        <f t="shared" si="0"/>
        <v>2277.9778912861066</v>
      </c>
      <c r="F24">
        <f t="shared" si="1"/>
        <v>2278</v>
      </c>
      <c r="G24">
        <f t="shared" si="4"/>
        <v>-7.2500000023865141E-3</v>
      </c>
      <c r="K24">
        <f>+G24</f>
        <v>-7.2500000023865141E-3</v>
      </c>
      <c r="O24">
        <f t="shared" ca="1" si="2"/>
        <v>-3.7129405703947432E-3</v>
      </c>
      <c r="Q24" s="2">
        <f t="shared" si="3"/>
        <v>39552.222999999998</v>
      </c>
    </row>
    <row r="25" spans="1:21" x14ac:dyDescent="0.2">
      <c r="A25" s="32" t="s">
        <v>46</v>
      </c>
      <c r="B25" s="33" t="s">
        <v>44</v>
      </c>
      <c r="C25" s="32">
        <v>56013.920400000003</v>
      </c>
      <c r="D25" s="32">
        <v>2.9999999999999997E-4</v>
      </c>
      <c r="E25">
        <f t="shared" si="0"/>
        <v>6678.9762903102874</v>
      </c>
      <c r="F25">
        <f t="shared" si="1"/>
        <v>6679</v>
      </c>
      <c r="G25">
        <f t="shared" si="4"/>
        <v>-7.7749999982188456E-3</v>
      </c>
      <c r="K25">
        <f>+G25</f>
        <v>-7.7749999982188456E-3</v>
      </c>
      <c r="O25">
        <f t="shared" ca="1" si="2"/>
        <v>-7.245489654262657E-3</v>
      </c>
      <c r="Q25" s="2">
        <f t="shared" si="3"/>
        <v>40995.420400000003</v>
      </c>
    </row>
    <row r="26" spans="1:21" x14ac:dyDescent="0.2">
      <c r="A26" s="47" t="s">
        <v>49</v>
      </c>
      <c r="B26" s="33" t="s">
        <v>45</v>
      </c>
      <c r="C26" s="32">
        <v>56015.395600000003</v>
      </c>
      <c r="D26" s="32">
        <v>2.9999999999999997E-4</v>
      </c>
      <c r="E26">
        <f t="shared" si="0"/>
        <v>6683.4748799268173</v>
      </c>
      <c r="F26">
        <f t="shared" si="1"/>
        <v>6683.5</v>
      </c>
      <c r="G26">
        <f t="shared" si="4"/>
        <v>-8.237499998358544E-3</v>
      </c>
      <c r="J26">
        <f>+G26</f>
        <v>-8.237499998358544E-3</v>
      </c>
      <c r="O26">
        <f t="shared" ca="1" si="2"/>
        <v>-7.2491016676408454E-3</v>
      </c>
      <c r="Q26" s="2">
        <f t="shared" si="3"/>
        <v>40996.895600000003</v>
      </c>
    </row>
    <row r="27" spans="1:21" x14ac:dyDescent="0.2">
      <c r="A27" s="47" t="s">
        <v>49</v>
      </c>
      <c r="B27" s="33" t="s">
        <v>44</v>
      </c>
      <c r="C27" s="32">
        <v>56015.560400000002</v>
      </c>
      <c r="D27" s="32">
        <v>1E-3</v>
      </c>
      <c r="E27">
        <f t="shared" si="0"/>
        <v>6683.977433864452</v>
      </c>
      <c r="F27">
        <f t="shared" si="1"/>
        <v>6684</v>
      </c>
      <c r="G27">
        <f t="shared" si="4"/>
        <v>-7.4000000022351742E-3</v>
      </c>
      <c r="J27">
        <f>+G27</f>
        <v>-7.4000000022351742E-3</v>
      </c>
      <c r="O27">
        <f t="shared" ca="1" si="2"/>
        <v>-7.2495030024606437E-3</v>
      </c>
      <c r="Q27" s="2">
        <f t="shared" si="3"/>
        <v>40997.060400000002</v>
      </c>
    </row>
    <row r="28" spans="1:21" x14ac:dyDescent="0.2">
      <c r="A28" s="32" t="s">
        <v>46</v>
      </c>
      <c r="B28" s="33" t="s">
        <v>45</v>
      </c>
      <c r="C28" s="32">
        <v>56077.699800000002</v>
      </c>
      <c r="D28" s="32">
        <v>4.0000000000000002E-4</v>
      </c>
      <c r="E28">
        <f t="shared" si="0"/>
        <v>6873.4701532362596</v>
      </c>
      <c r="F28">
        <f t="shared" si="1"/>
        <v>6873.5</v>
      </c>
      <c r="G28">
        <f t="shared" si="4"/>
        <v>-9.7874999992200173E-3</v>
      </c>
      <c r="K28">
        <f t="shared" ref="K28:K34" si="5">+G28</f>
        <v>-9.7874999992200173E-3</v>
      </c>
      <c r="O28">
        <f t="shared" ca="1" si="2"/>
        <v>-7.4016088991643407E-3</v>
      </c>
      <c r="Q28" s="2">
        <f t="shared" si="3"/>
        <v>41059.199800000002</v>
      </c>
    </row>
    <row r="29" spans="1:21" x14ac:dyDescent="0.2">
      <c r="A29" s="51" t="s">
        <v>95</v>
      </c>
      <c r="B29" s="52" t="s">
        <v>44</v>
      </c>
      <c r="C29" s="53">
        <v>57091.481690000001</v>
      </c>
      <c r="D29" s="53">
        <v>1E-4</v>
      </c>
      <c r="E29">
        <f t="shared" si="0"/>
        <v>9964.9754974460575</v>
      </c>
      <c r="F29">
        <f t="shared" si="1"/>
        <v>9965</v>
      </c>
      <c r="G29">
        <f t="shared" si="4"/>
        <v>-8.0349999989266507E-3</v>
      </c>
      <c r="K29">
        <f t="shared" si="5"/>
        <v>-8.0349999989266507E-3</v>
      </c>
      <c r="O29">
        <f t="shared" ca="1" si="2"/>
        <v>-9.8830620899795323E-3</v>
      </c>
      <c r="Q29" s="2">
        <f t="shared" si="3"/>
        <v>42072.981690000001</v>
      </c>
    </row>
    <row r="30" spans="1:21" x14ac:dyDescent="0.2">
      <c r="A30" s="32" t="s">
        <v>94</v>
      </c>
      <c r="B30" s="33"/>
      <c r="C30" s="32">
        <v>57134.435799999999</v>
      </c>
      <c r="D30" s="32">
        <v>2.0000000000000001E-4</v>
      </c>
      <c r="E30">
        <f t="shared" si="0"/>
        <v>10095.963101318892</v>
      </c>
      <c r="F30">
        <f t="shared" si="1"/>
        <v>10096</v>
      </c>
      <c r="G30">
        <f t="shared" si="4"/>
        <v>-1.2099999999918509E-2</v>
      </c>
      <c r="K30">
        <f t="shared" si="5"/>
        <v>-1.2099999999918509E-2</v>
      </c>
      <c r="O30">
        <f t="shared" ca="1" si="2"/>
        <v>-9.9882118127667847E-3</v>
      </c>
      <c r="Q30" s="2">
        <f t="shared" si="3"/>
        <v>42115.935799999999</v>
      </c>
    </row>
    <row r="31" spans="1:21" x14ac:dyDescent="0.2">
      <c r="A31" s="48" t="s">
        <v>1</v>
      </c>
      <c r="B31" s="49" t="s">
        <v>44</v>
      </c>
      <c r="C31" s="50">
        <v>57500.399299999997</v>
      </c>
      <c r="D31" s="50">
        <v>2.3999999999999998E-3</v>
      </c>
      <c r="E31">
        <f t="shared" si="0"/>
        <v>11211.960661736664</v>
      </c>
      <c r="F31">
        <f t="shared" si="1"/>
        <v>11212</v>
      </c>
      <c r="G31">
        <f t="shared" si="4"/>
        <v>-1.2900000001536682E-2</v>
      </c>
      <c r="K31">
        <f t="shared" si="5"/>
        <v>-1.2900000001536682E-2</v>
      </c>
      <c r="O31">
        <f t="shared" ca="1" si="2"/>
        <v>-1.0883991130557422E-2</v>
      </c>
      <c r="Q31" s="2">
        <f t="shared" si="3"/>
        <v>42481.899299999997</v>
      </c>
    </row>
    <row r="32" spans="1:21" x14ac:dyDescent="0.2">
      <c r="A32" s="48" t="s">
        <v>1</v>
      </c>
      <c r="B32" s="49" t="s">
        <v>44</v>
      </c>
      <c r="C32" s="50">
        <v>57500.563999999998</v>
      </c>
      <c r="D32" s="50">
        <v>1.4E-3</v>
      </c>
      <c r="E32">
        <f t="shared" si="0"/>
        <v>11212.462910726528</v>
      </c>
      <c r="F32">
        <f t="shared" si="1"/>
        <v>11212.5</v>
      </c>
      <c r="G32">
        <f t="shared" si="4"/>
        <v>-1.21625000028871E-2</v>
      </c>
      <c r="K32">
        <f t="shared" si="5"/>
        <v>-1.21625000028871E-2</v>
      </c>
      <c r="O32">
        <f t="shared" ca="1" si="2"/>
        <v>-1.0884392465377219E-2</v>
      </c>
      <c r="Q32" s="2">
        <f t="shared" si="3"/>
        <v>42482.063999999998</v>
      </c>
    </row>
    <row r="33" spans="1:17" x14ac:dyDescent="0.2">
      <c r="A33" s="48" t="s">
        <v>1</v>
      </c>
      <c r="B33" s="49" t="s">
        <v>44</v>
      </c>
      <c r="C33" s="50">
        <v>57517.451000000001</v>
      </c>
      <c r="D33" s="50">
        <v>8.0000000000000004E-4</v>
      </c>
      <c r="E33">
        <f t="shared" si="0"/>
        <v>11263.959441945564</v>
      </c>
      <c r="F33">
        <f t="shared" si="1"/>
        <v>11264</v>
      </c>
      <c r="G33">
        <f t="shared" si="4"/>
        <v>-1.329999999870779E-2</v>
      </c>
      <c r="K33">
        <f t="shared" si="5"/>
        <v>-1.329999999870779E-2</v>
      </c>
      <c r="O33">
        <f t="shared" ca="1" si="2"/>
        <v>-1.0925729951816482E-2</v>
      </c>
      <c r="Q33" s="2">
        <f t="shared" si="3"/>
        <v>42498.951000000001</v>
      </c>
    </row>
    <row r="34" spans="1:17" x14ac:dyDescent="0.2">
      <c r="A34" s="53" t="s">
        <v>0</v>
      </c>
      <c r="B34" s="52" t="s">
        <v>44</v>
      </c>
      <c r="C34" s="53">
        <v>57544.995999999999</v>
      </c>
      <c r="D34" s="53" t="s">
        <v>59</v>
      </c>
      <c r="E34">
        <f t="shared" si="0"/>
        <v>11347.957307311115</v>
      </c>
      <c r="F34">
        <f t="shared" si="1"/>
        <v>11348</v>
      </c>
      <c r="G34">
        <f t="shared" si="4"/>
        <v>-1.4000000002852175E-2</v>
      </c>
      <c r="K34">
        <f t="shared" si="5"/>
        <v>-1.4000000002852175E-2</v>
      </c>
      <c r="O34">
        <f t="shared" ca="1" si="2"/>
        <v>-1.0993154201542659E-2</v>
      </c>
      <c r="Q34" s="2">
        <f t="shared" si="3"/>
        <v>42526.495999999999</v>
      </c>
    </row>
    <row r="35" spans="1:17" x14ac:dyDescent="0.2">
      <c r="A35" s="54" t="s">
        <v>96</v>
      </c>
      <c r="B35" s="55" t="s">
        <v>44</v>
      </c>
      <c r="C35" s="56">
        <v>58907.525500000003</v>
      </c>
      <c r="D35" s="56">
        <v>1E-4</v>
      </c>
      <c r="E35">
        <f>+(C35-C$7)/C$8</f>
        <v>15502.960737973626</v>
      </c>
      <c r="F35">
        <f t="shared" si="1"/>
        <v>15503</v>
      </c>
      <c r="G35">
        <f>+C35-(C$7+F35*C$8)</f>
        <v>-1.2875000000349246E-2</v>
      </c>
      <c r="K35">
        <f>+G35</f>
        <v>-1.2875000000349246E-2</v>
      </c>
      <c r="O35">
        <f ca="1">+C$11+C$12*$F35</f>
        <v>-1.4328246554069626E-2</v>
      </c>
      <c r="Q35" s="2">
        <f>+C35-15018.5</f>
        <v>43889.025500000003</v>
      </c>
    </row>
    <row r="36" spans="1:17" x14ac:dyDescent="0.2">
      <c r="A36" s="57" t="s">
        <v>97</v>
      </c>
      <c r="B36" s="58" t="s">
        <v>44</v>
      </c>
      <c r="C36" s="59">
        <v>58248.72453599982</v>
      </c>
      <c r="D36" s="59">
        <v>1.25E-4</v>
      </c>
      <c r="E36">
        <f>+(C36-C$7)/C$8</f>
        <v>13493.961838834544</v>
      </c>
      <c r="F36">
        <f>ROUND(2*E36,0)/2</f>
        <v>13494</v>
      </c>
      <c r="G36">
        <f>+C36-(C$7+F36*C$8)</f>
        <v>-1.2514000183728058E-2</v>
      </c>
      <c r="K36">
        <f>+G36</f>
        <v>-1.2514000183728058E-2</v>
      </c>
      <c r="O36">
        <f ca="1">+C$11+C$12*$F36</f>
        <v>-1.2715683248118562E-2</v>
      </c>
      <c r="Q36" s="2">
        <f>+C36-15018.5</f>
        <v>43230.22453599982</v>
      </c>
    </row>
    <row r="37" spans="1:17" ht="12" customHeight="1" x14ac:dyDescent="0.2">
      <c r="A37" s="60" t="s">
        <v>98</v>
      </c>
      <c r="B37" s="61" t="s">
        <v>44</v>
      </c>
      <c r="C37" s="63">
        <v>59727.501600000003</v>
      </c>
      <c r="D37" s="64">
        <v>1E-4</v>
      </c>
      <c r="E37">
        <f>+(C37-C$7)/C$8</f>
        <v>18003.459632537932</v>
      </c>
      <c r="F37">
        <f>ROUND(2*E37,0)/2</f>
        <v>18003.5</v>
      </c>
      <c r="G37">
        <f>+C37-(C$7+F37*C$8)</f>
        <v>-1.3237499995739199E-2</v>
      </c>
      <c r="K37">
        <f>+G37</f>
        <v>-1.3237499995739199E-2</v>
      </c>
      <c r="O37">
        <f ca="1">+C$11+C$12*$F37</f>
        <v>-1.6335321987882786E-2</v>
      </c>
      <c r="Q37" s="2">
        <f>+C37-15018.5</f>
        <v>44709.001600000003</v>
      </c>
    </row>
    <row r="38" spans="1:17" x14ac:dyDescent="0.2">
      <c r="A38" s="60" t="s">
        <v>99</v>
      </c>
      <c r="B38" s="66" t="s">
        <v>44</v>
      </c>
      <c r="C38" s="68">
        <v>60443.523699999998</v>
      </c>
      <c r="D38" s="67">
        <v>2.0000000000000001E-4</v>
      </c>
      <c r="E38">
        <f>+(C38-C$7)/C$8</f>
        <v>20186.953114279167</v>
      </c>
      <c r="F38">
        <f>ROUND(2*E38,0)/2</f>
        <v>20187</v>
      </c>
      <c r="G38">
        <f>+C38-(C$7+F38*C$8)</f>
        <v>-1.5375000002677552E-2</v>
      </c>
      <c r="K38">
        <f>+G38</f>
        <v>-1.5375000002677552E-2</v>
      </c>
      <c r="O38">
        <f ca="1">+C$11+C$12*$F38</f>
        <v>-1.8087951145943592E-2</v>
      </c>
      <c r="Q38" s="2">
        <f>+C38-15018.5</f>
        <v>45425.023699999998</v>
      </c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35:D35" name="Range1"/>
  </protectedRanges>
  <phoneticPr fontId="8" type="noConversion"/>
  <hyperlinks>
    <hyperlink ref="H2845" r:id="rId1" display="http://vsolj.cetus-net.org/bulletin.html" xr:uid="{00000000-0004-0000-0000-000000000000}"/>
    <hyperlink ref="H64829" r:id="rId2" display="http://vsolj.cetus-net.org/bulletin.html" xr:uid="{00000000-0004-0000-0000-000001000000}"/>
    <hyperlink ref="H64822" r:id="rId3" display="https://www.aavso.org/ejaavso" xr:uid="{00000000-0004-0000-0000-000002000000}"/>
    <hyperlink ref="I64829" r:id="rId4" display="http://vsolj.cetus-net.org/bulletin.html" xr:uid="{00000000-0004-0000-0000-000003000000}"/>
    <hyperlink ref="AQ58480" r:id="rId5" display="http://cdsbib.u-strasbg.fr/cgi-bin/cdsbib?1990RMxAA..21..381G" xr:uid="{00000000-0004-0000-0000-000004000000}"/>
    <hyperlink ref="H64826" r:id="rId6" display="https://www.aavso.org/ejaavso" xr:uid="{00000000-0004-0000-0000-000005000000}"/>
    <hyperlink ref="AP5844" r:id="rId7" display="http://cdsbib.u-strasbg.fr/cgi-bin/cdsbib?1990RMxAA..21..381G" xr:uid="{00000000-0004-0000-0000-000006000000}"/>
    <hyperlink ref="AP5847" r:id="rId8" display="http://cdsbib.u-strasbg.fr/cgi-bin/cdsbib?1990RMxAA..21..381G" xr:uid="{00000000-0004-0000-0000-000007000000}"/>
    <hyperlink ref="AP5845" r:id="rId9" display="http://cdsbib.u-strasbg.fr/cgi-bin/cdsbib?1990RMxAA..21..381G" xr:uid="{00000000-0004-0000-0000-000008000000}"/>
    <hyperlink ref="AP5829" r:id="rId10" display="http://cdsbib.u-strasbg.fr/cgi-bin/cdsbib?1990RMxAA..21..381G" xr:uid="{00000000-0004-0000-0000-000009000000}"/>
    <hyperlink ref="AQ6058" r:id="rId11" display="http://cdsbib.u-strasbg.fr/cgi-bin/cdsbib?1990RMxAA..21..381G" xr:uid="{00000000-0004-0000-0000-00000A000000}"/>
    <hyperlink ref="AQ6062" r:id="rId12" display="http://cdsbib.u-strasbg.fr/cgi-bin/cdsbib?1990RMxAA..21..381G" xr:uid="{00000000-0004-0000-0000-00000B000000}"/>
    <hyperlink ref="AQ206" r:id="rId13" display="http://cdsbib.u-strasbg.fr/cgi-bin/cdsbib?1990RMxAA..21..381G" xr:uid="{00000000-0004-0000-0000-00000C000000}"/>
    <hyperlink ref="I2950" r:id="rId14" display="http://vsolj.cetus-net.org/bulletin.html" xr:uid="{00000000-0004-0000-0000-00000D000000}"/>
    <hyperlink ref="H2950" r:id="rId15" display="http://vsolj.cetus-net.org/bulletin.html" xr:uid="{00000000-0004-0000-0000-00000E000000}"/>
    <hyperlink ref="AQ867" r:id="rId16" display="http://cdsbib.u-strasbg.fr/cgi-bin/cdsbib?1990RMxAA..21..381G" xr:uid="{00000000-0004-0000-0000-00000F000000}"/>
    <hyperlink ref="AQ866" r:id="rId17" display="http://cdsbib.u-strasbg.fr/cgi-bin/cdsbib?1990RMxAA..21..381G" xr:uid="{00000000-0004-0000-0000-000010000000}"/>
    <hyperlink ref="AP4120" r:id="rId18" display="http://cdsbib.u-strasbg.fr/cgi-bin/cdsbib?1990RMxAA..21..381G" xr:uid="{00000000-0004-0000-0000-000011000000}"/>
    <hyperlink ref="AP4138" r:id="rId19" display="http://cdsbib.u-strasbg.fr/cgi-bin/cdsbib?1990RMxAA..21..381G" xr:uid="{00000000-0004-0000-0000-000012000000}"/>
    <hyperlink ref="AP4139" r:id="rId20" display="http://cdsbib.u-strasbg.fr/cgi-bin/cdsbib?1990RMxAA..21..381G" xr:uid="{00000000-0004-0000-0000-000013000000}"/>
    <hyperlink ref="AP413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2"/>
  <sheetViews>
    <sheetView workbookViewId="0">
      <selection activeCell="A16" sqref="A16:D1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50</v>
      </c>
      <c r="I1" s="35" t="s">
        <v>51</v>
      </c>
      <c r="J1" s="36" t="s">
        <v>52</v>
      </c>
    </row>
    <row r="2" spans="1:16" x14ac:dyDescent="0.2">
      <c r="I2" s="37" t="s">
        <v>53</v>
      </c>
      <c r="J2" s="38" t="s">
        <v>54</v>
      </c>
    </row>
    <row r="3" spans="1:16" x14ac:dyDescent="0.2">
      <c r="A3" s="39" t="s">
        <v>55</v>
      </c>
      <c r="I3" s="37" t="s">
        <v>56</v>
      </c>
      <c r="J3" s="38" t="s">
        <v>57</v>
      </c>
    </row>
    <row r="4" spans="1:16" x14ac:dyDescent="0.2">
      <c r="I4" s="37" t="s">
        <v>58</v>
      </c>
      <c r="J4" s="38" t="s">
        <v>57</v>
      </c>
    </row>
    <row r="5" spans="1:16" ht="13.5" thickBot="1" x14ac:dyDescent="0.25">
      <c r="I5" s="40" t="s">
        <v>59</v>
      </c>
      <c r="J5" s="41" t="s">
        <v>60</v>
      </c>
    </row>
    <row r="10" spans="1:16" ht="13.5" thickBot="1" x14ac:dyDescent="0.25"/>
    <row r="11" spans="1:16" ht="12.75" customHeight="1" thickBot="1" x14ac:dyDescent="0.25">
      <c r="A11" s="8" t="str">
        <f t="shared" ref="A11:A16" si="0">P11</f>
        <v>OEJV 0155 </v>
      </c>
      <c r="B11" s="3" t="str">
        <f t="shared" ref="B11:B16" si="1">IF(H11=INT(H11),"I","II")</f>
        <v>I</v>
      </c>
      <c r="C11" s="8">
        <f t="shared" ref="C11:C16" si="2">1*G11</f>
        <v>54570.722999999998</v>
      </c>
      <c r="D11" s="10" t="str">
        <f t="shared" ref="D11:D16" si="3">VLOOKUP(F11,I$1:J$5,2,FALSE)</f>
        <v>vis</v>
      </c>
      <c r="E11" s="42">
        <f>VLOOKUP(C11,Active!C$21:E$972,3,FALSE)</f>
        <v>2277.9778912861066</v>
      </c>
      <c r="F11" s="3" t="s">
        <v>59</v>
      </c>
      <c r="G11" s="10" t="str">
        <f t="shared" ref="G11:G16" si="4">MID(I11,3,LEN(I11)-3)</f>
        <v>54570.723</v>
      </c>
      <c r="H11" s="8">
        <f t="shared" ref="H11:H16" si="5">1*K11</f>
        <v>2278</v>
      </c>
      <c r="I11" s="43" t="s">
        <v>61</v>
      </c>
      <c r="J11" s="44" t="s">
        <v>62</v>
      </c>
      <c r="K11" s="43">
        <v>2278</v>
      </c>
      <c r="L11" s="43" t="s">
        <v>63</v>
      </c>
      <c r="M11" s="44" t="s">
        <v>64</v>
      </c>
      <c r="N11" s="44" t="s">
        <v>65</v>
      </c>
      <c r="O11" s="45" t="s">
        <v>66</v>
      </c>
      <c r="P11" s="46" t="s">
        <v>67</v>
      </c>
    </row>
    <row r="12" spans="1:16" ht="12.75" customHeight="1" thickBot="1" x14ac:dyDescent="0.25">
      <c r="A12" s="8" t="str">
        <f t="shared" si="0"/>
        <v>IBVS 6029 </v>
      </c>
      <c r="B12" s="3" t="str">
        <f t="shared" si="1"/>
        <v>I</v>
      </c>
      <c r="C12" s="8">
        <f t="shared" si="2"/>
        <v>56013.920400000003</v>
      </c>
      <c r="D12" s="10" t="str">
        <f t="shared" si="3"/>
        <v>vis</v>
      </c>
      <c r="E12" s="42">
        <f>VLOOKUP(C12,Active!C$21:E$972,3,FALSE)</f>
        <v>6678.9762903102874</v>
      </c>
      <c r="F12" s="3" t="s">
        <v>59</v>
      </c>
      <c r="G12" s="10" t="str">
        <f t="shared" si="4"/>
        <v>56013.9204</v>
      </c>
      <c r="H12" s="8">
        <f t="shared" si="5"/>
        <v>6679</v>
      </c>
      <c r="I12" s="43" t="s">
        <v>68</v>
      </c>
      <c r="J12" s="44" t="s">
        <v>69</v>
      </c>
      <c r="K12" s="43">
        <v>6679</v>
      </c>
      <c r="L12" s="43" t="s">
        <v>70</v>
      </c>
      <c r="M12" s="44" t="s">
        <v>64</v>
      </c>
      <c r="N12" s="44" t="s">
        <v>59</v>
      </c>
      <c r="O12" s="45" t="s">
        <v>71</v>
      </c>
      <c r="P12" s="46" t="s">
        <v>72</v>
      </c>
    </row>
    <row r="13" spans="1:16" ht="12.75" customHeight="1" thickBot="1" x14ac:dyDescent="0.25">
      <c r="A13" s="8" t="str">
        <f t="shared" si="0"/>
        <v>BAVM 228 </v>
      </c>
      <c r="B13" s="3" t="str">
        <f t="shared" si="1"/>
        <v>II</v>
      </c>
      <c r="C13" s="8">
        <f t="shared" si="2"/>
        <v>56015.395600000003</v>
      </c>
      <c r="D13" s="10" t="str">
        <f t="shared" si="3"/>
        <v>vis</v>
      </c>
      <c r="E13" s="42">
        <f>VLOOKUP(C13,Active!C$21:E$972,3,FALSE)</f>
        <v>6683.4748799268173</v>
      </c>
      <c r="F13" s="3" t="s">
        <v>59</v>
      </c>
      <c r="G13" s="10" t="str">
        <f t="shared" si="4"/>
        <v>56015.3956</v>
      </c>
      <c r="H13" s="8">
        <f t="shared" si="5"/>
        <v>6683.5</v>
      </c>
      <c r="I13" s="43" t="s">
        <v>73</v>
      </c>
      <c r="J13" s="44" t="s">
        <v>74</v>
      </c>
      <c r="K13" s="43">
        <v>6683.5</v>
      </c>
      <c r="L13" s="43" t="s">
        <v>75</v>
      </c>
      <c r="M13" s="44" t="s">
        <v>64</v>
      </c>
      <c r="N13" s="44" t="s">
        <v>76</v>
      </c>
      <c r="O13" s="45" t="s">
        <v>77</v>
      </c>
      <c r="P13" s="46" t="s">
        <v>78</v>
      </c>
    </row>
    <row r="14" spans="1:16" ht="12.75" customHeight="1" thickBot="1" x14ac:dyDescent="0.25">
      <c r="A14" s="8" t="str">
        <f t="shared" si="0"/>
        <v>BAVM 228 </v>
      </c>
      <c r="B14" s="3" t="str">
        <f t="shared" si="1"/>
        <v>I</v>
      </c>
      <c r="C14" s="8">
        <f t="shared" si="2"/>
        <v>56015.560400000002</v>
      </c>
      <c r="D14" s="10" t="str">
        <f t="shared" si="3"/>
        <v>vis</v>
      </c>
      <c r="E14" s="42">
        <f>VLOOKUP(C14,Active!C$21:E$972,3,FALSE)</f>
        <v>6683.977433864452</v>
      </c>
      <c r="F14" s="3" t="s">
        <v>59</v>
      </c>
      <c r="G14" s="10" t="str">
        <f t="shared" si="4"/>
        <v>56015.5604</v>
      </c>
      <c r="H14" s="8">
        <f t="shared" si="5"/>
        <v>6684</v>
      </c>
      <c r="I14" s="43" t="s">
        <v>79</v>
      </c>
      <c r="J14" s="44" t="s">
        <v>80</v>
      </c>
      <c r="K14" s="43" t="s">
        <v>81</v>
      </c>
      <c r="L14" s="43" t="s">
        <v>82</v>
      </c>
      <c r="M14" s="44" t="s">
        <v>64</v>
      </c>
      <c r="N14" s="44" t="s">
        <v>76</v>
      </c>
      <c r="O14" s="45" t="s">
        <v>77</v>
      </c>
      <c r="P14" s="46" t="s">
        <v>78</v>
      </c>
    </row>
    <row r="15" spans="1:16" ht="12.75" customHeight="1" thickBot="1" x14ac:dyDescent="0.25">
      <c r="A15" s="8" t="str">
        <f t="shared" si="0"/>
        <v>IBVS 6029 </v>
      </c>
      <c r="B15" s="3" t="str">
        <f t="shared" si="1"/>
        <v>II</v>
      </c>
      <c r="C15" s="8">
        <f t="shared" si="2"/>
        <v>56077.699800000002</v>
      </c>
      <c r="D15" s="10" t="str">
        <f t="shared" si="3"/>
        <v>vis</v>
      </c>
      <c r="E15" s="42">
        <f>VLOOKUP(C15,Active!C$21:E$972,3,FALSE)</f>
        <v>6873.4701532362596</v>
      </c>
      <c r="F15" s="3" t="s">
        <v>59</v>
      </c>
      <c r="G15" s="10" t="str">
        <f t="shared" si="4"/>
        <v>56077.6998</v>
      </c>
      <c r="H15" s="8">
        <f t="shared" si="5"/>
        <v>6873.5</v>
      </c>
      <c r="I15" s="43" t="s">
        <v>83</v>
      </c>
      <c r="J15" s="44" t="s">
        <v>84</v>
      </c>
      <c r="K15" s="43" t="s">
        <v>85</v>
      </c>
      <c r="L15" s="43" t="s">
        <v>86</v>
      </c>
      <c r="M15" s="44" t="s">
        <v>64</v>
      </c>
      <c r="N15" s="44" t="s">
        <v>59</v>
      </c>
      <c r="O15" s="45" t="s">
        <v>71</v>
      </c>
      <c r="P15" s="46" t="s">
        <v>72</v>
      </c>
    </row>
    <row r="16" spans="1:16" ht="12.75" customHeight="1" thickBot="1" x14ac:dyDescent="0.25">
      <c r="A16" s="8" t="str">
        <f t="shared" si="0"/>
        <v>BAVM 241 (=IBVS 6157) </v>
      </c>
      <c r="B16" s="3" t="str">
        <f t="shared" si="1"/>
        <v>I</v>
      </c>
      <c r="C16" s="8">
        <f t="shared" si="2"/>
        <v>57134.435799999999</v>
      </c>
      <c r="D16" s="10" t="str">
        <f t="shared" si="3"/>
        <v>vis</v>
      </c>
      <c r="E16" s="42">
        <f>VLOOKUP(C16,Active!C$21:E$972,3,FALSE)</f>
        <v>10095.963101318892</v>
      </c>
      <c r="F16" s="3" t="s">
        <v>59</v>
      </c>
      <c r="G16" s="10" t="str">
        <f t="shared" si="4"/>
        <v>57134.4358</v>
      </c>
      <c r="H16" s="8">
        <f t="shared" si="5"/>
        <v>10096</v>
      </c>
      <c r="I16" s="43" t="s">
        <v>87</v>
      </c>
      <c r="J16" s="44" t="s">
        <v>88</v>
      </c>
      <c r="K16" s="43" t="s">
        <v>89</v>
      </c>
      <c r="L16" s="43" t="s">
        <v>90</v>
      </c>
      <c r="M16" s="44" t="s">
        <v>64</v>
      </c>
      <c r="N16" s="44" t="s">
        <v>91</v>
      </c>
      <c r="O16" s="45" t="s">
        <v>92</v>
      </c>
      <c r="P16" s="46" t="s">
        <v>93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</sheetData>
  <phoneticPr fontId="8" type="noConversion"/>
  <hyperlinks>
    <hyperlink ref="A3" r:id="rId1" xr:uid="{00000000-0004-0000-0100-000000000000}"/>
    <hyperlink ref="P11" r:id="rId2" display="http://var.astro.cz/oejv/issues/oejv0155.pdf" xr:uid="{00000000-0004-0000-0100-000001000000}"/>
    <hyperlink ref="P12" r:id="rId3" display="http://www.konkoly.hu/cgi-bin/IBVS?6029" xr:uid="{00000000-0004-0000-0100-000002000000}"/>
    <hyperlink ref="P13" r:id="rId4" display="http://www.bav-astro.de/sfs/BAVM_link.php?BAVMnr=228" xr:uid="{00000000-0004-0000-0100-000003000000}"/>
    <hyperlink ref="P14" r:id="rId5" display="http://www.bav-astro.de/sfs/BAVM_link.php?BAVMnr=228" xr:uid="{00000000-0004-0000-0100-000004000000}"/>
    <hyperlink ref="P15" r:id="rId6" display="http://www.konkoly.hu/cgi-bin/IBVS?6029" xr:uid="{00000000-0004-0000-0100-000005000000}"/>
    <hyperlink ref="P16" r:id="rId7" display="http://www.bav-astro.de/sfs/BAVM_link.php?BAVMnr=241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2025-01-03T05:23:46Z</dcterms:modified>
</cp:coreProperties>
</file>