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509003-FDC7-4F15-8563-B29D598AC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Active 2" sheetId="9" r:id="rId2"/>
    <sheet name="Graphs 2" sheetId="11" r:id="rId3"/>
    <sheet name="Q_fit" sheetId="5" r:id="rId4"/>
    <sheet name="errors" sheetId="10" r:id="rId5"/>
    <sheet name="D (2)" sheetId="6" r:id="rId6"/>
    <sheet name="D (3)" sheetId="7" r:id="rId7"/>
    <sheet name="BAV" sheetId="8" r:id="rId8"/>
  </sheets>
  <definedNames>
    <definedName name="solver_adj" localSheetId="0" hidden="1">'Active 1'!$E$11:$E$13</definedName>
    <definedName name="solver_adj" localSheetId="1" hidden="1">'Active 2'!$AC$3:$AC$10</definedName>
    <definedName name="solver_adj" localSheetId="5" hidden="1">'D (2)'!$E$11:$E$13</definedName>
    <definedName name="solver_adj" localSheetId="6" hidden="1">'D (3)'!$E$11:$E$13</definedName>
    <definedName name="solver_adj" localSheetId="4" hidden="1">errors!$AI$3:$AI$10</definedName>
    <definedName name="solver_cvg" localSheetId="0" hidden="1">0.0001</definedName>
    <definedName name="solver_cvg" localSheetId="1" hidden="1">0.0001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drv" localSheetId="0" hidden="1">1</definedName>
    <definedName name="solver_drv" localSheetId="1" hidden="1">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est" localSheetId="0" hidden="1">1</definedName>
    <definedName name="solver_est" localSheetId="1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itr" localSheetId="0" hidden="1">100</definedName>
    <definedName name="solver_itr" localSheetId="1" hidden="1">100</definedName>
    <definedName name="solver_itr" localSheetId="5" hidden="1">100</definedName>
    <definedName name="solver_itr" localSheetId="6" hidden="1">100</definedName>
    <definedName name="solver_itr" localSheetId="4" hidden="1">100</definedName>
    <definedName name="solver_lhs1" localSheetId="1" hidden="1">'Active 2'!$AC$7</definedName>
    <definedName name="solver_lhs1" localSheetId="4" hidden="1">errors!$AI$7</definedName>
    <definedName name="solver_lin" localSheetId="0" hidden="1">2</definedName>
    <definedName name="solver_lin" localSheetId="1" hidden="1">2</definedName>
    <definedName name="solver_lin" localSheetId="5" hidden="1">2</definedName>
    <definedName name="solver_lin" localSheetId="6" hidden="1">2</definedName>
    <definedName name="solver_lin" localSheetId="4" hidden="1">2</definedName>
    <definedName name="solver_neg" localSheetId="0" hidden="1">2</definedName>
    <definedName name="solver_neg" localSheetId="1" hidden="1">2</definedName>
    <definedName name="solver_neg" localSheetId="5" hidden="1">2</definedName>
    <definedName name="solver_neg" localSheetId="6" hidden="1">2</definedName>
    <definedName name="solver_neg" localSheetId="4" hidden="1">2</definedName>
    <definedName name="solver_num" localSheetId="0" hidden="1">0</definedName>
    <definedName name="solver_num" localSheetId="1" hidden="1">1</definedName>
    <definedName name="solver_num" localSheetId="5" hidden="1">0</definedName>
    <definedName name="solver_num" localSheetId="6" hidden="1">0</definedName>
    <definedName name="solver_num" localSheetId="4" hidden="1">1</definedName>
    <definedName name="solver_nwt" localSheetId="0" hidden="1">1</definedName>
    <definedName name="solver_nwt" localSheetId="1" hidden="1">1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opt" localSheetId="0" hidden="1">'Active 1'!$E$14</definedName>
    <definedName name="solver_opt" localSheetId="1" hidden="1">'Active 2'!$AC$11</definedName>
    <definedName name="solver_opt" localSheetId="5" hidden="1">'D (2)'!$E$14</definedName>
    <definedName name="solver_opt" localSheetId="6" hidden="1">'D (3)'!$E$14</definedName>
    <definedName name="solver_opt" localSheetId="4" hidden="1">errors!$AI$11</definedName>
    <definedName name="solver_pre" localSheetId="0" hidden="1">0.000001</definedName>
    <definedName name="solver_pre" localSheetId="1" hidden="1">0.000001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rel1" localSheetId="1" hidden="1">1</definedName>
    <definedName name="solver_rel1" localSheetId="4" hidden="1">1</definedName>
    <definedName name="solver_rhs1" localSheetId="1" hidden="1">0.95</definedName>
    <definedName name="solver_rhs1" localSheetId="4" hidden="1">0.95</definedName>
    <definedName name="solver_scl" localSheetId="0" hidden="1">2</definedName>
    <definedName name="solver_scl" localSheetId="1" hidden="1">2</definedName>
    <definedName name="solver_scl" localSheetId="5" hidden="1">2</definedName>
    <definedName name="solver_scl" localSheetId="6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tim" localSheetId="0" hidden="1">100</definedName>
    <definedName name="solver_tim" localSheetId="1" hidden="1">100</definedName>
    <definedName name="solver_tim" localSheetId="5" hidden="1">100</definedName>
    <definedName name="solver_tim" localSheetId="6" hidden="1">100</definedName>
    <definedName name="solver_tim" localSheetId="4" hidden="1">100</definedName>
    <definedName name="solver_tol" localSheetId="0" hidden="1">0.05</definedName>
    <definedName name="solver_tol" localSheetId="1" hidden="1">0.05</definedName>
    <definedName name="solver_tol" localSheetId="5" hidden="1">0.05</definedName>
    <definedName name="solver_tol" localSheetId="6" hidden="1">0.05</definedName>
    <definedName name="solver_tol" localSheetId="4" hidden="1">0.05</definedName>
    <definedName name="solver_typ" localSheetId="0" hidden="1">2</definedName>
    <definedName name="solver_typ" localSheetId="1" hidden="1">2</definedName>
    <definedName name="solver_typ" localSheetId="5" hidden="1">2</definedName>
    <definedName name="solver_typ" localSheetId="6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5" hidden="1">0</definedName>
    <definedName name="solver_val" localSheetId="6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E217" i="4" l="1"/>
  <c r="F217" i="4" s="1"/>
  <c r="Q217" i="4"/>
  <c r="E218" i="4"/>
  <c r="F218" i="4" s="1"/>
  <c r="Q218" i="4"/>
  <c r="E207" i="9"/>
  <c r="F207" i="9" s="1"/>
  <c r="Q207" i="9"/>
  <c r="E208" i="9"/>
  <c r="F208" i="9" s="1"/>
  <c r="Q208" i="9"/>
  <c r="F4" i="9"/>
  <c r="F4" i="4"/>
  <c r="V26" i="4"/>
  <c r="V25" i="4"/>
  <c r="AW97" i="9"/>
  <c r="AW98" i="9" s="1"/>
  <c r="AW96" i="9"/>
  <c r="E215" i="4"/>
  <c r="F215" i="4" s="1"/>
  <c r="Q215" i="4"/>
  <c r="E216" i="4"/>
  <c r="F216" i="4" s="1"/>
  <c r="Q216" i="4"/>
  <c r="E205" i="9"/>
  <c r="F205" i="9" s="1"/>
  <c r="Q205" i="9"/>
  <c r="E206" i="9"/>
  <c r="F206" i="9"/>
  <c r="G206" i="9" s="1"/>
  <c r="Q206" i="9"/>
  <c r="E210" i="4"/>
  <c r="F210" i="4" s="1"/>
  <c r="Q210" i="4"/>
  <c r="E200" i="9"/>
  <c r="F200" i="9" s="1"/>
  <c r="Q200" i="9"/>
  <c r="E204" i="9"/>
  <c r="F204" i="9" s="1"/>
  <c r="Q204" i="9"/>
  <c r="E214" i="4"/>
  <c r="F214" i="4" s="1"/>
  <c r="Q214" i="4"/>
  <c r="E21" i="4"/>
  <c r="F21" i="4" s="1"/>
  <c r="G21" i="4" s="1"/>
  <c r="K21" i="4" s="1"/>
  <c r="Q21" i="4"/>
  <c r="T21" i="4"/>
  <c r="E22" i="4"/>
  <c r="F22" i="4" s="1"/>
  <c r="G22" i="4" s="1"/>
  <c r="K22" i="4" s="1"/>
  <c r="Q22" i="4"/>
  <c r="T22" i="4"/>
  <c r="E23" i="4"/>
  <c r="F23" i="4" s="1"/>
  <c r="G23" i="4" s="1"/>
  <c r="K23" i="4" s="1"/>
  <c r="Q23" i="4"/>
  <c r="T23" i="4"/>
  <c r="E24" i="4"/>
  <c r="E14" i="8" s="1"/>
  <c r="Q24" i="4"/>
  <c r="T24" i="4"/>
  <c r="E25" i="4"/>
  <c r="F25" i="4" s="1"/>
  <c r="G25" i="4" s="1"/>
  <c r="Q25" i="4"/>
  <c r="E26" i="4"/>
  <c r="F26" i="4" s="1"/>
  <c r="G26" i="4" s="1"/>
  <c r="J26" i="4" s="1"/>
  <c r="Q26" i="4"/>
  <c r="E27" i="4"/>
  <c r="F27" i="4" s="1"/>
  <c r="Q27" i="4"/>
  <c r="E28" i="4"/>
  <c r="F28" i="4" s="1"/>
  <c r="G28" i="4" s="1"/>
  <c r="Q28" i="4"/>
  <c r="E29" i="4"/>
  <c r="E15" i="8" s="1"/>
  <c r="F29" i="4"/>
  <c r="G29" i="4" s="1"/>
  <c r="K29" i="4" s="1"/>
  <c r="Q29" i="4"/>
  <c r="E30" i="4"/>
  <c r="F30" i="4" s="1"/>
  <c r="G30" i="4" s="1"/>
  <c r="J30" i="4" s="1"/>
  <c r="Q30" i="4"/>
  <c r="E31" i="4"/>
  <c r="F31" i="4" s="1"/>
  <c r="G31" i="4" s="1"/>
  <c r="J31" i="4" s="1"/>
  <c r="Q31" i="4"/>
  <c r="E32" i="4"/>
  <c r="F32" i="4" s="1"/>
  <c r="G32" i="4" s="1"/>
  <c r="J32" i="4" s="1"/>
  <c r="Q32" i="4"/>
  <c r="E33" i="4"/>
  <c r="F33" i="4" s="1"/>
  <c r="Q33" i="4"/>
  <c r="E34" i="4"/>
  <c r="F34" i="4" s="1"/>
  <c r="G34" i="4" s="1"/>
  <c r="J34" i="4" s="1"/>
  <c r="Q34" i="4"/>
  <c r="E35" i="4"/>
  <c r="F35" i="4" s="1"/>
  <c r="Q35" i="4"/>
  <c r="E36" i="4"/>
  <c r="F36" i="4" s="1"/>
  <c r="G36" i="4" s="1"/>
  <c r="J36" i="4" s="1"/>
  <c r="Q36" i="4"/>
  <c r="E37" i="4"/>
  <c r="F37" i="4" s="1"/>
  <c r="G37" i="4" s="1"/>
  <c r="Q37" i="4"/>
  <c r="E38" i="4"/>
  <c r="F38" i="4"/>
  <c r="G38" i="4" s="1"/>
  <c r="J38" i="4" s="1"/>
  <c r="Q38" i="4"/>
  <c r="E39" i="4"/>
  <c r="F39" i="4" s="1"/>
  <c r="G39" i="4" s="1"/>
  <c r="J39" i="4" s="1"/>
  <c r="Q39" i="4"/>
  <c r="E40" i="4"/>
  <c r="F40" i="4" s="1"/>
  <c r="G40" i="4" s="1"/>
  <c r="J40" i="4" s="1"/>
  <c r="Q40" i="4"/>
  <c r="E41" i="4"/>
  <c r="F41" i="4" s="1"/>
  <c r="G41" i="4" s="1"/>
  <c r="J41" i="4" s="1"/>
  <c r="Q41" i="4"/>
  <c r="E42" i="4"/>
  <c r="F42" i="4" s="1"/>
  <c r="G42" i="4" s="1"/>
  <c r="J42" i="4" s="1"/>
  <c r="Q42" i="4"/>
  <c r="E43" i="4"/>
  <c r="E25" i="8" s="1"/>
  <c r="F43" i="4"/>
  <c r="G43" i="4" s="1"/>
  <c r="Q43" i="4"/>
  <c r="E44" i="4"/>
  <c r="F44" i="4"/>
  <c r="G44" i="4" s="1"/>
  <c r="J44" i="4" s="1"/>
  <c r="Q44" i="4"/>
  <c r="E45" i="4"/>
  <c r="F45" i="4" s="1"/>
  <c r="G45" i="4" s="1"/>
  <c r="Q45" i="4"/>
  <c r="E46" i="4"/>
  <c r="F46" i="4" s="1"/>
  <c r="G46" i="4" s="1"/>
  <c r="J46" i="4" s="1"/>
  <c r="Q46" i="4"/>
  <c r="E47" i="4"/>
  <c r="F47" i="4" s="1"/>
  <c r="G47" i="4" s="1"/>
  <c r="Q47" i="4"/>
  <c r="E48" i="4"/>
  <c r="F48" i="4" s="1"/>
  <c r="G48" i="4" s="1"/>
  <c r="R48" i="4" s="1"/>
  <c r="T48" i="4" s="1"/>
  <c r="Q48" i="4"/>
  <c r="E49" i="4"/>
  <c r="F49" i="4" s="1"/>
  <c r="G49" i="4" s="1"/>
  <c r="Q49" i="4"/>
  <c r="E50" i="4"/>
  <c r="F50" i="4" s="1"/>
  <c r="G50" i="4" s="1"/>
  <c r="J50" i="4" s="1"/>
  <c r="Q50" i="4"/>
  <c r="E51" i="4"/>
  <c r="F51" i="4" s="1"/>
  <c r="Q51" i="4"/>
  <c r="E52" i="4"/>
  <c r="F52" i="4" s="1"/>
  <c r="Q52" i="4"/>
  <c r="E53" i="4"/>
  <c r="F53" i="4" s="1"/>
  <c r="Q53" i="4"/>
  <c r="E54" i="4"/>
  <c r="F54" i="4" s="1"/>
  <c r="Q54" i="4"/>
  <c r="E55" i="4"/>
  <c r="F55" i="4" s="1"/>
  <c r="Q55" i="4"/>
  <c r="E56" i="4"/>
  <c r="F56" i="4"/>
  <c r="Q56" i="4"/>
  <c r="E57" i="4"/>
  <c r="F57" i="4" s="1"/>
  <c r="Q57" i="4"/>
  <c r="E58" i="4"/>
  <c r="F58" i="4" s="1"/>
  <c r="Q58" i="4"/>
  <c r="E59" i="4"/>
  <c r="F59" i="4" s="1"/>
  <c r="Q59" i="4"/>
  <c r="E60" i="4"/>
  <c r="F60" i="4" s="1"/>
  <c r="Q60" i="4"/>
  <c r="E61" i="4"/>
  <c r="F61" i="4" s="1"/>
  <c r="Q61" i="4"/>
  <c r="E62" i="4"/>
  <c r="F62" i="4" s="1"/>
  <c r="Q62" i="4"/>
  <c r="E63" i="4"/>
  <c r="F63" i="4"/>
  <c r="Q63" i="4"/>
  <c r="E64" i="4"/>
  <c r="F64" i="4" s="1"/>
  <c r="Q64" i="4"/>
  <c r="E65" i="4"/>
  <c r="F65" i="4" s="1"/>
  <c r="Q65" i="4"/>
  <c r="E66" i="4"/>
  <c r="F66" i="4"/>
  <c r="Q66" i="4"/>
  <c r="E67" i="4"/>
  <c r="F67" i="4" s="1"/>
  <c r="Q67" i="4"/>
  <c r="E68" i="4"/>
  <c r="F68" i="4" s="1"/>
  <c r="Q68" i="4"/>
  <c r="E69" i="4"/>
  <c r="F69" i="4" s="1"/>
  <c r="Q69" i="4"/>
  <c r="E70" i="4"/>
  <c r="F70" i="4" s="1"/>
  <c r="Q70" i="4"/>
  <c r="E71" i="4"/>
  <c r="F71" i="4" s="1"/>
  <c r="Q71" i="4"/>
  <c r="E72" i="4"/>
  <c r="F72" i="4" s="1"/>
  <c r="Q72" i="4"/>
  <c r="E73" i="4"/>
  <c r="F73" i="4" s="1"/>
  <c r="Q73" i="4"/>
  <c r="E74" i="4"/>
  <c r="E51" i="8" s="1"/>
  <c r="Q74" i="4"/>
  <c r="E75" i="4"/>
  <c r="F75" i="4" s="1"/>
  <c r="Q75" i="4"/>
  <c r="E76" i="4"/>
  <c r="F76" i="4"/>
  <c r="Q76" i="4"/>
  <c r="E77" i="4"/>
  <c r="F77" i="4" s="1"/>
  <c r="Q77" i="4"/>
  <c r="E78" i="4"/>
  <c r="F78" i="4" s="1"/>
  <c r="Q78" i="4"/>
  <c r="E79" i="4"/>
  <c r="F79" i="4" s="1"/>
  <c r="Q79" i="4"/>
  <c r="E80" i="4"/>
  <c r="F80" i="4" s="1"/>
  <c r="Q80" i="4"/>
  <c r="E81" i="4"/>
  <c r="F81" i="4" s="1"/>
  <c r="Q81" i="4"/>
  <c r="E82" i="4"/>
  <c r="F82" i="4" s="1"/>
  <c r="Q82" i="4"/>
  <c r="E83" i="4"/>
  <c r="F83" i="4" s="1"/>
  <c r="Q83" i="4"/>
  <c r="E84" i="4"/>
  <c r="F84" i="4" s="1"/>
  <c r="Q84" i="4"/>
  <c r="E85" i="4"/>
  <c r="F85" i="4"/>
  <c r="Q85" i="4"/>
  <c r="E86" i="4"/>
  <c r="F86" i="4" s="1"/>
  <c r="Q86" i="4"/>
  <c r="E87" i="4"/>
  <c r="F87" i="4" s="1"/>
  <c r="G87" i="4" s="1"/>
  <c r="K87" i="4" s="1"/>
  <c r="Q87" i="4"/>
  <c r="E88" i="4"/>
  <c r="F88" i="4" s="1"/>
  <c r="G88" i="4" s="1"/>
  <c r="K88" i="4" s="1"/>
  <c r="Q88" i="4"/>
  <c r="E89" i="4"/>
  <c r="F89" i="4" s="1"/>
  <c r="Q89" i="4"/>
  <c r="E90" i="4"/>
  <c r="F90" i="4" s="1"/>
  <c r="Q90" i="4"/>
  <c r="E91" i="4"/>
  <c r="F91" i="4" s="1"/>
  <c r="G91" i="4" s="1"/>
  <c r="U91" i="4" s="1"/>
  <c r="Q91" i="4"/>
  <c r="E92" i="4"/>
  <c r="F92" i="4" s="1"/>
  <c r="Q92" i="4"/>
  <c r="E93" i="4"/>
  <c r="F93" i="4" s="1"/>
  <c r="Q93" i="4"/>
  <c r="E94" i="4"/>
  <c r="F94" i="4" s="1"/>
  <c r="G94" i="4" s="1"/>
  <c r="K94" i="4" s="1"/>
  <c r="Q94" i="4"/>
  <c r="E95" i="4"/>
  <c r="F95" i="4" s="1"/>
  <c r="Q95" i="4"/>
  <c r="E96" i="4"/>
  <c r="F96" i="4" s="1"/>
  <c r="G96" i="4" s="1"/>
  <c r="K96" i="4" s="1"/>
  <c r="Q96" i="4"/>
  <c r="E97" i="4"/>
  <c r="F97" i="4" s="1"/>
  <c r="Q97" i="4"/>
  <c r="E98" i="4"/>
  <c r="F98" i="4" s="1"/>
  <c r="Q98" i="4"/>
  <c r="E99" i="4"/>
  <c r="F99" i="4" s="1"/>
  <c r="Q99" i="4"/>
  <c r="E100" i="4"/>
  <c r="F100" i="4" s="1"/>
  <c r="Q100" i="4"/>
  <c r="E101" i="4"/>
  <c r="F101" i="4" s="1"/>
  <c r="Q101" i="4"/>
  <c r="E102" i="4"/>
  <c r="F102" i="4" s="1"/>
  <c r="Q102" i="4"/>
  <c r="E103" i="4"/>
  <c r="F103" i="4" s="1"/>
  <c r="Q103" i="4"/>
  <c r="E104" i="4"/>
  <c r="F104" i="4" s="1"/>
  <c r="Q104" i="4"/>
  <c r="E105" i="4"/>
  <c r="F105" i="4" s="1"/>
  <c r="Q105" i="4"/>
  <c r="E106" i="4"/>
  <c r="F106" i="4" s="1"/>
  <c r="Q106" i="4"/>
  <c r="E107" i="4"/>
  <c r="F107" i="4" s="1"/>
  <c r="Q107" i="4"/>
  <c r="E108" i="4"/>
  <c r="F108" i="4" s="1"/>
  <c r="G108" i="4" s="1"/>
  <c r="J108" i="4" s="1"/>
  <c r="Q108" i="4"/>
  <c r="E109" i="4"/>
  <c r="F109" i="4" s="1"/>
  <c r="Q109" i="4"/>
  <c r="E110" i="4"/>
  <c r="F110" i="4" s="1"/>
  <c r="Q110" i="4"/>
  <c r="E111" i="4"/>
  <c r="F111" i="4" s="1"/>
  <c r="Q111" i="4"/>
  <c r="E112" i="4"/>
  <c r="E79" i="8" s="1"/>
  <c r="Q112" i="4"/>
  <c r="E113" i="4"/>
  <c r="F113" i="4" s="1"/>
  <c r="Q113" i="4"/>
  <c r="E114" i="4"/>
  <c r="F114" i="4" s="1"/>
  <c r="G114" i="4" s="1"/>
  <c r="K114" i="4" s="1"/>
  <c r="Q114" i="4"/>
  <c r="E115" i="4"/>
  <c r="F115" i="4" s="1"/>
  <c r="G115" i="4" s="1"/>
  <c r="K115" i="4" s="1"/>
  <c r="Q115" i="4"/>
  <c r="E116" i="4"/>
  <c r="F116" i="4" s="1"/>
  <c r="G116" i="4" s="1"/>
  <c r="J116" i="4" s="1"/>
  <c r="Q116" i="4"/>
  <c r="E117" i="4"/>
  <c r="F117" i="4" s="1"/>
  <c r="Q117" i="4"/>
  <c r="E118" i="4"/>
  <c r="F118" i="4" s="1"/>
  <c r="Q118" i="4"/>
  <c r="E119" i="4"/>
  <c r="F119" i="4" s="1"/>
  <c r="G119" i="4" s="1"/>
  <c r="Q119" i="4"/>
  <c r="E120" i="4"/>
  <c r="F120" i="4" s="1"/>
  <c r="G120" i="4" s="1"/>
  <c r="K120" i="4" s="1"/>
  <c r="Q120" i="4"/>
  <c r="E121" i="4"/>
  <c r="F121" i="4" s="1"/>
  <c r="G121" i="4" s="1"/>
  <c r="K121" i="4" s="1"/>
  <c r="Q121" i="4"/>
  <c r="E122" i="4"/>
  <c r="F122" i="4" s="1"/>
  <c r="Q122" i="4"/>
  <c r="E123" i="4"/>
  <c r="E122" i="8" s="1"/>
  <c r="Q123" i="4"/>
  <c r="E124" i="4"/>
  <c r="F124" i="4" s="1"/>
  <c r="G124" i="4" s="1"/>
  <c r="K124" i="4" s="1"/>
  <c r="Q124" i="4"/>
  <c r="E125" i="4"/>
  <c r="F125" i="4" s="1"/>
  <c r="G125" i="4" s="1"/>
  <c r="J125" i="4" s="1"/>
  <c r="Q125" i="4"/>
  <c r="E126" i="4"/>
  <c r="F126" i="4" s="1"/>
  <c r="G126" i="4" s="1"/>
  <c r="K126" i="4" s="1"/>
  <c r="Q126" i="4"/>
  <c r="E127" i="4"/>
  <c r="F127" i="4" s="1"/>
  <c r="G127" i="4" s="1"/>
  <c r="K127" i="4" s="1"/>
  <c r="Q127" i="4"/>
  <c r="E128" i="4"/>
  <c r="F128" i="4" s="1"/>
  <c r="Q128" i="4"/>
  <c r="E129" i="4"/>
  <c r="F129" i="4" s="1"/>
  <c r="Q129" i="4"/>
  <c r="E130" i="4"/>
  <c r="E125" i="8" s="1"/>
  <c r="Q130" i="4"/>
  <c r="E131" i="4"/>
  <c r="F131" i="4" s="1"/>
  <c r="Q131" i="4"/>
  <c r="E132" i="4"/>
  <c r="F132" i="4" s="1"/>
  <c r="G132" i="4" s="1"/>
  <c r="K132" i="4" s="1"/>
  <c r="Q132" i="4"/>
  <c r="E133" i="4"/>
  <c r="F133" i="4" s="1"/>
  <c r="G133" i="4" s="1"/>
  <c r="K133" i="4" s="1"/>
  <c r="Q133" i="4"/>
  <c r="E134" i="4"/>
  <c r="F134" i="4" s="1"/>
  <c r="G134" i="4" s="1"/>
  <c r="K134" i="4" s="1"/>
  <c r="Q134" i="4"/>
  <c r="E135" i="4"/>
  <c r="F135" i="4" s="1"/>
  <c r="Q135" i="4"/>
  <c r="E136" i="4"/>
  <c r="F136" i="4"/>
  <c r="Q136" i="4"/>
  <c r="E137" i="4"/>
  <c r="F137" i="4" s="1"/>
  <c r="Q137" i="4"/>
  <c r="E138" i="4"/>
  <c r="E89" i="8" s="1"/>
  <c r="Q138" i="4"/>
  <c r="E139" i="4"/>
  <c r="F139" i="4" s="1"/>
  <c r="Q139" i="4"/>
  <c r="E140" i="4"/>
  <c r="F140" i="4" s="1"/>
  <c r="G140" i="4" s="1"/>
  <c r="K140" i="4" s="1"/>
  <c r="Q140" i="4"/>
  <c r="E141" i="4"/>
  <c r="F141" i="4" s="1"/>
  <c r="G141" i="4" s="1"/>
  <c r="K141" i="4" s="1"/>
  <c r="Q141" i="4"/>
  <c r="E142" i="4"/>
  <c r="F142" i="4" s="1"/>
  <c r="G142" i="4" s="1"/>
  <c r="K142" i="4" s="1"/>
  <c r="Q142" i="4"/>
  <c r="E143" i="4"/>
  <c r="E92" i="8" s="1"/>
  <c r="Q143" i="4"/>
  <c r="E144" i="4"/>
  <c r="F144" i="4" s="1"/>
  <c r="Q144" i="4"/>
  <c r="E145" i="4"/>
  <c r="F145" i="4" s="1"/>
  <c r="G145" i="4" s="1"/>
  <c r="K145" i="4" s="1"/>
  <c r="Q145" i="4"/>
  <c r="E146" i="4"/>
  <c r="F146" i="4" s="1"/>
  <c r="G146" i="4" s="1"/>
  <c r="K146" i="4" s="1"/>
  <c r="Q146" i="4"/>
  <c r="E147" i="4"/>
  <c r="F147" i="4" s="1"/>
  <c r="Q147" i="4"/>
  <c r="E148" i="4"/>
  <c r="F148" i="4" s="1"/>
  <c r="Q148" i="4"/>
  <c r="E149" i="4"/>
  <c r="F149" i="4" s="1"/>
  <c r="G149" i="4" s="1"/>
  <c r="K149" i="4" s="1"/>
  <c r="Q149" i="4"/>
  <c r="E150" i="4"/>
  <c r="E97" i="8" s="1"/>
  <c r="Q150" i="4"/>
  <c r="E151" i="4"/>
  <c r="F151" i="4" s="1"/>
  <c r="G151" i="4" s="1"/>
  <c r="J151" i="4" s="1"/>
  <c r="Q151" i="4"/>
  <c r="E152" i="4"/>
  <c r="F152" i="4" s="1"/>
  <c r="Q152" i="4"/>
  <c r="E153" i="4"/>
  <c r="F153" i="4" s="1"/>
  <c r="Q153" i="4"/>
  <c r="E154" i="4"/>
  <c r="F154" i="4" s="1"/>
  <c r="Q154" i="4"/>
  <c r="E155" i="4"/>
  <c r="E101" i="8" s="1"/>
  <c r="Q155" i="4"/>
  <c r="E156" i="4"/>
  <c r="F156" i="4" s="1"/>
  <c r="Q156" i="4"/>
  <c r="E157" i="4"/>
  <c r="F157" i="4" s="1"/>
  <c r="Q157" i="4"/>
  <c r="E158" i="4"/>
  <c r="F158" i="4" s="1"/>
  <c r="G158" i="4" s="1"/>
  <c r="K158" i="4" s="1"/>
  <c r="Q158" i="4"/>
  <c r="E159" i="4"/>
  <c r="F159" i="4" s="1"/>
  <c r="G159" i="4" s="1"/>
  <c r="K159" i="4" s="1"/>
  <c r="Q159" i="4"/>
  <c r="E160" i="4"/>
  <c r="F160" i="4" s="1"/>
  <c r="Q160" i="4"/>
  <c r="E161" i="4"/>
  <c r="F161" i="4" s="1"/>
  <c r="Q161" i="4"/>
  <c r="E162" i="4"/>
  <c r="F162" i="4" s="1"/>
  <c r="Q162" i="4"/>
  <c r="E163" i="4"/>
  <c r="F163" i="4" s="1"/>
  <c r="Q163" i="4"/>
  <c r="E164" i="4"/>
  <c r="F164" i="4" s="1"/>
  <c r="Q164" i="4"/>
  <c r="E165" i="4"/>
  <c r="F165" i="4" s="1"/>
  <c r="Q165" i="4"/>
  <c r="E166" i="4"/>
  <c r="F166" i="4" s="1"/>
  <c r="Q166" i="4"/>
  <c r="E167" i="4"/>
  <c r="F167" i="4" s="1"/>
  <c r="G167" i="4" s="1"/>
  <c r="J167" i="4" s="1"/>
  <c r="Q167" i="4"/>
  <c r="E168" i="4"/>
  <c r="F168" i="4" s="1"/>
  <c r="G168" i="4" s="1"/>
  <c r="J168" i="4" s="1"/>
  <c r="Q168" i="4"/>
  <c r="E169" i="4"/>
  <c r="F169" i="4"/>
  <c r="G169" i="4" s="1"/>
  <c r="J169" i="4" s="1"/>
  <c r="Q169" i="4"/>
  <c r="E170" i="4"/>
  <c r="F170" i="4" s="1"/>
  <c r="Q170" i="4"/>
  <c r="E171" i="4"/>
  <c r="F171" i="4" s="1"/>
  <c r="Q171" i="4"/>
  <c r="E172" i="4"/>
  <c r="F172" i="4" s="1"/>
  <c r="Q172" i="4"/>
  <c r="E173" i="4"/>
  <c r="F173" i="4" s="1"/>
  <c r="Q173" i="4"/>
  <c r="E174" i="4"/>
  <c r="F174" i="4" s="1"/>
  <c r="Q174" i="4"/>
  <c r="E175" i="4"/>
  <c r="F175" i="4" s="1"/>
  <c r="Q175" i="4"/>
  <c r="E176" i="4"/>
  <c r="F176" i="4" s="1"/>
  <c r="G176" i="4" s="1"/>
  <c r="K176" i="4" s="1"/>
  <c r="Q176" i="4"/>
  <c r="E177" i="4"/>
  <c r="F177" i="4" s="1"/>
  <c r="G177" i="4" s="1"/>
  <c r="K177" i="4" s="1"/>
  <c r="Q177" i="4"/>
  <c r="E178" i="4"/>
  <c r="F178" i="4" s="1"/>
  <c r="Q178" i="4"/>
  <c r="E179" i="4"/>
  <c r="F179" i="4" s="1"/>
  <c r="Q179" i="4"/>
  <c r="E180" i="4"/>
  <c r="F180" i="4" s="1"/>
  <c r="Q180" i="4"/>
  <c r="E181" i="4"/>
  <c r="F181" i="4" s="1"/>
  <c r="Q181" i="4"/>
  <c r="E182" i="4"/>
  <c r="F182" i="4" s="1"/>
  <c r="Q182" i="4"/>
  <c r="E183" i="4"/>
  <c r="F183" i="4" s="1"/>
  <c r="Q183" i="4"/>
  <c r="E184" i="4"/>
  <c r="F184" i="4" s="1"/>
  <c r="G184" i="4" s="1"/>
  <c r="K184" i="4" s="1"/>
  <c r="Q184" i="4"/>
  <c r="E185" i="4"/>
  <c r="F185" i="4" s="1"/>
  <c r="Q185" i="4"/>
  <c r="E186" i="4"/>
  <c r="F186" i="4" s="1"/>
  <c r="Q186" i="4"/>
  <c r="E187" i="4"/>
  <c r="F187" i="4" s="1"/>
  <c r="Q187" i="4"/>
  <c r="E188" i="4"/>
  <c r="F188" i="4" s="1"/>
  <c r="Q188" i="4"/>
  <c r="E189" i="4"/>
  <c r="F189" i="4"/>
  <c r="G189" i="4" s="1"/>
  <c r="K189" i="4" s="1"/>
  <c r="Q189" i="4"/>
  <c r="E190" i="4"/>
  <c r="F190" i="4" s="1"/>
  <c r="Q190" i="4"/>
  <c r="E191" i="4"/>
  <c r="F191" i="4" s="1"/>
  <c r="Q191" i="4"/>
  <c r="E192" i="4"/>
  <c r="F192" i="4" s="1"/>
  <c r="Q192" i="4"/>
  <c r="E193" i="4"/>
  <c r="F193" i="4" s="1"/>
  <c r="Q193" i="4"/>
  <c r="E194" i="4"/>
  <c r="F194" i="4" s="1"/>
  <c r="Q194" i="4"/>
  <c r="E195" i="4"/>
  <c r="F195" i="4" s="1"/>
  <c r="Q195" i="4"/>
  <c r="E196" i="4"/>
  <c r="F196" i="4" s="1"/>
  <c r="Q196" i="4"/>
  <c r="E197" i="4"/>
  <c r="F197" i="4" s="1"/>
  <c r="Q197" i="4"/>
  <c r="E198" i="4"/>
  <c r="F198" i="4" s="1"/>
  <c r="Q198" i="4"/>
  <c r="E199" i="4"/>
  <c r="F199" i="4" s="1"/>
  <c r="Q199" i="4"/>
  <c r="E200" i="4"/>
  <c r="F200" i="4" s="1"/>
  <c r="Q200" i="4"/>
  <c r="E201" i="4"/>
  <c r="F201" i="4" s="1"/>
  <c r="Q201" i="4"/>
  <c r="E202" i="4"/>
  <c r="F202" i="4" s="1"/>
  <c r="Q202" i="4"/>
  <c r="E203" i="4"/>
  <c r="F203" i="4" s="1"/>
  <c r="Q203" i="4"/>
  <c r="E204" i="4"/>
  <c r="F204" i="4" s="1"/>
  <c r="Q204" i="4"/>
  <c r="E211" i="4"/>
  <c r="F211" i="4" s="1"/>
  <c r="G211" i="4" s="1"/>
  <c r="K211" i="4" s="1"/>
  <c r="Q211" i="4"/>
  <c r="E205" i="4"/>
  <c r="F205" i="4" s="1"/>
  <c r="Q205" i="4"/>
  <c r="E206" i="4"/>
  <c r="F206" i="4" s="1"/>
  <c r="Q206" i="4"/>
  <c r="E207" i="4"/>
  <c r="F207" i="4" s="1"/>
  <c r="Q207" i="4"/>
  <c r="E208" i="4"/>
  <c r="F208" i="4" s="1"/>
  <c r="Q208" i="4"/>
  <c r="E209" i="4"/>
  <c r="F209" i="4" s="1"/>
  <c r="Q209" i="4"/>
  <c r="E212" i="4"/>
  <c r="F212" i="4" s="1"/>
  <c r="Q212" i="4"/>
  <c r="E213" i="4"/>
  <c r="F213" i="4" s="1"/>
  <c r="Q213" i="4"/>
  <c r="E197" i="9"/>
  <c r="F197" i="9" s="1"/>
  <c r="Q197" i="9"/>
  <c r="E198" i="9"/>
  <c r="F198" i="9" s="1"/>
  <c r="Z198" i="9" s="1"/>
  <c r="Q198" i="9"/>
  <c r="E199" i="9"/>
  <c r="F199" i="9" s="1"/>
  <c r="Q199" i="9"/>
  <c r="E202" i="9"/>
  <c r="F202" i="9" s="1"/>
  <c r="G202" i="9" s="1"/>
  <c r="Q202" i="9"/>
  <c r="E203" i="9"/>
  <c r="F203" i="9" s="1"/>
  <c r="Q203" i="9"/>
  <c r="E194" i="9"/>
  <c r="F194" i="9" s="1"/>
  <c r="Q194" i="9"/>
  <c r="E201" i="9"/>
  <c r="F201" i="9" s="1"/>
  <c r="G201" i="9" s="1"/>
  <c r="Q201" i="9"/>
  <c r="E195" i="9"/>
  <c r="F195" i="9" s="1"/>
  <c r="Q195" i="9"/>
  <c r="E196" i="9"/>
  <c r="F196" i="9" s="1"/>
  <c r="Z196" i="9" s="1"/>
  <c r="Q196" i="9"/>
  <c r="D9" i="4"/>
  <c r="C9" i="4"/>
  <c r="D11" i="4"/>
  <c r="W5" i="4" s="1"/>
  <c r="D12" i="4"/>
  <c r="D13" i="4"/>
  <c r="AB3" i="9"/>
  <c r="AB4" i="9"/>
  <c r="AB5" i="9"/>
  <c r="AB6" i="9"/>
  <c r="AB7" i="9"/>
  <c r="Y7" i="9" s="1"/>
  <c r="Z7" i="9" s="1"/>
  <c r="AB9" i="9"/>
  <c r="AB8" i="9"/>
  <c r="Y8" i="9" s="1"/>
  <c r="Z8" i="9" s="1"/>
  <c r="AB10" i="9"/>
  <c r="AB15" i="9" s="1"/>
  <c r="AH9" i="10"/>
  <c r="AH8" i="10"/>
  <c r="AH7" i="10"/>
  <c r="Y9" i="9"/>
  <c r="Z9" i="9" s="1"/>
  <c r="T16" i="10"/>
  <c r="T18" i="10"/>
  <c r="H13" i="10"/>
  <c r="AH3" i="10"/>
  <c r="AH4" i="10"/>
  <c r="AH5" i="10"/>
  <c r="AH6" i="10"/>
  <c r="AH10" i="10"/>
  <c r="H19" i="10"/>
  <c r="H14" i="10"/>
  <c r="AH14" i="10"/>
  <c r="AE3" i="10"/>
  <c r="AE5" i="10"/>
  <c r="AH13" i="10"/>
  <c r="AH17" i="10"/>
  <c r="AD3" i="10"/>
  <c r="AD5" i="10"/>
  <c r="AB3" i="10"/>
  <c r="AB5" i="10"/>
  <c r="AA3" i="10"/>
  <c r="AA5" i="10"/>
  <c r="Z3" i="10"/>
  <c r="Z5" i="10"/>
  <c r="Y3" i="10"/>
  <c r="Y5" i="10"/>
  <c r="X3" i="10"/>
  <c r="X5" i="10"/>
  <c r="W3" i="10"/>
  <c r="W5" i="10"/>
  <c r="V3" i="10"/>
  <c r="V5" i="10"/>
  <c r="U3" i="10"/>
  <c r="U5" i="10"/>
  <c r="A11" i="8"/>
  <c r="D11" i="8"/>
  <c r="G11" i="8"/>
  <c r="C11" i="8"/>
  <c r="E11" i="8"/>
  <c r="H11" i="8"/>
  <c r="B11" i="8"/>
  <c r="A12" i="8"/>
  <c r="D12" i="8"/>
  <c r="G12" i="8"/>
  <c r="C12" i="8"/>
  <c r="E12" i="8"/>
  <c r="H12" i="8"/>
  <c r="B12" i="8"/>
  <c r="A13" i="8"/>
  <c r="D13" i="8"/>
  <c r="G13" i="8"/>
  <c r="C13" i="8"/>
  <c r="H13" i="8"/>
  <c r="B13" i="8"/>
  <c r="A14" i="8"/>
  <c r="D14" i="8"/>
  <c r="G14" i="8"/>
  <c r="C14" i="8"/>
  <c r="H14" i="8"/>
  <c r="B14" i="8"/>
  <c r="A15" i="8"/>
  <c r="D15" i="8"/>
  <c r="G15" i="8"/>
  <c r="C15" i="8"/>
  <c r="H15" i="8"/>
  <c r="B15" i="8"/>
  <c r="A16" i="8"/>
  <c r="D16" i="8"/>
  <c r="G16" i="8"/>
  <c r="C16" i="8"/>
  <c r="E16" i="8"/>
  <c r="H16" i="8"/>
  <c r="B16" i="8"/>
  <c r="A17" i="8"/>
  <c r="D17" i="8"/>
  <c r="G17" i="8"/>
  <c r="C17" i="8"/>
  <c r="E17" i="8"/>
  <c r="H17" i="8"/>
  <c r="B17" i="8"/>
  <c r="A18" i="8"/>
  <c r="D18" i="8"/>
  <c r="G18" i="8"/>
  <c r="C18" i="8"/>
  <c r="E18" i="8"/>
  <c r="H18" i="8"/>
  <c r="B18" i="8"/>
  <c r="A19" i="8"/>
  <c r="D19" i="8"/>
  <c r="G19" i="8"/>
  <c r="C19" i="8"/>
  <c r="H19" i="8"/>
  <c r="B19" i="8"/>
  <c r="A20" i="8"/>
  <c r="D20" i="8"/>
  <c r="G20" i="8"/>
  <c r="C20" i="8"/>
  <c r="E20" i="8"/>
  <c r="H20" i="8"/>
  <c r="B20" i="8"/>
  <c r="A21" i="8"/>
  <c r="D21" i="8"/>
  <c r="G21" i="8"/>
  <c r="C21" i="8"/>
  <c r="E21" i="8"/>
  <c r="H21" i="8"/>
  <c r="B21" i="8"/>
  <c r="A22" i="8"/>
  <c r="D22" i="8"/>
  <c r="G22" i="8"/>
  <c r="C22" i="8"/>
  <c r="H22" i="8"/>
  <c r="B22" i="8"/>
  <c r="A23" i="8"/>
  <c r="D23" i="8"/>
  <c r="G23" i="8"/>
  <c r="C23" i="8"/>
  <c r="E23" i="8"/>
  <c r="H23" i="8"/>
  <c r="B23" i="8"/>
  <c r="A24" i="8"/>
  <c r="D24" i="8"/>
  <c r="G24" i="8"/>
  <c r="C24" i="8"/>
  <c r="E24" i="8"/>
  <c r="H24" i="8"/>
  <c r="B24" i="8"/>
  <c r="A25" i="8"/>
  <c r="D25" i="8"/>
  <c r="G25" i="8"/>
  <c r="C25" i="8"/>
  <c r="H25" i="8"/>
  <c r="B25" i="8"/>
  <c r="A26" i="8"/>
  <c r="D26" i="8"/>
  <c r="G26" i="8"/>
  <c r="C26" i="8"/>
  <c r="E26" i="8"/>
  <c r="H26" i="8"/>
  <c r="B26" i="8"/>
  <c r="A27" i="8"/>
  <c r="D27" i="8"/>
  <c r="G27" i="8"/>
  <c r="C27" i="8"/>
  <c r="E27" i="8"/>
  <c r="H27" i="8"/>
  <c r="B27" i="8"/>
  <c r="A28" i="8"/>
  <c r="D28" i="8"/>
  <c r="G28" i="8"/>
  <c r="C28" i="8"/>
  <c r="E28" i="8"/>
  <c r="H28" i="8"/>
  <c r="B28" i="8"/>
  <c r="A29" i="8"/>
  <c r="D29" i="8"/>
  <c r="G29" i="8"/>
  <c r="C29" i="8"/>
  <c r="E29" i="8"/>
  <c r="H29" i="8"/>
  <c r="B29" i="8"/>
  <c r="A30" i="8"/>
  <c r="D30" i="8"/>
  <c r="G30" i="8"/>
  <c r="C30" i="8"/>
  <c r="E30" i="8"/>
  <c r="H30" i="8"/>
  <c r="B30" i="8"/>
  <c r="A31" i="8"/>
  <c r="D31" i="8"/>
  <c r="G31" i="8"/>
  <c r="C31" i="8"/>
  <c r="E31" i="8"/>
  <c r="H31" i="8"/>
  <c r="B31" i="8"/>
  <c r="A32" i="8"/>
  <c r="D32" i="8"/>
  <c r="G32" i="8"/>
  <c r="C32" i="8"/>
  <c r="H32" i="8"/>
  <c r="B32" i="8"/>
  <c r="A33" i="8"/>
  <c r="D33" i="8"/>
  <c r="G33" i="8"/>
  <c r="C33" i="8"/>
  <c r="E33" i="8"/>
  <c r="H33" i="8"/>
  <c r="B33" i="8"/>
  <c r="A34" i="8"/>
  <c r="D34" i="8"/>
  <c r="G34" i="8"/>
  <c r="C34" i="8"/>
  <c r="E34" i="8"/>
  <c r="H34" i="8"/>
  <c r="B34" i="8"/>
  <c r="A35" i="8"/>
  <c r="D35" i="8"/>
  <c r="G35" i="8"/>
  <c r="C35" i="8"/>
  <c r="E35" i="8"/>
  <c r="H35" i="8"/>
  <c r="B35" i="8"/>
  <c r="A36" i="8"/>
  <c r="D36" i="8"/>
  <c r="G36" i="8"/>
  <c r="C36" i="8"/>
  <c r="E36" i="8"/>
  <c r="H36" i="8"/>
  <c r="B36" i="8"/>
  <c r="A37" i="8"/>
  <c r="D37" i="8"/>
  <c r="G37" i="8"/>
  <c r="C37" i="8"/>
  <c r="E37" i="8"/>
  <c r="H37" i="8"/>
  <c r="B37" i="8"/>
  <c r="A38" i="8"/>
  <c r="D38" i="8"/>
  <c r="G38" i="8"/>
  <c r="C38" i="8"/>
  <c r="H38" i="8"/>
  <c r="B38" i="8"/>
  <c r="A39" i="8"/>
  <c r="D39" i="8"/>
  <c r="G39" i="8"/>
  <c r="C39" i="8"/>
  <c r="E39" i="8"/>
  <c r="H39" i="8"/>
  <c r="B39" i="8"/>
  <c r="A40" i="8"/>
  <c r="D40" i="8"/>
  <c r="G40" i="8"/>
  <c r="C40" i="8"/>
  <c r="H40" i="8"/>
  <c r="B40" i="8"/>
  <c r="A41" i="8"/>
  <c r="D41" i="8"/>
  <c r="G41" i="8"/>
  <c r="C41" i="8"/>
  <c r="E41" i="8"/>
  <c r="H41" i="8"/>
  <c r="B41" i="8"/>
  <c r="A42" i="8"/>
  <c r="D42" i="8"/>
  <c r="G42" i="8"/>
  <c r="C42" i="8"/>
  <c r="E42" i="8"/>
  <c r="H42" i="8"/>
  <c r="B42" i="8"/>
  <c r="A43" i="8"/>
  <c r="D43" i="8"/>
  <c r="G43" i="8"/>
  <c r="C43" i="8"/>
  <c r="E43" i="8"/>
  <c r="H43" i="8"/>
  <c r="B43" i="8"/>
  <c r="A44" i="8"/>
  <c r="D44" i="8"/>
  <c r="G44" i="8"/>
  <c r="C44" i="8"/>
  <c r="E44" i="8"/>
  <c r="H44" i="8"/>
  <c r="B44" i="8"/>
  <c r="A45" i="8"/>
  <c r="D45" i="8"/>
  <c r="G45" i="8"/>
  <c r="C45" i="8"/>
  <c r="H45" i="8"/>
  <c r="B45" i="8"/>
  <c r="A46" i="8"/>
  <c r="D46" i="8"/>
  <c r="G46" i="8"/>
  <c r="C46" i="8"/>
  <c r="E46" i="8"/>
  <c r="H46" i="8"/>
  <c r="B46" i="8"/>
  <c r="A47" i="8"/>
  <c r="D47" i="8"/>
  <c r="G47" i="8"/>
  <c r="C47" i="8"/>
  <c r="E47" i="8"/>
  <c r="H47" i="8"/>
  <c r="B47" i="8"/>
  <c r="A48" i="8"/>
  <c r="D48" i="8"/>
  <c r="G48" i="8"/>
  <c r="C48" i="8"/>
  <c r="H48" i="8"/>
  <c r="B48" i="8"/>
  <c r="A49" i="8"/>
  <c r="D49" i="8"/>
  <c r="G49" i="8"/>
  <c r="C49" i="8"/>
  <c r="E49" i="8"/>
  <c r="H49" i="8"/>
  <c r="B49" i="8"/>
  <c r="A50" i="8"/>
  <c r="D50" i="8"/>
  <c r="G50" i="8"/>
  <c r="C50" i="8"/>
  <c r="H50" i="8"/>
  <c r="B50" i="8"/>
  <c r="A51" i="8"/>
  <c r="D51" i="8"/>
  <c r="G51" i="8"/>
  <c r="C51" i="8"/>
  <c r="H51" i="8"/>
  <c r="B51" i="8"/>
  <c r="A52" i="8"/>
  <c r="D52" i="8"/>
  <c r="G52" i="8"/>
  <c r="C52" i="8"/>
  <c r="H52" i="8"/>
  <c r="B52" i="8"/>
  <c r="A53" i="8"/>
  <c r="D53" i="8"/>
  <c r="G53" i="8"/>
  <c r="C53" i="8"/>
  <c r="E53" i="8"/>
  <c r="H53" i="8"/>
  <c r="B53" i="8"/>
  <c r="A54" i="8"/>
  <c r="D54" i="8"/>
  <c r="G54" i="8"/>
  <c r="C54" i="8"/>
  <c r="E54" i="8"/>
  <c r="H54" i="8"/>
  <c r="B54" i="8"/>
  <c r="A55" i="8"/>
  <c r="D55" i="8"/>
  <c r="G55" i="8"/>
  <c r="C55" i="8"/>
  <c r="H55" i="8"/>
  <c r="B55" i="8"/>
  <c r="A56" i="8"/>
  <c r="C56" i="8"/>
  <c r="D56" i="8"/>
  <c r="E56" i="8"/>
  <c r="G56" i="8"/>
  <c r="H56" i="8"/>
  <c r="B56" i="8"/>
  <c r="A57" i="8"/>
  <c r="B57" i="8"/>
  <c r="D57" i="8"/>
  <c r="G57" i="8"/>
  <c r="C57" i="8"/>
  <c r="E57" i="8"/>
  <c r="H57" i="8"/>
  <c r="A58" i="8"/>
  <c r="B58" i="8"/>
  <c r="D58" i="8"/>
  <c r="E58" i="8"/>
  <c r="G58" i="8"/>
  <c r="C58" i="8"/>
  <c r="H58" i="8"/>
  <c r="A59" i="8"/>
  <c r="B59" i="8"/>
  <c r="D59" i="8"/>
  <c r="G59" i="8"/>
  <c r="C59" i="8"/>
  <c r="E59" i="8"/>
  <c r="H59" i="8"/>
  <c r="A60" i="8"/>
  <c r="B60" i="8"/>
  <c r="D60" i="8"/>
  <c r="G60" i="8"/>
  <c r="C60" i="8"/>
  <c r="H60" i="8"/>
  <c r="A61" i="8"/>
  <c r="B61" i="8"/>
  <c r="D61" i="8"/>
  <c r="G61" i="8"/>
  <c r="C61" i="8"/>
  <c r="H61" i="8"/>
  <c r="A62" i="8"/>
  <c r="B62" i="8"/>
  <c r="D62" i="8"/>
  <c r="G62" i="8"/>
  <c r="C62" i="8"/>
  <c r="E62" i="8"/>
  <c r="H62" i="8"/>
  <c r="A63" i="8"/>
  <c r="B63" i="8"/>
  <c r="D63" i="8"/>
  <c r="G63" i="8"/>
  <c r="C63" i="8"/>
  <c r="H63" i="8"/>
  <c r="A64" i="8"/>
  <c r="B64" i="8"/>
  <c r="D64" i="8"/>
  <c r="E64" i="8"/>
  <c r="G64" i="8"/>
  <c r="C64" i="8"/>
  <c r="H64" i="8"/>
  <c r="A65" i="8"/>
  <c r="B65" i="8"/>
  <c r="D65" i="8"/>
  <c r="G65" i="8"/>
  <c r="C65" i="8"/>
  <c r="H65" i="8"/>
  <c r="A66" i="8"/>
  <c r="B66" i="8"/>
  <c r="D66" i="8"/>
  <c r="E66" i="8"/>
  <c r="G66" i="8"/>
  <c r="C66" i="8"/>
  <c r="H66" i="8"/>
  <c r="A67" i="8"/>
  <c r="B67" i="8"/>
  <c r="D67" i="8"/>
  <c r="G67" i="8"/>
  <c r="C67" i="8"/>
  <c r="E67" i="8"/>
  <c r="H67" i="8"/>
  <c r="A68" i="8"/>
  <c r="B68" i="8"/>
  <c r="D68" i="8"/>
  <c r="G68" i="8"/>
  <c r="C68" i="8"/>
  <c r="E68" i="8"/>
  <c r="H68" i="8"/>
  <c r="A69" i="8"/>
  <c r="B69" i="8"/>
  <c r="D69" i="8"/>
  <c r="G69" i="8"/>
  <c r="C69" i="8"/>
  <c r="H69" i="8"/>
  <c r="A70" i="8"/>
  <c r="B70" i="8"/>
  <c r="D70" i="8"/>
  <c r="E70" i="8"/>
  <c r="G70" i="8"/>
  <c r="C70" i="8"/>
  <c r="H70" i="8"/>
  <c r="A71" i="8"/>
  <c r="B71" i="8"/>
  <c r="D71" i="8"/>
  <c r="G71" i="8"/>
  <c r="C71" i="8"/>
  <c r="E71" i="8"/>
  <c r="H71" i="8"/>
  <c r="A72" i="8"/>
  <c r="D72" i="8"/>
  <c r="F72" i="8"/>
  <c r="G72" i="8"/>
  <c r="C72" i="8"/>
  <c r="E72" i="8"/>
  <c r="H72" i="8"/>
  <c r="B72" i="8"/>
  <c r="A73" i="8"/>
  <c r="D73" i="8"/>
  <c r="F73" i="8"/>
  <c r="G73" i="8"/>
  <c r="C73" i="8"/>
  <c r="H73" i="8"/>
  <c r="B73" i="8"/>
  <c r="A74" i="8"/>
  <c r="B74" i="8"/>
  <c r="D74" i="8"/>
  <c r="F74" i="8"/>
  <c r="G74" i="8"/>
  <c r="C74" i="8"/>
  <c r="E74" i="8"/>
  <c r="H74" i="8"/>
  <c r="A75" i="8"/>
  <c r="B75" i="8"/>
  <c r="D75" i="8"/>
  <c r="G75" i="8"/>
  <c r="C75" i="8"/>
  <c r="H75" i="8"/>
  <c r="A76" i="8"/>
  <c r="B76" i="8"/>
  <c r="D76" i="8"/>
  <c r="G76" i="8"/>
  <c r="C76" i="8"/>
  <c r="E76" i="8"/>
  <c r="H76" i="8"/>
  <c r="A77" i="8"/>
  <c r="B77" i="8"/>
  <c r="D77" i="8"/>
  <c r="G77" i="8"/>
  <c r="C77" i="8"/>
  <c r="H77" i="8"/>
  <c r="A78" i="8"/>
  <c r="B78" i="8"/>
  <c r="D78" i="8"/>
  <c r="G78" i="8"/>
  <c r="C78" i="8"/>
  <c r="E78" i="8"/>
  <c r="H78" i="8"/>
  <c r="A79" i="8"/>
  <c r="B79" i="8"/>
  <c r="D79" i="8"/>
  <c r="G79" i="8"/>
  <c r="C79" i="8"/>
  <c r="H79" i="8"/>
  <c r="A80" i="8"/>
  <c r="B80" i="8"/>
  <c r="D80" i="8"/>
  <c r="G80" i="8"/>
  <c r="C80" i="8"/>
  <c r="H80" i="8"/>
  <c r="A81" i="8"/>
  <c r="B81" i="8"/>
  <c r="D81" i="8"/>
  <c r="G81" i="8"/>
  <c r="C81" i="8"/>
  <c r="H81" i="8"/>
  <c r="A82" i="8"/>
  <c r="B82" i="8"/>
  <c r="D82" i="8"/>
  <c r="G82" i="8"/>
  <c r="C82" i="8"/>
  <c r="E82" i="8"/>
  <c r="H82" i="8"/>
  <c r="A83" i="8"/>
  <c r="B83" i="8"/>
  <c r="D83" i="8"/>
  <c r="G83" i="8"/>
  <c r="C83" i="8"/>
  <c r="E83" i="8"/>
  <c r="H83" i="8"/>
  <c r="A84" i="8"/>
  <c r="B84" i="8"/>
  <c r="D84" i="8"/>
  <c r="G84" i="8"/>
  <c r="C84" i="8"/>
  <c r="H84" i="8"/>
  <c r="A85" i="8"/>
  <c r="B85" i="8"/>
  <c r="D85" i="8"/>
  <c r="G85" i="8"/>
  <c r="C85" i="8"/>
  <c r="H85" i="8"/>
  <c r="A86" i="8"/>
  <c r="B86" i="8"/>
  <c r="D86" i="8"/>
  <c r="G86" i="8"/>
  <c r="C86" i="8"/>
  <c r="H86" i="8"/>
  <c r="A87" i="8"/>
  <c r="B87" i="8"/>
  <c r="D87" i="8"/>
  <c r="G87" i="8"/>
  <c r="C87" i="8"/>
  <c r="E87" i="8"/>
  <c r="H87" i="8"/>
  <c r="A88" i="8"/>
  <c r="B88" i="8"/>
  <c r="D88" i="8"/>
  <c r="G88" i="8"/>
  <c r="C88" i="8"/>
  <c r="E88" i="8"/>
  <c r="H88" i="8"/>
  <c r="A89" i="8"/>
  <c r="B89" i="8"/>
  <c r="D89" i="8"/>
  <c r="G89" i="8"/>
  <c r="C89" i="8"/>
  <c r="H89" i="8"/>
  <c r="A90" i="8"/>
  <c r="C90" i="8"/>
  <c r="D90" i="8"/>
  <c r="G90" i="8"/>
  <c r="H90" i="8"/>
  <c r="B90" i="8"/>
  <c r="A91" i="8"/>
  <c r="D91" i="8"/>
  <c r="G91" i="8"/>
  <c r="C91" i="8"/>
  <c r="H91" i="8"/>
  <c r="B91" i="8"/>
  <c r="A92" i="8"/>
  <c r="B92" i="8"/>
  <c r="D92" i="8"/>
  <c r="G92" i="8"/>
  <c r="C92" i="8"/>
  <c r="H92" i="8"/>
  <c r="A93" i="8"/>
  <c r="C93" i="8"/>
  <c r="E93" i="8"/>
  <c r="D93" i="8"/>
  <c r="G93" i="8"/>
  <c r="H93" i="8"/>
  <c r="B93" i="8"/>
  <c r="A94" i="8"/>
  <c r="C94" i="8"/>
  <c r="E94" i="8"/>
  <c r="D94" i="8"/>
  <c r="G94" i="8"/>
  <c r="H94" i="8"/>
  <c r="B94" i="8"/>
  <c r="A95" i="8"/>
  <c r="C95" i="8"/>
  <c r="D95" i="8"/>
  <c r="E95" i="8"/>
  <c r="G95" i="8"/>
  <c r="H95" i="8"/>
  <c r="B95" i="8"/>
  <c r="A96" i="8"/>
  <c r="B96" i="8"/>
  <c r="D96" i="8"/>
  <c r="G96" i="8"/>
  <c r="C96" i="8"/>
  <c r="H96" i="8"/>
  <c r="A97" i="8"/>
  <c r="B97" i="8"/>
  <c r="C97" i="8"/>
  <c r="D97" i="8"/>
  <c r="G97" i="8"/>
  <c r="H97" i="8"/>
  <c r="A98" i="8"/>
  <c r="C98" i="8"/>
  <c r="E98" i="8"/>
  <c r="D98" i="8"/>
  <c r="G98" i="8"/>
  <c r="H98" i="8"/>
  <c r="B98" i="8"/>
  <c r="A99" i="8"/>
  <c r="D99" i="8"/>
  <c r="G99" i="8"/>
  <c r="C99" i="8"/>
  <c r="E99" i="8"/>
  <c r="H99" i="8"/>
  <c r="B99" i="8"/>
  <c r="A100" i="8"/>
  <c r="B100" i="8"/>
  <c r="D100" i="8"/>
  <c r="E100" i="8"/>
  <c r="G100" i="8"/>
  <c r="C100" i="8"/>
  <c r="H100" i="8"/>
  <c r="A101" i="8"/>
  <c r="D101" i="8"/>
  <c r="G101" i="8"/>
  <c r="C101" i="8"/>
  <c r="H101" i="8"/>
  <c r="B101" i="8"/>
  <c r="A102" i="8"/>
  <c r="B102" i="8"/>
  <c r="C102" i="8"/>
  <c r="D102" i="8"/>
  <c r="G102" i="8"/>
  <c r="H102" i="8"/>
  <c r="A103" i="8"/>
  <c r="C103" i="8"/>
  <c r="E103" i="8"/>
  <c r="D103" i="8"/>
  <c r="G103" i="8"/>
  <c r="H103" i="8"/>
  <c r="B103" i="8"/>
  <c r="A104" i="8"/>
  <c r="B104" i="8"/>
  <c r="D104" i="8"/>
  <c r="E104" i="8"/>
  <c r="G104" i="8"/>
  <c r="C104" i="8"/>
  <c r="H104" i="8"/>
  <c r="A105" i="8"/>
  <c r="B105" i="8"/>
  <c r="D105" i="8"/>
  <c r="G105" i="8"/>
  <c r="C105" i="8"/>
  <c r="H105" i="8"/>
  <c r="A106" i="8"/>
  <c r="D106" i="8"/>
  <c r="G106" i="8"/>
  <c r="C106" i="8"/>
  <c r="E106" i="8"/>
  <c r="H106" i="8"/>
  <c r="B106" i="8"/>
  <c r="A107" i="8"/>
  <c r="D107" i="8"/>
  <c r="G107" i="8"/>
  <c r="C107" i="8"/>
  <c r="H107" i="8"/>
  <c r="B107" i="8"/>
  <c r="A108" i="8"/>
  <c r="B108" i="8"/>
  <c r="D108" i="8"/>
  <c r="G108" i="8"/>
  <c r="C108" i="8"/>
  <c r="E108" i="8"/>
  <c r="H108" i="8"/>
  <c r="A109" i="8"/>
  <c r="C109" i="8"/>
  <c r="E109" i="8"/>
  <c r="D109" i="8"/>
  <c r="G109" i="8"/>
  <c r="H109" i="8"/>
  <c r="B109" i="8"/>
  <c r="A110" i="8"/>
  <c r="C110" i="8"/>
  <c r="D110" i="8"/>
  <c r="G110" i="8"/>
  <c r="H110" i="8"/>
  <c r="B110" i="8"/>
  <c r="A111" i="8"/>
  <c r="C111" i="8"/>
  <c r="E111" i="8"/>
  <c r="D111" i="8"/>
  <c r="G111" i="8"/>
  <c r="H111" i="8"/>
  <c r="B111" i="8"/>
  <c r="A112" i="8"/>
  <c r="B112" i="8"/>
  <c r="C112" i="8"/>
  <c r="D112" i="8"/>
  <c r="E112" i="8"/>
  <c r="G112" i="8"/>
  <c r="H112" i="8"/>
  <c r="A113" i="8"/>
  <c r="B113" i="8"/>
  <c r="C113" i="8"/>
  <c r="D113" i="8"/>
  <c r="G113" i="8"/>
  <c r="H113" i="8"/>
  <c r="A114" i="8"/>
  <c r="B114" i="8"/>
  <c r="C114" i="8"/>
  <c r="D114" i="8"/>
  <c r="G114" i="8"/>
  <c r="H114" i="8"/>
  <c r="A115" i="8"/>
  <c r="B115" i="8"/>
  <c r="C115" i="8"/>
  <c r="E115" i="8"/>
  <c r="D115" i="8"/>
  <c r="G115" i="8"/>
  <c r="H115" i="8"/>
  <c r="A116" i="8"/>
  <c r="B116" i="8"/>
  <c r="C116" i="8"/>
  <c r="D116" i="8"/>
  <c r="G116" i="8"/>
  <c r="H116" i="8"/>
  <c r="A117" i="8"/>
  <c r="B117" i="8"/>
  <c r="C117" i="8"/>
  <c r="D117" i="8"/>
  <c r="G117" i="8"/>
  <c r="H117" i="8"/>
  <c r="A118" i="8"/>
  <c r="B118" i="8"/>
  <c r="D118" i="8"/>
  <c r="F118" i="8"/>
  <c r="G118" i="8"/>
  <c r="C118" i="8"/>
  <c r="E118" i="8"/>
  <c r="H118" i="8"/>
  <c r="A119" i="8"/>
  <c r="C119" i="8"/>
  <c r="E119" i="8"/>
  <c r="D119" i="8"/>
  <c r="F119" i="8"/>
  <c r="G119" i="8"/>
  <c r="H119" i="8"/>
  <c r="B119" i="8"/>
  <c r="A120" i="8"/>
  <c r="C120" i="8"/>
  <c r="E120" i="8"/>
  <c r="D120" i="8"/>
  <c r="G120" i="8"/>
  <c r="H120" i="8"/>
  <c r="B120" i="8"/>
  <c r="A121" i="8"/>
  <c r="C121" i="8"/>
  <c r="E121" i="8"/>
  <c r="D121" i="8"/>
  <c r="G121" i="8"/>
  <c r="H121" i="8"/>
  <c r="B121" i="8"/>
  <c r="A122" i="8"/>
  <c r="C122" i="8"/>
  <c r="D122" i="8"/>
  <c r="G122" i="8"/>
  <c r="H122" i="8"/>
  <c r="B122" i="8"/>
  <c r="A123" i="8"/>
  <c r="C123" i="8"/>
  <c r="D123" i="8"/>
  <c r="G123" i="8"/>
  <c r="H123" i="8"/>
  <c r="B123" i="8"/>
  <c r="A124" i="8"/>
  <c r="C124" i="8"/>
  <c r="E124" i="8"/>
  <c r="D124" i="8"/>
  <c r="G124" i="8"/>
  <c r="H124" i="8"/>
  <c r="B124" i="8"/>
  <c r="A125" i="8"/>
  <c r="C125" i="8"/>
  <c r="D125" i="8"/>
  <c r="G125" i="8"/>
  <c r="H125" i="8"/>
  <c r="B125" i="8"/>
  <c r="A126" i="8"/>
  <c r="C126" i="8"/>
  <c r="E126" i="8"/>
  <c r="D126" i="8"/>
  <c r="G126" i="8"/>
  <c r="H126" i="8"/>
  <c r="B126" i="8"/>
  <c r="A127" i="8"/>
  <c r="C127" i="8"/>
  <c r="D127" i="8"/>
  <c r="G127" i="8"/>
  <c r="H127" i="8"/>
  <c r="B127" i="8"/>
  <c r="A128" i="8"/>
  <c r="C128" i="8"/>
  <c r="E128" i="8"/>
  <c r="D128" i="8"/>
  <c r="G128" i="8"/>
  <c r="H128" i="8"/>
  <c r="B128" i="8"/>
  <c r="A129" i="8"/>
  <c r="C129" i="8"/>
  <c r="E129" i="8"/>
  <c r="D129" i="8"/>
  <c r="G129" i="8"/>
  <c r="H129" i="8"/>
  <c r="B129" i="8"/>
  <c r="A130" i="8"/>
  <c r="B130" i="8"/>
  <c r="C130" i="8"/>
  <c r="D130" i="8"/>
  <c r="E130" i="8"/>
  <c r="G130" i="8"/>
  <c r="H130" i="8"/>
  <c r="A131" i="8"/>
  <c r="B131" i="8"/>
  <c r="D131" i="8"/>
  <c r="G131" i="8"/>
  <c r="C131" i="8"/>
  <c r="H131" i="8"/>
  <c r="A132" i="8"/>
  <c r="C132" i="8"/>
  <c r="D132" i="8"/>
  <c r="G132" i="8"/>
  <c r="H132" i="8"/>
  <c r="B132" i="8"/>
  <c r="A133" i="8"/>
  <c r="D133" i="8"/>
  <c r="G133" i="8"/>
  <c r="C133" i="8"/>
  <c r="E133" i="8"/>
  <c r="H133" i="8"/>
  <c r="B133" i="8"/>
  <c r="A134" i="8"/>
  <c r="C134" i="8"/>
  <c r="D134" i="8"/>
  <c r="G134" i="8"/>
  <c r="H134" i="8"/>
  <c r="B134" i="8"/>
  <c r="A135" i="8"/>
  <c r="D135" i="8"/>
  <c r="G135" i="8"/>
  <c r="C135" i="8"/>
  <c r="H135" i="8"/>
  <c r="B135" i="8"/>
  <c r="A136" i="8"/>
  <c r="B136" i="8"/>
  <c r="D136" i="8"/>
  <c r="G136" i="8"/>
  <c r="C136" i="8"/>
  <c r="E136" i="8"/>
  <c r="H136" i="8"/>
  <c r="W2" i="7"/>
  <c r="W3" i="7"/>
  <c r="W4" i="7"/>
  <c r="W5" i="7"/>
  <c r="W6" i="7"/>
  <c r="W7" i="7"/>
  <c r="W8" i="7"/>
  <c r="D9" i="7"/>
  <c r="E9" i="7"/>
  <c r="W9" i="7"/>
  <c r="W10" i="7"/>
  <c r="D11" i="7"/>
  <c r="W11" i="7"/>
  <c r="D12" i="7"/>
  <c r="D16" i="7" s="1"/>
  <c r="D19" i="7" s="1"/>
  <c r="W12" i="7"/>
  <c r="D13" i="7"/>
  <c r="W13" i="7"/>
  <c r="W14" i="7"/>
  <c r="W15" i="7"/>
  <c r="F16" i="7"/>
  <c r="F17" i="7" s="1"/>
  <c r="W16" i="7"/>
  <c r="C17" i="7"/>
  <c r="W17" i="7"/>
  <c r="W18" i="7"/>
  <c r="W19" i="7"/>
  <c r="W20" i="7"/>
  <c r="E21" i="7"/>
  <c r="F21" i="7"/>
  <c r="Q21" i="7"/>
  <c r="E22" i="7"/>
  <c r="F22" i="7"/>
  <c r="G22" i="7"/>
  <c r="I22" i="7"/>
  <c r="Q22" i="7"/>
  <c r="E23" i="7"/>
  <c r="F23" i="7"/>
  <c r="G23" i="7"/>
  <c r="I23" i="7"/>
  <c r="Q23" i="7"/>
  <c r="E24" i="7"/>
  <c r="F24" i="7"/>
  <c r="G24" i="7"/>
  <c r="H24" i="7"/>
  <c r="Q24" i="7"/>
  <c r="E25" i="7"/>
  <c r="F25" i="7"/>
  <c r="G25" i="7"/>
  <c r="H25" i="7"/>
  <c r="Q25" i="7"/>
  <c r="E26" i="7"/>
  <c r="F26" i="7"/>
  <c r="G26" i="7"/>
  <c r="I26" i="7"/>
  <c r="Q26" i="7"/>
  <c r="E27" i="7"/>
  <c r="F27" i="7"/>
  <c r="G27" i="7"/>
  <c r="H27" i="7"/>
  <c r="Q27" i="7"/>
  <c r="E28" i="7"/>
  <c r="F28" i="7"/>
  <c r="G28" i="7"/>
  <c r="H28" i="7"/>
  <c r="Q28" i="7"/>
  <c r="E29" i="7"/>
  <c r="F29" i="7"/>
  <c r="G29" i="7"/>
  <c r="H29" i="7"/>
  <c r="Q29" i="7"/>
  <c r="E30" i="7"/>
  <c r="F30" i="7"/>
  <c r="G30" i="7"/>
  <c r="H30" i="7"/>
  <c r="Q30" i="7"/>
  <c r="E31" i="7"/>
  <c r="F31" i="7"/>
  <c r="G31" i="7"/>
  <c r="H31" i="7"/>
  <c r="Q31" i="7"/>
  <c r="E32" i="7"/>
  <c r="F32" i="7"/>
  <c r="G32" i="7"/>
  <c r="H32" i="7"/>
  <c r="Q32" i="7"/>
  <c r="E33" i="7"/>
  <c r="F33" i="7"/>
  <c r="G33" i="7"/>
  <c r="H33" i="7"/>
  <c r="Q33" i="7"/>
  <c r="E34" i="7"/>
  <c r="F34" i="7"/>
  <c r="G34" i="7"/>
  <c r="H34" i="7"/>
  <c r="Q34" i="7"/>
  <c r="E35" i="7"/>
  <c r="F35" i="7"/>
  <c r="G35" i="7"/>
  <c r="H35" i="7"/>
  <c r="Q35" i="7"/>
  <c r="E36" i="7"/>
  <c r="F36" i="7"/>
  <c r="G36" i="7"/>
  <c r="H36" i="7"/>
  <c r="Q36" i="7"/>
  <c r="E37" i="7"/>
  <c r="F37" i="7"/>
  <c r="G37" i="7"/>
  <c r="H37" i="7"/>
  <c r="Q37" i="7"/>
  <c r="E38" i="7"/>
  <c r="F38" i="7"/>
  <c r="G38" i="7"/>
  <c r="H38" i="7"/>
  <c r="Q38" i="7"/>
  <c r="E39" i="7"/>
  <c r="F39" i="7"/>
  <c r="G39" i="7"/>
  <c r="H39" i="7"/>
  <c r="Q39" i="7"/>
  <c r="E40" i="7"/>
  <c r="F40" i="7"/>
  <c r="G40" i="7"/>
  <c r="H40" i="7"/>
  <c r="Q40" i="7"/>
  <c r="E41" i="7"/>
  <c r="F41" i="7"/>
  <c r="G41" i="7"/>
  <c r="H41" i="7"/>
  <c r="Q41" i="7"/>
  <c r="E42" i="7"/>
  <c r="F42" i="7"/>
  <c r="G42" i="7"/>
  <c r="I42" i="7"/>
  <c r="Q42" i="7"/>
  <c r="E43" i="7"/>
  <c r="F43" i="7"/>
  <c r="G43" i="7"/>
  <c r="H43" i="7"/>
  <c r="Q43" i="7"/>
  <c r="E44" i="7"/>
  <c r="F44" i="7"/>
  <c r="G44" i="7"/>
  <c r="H44" i="7"/>
  <c r="Q44" i="7"/>
  <c r="E45" i="7"/>
  <c r="F45" i="7"/>
  <c r="G45" i="7"/>
  <c r="H45" i="7"/>
  <c r="Q45" i="7"/>
  <c r="E46" i="7"/>
  <c r="F46" i="7"/>
  <c r="G46" i="7"/>
  <c r="H46" i="7"/>
  <c r="Q46" i="7"/>
  <c r="E47" i="7"/>
  <c r="F47" i="7"/>
  <c r="Q47" i="7"/>
  <c r="E48" i="7"/>
  <c r="F48" i="7"/>
  <c r="G48" i="7"/>
  <c r="H48" i="7"/>
  <c r="Q48" i="7"/>
  <c r="E49" i="7"/>
  <c r="F49" i="7"/>
  <c r="G49" i="7"/>
  <c r="H49" i="7"/>
  <c r="Q49" i="7"/>
  <c r="E50" i="7"/>
  <c r="F50" i="7"/>
  <c r="G50" i="7"/>
  <c r="H50" i="7"/>
  <c r="Q50" i="7"/>
  <c r="E51" i="7"/>
  <c r="F51" i="7"/>
  <c r="G51" i="7"/>
  <c r="I51" i="7"/>
  <c r="Q51" i="7"/>
  <c r="E52" i="7"/>
  <c r="F52" i="7"/>
  <c r="Q52" i="7"/>
  <c r="E53" i="7"/>
  <c r="F53" i="7"/>
  <c r="Q53" i="7"/>
  <c r="E54" i="7"/>
  <c r="F54" i="7"/>
  <c r="G54" i="7"/>
  <c r="I54" i="7"/>
  <c r="Q54" i="7"/>
  <c r="E55" i="7"/>
  <c r="F55" i="7"/>
  <c r="Q55" i="7"/>
  <c r="E56" i="7"/>
  <c r="F56" i="7"/>
  <c r="Q56" i="7"/>
  <c r="E57" i="7"/>
  <c r="F57" i="7"/>
  <c r="G57" i="7"/>
  <c r="I57" i="7"/>
  <c r="Q57" i="7"/>
  <c r="E58" i="7"/>
  <c r="F58" i="7"/>
  <c r="G58" i="7"/>
  <c r="I58" i="7"/>
  <c r="Q58" i="7"/>
  <c r="E59" i="7"/>
  <c r="F59" i="7"/>
  <c r="G59" i="7"/>
  <c r="I59" i="7"/>
  <c r="Q59" i="7"/>
  <c r="E60" i="7"/>
  <c r="F60" i="7"/>
  <c r="Q60" i="7"/>
  <c r="E61" i="7"/>
  <c r="F61" i="7"/>
  <c r="Q61" i="7"/>
  <c r="E62" i="7"/>
  <c r="F62" i="7"/>
  <c r="G62" i="7"/>
  <c r="H62" i="7"/>
  <c r="Q62" i="7"/>
  <c r="E63" i="7"/>
  <c r="F63" i="7"/>
  <c r="Q63" i="7"/>
  <c r="E64" i="7"/>
  <c r="F64" i="7"/>
  <c r="Q64" i="7"/>
  <c r="E65" i="7"/>
  <c r="F65" i="7"/>
  <c r="G65" i="7"/>
  <c r="I65" i="7"/>
  <c r="Q65" i="7"/>
  <c r="E66" i="7"/>
  <c r="F66" i="7"/>
  <c r="G66" i="7"/>
  <c r="I66" i="7"/>
  <c r="Q66" i="7"/>
  <c r="E67" i="7"/>
  <c r="F67" i="7"/>
  <c r="Q67" i="7"/>
  <c r="E68" i="7"/>
  <c r="F68" i="7"/>
  <c r="Q68" i="7"/>
  <c r="E69" i="7"/>
  <c r="F69" i="7"/>
  <c r="G69" i="7"/>
  <c r="H69" i="7"/>
  <c r="Q69" i="7"/>
  <c r="E70" i="7"/>
  <c r="F70" i="7"/>
  <c r="Q70" i="7"/>
  <c r="E71" i="7"/>
  <c r="F71" i="7"/>
  <c r="Q71" i="7"/>
  <c r="E72" i="7"/>
  <c r="F72" i="7"/>
  <c r="Q72" i="7"/>
  <c r="E73" i="7"/>
  <c r="F73" i="7"/>
  <c r="G73" i="7"/>
  <c r="I73" i="7"/>
  <c r="Q73" i="7"/>
  <c r="E74" i="7"/>
  <c r="F74" i="7"/>
  <c r="Q74" i="7"/>
  <c r="E75" i="7"/>
  <c r="F75" i="7"/>
  <c r="Q75" i="7"/>
  <c r="E76" i="7"/>
  <c r="F76" i="7"/>
  <c r="Q76" i="7"/>
  <c r="E77" i="7"/>
  <c r="F77" i="7"/>
  <c r="Q77" i="7"/>
  <c r="E78" i="7"/>
  <c r="F78" i="7"/>
  <c r="G78" i="7"/>
  <c r="H78" i="7"/>
  <c r="Q78" i="7"/>
  <c r="E79" i="7"/>
  <c r="F79" i="7"/>
  <c r="Q79" i="7"/>
  <c r="E80" i="7"/>
  <c r="F80" i="7"/>
  <c r="Q80" i="7"/>
  <c r="E81" i="7"/>
  <c r="F81" i="7"/>
  <c r="G81" i="7"/>
  <c r="I81" i="7"/>
  <c r="Q81" i="7"/>
  <c r="E82" i="7"/>
  <c r="F82" i="7"/>
  <c r="G82" i="7"/>
  <c r="I82" i="7"/>
  <c r="Q82" i="7"/>
  <c r="E83" i="7"/>
  <c r="F83" i="7"/>
  <c r="Q83" i="7"/>
  <c r="E84" i="7"/>
  <c r="F84" i="7"/>
  <c r="Q84" i="7"/>
  <c r="E85" i="7"/>
  <c r="F85" i="7"/>
  <c r="G85" i="7"/>
  <c r="I85" i="7"/>
  <c r="Q85" i="7"/>
  <c r="E86" i="7"/>
  <c r="F86" i="7"/>
  <c r="Q86" i="7"/>
  <c r="E87" i="7"/>
  <c r="F87" i="7"/>
  <c r="Q87" i="7"/>
  <c r="E88" i="7"/>
  <c r="F88" i="7"/>
  <c r="Q88" i="7"/>
  <c r="E89" i="7"/>
  <c r="F89" i="7"/>
  <c r="G89" i="7"/>
  <c r="I89" i="7"/>
  <c r="Q89" i="7"/>
  <c r="E90" i="7"/>
  <c r="F90" i="7"/>
  <c r="G90" i="7"/>
  <c r="I90" i="7"/>
  <c r="Q90" i="7"/>
  <c r="E91" i="7"/>
  <c r="F91" i="7"/>
  <c r="G91" i="7"/>
  <c r="I91" i="7"/>
  <c r="Q91" i="7"/>
  <c r="E92" i="7"/>
  <c r="F92" i="7"/>
  <c r="Q92" i="7"/>
  <c r="E93" i="7"/>
  <c r="F93" i="7"/>
  <c r="G93" i="7"/>
  <c r="I93" i="7"/>
  <c r="Q93" i="7"/>
  <c r="E94" i="7"/>
  <c r="F94" i="7"/>
  <c r="G94" i="7"/>
  <c r="I94" i="7"/>
  <c r="Q94" i="7"/>
  <c r="E95" i="7"/>
  <c r="F95" i="7"/>
  <c r="Q95" i="7"/>
  <c r="E96" i="7"/>
  <c r="F96" i="7"/>
  <c r="Q96" i="7"/>
  <c r="E97" i="7"/>
  <c r="F97" i="7"/>
  <c r="G97" i="7"/>
  <c r="I97" i="7"/>
  <c r="Q97" i="7"/>
  <c r="E98" i="7"/>
  <c r="F98" i="7"/>
  <c r="G98" i="7"/>
  <c r="I98" i="7"/>
  <c r="Q98" i="7"/>
  <c r="E99" i="7"/>
  <c r="F99" i="7"/>
  <c r="G99" i="7"/>
  <c r="I99" i="7"/>
  <c r="Q99" i="7"/>
  <c r="E100" i="7"/>
  <c r="F100" i="7"/>
  <c r="Q100" i="7"/>
  <c r="E101" i="7"/>
  <c r="F101" i="7"/>
  <c r="Q101" i="7"/>
  <c r="E102" i="7"/>
  <c r="F102" i="7"/>
  <c r="G102" i="7"/>
  <c r="I102" i="7"/>
  <c r="Q102" i="7"/>
  <c r="E103" i="7"/>
  <c r="F103" i="7"/>
  <c r="Q103" i="7"/>
  <c r="E104" i="7"/>
  <c r="F104" i="7"/>
  <c r="Q104" i="7"/>
  <c r="E105" i="7"/>
  <c r="F105" i="7"/>
  <c r="G105" i="7"/>
  <c r="I105" i="7"/>
  <c r="Q105" i="7"/>
  <c r="E106" i="7"/>
  <c r="F106" i="7"/>
  <c r="Q106" i="7"/>
  <c r="E107" i="7"/>
  <c r="F107" i="7"/>
  <c r="G107" i="7"/>
  <c r="I107" i="7"/>
  <c r="Q107" i="7"/>
  <c r="E108" i="7"/>
  <c r="F108" i="7"/>
  <c r="Q108" i="7"/>
  <c r="E109" i="7"/>
  <c r="F109" i="7"/>
  <c r="G109" i="7"/>
  <c r="I109" i="7"/>
  <c r="Q109" i="7"/>
  <c r="E110" i="7"/>
  <c r="F110" i="7"/>
  <c r="G110" i="7"/>
  <c r="I110" i="7"/>
  <c r="Q110" i="7"/>
  <c r="E111" i="7"/>
  <c r="F111" i="7"/>
  <c r="Q111" i="7"/>
  <c r="E112" i="7"/>
  <c r="F112" i="7"/>
  <c r="Q112" i="7"/>
  <c r="E113" i="7"/>
  <c r="F113" i="7"/>
  <c r="G113" i="7"/>
  <c r="I113" i="7"/>
  <c r="Q113" i="7"/>
  <c r="E114" i="7"/>
  <c r="F114" i="7"/>
  <c r="G114" i="7"/>
  <c r="I114" i="7"/>
  <c r="Q114" i="7"/>
  <c r="E115" i="7"/>
  <c r="F115" i="7"/>
  <c r="Q115" i="7"/>
  <c r="E116" i="7"/>
  <c r="F116" i="7"/>
  <c r="Q116" i="7"/>
  <c r="E117" i="7"/>
  <c r="F117" i="7"/>
  <c r="G117" i="7"/>
  <c r="I117" i="7"/>
  <c r="Q117" i="7"/>
  <c r="E118" i="7"/>
  <c r="F118" i="7"/>
  <c r="G118" i="7"/>
  <c r="I118" i="7"/>
  <c r="Q118" i="7"/>
  <c r="E119" i="7"/>
  <c r="F119" i="7"/>
  <c r="Q119" i="7"/>
  <c r="E120" i="7"/>
  <c r="F120" i="7"/>
  <c r="Q120" i="7"/>
  <c r="E121" i="7"/>
  <c r="F121" i="7"/>
  <c r="G121" i="7"/>
  <c r="I121" i="7"/>
  <c r="Q121" i="7"/>
  <c r="E122" i="7"/>
  <c r="F122" i="7"/>
  <c r="Q122" i="7"/>
  <c r="E123" i="7"/>
  <c r="F123" i="7"/>
  <c r="G123" i="7"/>
  <c r="I123" i="7"/>
  <c r="Q123" i="7"/>
  <c r="E124" i="7"/>
  <c r="F124" i="7"/>
  <c r="Q124" i="7"/>
  <c r="E125" i="7"/>
  <c r="F125" i="7"/>
  <c r="Q125" i="7"/>
  <c r="W2" i="6"/>
  <c r="W3" i="6"/>
  <c r="W4" i="6"/>
  <c r="W5" i="6"/>
  <c r="W6" i="6"/>
  <c r="W7" i="6"/>
  <c r="W8" i="6"/>
  <c r="D9" i="6"/>
  <c r="E9" i="6"/>
  <c r="W9" i="6"/>
  <c r="W10" i="6"/>
  <c r="D11" i="6"/>
  <c r="W11" i="6"/>
  <c r="D12" i="6"/>
  <c r="P63" i="6" s="1"/>
  <c r="S63" i="6" s="1"/>
  <c r="U63" i="6" s="1"/>
  <c r="W12" i="6"/>
  <c r="D13" i="6"/>
  <c r="W13" i="6"/>
  <c r="W14" i="6"/>
  <c r="W15" i="6"/>
  <c r="F16" i="6"/>
  <c r="F17" i="6" s="1"/>
  <c r="W16" i="6"/>
  <c r="C17" i="6"/>
  <c r="W17" i="6"/>
  <c r="W18" i="6"/>
  <c r="W19" i="6"/>
  <c r="W20" i="6"/>
  <c r="E21" i="6"/>
  <c r="F21" i="6"/>
  <c r="G21" i="6"/>
  <c r="N21" i="6"/>
  <c r="Q21" i="6"/>
  <c r="E22" i="6"/>
  <c r="F22" i="6"/>
  <c r="G22" i="6"/>
  <c r="N22" i="6"/>
  <c r="Q22" i="6"/>
  <c r="E23" i="6"/>
  <c r="F23" i="6"/>
  <c r="G23" i="6"/>
  <c r="N23" i="6"/>
  <c r="Q23" i="6"/>
  <c r="E24" i="6"/>
  <c r="F24" i="6"/>
  <c r="G24" i="6"/>
  <c r="N24" i="6"/>
  <c r="Q24" i="6"/>
  <c r="E25" i="6"/>
  <c r="F25" i="6"/>
  <c r="G25" i="6"/>
  <c r="K25" i="6"/>
  <c r="Q25" i="6"/>
  <c r="E26" i="6"/>
  <c r="F26" i="6"/>
  <c r="G26" i="6"/>
  <c r="H26" i="6"/>
  <c r="Q26" i="6"/>
  <c r="E27" i="6"/>
  <c r="F27" i="6"/>
  <c r="G27" i="6"/>
  <c r="K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1" i="6"/>
  <c r="F31" i="6"/>
  <c r="G31" i="6"/>
  <c r="J31" i="6"/>
  <c r="Q31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N34" i="6"/>
  <c r="Q34" i="6"/>
  <c r="E35" i="6"/>
  <c r="F35" i="6"/>
  <c r="G35" i="6"/>
  <c r="J35" i="6"/>
  <c r="Q35" i="6"/>
  <c r="E36" i="6"/>
  <c r="F36" i="6"/>
  <c r="G36" i="6"/>
  <c r="J36" i="6"/>
  <c r="Q36" i="6"/>
  <c r="E37" i="6"/>
  <c r="F37" i="6"/>
  <c r="G37" i="6"/>
  <c r="J37" i="6"/>
  <c r="Q37" i="6"/>
  <c r="E38" i="6"/>
  <c r="F38" i="6"/>
  <c r="G38" i="6"/>
  <c r="J38" i="6"/>
  <c r="Q38" i="6"/>
  <c r="E39" i="6"/>
  <c r="F39" i="6"/>
  <c r="G39" i="6"/>
  <c r="J39" i="6"/>
  <c r="Q39" i="6"/>
  <c r="E40" i="6"/>
  <c r="F40" i="6"/>
  <c r="G40" i="6"/>
  <c r="N40" i="6"/>
  <c r="Q40" i="6"/>
  <c r="E41" i="6"/>
  <c r="F41" i="6"/>
  <c r="G41" i="6"/>
  <c r="N41" i="6"/>
  <c r="Q41" i="6"/>
  <c r="E42" i="6"/>
  <c r="F42" i="6"/>
  <c r="G42" i="6"/>
  <c r="N42" i="6"/>
  <c r="Q42" i="6"/>
  <c r="E43" i="6"/>
  <c r="F43" i="6"/>
  <c r="G43" i="6"/>
  <c r="J43" i="6"/>
  <c r="Q43" i="6"/>
  <c r="E44" i="6"/>
  <c r="F44" i="6"/>
  <c r="G44" i="6"/>
  <c r="N44" i="6"/>
  <c r="Q44" i="6"/>
  <c r="E45" i="6"/>
  <c r="F45" i="6"/>
  <c r="G45" i="6"/>
  <c r="N45" i="6"/>
  <c r="Q45" i="6"/>
  <c r="E46" i="6"/>
  <c r="F46" i="6"/>
  <c r="G46" i="6"/>
  <c r="N46" i="6"/>
  <c r="Q46" i="6"/>
  <c r="E47" i="6"/>
  <c r="F47" i="6"/>
  <c r="G47" i="6"/>
  <c r="J47" i="6"/>
  <c r="Q47" i="6"/>
  <c r="E48" i="6"/>
  <c r="F48" i="6"/>
  <c r="G48" i="6"/>
  <c r="J48" i="6"/>
  <c r="Q48" i="6"/>
  <c r="E49" i="6"/>
  <c r="F49" i="6"/>
  <c r="G49" i="6"/>
  <c r="J49" i="6"/>
  <c r="Q49" i="6"/>
  <c r="E50" i="6"/>
  <c r="F50" i="6"/>
  <c r="Q50" i="6"/>
  <c r="E51" i="6"/>
  <c r="F51" i="6"/>
  <c r="G51" i="6"/>
  <c r="N51" i="6"/>
  <c r="Q51" i="6"/>
  <c r="E52" i="6"/>
  <c r="F52" i="6"/>
  <c r="G52" i="6"/>
  <c r="N52" i="6"/>
  <c r="Q52" i="6"/>
  <c r="E53" i="6"/>
  <c r="F53" i="6"/>
  <c r="G53" i="6"/>
  <c r="I53" i="6"/>
  <c r="Q53" i="6"/>
  <c r="E54" i="6"/>
  <c r="F54" i="6"/>
  <c r="G54" i="6"/>
  <c r="I54" i="6"/>
  <c r="Q54" i="6"/>
  <c r="E55" i="6"/>
  <c r="F55" i="6"/>
  <c r="G55" i="6"/>
  <c r="J55" i="6"/>
  <c r="Q55" i="6"/>
  <c r="E56" i="6"/>
  <c r="F56" i="6"/>
  <c r="Q56" i="6"/>
  <c r="E57" i="6"/>
  <c r="F57" i="6"/>
  <c r="G57" i="6"/>
  <c r="I57" i="6"/>
  <c r="Q57" i="6"/>
  <c r="E58" i="6"/>
  <c r="F58" i="6"/>
  <c r="Q58" i="6"/>
  <c r="E59" i="6"/>
  <c r="F59" i="6"/>
  <c r="G59" i="6"/>
  <c r="N59" i="6"/>
  <c r="Q59" i="6"/>
  <c r="E60" i="6"/>
  <c r="F60" i="6"/>
  <c r="G60" i="6"/>
  <c r="I60" i="6"/>
  <c r="Q60" i="6"/>
  <c r="E61" i="6"/>
  <c r="F61" i="6"/>
  <c r="G61" i="6"/>
  <c r="I61" i="6"/>
  <c r="Q61" i="6"/>
  <c r="E62" i="6"/>
  <c r="F62" i="6"/>
  <c r="G62" i="6"/>
  <c r="J62" i="6"/>
  <c r="Q62" i="6"/>
  <c r="E63" i="6"/>
  <c r="F63" i="6"/>
  <c r="Q63" i="6"/>
  <c r="E64" i="6"/>
  <c r="F64" i="6"/>
  <c r="G64" i="6"/>
  <c r="J64" i="6"/>
  <c r="Q64" i="6"/>
  <c r="E65" i="6"/>
  <c r="F65" i="6"/>
  <c r="Q65" i="6"/>
  <c r="E66" i="6"/>
  <c r="F66" i="6"/>
  <c r="G66" i="6"/>
  <c r="K66" i="6"/>
  <c r="Q66" i="6"/>
  <c r="E67" i="6"/>
  <c r="F67" i="6"/>
  <c r="G67" i="6"/>
  <c r="J67" i="6"/>
  <c r="Q67" i="6"/>
  <c r="E68" i="6"/>
  <c r="F68" i="6"/>
  <c r="G68" i="6"/>
  <c r="K68" i="6"/>
  <c r="Q68" i="6"/>
  <c r="E69" i="6"/>
  <c r="F69" i="6"/>
  <c r="G69" i="6"/>
  <c r="K69" i="6"/>
  <c r="Q69" i="6"/>
  <c r="E70" i="6"/>
  <c r="F70" i="6"/>
  <c r="G70" i="6"/>
  <c r="J70" i="6"/>
  <c r="Q70" i="6"/>
  <c r="E71" i="6"/>
  <c r="F71" i="6"/>
  <c r="G71" i="6"/>
  <c r="J71" i="6"/>
  <c r="Q71" i="6"/>
  <c r="E72" i="6"/>
  <c r="F72" i="6"/>
  <c r="G72" i="6"/>
  <c r="J72" i="6"/>
  <c r="Q72" i="6"/>
  <c r="E73" i="6"/>
  <c r="F73" i="6"/>
  <c r="G73" i="6"/>
  <c r="J73" i="6"/>
  <c r="Q73" i="6"/>
  <c r="E74" i="6"/>
  <c r="F74" i="6"/>
  <c r="G74" i="6"/>
  <c r="J74" i="6"/>
  <c r="Q74" i="6"/>
  <c r="E75" i="6"/>
  <c r="F75" i="6"/>
  <c r="G75" i="6"/>
  <c r="J75" i="6"/>
  <c r="Q75" i="6"/>
  <c r="E76" i="6"/>
  <c r="F76" i="6"/>
  <c r="G76" i="6"/>
  <c r="J76" i="6"/>
  <c r="Q76" i="6"/>
  <c r="E77" i="6"/>
  <c r="F77" i="6"/>
  <c r="G77" i="6"/>
  <c r="L77" i="6"/>
  <c r="Q77" i="6"/>
  <c r="E78" i="6"/>
  <c r="F78" i="6"/>
  <c r="G78" i="6"/>
  <c r="L78" i="6"/>
  <c r="Q78" i="6"/>
  <c r="E79" i="6"/>
  <c r="F79" i="6"/>
  <c r="G79" i="6"/>
  <c r="J79" i="6"/>
  <c r="Q79" i="6"/>
  <c r="E80" i="6"/>
  <c r="F80" i="6"/>
  <c r="G80" i="6"/>
  <c r="R80" i="6"/>
  <c r="Q80" i="6"/>
  <c r="E81" i="6"/>
  <c r="F81" i="6"/>
  <c r="G81" i="6"/>
  <c r="J81" i="6"/>
  <c r="Q81" i="6"/>
  <c r="E82" i="6"/>
  <c r="F82" i="6"/>
  <c r="Q82" i="6"/>
  <c r="E83" i="6"/>
  <c r="F83" i="6"/>
  <c r="Q83" i="6"/>
  <c r="E84" i="6"/>
  <c r="F84" i="6"/>
  <c r="G84" i="6"/>
  <c r="J84" i="6"/>
  <c r="Q84" i="6"/>
  <c r="E85" i="6"/>
  <c r="F85" i="6"/>
  <c r="G85" i="6"/>
  <c r="J85" i="6"/>
  <c r="Q85" i="6"/>
  <c r="E86" i="6"/>
  <c r="F86" i="6"/>
  <c r="Q86" i="6"/>
  <c r="E87" i="6"/>
  <c r="F87" i="6"/>
  <c r="G87" i="6"/>
  <c r="J87" i="6"/>
  <c r="Q87" i="6"/>
  <c r="E88" i="6"/>
  <c r="F88" i="6"/>
  <c r="Q88" i="6"/>
  <c r="E89" i="6"/>
  <c r="F89" i="6"/>
  <c r="G89" i="6"/>
  <c r="L89" i="6"/>
  <c r="Q89" i="6"/>
  <c r="E90" i="6"/>
  <c r="F90" i="6"/>
  <c r="Q90" i="6"/>
  <c r="E91" i="6"/>
  <c r="F91" i="6"/>
  <c r="G91" i="6"/>
  <c r="J91" i="6"/>
  <c r="Q91" i="6"/>
  <c r="E92" i="6"/>
  <c r="F92" i="6"/>
  <c r="G92" i="6"/>
  <c r="J92" i="6"/>
  <c r="Q92" i="6"/>
  <c r="E93" i="6"/>
  <c r="F93" i="6"/>
  <c r="G93" i="6"/>
  <c r="J93" i="6"/>
  <c r="Q93" i="6"/>
  <c r="E94" i="6"/>
  <c r="F94" i="6"/>
  <c r="G94" i="6"/>
  <c r="J94" i="6"/>
  <c r="Q94" i="6"/>
  <c r="E95" i="6"/>
  <c r="F95" i="6"/>
  <c r="G95" i="6"/>
  <c r="J95" i="6"/>
  <c r="Q95" i="6"/>
  <c r="E96" i="6"/>
  <c r="F96" i="6"/>
  <c r="G96" i="6"/>
  <c r="J96" i="6"/>
  <c r="Q96" i="6"/>
  <c r="E97" i="6"/>
  <c r="F97" i="6"/>
  <c r="Q97" i="6"/>
  <c r="E98" i="6"/>
  <c r="F98" i="6"/>
  <c r="G98" i="6"/>
  <c r="J98" i="6"/>
  <c r="Q98" i="6"/>
  <c r="E99" i="6"/>
  <c r="F99" i="6"/>
  <c r="G99" i="6"/>
  <c r="J99" i="6"/>
  <c r="Q99" i="6"/>
  <c r="E100" i="6"/>
  <c r="F100" i="6"/>
  <c r="G100" i="6"/>
  <c r="J100" i="6"/>
  <c r="Q100" i="6"/>
  <c r="E101" i="6"/>
  <c r="F101" i="6"/>
  <c r="G101" i="6"/>
  <c r="J101" i="6"/>
  <c r="Q101" i="6"/>
  <c r="E102" i="6"/>
  <c r="F102" i="6"/>
  <c r="Q102" i="6"/>
  <c r="E103" i="6"/>
  <c r="F103" i="6"/>
  <c r="G103" i="6"/>
  <c r="J103" i="6"/>
  <c r="Q103" i="6"/>
  <c r="E104" i="6"/>
  <c r="F104" i="6"/>
  <c r="Q104" i="6"/>
  <c r="E105" i="6"/>
  <c r="F105" i="6"/>
  <c r="G105" i="6"/>
  <c r="J105" i="6"/>
  <c r="Q105" i="6"/>
  <c r="E106" i="6"/>
  <c r="F106" i="6"/>
  <c r="G106" i="6"/>
  <c r="J106" i="6"/>
  <c r="Q106" i="6"/>
  <c r="E107" i="6"/>
  <c r="F107" i="6"/>
  <c r="G107" i="6"/>
  <c r="L107" i="6"/>
  <c r="Q107" i="6"/>
  <c r="E108" i="6"/>
  <c r="F108" i="6"/>
  <c r="G108" i="6"/>
  <c r="J108" i="6"/>
  <c r="Q108" i="6"/>
  <c r="E109" i="6"/>
  <c r="F109" i="6"/>
  <c r="G109" i="6"/>
  <c r="J109" i="6"/>
  <c r="Q109" i="6"/>
  <c r="E110" i="6"/>
  <c r="F110" i="6"/>
  <c r="G110" i="6"/>
  <c r="J110" i="6"/>
  <c r="Q110" i="6"/>
  <c r="E111" i="6"/>
  <c r="F111" i="6"/>
  <c r="Q111" i="6"/>
  <c r="E112" i="6"/>
  <c r="F112" i="6"/>
  <c r="Q112" i="6"/>
  <c r="E113" i="6"/>
  <c r="F113" i="6"/>
  <c r="G113" i="6"/>
  <c r="M113" i="6"/>
  <c r="Q113" i="6"/>
  <c r="E114" i="6"/>
  <c r="F114" i="6"/>
  <c r="G114" i="6"/>
  <c r="M114" i="6"/>
  <c r="Q114" i="6"/>
  <c r="E115" i="6"/>
  <c r="F115" i="6"/>
  <c r="Q115" i="6"/>
  <c r="E116" i="6"/>
  <c r="F116" i="6"/>
  <c r="G116" i="6"/>
  <c r="M116" i="6"/>
  <c r="Q116" i="6"/>
  <c r="E117" i="6"/>
  <c r="F117" i="6"/>
  <c r="G117" i="6"/>
  <c r="M117" i="6"/>
  <c r="Q117" i="6"/>
  <c r="E118" i="6"/>
  <c r="F118" i="6"/>
  <c r="Q118" i="6"/>
  <c r="E119" i="6"/>
  <c r="F119" i="6"/>
  <c r="Q119" i="6"/>
  <c r="E120" i="6"/>
  <c r="F120" i="6"/>
  <c r="Q120" i="6"/>
  <c r="E121" i="6"/>
  <c r="F121" i="6"/>
  <c r="G121" i="6"/>
  <c r="M121" i="6"/>
  <c r="Q121" i="6"/>
  <c r="E122" i="6"/>
  <c r="F122" i="6"/>
  <c r="Q122" i="6"/>
  <c r="E123" i="6"/>
  <c r="F123" i="6"/>
  <c r="G123" i="6"/>
  <c r="J123" i="6"/>
  <c r="Q123" i="6"/>
  <c r="AH2" i="10"/>
  <c r="AJ2" i="10"/>
  <c r="BE2" i="10"/>
  <c r="AU3" i="10"/>
  <c r="AV3" i="10"/>
  <c r="BE3" i="10"/>
  <c r="AU4" i="10"/>
  <c r="AV4" i="10"/>
  <c r="BE4" i="10"/>
  <c r="AU5" i="10"/>
  <c r="AV5" i="10"/>
  <c r="BE5" i="10"/>
  <c r="AU6" i="10"/>
  <c r="AV6" i="10"/>
  <c r="BE6" i="10"/>
  <c r="AU7" i="10"/>
  <c r="AV7" i="10"/>
  <c r="BE7" i="10"/>
  <c r="AU8" i="10"/>
  <c r="AV8" i="10"/>
  <c r="BE8" i="10"/>
  <c r="D9" i="10"/>
  <c r="E9" i="10"/>
  <c r="AU9" i="10"/>
  <c r="AV9" i="10"/>
  <c r="BE9" i="10"/>
  <c r="AU10" i="10"/>
  <c r="AV10" i="10"/>
  <c r="BE10" i="10"/>
  <c r="E141" i="10"/>
  <c r="F141" i="10"/>
  <c r="G141" i="10"/>
  <c r="E142" i="10"/>
  <c r="F142" i="10"/>
  <c r="G142" i="10"/>
  <c r="E143" i="10"/>
  <c r="F143" i="10"/>
  <c r="G143" i="10"/>
  <c r="E144" i="10"/>
  <c r="F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E151" i="10"/>
  <c r="F151" i="10"/>
  <c r="G151" i="10"/>
  <c r="E152" i="10"/>
  <c r="F152" i="10"/>
  <c r="G152" i="10"/>
  <c r="E153" i="10"/>
  <c r="F153" i="10"/>
  <c r="G153" i="10"/>
  <c r="E49" i="10"/>
  <c r="F49" i="10"/>
  <c r="G49" i="10"/>
  <c r="E154" i="10"/>
  <c r="F154" i="10"/>
  <c r="G154" i="10"/>
  <c r="E155" i="10"/>
  <c r="F155" i="10"/>
  <c r="E156" i="10"/>
  <c r="F156" i="10"/>
  <c r="G156" i="10"/>
  <c r="E157" i="10"/>
  <c r="F157" i="10"/>
  <c r="E158" i="10"/>
  <c r="F158" i="10"/>
  <c r="G158" i="10"/>
  <c r="E159" i="10"/>
  <c r="F159" i="10"/>
  <c r="G159" i="10"/>
  <c r="E160" i="10"/>
  <c r="F160" i="10"/>
  <c r="E161" i="10"/>
  <c r="F161" i="10"/>
  <c r="G161" i="10"/>
  <c r="E162" i="10"/>
  <c r="F162" i="10"/>
  <c r="G162" i="10"/>
  <c r="E163" i="10"/>
  <c r="F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46" i="10"/>
  <c r="F46" i="10"/>
  <c r="G46" i="10"/>
  <c r="E48" i="10"/>
  <c r="F48" i="10"/>
  <c r="E44" i="10"/>
  <c r="F44" i="10"/>
  <c r="G44" i="10"/>
  <c r="E168" i="10"/>
  <c r="F168" i="10"/>
  <c r="G168" i="10"/>
  <c r="E169" i="10"/>
  <c r="F169" i="10"/>
  <c r="G169" i="10"/>
  <c r="E170" i="10"/>
  <c r="F170" i="10"/>
  <c r="E171" i="10"/>
  <c r="F171" i="10"/>
  <c r="G171" i="10"/>
  <c r="E172" i="10"/>
  <c r="F172" i="10"/>
  <c r="E173" i="10"/>
  <c r="F173" i="10"/>
  <c r="G173" i="10"/>
  <c r="E174" i="10"/>
  <c r="F174" i="10"/>
  <c r="G174" i="10"/>
  <c r="E175" i="10"/>
  <c r="F175" i="10"/>
  <c r="G175" i="10"/>
  <c r="E176" i="10"/>
  <c r="F176" i="10"/>
  <c r="E177" i="10"/>
  <c r="F177" i="10"/>
  <c r="G177" i="10"/>
  <c r="E178" i="10"/>
  <c r="F178" i="10"/>
  <c r="E179" i="10"/>
  <c r="F179" i="10"/>
  <c r="G179" i="10"/>
  <c r="E180" i="10"/>
  <c r="F180" i="10"/>
  <c r="G180" i="10"/>
  <c r="E181" i="10"/>
  <c r="F181" i="10"/>
  <c r="G181" i="10"/>
  <c r="E182" i="10"/>
  <c r="F182" i="10"/>
  <c r="G182" i="10"/>
  <c r="E183" i="10"/>
  <c r="F183" i="10"/>
  <c r="G183" i="10"/>
  <c r="E184" i="10"/>
  <c r="F184" i="10"/>
  <c r="E185" i="10"/>
  <c r="F185" i="10"/>
  <c r="G185" i="10"/>
  <c r="E186" i="10"/>
  <c r="F186" i="10"/>
  <c r="E187" i="10"/>
  <c r="F187" i="10"/>
  <c r="G187" i="10"/>
  <c r="E188" i="10"/>
  <c r="F188" i="10"/>
  <c r="G188" i="10"/>
  <c r="E189" i="10"/>
  <c r="F189" i="10"/>
  <c r="E190" i="10"/>
  <c r="F190" i="10"/>
  <c r="G190" i="10"/>
  <c r="E191" i="10"/>
  <c r="F191" i="10"/>
  <c r="G191" i="10"/>
  <c r="E192" i="10"/>
  <c r="F192" i="10"/>
  <c r="E193" i="10"/>
  <c r="F193" i="10"/>
  <c r="G193" i="10"/>
  <c r="E137" i="10"/>
  <c r="F137" i="10"/>
  <c r="G137" i="10"/>
  <c r="E138" i="10"/>
  <c r="F138" i="10"/>
  <c r="G138" i="10"/>
  <c r="E139" i="10"/>
  <c r="F139" i="10"/>
  <c r="E140" i="10"/>
  <c r="F140" i="10"/>
  <c r="D11" i="10"/>
  <c r="E21" i="10"/>
  <c r="F21" i="10"/>
  <c r="G21" i="10"/>
  <c r="AF21" i="10"/>
  <c r="E22" i="10"/>
  <c r="F22" i="10"/>
  <c r="E23" i="10"/>
  <c r="F23" i="10"/>
  <c r="G23" i="10"/>
  <c r="AF23" i="10"/>
  <c r="E24" i="10"/>
  <c r="F24" i="10"/>
  <c r="G24" i="10"/>
  <c r="AF24" i="10"/>
  <c r="E25" i="10"/>
  <c r="F25" i="10"/>
  <c r="G25" i="10"/>
  <c r="AF25" i="10"/>
  <c r="E26" i="10"/>
  <c r="F26" i="10"/>
  <c r="E85" i="10"/>
  <c r="F85" i="10"/>
  <c r="E86" i="10"/>
  <c r="F86" i="10"/>
  <c r="G86" i="10"/>
  <c r="AF86" i="10"/>
  <c r="E87" i="10"/>
  <c r="F87" i="10"/>
  <c r="G87" i="10"/>
  <c r="AF87" i="10"/>
  <c r="E88" i="10"/>
  <c r="F88" i="10"/>
  <c r="E27" i="10"/>
  <c r="F27" i="10"/>
  <c r="G27" i="10"/>
  <c r="AF27" i="10"/>
  <c r="E28" i="10"/>
  <c r="F28" i="10"/>
  <c r="G28" i="10"/>
  <c r="AF28" i="10"/>
  <c r="E89" i="10"/>
  <c r="F89" i="10"/>
  <c r="G89" i="10"/>
  <c r="E29" i="10"/>
  <c r="F29" i="10"/>
  <c r="G29" i="10"/>
  <c r="AF29" i="10"/>
  <c r="E90" i="10"/>
  <c r="F90" i="10"/>
  <c r="G90" i="10"/>
  <c r="AF90" i="10"/>
  <c r="E31" i="10"/>
  <c r="F31" i="10"/>
  <c r="E38" i="10"/>
  <c r="F38" i="10"/>
  <c r="G38" i="10"/>
  <c r="AF38" i="10"/>
  <c r="E34" i="10"/>
  <c r="F34" i="10"/>
  <c r="G34" i="10"/>
  <c r="AF34" i="10"/>
  <c r="E32" i="10"/>
  <c r="F32" i="10"/>
  <c r="G32" i="10"/>
  <c r="AF32" i="10"/>
  <c r="E33" i="10"/>
  <c r="F33" i="10"/>
  <c r="E36" i="10"/>
  <c r="F36" i="10"/>
  <c r="G36" i="10"/>
  <c r="AF36" i="10"/>
  <c r="E37" i="10"/>
  <c r="F37" i="10"/>
  <c r="G37" i="10"/>
  <c r="AF37" i="10"/>
  <c r="E40" i="10"/>
  <c r="F40" i="10"/>
  <c r="G40" i="10"/>
  <c r="AF40" i="10"/>
  <c r="E42" i="10"/>
  <c r="F42" i="10"/>
  <c r="E35" i="10"/>
  <c r="F35" i="10"/>
  <c r="E41" i="10"/>
  <c r="F41" i="10"/>
  <c r="G41" i="10"/>
  <c r="E43" i="10"/>
  <c r="F43" i="10"/>
  <c r="G43" i="10"/>
  <c r="AF43" i="10"/>
  <c r="E39" i="10"/>
  <c r="F39" i="10"/>
  <c r="E45" i="10"/>
  <c r="F45" i="10"/>
  <c r="G45" i="10"/>
  <c r="E47" i="10"/>
  <c r="F47" i="10"/>
  <c r="G47" i="10"/>
  <c r="AF47" i="10"/>
  <c r="E30" i="10"/>
  <c r="F30" i="10"/>
  <c r="G30" i="10"/>
  <c r="AF30" i="10"/>
  <c r="E53" i="10"/>
  <c r="F53" i="10"/>
  <c r="E63" i="10"/>
  <c r="F63" i="10"/>
  <c r="G63" i="10"/>
  <c r="E64" i="10"/>
  <c r="F64" i="10"/>
  <c r="G64" i="10"/>
  <c r="AF64" i="10"/>
  <c r="E62" i="10"/>
  <c r="F62" i="10"/>
  <c r="G62" i="10"/>
  <c r="AF62" i="10"/>
  <c r="E91" i="10"/>
  <c r="F91" i="10"/>
  <c r="E77" i="10"/>
  <c r="F77" i="10"/>
  <c r="G77" i="10"/>
  <c r="AF77" i="10"/>
  <c r="E73" i="10"/>
  <c r="F73" i="10"/>
  <c r="G73" i="10"/>
  <c r="AF73" i="10"/>
  <c r="E84" i="10"/>
  <c r="F84" i="10"/>
  <c r="G84" i="10"/>
  <c r="AF84" i="10"/>
  <c r="E83" i="10"/>
  <c r="F83" i="10"/>
  <c r="E60" i="10"/>
  <c r="F60" i="10"/>
  <c r="E82" i="10"/>
  <c r="F82" i="10"/>
  <c r="E61" i="10"/>
  <c r="F61" i="10"/>
  <c r="G61" i="10"/>
  <c r="AF61" i="10"/>
  <c r="E80" i="10"/>
  <c r="F80" i="10"/>
  <c r="E68" i="10"/>
  <c r="F68" i="10"/>
  <c r="E81" i="10"/>
  <c r="F81" i="10"/>
  <c r="G81" i="10"/>
  <c r="AF81" i="10"/>
  <c r="E74" i="10"/>
  <c r="F74" i="10"/>
  <c r="G74" i="10"/>
  <c r="AF74" i="10"/>
  <c r="E78" i="10"/>
  <c r="F78" i="10"/>
  <c r="E70" i="10"/>
  <c r="F70" i="10"/>
  <c r="G70" i="10"/>
  <c r="AF70" i="10"/>
  <c r="E65" i="10"/>
  <c r="F65" i="10"/>
  <c r="G65" i="10"/>
  <c r="E92" i="10"/>
  <c r="F92" i="10"/>
  <c r="G92" i="10"/>
  <c r="AF92" i="10"/>
  <c r="E69" i="10"/>
  <c r="F69" i="10"/>
  <c r="E93" i="10"/>
  <c r="F93" i="10"/>
  <c r="G93" i="10"/>
  <c r="E94" i="10"/>
  <c r="F94" i="10"/>
  <c r="G94" i="10"/>
  <c r="AF94" i="10"/>
  <c r="E79" i="10"/>
  <c r="F79" i="10"/>
  <c r="G79" i="10"/>
  <c r="AF79" i="10"/>
  <c r="E76" i="10"/>
  <c r="F76" i="10"/>
  <c r="E75" i="10"/>
  <c r="F75" i="10"/>
  <c r="G75" i="10"/>
  <c r="E72" i="10"/>
  <c r="F72" i="10"/>
  <c r="E71" i="10"/>
  <c r="F71" i="10"/>
  <c r="G71" i="10"/>
  <c r="AF71" i="10"/>
  <c r="E95" i="10"/>
  <c r="F95" i="10"/>
  <c r="E96" i="10"/>
  <c r="F96" i="10"/>
  <c r="E97" i="10"/>
  <c r="F97" i="10"/>
  <c r="G97" i="10"/>
  <c r="AF97" i="10"/>
  <c r="E98" i="10"/>
  <c r="F98" i="10"/>
  <c r="G98" i="10"/>
  <c r="AF98" i="10"/>
  <c r="E99" i="10"/>
  <c r="F99" i="10"/>
  <c r="E67" i="10"/>
  <c r="F67" i="10"/>
  <c r="G67" i="10"/>
  <c r="AF67" i="10"/>
  <c r="E100" i="10"/>
  <c r="F100" i="10"/>
  <c r="G100" i="10"/>
  <c r="AF100" i="10"/>
  <c r="E101" i="10"/>
  <c r="F101" i="10"/>
  <c r="G101" i="10"/>
  <c r="AF101" i="10"/>
  <c r="E102" i="10"/>
  <c r="F102" i="10"/>
  <c r="E66" i="10"/>
  <c r="F66" i="10"/>
  <c r="G66" i="10"/>
  <c r="AF66" i="10"/>
  <c r="E103" i="10"/>
  <c r="F103" i="10"/>
  <c r="G103" i="10"/>
  <c r="AF103" i="10"/>
  <c r="E104" i="10"/>
  <c r="F104" i="10"/>
  <c r="G104" i="10"/>
  <c r="AF104" i="10"/>
  <c r="E105" i="10"/>
  <c r="F105" i="10"/>
  <c r="E106" i="10"/>
  <c r="F106" i="10"/>
  <c r="G106" i="10"/>
  <c r="E107" i="10"/>
  <c r="F107" i="10"/>
  <c r="G107" i="10"/>
  <c r="E108" i="10"/>
  <c r="F108" i="10"/>
  <c r="G108" i="10"/>
  <c r="AF108" i="10"/>
  <c r="E59" i="10"/>
  <c r="F59" i="10"/>
  <c r="E56" i="10"/>
  <c r="F56" i="10"/>
  <c r="G56" i="10"/>
  <c r="E109" i="10"/>
  <c r="F109" i="10"/>
  <c r="G109" i="10"/>
  <c r="AF109" i="10"/>
  <c r="E110" i="10"/>
  <c r="F110" i="10"/>
  <c r="G110" i="10"/>
  <c r="AF110" i="10"/>
  <c r="E111" i="10"/>
  <c r="F111" i="10"/>
  <c r="E112" i="10"/>
  <c r="F112" i="10"/>
  <c r="G112" i="10"/>
  <c r="AF112" i="10"/>
  <c r="E113" i="10"/>
  <c r="F113" i="10"/>
  <c r="G113" i="10"/>
  <c r="AF113" i="10"/>
  <c r="E114" i="10"/>
  <c r="F114" i="10"/>
  <c r="G114" i="10"/>
  <c r="AF114" i="10"/>
  <c r="E57" i="10"/>
  <c r="F57" i="10"/>
  <c r="E115" i="10"/>
  <c r="F115" i="10"/>
  <c r="G115" i="10"/>
  <c r="AF115" i="10"/>
  <c r="E58" i="10"/>
  <c r="F58" i="10"/>
  <c r="G58" i="10"/>
  <c r="AF58" i="10"/>
  <c r="E55" i="10"/>
  <c r="F55" i="10"/>
  <c r="G55" i="10"/>
  <c r="AF55" i="10"/>
  <c r="E54" i="10"/>
  <c r="F54" i="10"/>
  <c r="E116" i="10"/>
  <c r="F116" i="10"/>
  <c r="E117" i="10"/>
  <c r="F117" i="10"/>
  <c r="G117" i="10"/>
  <c r="E118" i="10"/>
  <c r="F118" i="10"/>
  <c r="G118" i="10"/>
  <c r="AF118" i="10"/>
  <c r="E119" i="10"/>
  <c r="F119" i="10"/>
  <c r="E120" i="10"/>
  <c r="F120" i="10"/>
  <c r="G120" i="10"/>
  <c r="E121" i="10"/>
  <c r="F121" i="10"/>
  <c r="G121" i="10"/>
  <c r="AF121" i="10"/>
  <c r="E52" i="10"/>
  <c r="F52" i="10"/>
  <c r="G52" i="10"/>
  <c r="AF52" i="10"/>
  <c r="E122" i="10"/>
  <c r="F122" i="10"/>
  <c r="E123" i="10"/>
  <c r="F123" i="10"/>
  <c r="G123" i="10"/>
  <c r="E51" i="10"/>
  <c r="F51" i="10"/>
  <c r="G51" i="10"/>
  <c r="AF51" i="10"/>
  <c r="E124" i="10"/>
  <c r="F124" i="10"/>
  <c r="G124" i="10"/>
  <c r="AF124" i="10"/>
  <c r="E125" i="10"/>
  <c r="F125" i="10"/>
  <c r="E126" i="10"/>
  <c r="F126" i="10"/>
  <c r="G126" i="10"/>
  <c r="AF126" i="10"/>
  <c r="E127" i="10"/>
  <c r="F127" i="10"/>
  <c r="G127" i="10"/>
  <c r="AF127" i="10"/>
  <c r="E128" i="10"/>
  <c r="F128" i="10"/>
  <c r="G128" i="10"/>
  <c r="AF128" i="10"/>
  <c r="E50" i="10"/>
  <c r="F50" i="10"/>
  <c r="E129" i="10"/>
  <c r="F129" i="10"/>
  <c r="E130" i="10"/>
  <c r="F130" i="10"/>
  <c r="E131" i="10"/>
  <c r="F131" i="10"/>
  <c r="G131" i="10"/>
  <c r="AF131" i="10"/>
  <c r="E132" i="10"/>
  <c r="F132" i="10"/>
  <c r="E133" i="10"/>
  <c r="F133" i="10"/>
  <c r="E134" i="10"/>
  <c r="F134" i="10"/>
  <c r="G134" i="10"/>
  <c r="AF134" i="10"/>
  <c r="E135" i="10"/>
  <c r="F135" i="10"/>
  <c r="G135" i="10"/>
  <c r="AF135" i="10"/>
  <c r="E136" i="10"/>
  <c r="F136" i="10"/>
  <c r="AF137" i="10"/>
  <c r="AF141" i="10"/>
  <c r="AF143" i="10"/>
  <c r="AF145" i="10"/>
  <c r="AF146" i="10"/>
  <c r="AF147" i="10"/>
  <c r="AF149" i="10"/>
  <c r="AF151" i="10"/>
  <c r="AF152" i="10"/>
  <c r="AF153" i="10"/>
  <c r="AF154" i="10"/>
  <c r="AF156" i="10"/>
  <c r="AF158" i="10"/>
  <c r="AF161" i="10"/>
  <c r="AF162" i="10"/>
  <c r="AF164" i="10"/>
  <c r="AF165" i="10"/>
  <c r="AF166" i="10"/>
  <c r="AF167" i="10"/>
  <c r="AF46" i="10"/>
  <c r="AF44" i="10"/>
  <c r="AF168" i="10"/>
  <c r="AF169" i="10"/>
  <c r="AF171" i="10"/>
  <c r="AF173" i="10"/>
  <c r="AF174" i="10"/>
  <c r="AF175" i="10"/>
  <c r="AF177" i="10"/>
  <c r="AF179" i="10"/>
  <c r="AF180" i="10"/>
  <c r="AF181" i="10"/>
  <c r="AF183" i="10"/>
  <c r="AF185" i="10"/>
  <c r="AF187" i="10"/>
  <c r="AF190" i="10"/>
  <c r="AF191" i="10"/>
  <c r="AF193" i="10"/>
  <c r="BE11" i="10"/>
  <c r="D12" i="10"/>
  <c r="BE12" i="10"/>
  <c r="D13" i="10"/>
  <c r="BE13" i="10"/>
  <c r="AM14" i="10"/>
  <c r="AV14" i="10"/>
  <c r="AU14" i="10"/>
  <c r="BE14" i="10"/>
  <c r="BE15" i="10"/>
  <c r="F16" i="10"/>
  <c r="F17" i="10" s="1"/>
  <c r="AH16" i="10"/>
  <c r="BE16" i="10"/>
  <c r="C17" i="10"/>
  <c r="BE17" i="10"/>
  <c r="Q21" i="10"/>
  <c r="Q22" i="10"/>
  <c r="Q23" i="10"/>
  <c r="Q24" i="10"/>
  <c r="Q25" i="10"/>
  <c r="Q26" i="10"/>
  <c r="Q85" i="10"/>
  <c r="Q86" i="10"/>
  <c r="Q87" i="10"/>
  <c r="Q88" i="10"/>
  <c r="Q27" i="10"/>
  <c r="Q28" i="10"/>
  <c r="Q89" i="10"/>
  <c r="Q29" i="10"/>
  <c r="Q90" i="10"/>
  <c r="Q31" i="10"/>
  <c r="Q38" i="10"/>
  <c r="Q34" i="10"/>
  <c r="Q32" i="10"/>
  <c r="Q33" i="10"/>
  <c r="Q36" i="10"/>
  <c r="Q37" i="10"/>
  <c r="Q40" i="10"/>
  <c r="Q42" i="10"/>
  <c r="Q35" i="10"/>
  <c r="Q41" i="10"/>
  <c r="Q43" i="10"/>
  <c r="Q39" i="10"/>
  <c r="Q45" i="10"/>
  <c r="Q47" i="10"/>
  <c r="Q30" i="10"/>
  <c r="Q53" i="10"/>
  <c r="Q63" i="10"/>
  <c r="Q64" i="10"/>
  <c r="Q62" i="10"/>
  <c r="Q91" i="10"/>
  <c r="Q77" i="10"/>
  <c r="Q73" i="10"/>
  <c r="Q84" i="10"/>
  <c r="Q83" i="10"/>
  <c r="Q60" i="10"/>
  <c r="Q82" i="10"/>
  <c r="Q61" i="10"/>
  <c r="Q80" i="10"/>
  <c r="Q68" i="10"/>
  <c r="Q81" i="10"/>
  <c r="Q74" i="10"/>
  <c r="Q78" i="10"/>
  <c r="Q70" i="10"/>
  <c r="Q65" i="10"/>
  <c r="Q92" i="10"/>
  <c r="Q69" i="10"/>
  <c r="Q93" i="10"/>
  <c r="Q94" i="10"/>
  <c r="Q79" i="10"/>
  <c r="Q76" i="10"/>
  <c r="Q75" i="10"/>
  <c r="Q72" i="10"/>
  <c r="Q71" i="10"/>
  <c r="Q95" i="10"/>
  <c r="Q96" i="10"/>
  <c r="Q97" i="10"/>
  <c r="Q98" i="10"/>
  <c r="Q99" i="10"/>
  <c r="Q67" i="10"/>
  <c r="Q100" i="10"/>
  <c r="Q101" i="10"/>
  <c r="Q102" i="10"/>
  <c r="Q66" i="10"/>
  <c r="Q103" i="10"/>
  <c r="Q104" i="10"/>
  <c r="Q105" i="10"/>
  <c r="Q106" i="10"/>
  <c r="Q107" i="10"/>
  <c r="Q108" i="10"/>
  <c r="Q59" i="10"/>
  <c r="Q56" i="10"/>
  <c r="Q109" i="10"/>
  <c r="Q110" i="10"/>
  <c r="Q111" i="10"/>
  <c r="Q112" i="10"/>
  <c r="Q113" i="10"/>
  <c r="Q114" i="10"/>
  <c r="Q57" i="10"/>
  <c r="Q115" i="10"/>
  <c r="Q58" i="10"/>
  <c r="Q55" i="10"/>
  <c r="Q54" i="10"/>
  <c r="Q116" i="10"/>
  <c r="Q117" i="10"/>
  <c r="Q118" i="10"/>
  <c r="Q119" i="10"/>
  <c r="Q120" i="10"/>
  <c r="Q121" i="10"/>
  <c r="Q52" i="10"/>
  <c r="Q122" i="10"/>
  <c r="Q123" i="10"/>
  <c r="Q51" i="10"/>
  <c r="Q124" i="10"/>
  <c r="Q125" i="10"/>
  <c r="Q126" i="10"/>
  <c r="Q127" i="10"/>
  <c r="Q128" i="10"/>
  <c r="Q50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49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46" i="10"/>
  <c r="Q48" i="10"/>
  <c r="Q44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BE18" i="10"/>
  <c r="BE19" i="10"/>
  <c r="BE20" i="10"/>
  <c r="BE21" i="10"/>
  <c r="BE22" i="10"/>
  <c r="BE23" i="10"/>
  <c r="BE24" i="10"/>
  <c r="BE25" i="10"/>
  <c r="BE26" i="10"/>
  <c r="BE85" i="10"/>
  <c r="BE86" i="10"/>
  <c r="BE87" i="10"/>
  <c r="BE88" i="10"/>
  <c r="BE27" i="10"/>
  <c r="BE28" i="10"/>
  <c r="BE89" i="10"/>
  <c r="BE29" i="10"/>
  <c r="BE90" i="10"/>
  <c r="BE31" i="10"/>
  <c r="BE38" i="10"/>
  <c r="BE34" i="10"/>
  <c r="BE32" i="10"/>
  <c r="BE33" i="10"/>
  <c r="BE36" i="10"/>
  <c r="BE37" i="10"/>
  <c r="BE40" i="10"/>
  <c r="BE42" i="10"/>
  <c r="BE35" i="10"/>
  <c r="BE41" i="10"/>
  <c r="BE43" i="10"/>
  <c r="BE39" i="10"/>
  <c r="BE45" i="10"/>
  <c r="BE47" i="10"/>
  <c r="BE30" i="10"/>
  <c r="BE53" i="10"/>
  <c r="BE63" i="10"/>
  <c r="BE64" i="10"/>
  <c r="BE62" i="10"/>
  <c r="BE91" i="10"/>
  <c r="BE77" i="10"/>
  <c r="BE73" i="10"/>
  <c r="BE84" i="10"/>
  <c r="BE83" i="10"/>
  <c r="BE60" i="10"/>
  <c r="BE82" i="10"/>
  <c r="BE61" i="10"/>
  <c r="BE80" i="10"/>
  <c r="BE68" i="10"/>
  <c r="BE81" i="10"/>
  <c r="BE74" i="10"/>
  <c r="BE78" i="10"/>
  <c r="BE70" i="10"/>
  <c r="BE65" i="10"/>
  <c r="BE92" i="10"/>
  <c r="BE69" i="10"/>
  <c r="BE93" i="10"/>
  <c r="BE94" i="10"/>
  <c r="BE79" i="10"/>
  <c r="BE76" i="10"/>
  <c r="BE75" i="10"/>
  <c r="BE72" i="10"/>
  <c r="BE71" i="10"/>
  <c r="BE95" i="10"/>
  <c r="BE96" i="10"/>
  <c r="BE97" i="10"/>
  <c r="BM98" i="10"/>
  <c r="BL98" i="10"/>
  <c r="BK98" i="10"/>
  <c r="BJ98" i="10"/>
  <c r="BI98" i="10"/>
  <c r="BE98" i="10"/>
  <c r="BM99" i="10"/>
  <c r="BL99" i="10"/>
  <c r="BK99" i="10"/>
  <c r="BJ99" i="10"/>
  <c r="BI99" i="10"/>
  <c r="BE99" i="10"/>
  <c r="BE67" i="10"/>
  <c r="BM100" i="10"/>
  <c r="BL100" i="10"/>
  <c r="BK100" i="10"/>
  <c r="BJ100" i="10"/>
  <c r="BI100" i="10"/>
  <c r="BH100" i="10"/>
  <c r="BG100" i="10"/>
  <c r="BE100" i="10"/>
  <c r="BM101" i="10"/>
  <c r="BL101" i="10"/>
  <c r="BK101" i="10"/>
  <c r="BJ101" i="10"/>
  <c r="BI101" i="10"/>
  <c r="BG101" i="10"/>
  <c r="BE101" i="10"/>
  <c r="BM102" i="10"/>
  <c r="BL102" i="10"/>
  <c r="BK102" i="10"/>
  <c r="BJ102" i="10"/>
  <c r="BI102" i="10"/>
  <c r="BE102" i="10"/>
  <c r="BE66" i="10"/>
  <c r="BM103" i="10"/>
  <c r="BL103" i="10"/>
  <c r="BK103" i="10"/>
  <c r="BJ103" i="10"/>
  <c r="BI103" i="10"/>
  <c r="BE103" i="10"/>
  <c r="BM104" i="10"/>
  <c r="BL104" i="10"/>
  <c r="BK104" i="10"/>
  <c r="BJ104" i="10"/>
  <c r="BI104" i="10"/>
  <c r="BE104" i="10"/>
  <c r="BM105" i="10"/>
  <c r="BL105" i="10"/>
  <c r="BK105" i="10"/>
  <c r="BJ105" i="10"/>
  <c r="BI105" i="10"/>
  <c r="BE105" i="10"/>
  <c r="BM106" i="10"/>
  <c r="BL106" i="10"/>
  <c r="BK106" i="10"/>
  <c r="BJ106" i="10"/>
  <c r="BI106" i="10"/>
  <c r="BE106" i="10"/>
  <c r="BM107" i="10"/>
  <c r="BL107" i="10"/>
  <c r="BK107" i="10"/>
  <c r="BJ107" i="10"/>
  <c r="BI107" i="10"/>
  <c r="BE107" i="10"/>
  <c r="BM108" i="10"/>
  <c r="BL108" i="10"/>
  <c r="BK108" i="10"/>
  <c r="BJ108" i="10"/>
  <c r="BI108" i="10"/>
  <c r="BG108" i="10"/>
  <c r="BH108" i="10"/>
  <c r="BE108" i="10"/>
  <c r="BE59" i="10"/>
  <c r="BE56" i="10"/>
  <c r="D11" i="9"/>
  <c r="D12" i="9"/>
  <c r="P88" i="9" s="1"/>
  <c r="AC88" i="9" s="1"/>
  <c r="D13" i="9"/>
  <c r="AB2" i="9"/>
  <c r="AD2" i="9"/>
  <c r="AB18" i="9"/>
  <c r="AY2" i="9"/>
  <c r="AO3" i="9"/>
  <c r="AP3" i="9"/>
  <c r="AY3" i="9"/>
  <c r="AO4" i="9"/>
  <c r="AP4" i="9"/>
  <c r="AY4" i="9"/>
  <c r="AO5" i="9"/>
  <c r="AP5" i="9"/>
  <c r="AY5" i="9"/>
  <c r="AO6" i="9"/>
  <c r="AP6" i="9"/>
  <c r="AY6" i="9"/>
  <c r="AO7" i="9"/>
  <c r="AP7" i="9"/>
  <c r="AY7" i="9"/>
  <c r="AO8" i="9"/>
  <c r="AP8" i="9"/>
  <c r="AY8" i="9"/>
  <c r="D9" i="9"/>
  <c r="E9" i="9"/>
  <c r="AO9" i="9"/>
  <c r="AP9" i="9"/>
  <c r="AY9" i="9"/>
  <c r="AO10" i="9"/>
  <c r="AP10" i="9"/>
  <c r="AY10" i="9"/>
  <c r="AY11" i="9"/>
  <c r="AY12" i="9"/>
  <c r="AB13" i="9"/>
  <c r="AB17" i="9" s="1"/>
  <c r="AY13" i="9"/>
  <c r="AB14" i="9"/>
  <c r="AG14" i="9" s="1"/>
  <c r="AY14" i="9"/>
  <c r="AY15" i="9"/>
  <c r="AB16" i="9"/>
  <c r="AY16" i="9"/>
  <c r="C17" i="9"/>
  <c r="AY17" i="9"/>
  <c r="AY18" i="9"/>
  <c r="AY19" i="9"/>
  <c r="AY20" i="9"/>
  <c r="E21" i="9"/>
  <c r="F21" i="9" s="1"/>
  <c r="Q21" i="9"/>
  <c r="AY21" i="9"/>
  <c r="E22" i="9"/>
  <c r="F22" i="9" s="1"/>
  <c r="Z22" i="9" s="1"/>
  <c r="Q22" i="9"/>
  <c r="AY22" i="9"/>
  <c r="E23" i="9"/>
  <c r="F23" i="9" s="1"/>
  <c r="Q23" i="9"/>
  <c r="AY23" i="9"/>
  <c r="E24" i="9"/>
  <c r="F24" i="9" s="1"/>
  <c r="Q24" i="9"/>
  <c r="AY24" i="9"/>
  <c r="E25" i="9"/>
  <c r="F25" i="9" s="1"/>
  <c r="Q25" i="9"/>
  <c r="AY25" i="9"/>
  <c r="E26" i="9"/>
  <c r="F26" i="9"/>
  <c r="Q26" i="9"/>
  <c r="AY26" i="9"/>
  <c r="E27" i="9"/>
  <c r="F27" i="9" s="1"/>
  <c r="Q27" i="9"/>
  <c r="AY27" i="9"/>
  <c r="E28" i="9"/>
  <c r="F28" i="9" s="1"/>
  <c r="Q28" i="9"/>
  <c r="AY28" i="9"/>
  <c r="E29" i="9"/>
  <c r="F29" i="9"/>
  <c r="Q29" i="9"/>
  <c r="AY29" i="9"/>
  <c r="E30" i="9"/>
  <c r="F30" i="9" s="1"/>
  <c r="Q30" i="9"/>
  <c r="AY30" i="9"/>
  <c r="E31" i="9"/>
  <c r="F31" i="9"/>
  <c r="Q31" i="9"/>
  <c r="AY31" i="9"/>
  <c r="E32" i="9"/>
  <c r="F32" i="9"/>
  <c r="G32" i="9" s="1"/>
  <c r="J32" i="9" s="1"/>
  <c r="Q32" i="9"/>
  <c r="AY32" i="9"/>
  <c r="E33" i="9"/>
  <c r="F33" i="9" s="1"/>
  <c r="G33" i="9" s="1"/>
  <c r="Q33" i="9"/>
  <c r="AY33" i="9"/>
  <c r="E34" i="9"/>
  <c r="F34" i="9" s="1"/>
  <c r="Q34" i="9"/>
  <c r="AY34" i="9"/>
  <c r="E35" i="9"/>
  <c r="F35" i="9" s="1"/>
  <c r="AU35" i="9" s="1"/>
  <c r="Q35" i="9"/>
  <c r="AY35" i="9"/>
  <c r="E36" i="9"/>
  <c r="F36" i="9" s="1"/>
  <c r="Q36" i="9"/>
  <c r="AY36" i="9"/>
  <c r="E37" i="9"/>
  <c r="F37" i="9" s="1"/>
  <c r="Q37" i="9"/>
  <c r="AY37" i="9"/>
  <c r="E38" i="9"/>
  <c r="F38" i="9" s="1"/>
  <c r="Z38" i="9" s="1"/>
  <c r="Q38" i="9"/>
  <c r="AY38" i="9"/>
  <c r="E39" i="9"/>
  <c r="F39" i="9" s="1"/>
  <c r="Z39" i="9" s="1"/>
  <c r="Q39" i="9"/>
  <c r="AY39" i="9"/>
  <c r="E40" i="9"/>
  <c r="F40" i="9" s="1"/>
  <c r="Q40" i="9"/>
  <c r="AY40" i="9"/>
  <c r="E41" i="9"/>
  <c r="F41" i="9" s="1"/>
  <c r="Q41" i="9"/>
  <c r="AY41" i="9"/>
  <c r="E42" i="9"/>
  <c r="F42" i="9" s="1"/>
  <c r="Q42" i="9"/>
  <c r="AY42" i="9"/>
  <c r="E43" i="9"/>
  <c r="F43" i="9"/>
  <c r="Q43" i="9"/>
  <c r="AY43" i="9"/>
  <c r="E44" i="9"/>
  <c r="F44" i="9" s="1"/>
  <c r="Q44" i="9"/>
  <c r="AY44" i="9"/>
  <c r="E45" i="9"/>
  <c r="F45" i="9" s="1"/>
  <c r="Z45" i="9" s="1"/>
  <c r="Q45" i="9"/>
  <c r="AY45" i="9"/>
  <c r="E46" i="9"/>
  <c r="F46" i="9" s="1"/>
  <c r="Q46" i="9"/>
  <c r="AY46" i="9"/>
  <c r="E47" i="9"/>
  <c r="F47" i="9" s="1"/>
  <c r="Q47" i="9"/>
  <c r="BL47" i="9"/>
  <c r="AY47" i="9"/>
  <c r="E48" i="9"/>
  <c r="F48" i="9" s="1"/>
  <c r="Q48" i="9"/>
  <c r="AY48" i="9"/>
  <c r="E49" i="9"/>
  <c r="F49" i="9" s="1"/>
  <c r="Q49" i="9"/>
  <c r="AY49" i="9"/>
  <c r="E50" i="9"/>
  <c r="F50" i="9" s="1"/>
  <c r="Q50" i="9"/>
  <c r="AY50" i="9"/>
  <c r="E51" i="9"/>
  <c r="F51" i="9" s="1"/>
  <c r="Z51" i="9" s="1"/>
  <c r="Q51" i="9"/>
  <c r="AY51" i="9"/>
  <c r="E52" i="9"/>
  <c r="F52" i="9" s="1"/>
  <c r="Q52" i="9"/>
  <c r="AY52" i="9"/>
  <c r="E53" i="9"/>
  <c r="F53" i="9" s="1"/>
  <c r="Q53" i="9"/>
  <c r="AY53" i="9"/>
  <c r="E54" i="9"/>
  <c r="F54" i="9" s="1"/>
  <c r="Q54" i="9"/>
  <c r="AY54" i="9"/>
  <c r="E55" i="9"/>
  <c r="F55" i="9" s="1"/>
  <c r="Z55" i="9" s="1"/>
  <c r="Q55" i="9"/>
  <c r="BL55" i="9"/>
  <c r="AY55" i="9"/>
  <c r="E56" i="9"/>
  <c r="F56" i="9" s="1"/>
  <c r="Q56" i="9"/>
  <c r="AY56" i="9"/>
  <c r="E57" i="9"/>
  <c r="F57" i="9" s="1"/>
  <c r="Q57" i="9"/>
  <c r="AY57" i="9"/>
  <c r="E58" i="9"/>
  <c r="F58" i="9" s="1"/>
  <c r="Q58" i="9"/>
  <c r="AY58" i="9"/>
  <c r="E59" i="9"/>
  <c r="F59" i="9" s="1"/>
  <c r="Q59" i="9"/>
  <c r="AY59" i="9"/>
  <c r="E60" i="9"/>
  <c r="F60" i="9" s="1"/>
  <c r="Z60" i="9" s="1"/>
  <c r="Q60" i="9"/>
  <c r="AY60" i="9"/>
  <c r="E61" i="9"/>
  <c r="F61" i="9" s="1"/>
  <c r="Q61" i="9"/>
  <c r="AY61" i="9"/>
  <c r="E62" i="9"/>
  <c r="F62" i="9" s="1"/>
  <c r="Q62" i="9"/>
  <c r="AY62" i="9"/>
  <c r="E63" i="9"/>
  <c r="F63" i="9" s="1"/>
  <c r="Q63" i="9"/>
  <c r="AY63" i="9"/>
  <c r="E64" i="9"/>
  <c r="F64" i="9"/>
  <c r="Q64" i="9"/>
  <c r="AY64" i="9"/>
  <c r="E65" i="9"/>
  <c r="F65" i="9" s="1"/>
  <c r="G65" i="9" s="1"/>
  <c r="Q65" i="9"/>
  <c r="AY65" i="9"/>
  <c r="E66" i="9"/>
  <c r="F66" i="9" s="1"/>
  <c r="Q66" i="9"/>
  <c r="AY66" i="9"/>
  <c r="E67" i="9"/>
  <c r="F67" i="9" s="1"/>
  <c r="Q67" i="9"/>
  <c r="AY67" i="9"/>
  <c r="E68" i="9"/>
  <c r="F68" i="9" s="1"/>
  <c r="Q68" i="9"/>
  <c r="AY68" i="9"/>
  <c r="E69" i="9"/>
  <c r="F69" i="9" s="1"/>
  <c r="Q69" i="9"/>
  <c r="AY69" i="9"/>
  <c r="E70" i="9"/>
  <c r="F70" i="9" s="1"/>
  <c r="Q70" i="9"/>
  <c r="AY70" i="9"/>
  <c r="E71" i="9"/>
  <c r="F71" i="9" s="1"/>
  <c r="Q71" i="9"/>
  <c r="AY71" i="9"/>
  <c r="E72" i="9"/>
  <c r="F72" i="9" s="1"/>
  <c r="Q72" i="9"/>
  <c r="BL72" i="9"/>
  <c r="AY72" i="9"/>
  <c r="E73" i="9"/>
  <c r="F73" i="9" s="1"/>
  <c r="Q73" i="9"/>
  <c r="AY73" i="9"/>
  <c r="E74" i="9"/>
  <c r="F74" i="9" s="1"/>
  <c r="Q74" i="9"/>
  <c r="AY74" i="9"/>
  <c r="E75" i="9"/>
  <c r="F75" i="9" s="1"/>
  <c r="AU75" i="9" s="1"/>
  <c r="AT75" i="9" s="1"/>
  <c r="AS75" i="9" s="1"/>
  <c r="AR75" i="9" s="1"/>
  <c r="AQ75" i="9" s="1"/>
  <c r="AP75" i="9" s="1"/>
  <c r="AO75" i="9" s="1"/>
  <c r="AN75" i="9" s="1"/>
  <c r="AM75" i="9" s="1"/>
  <c r="AL75" i="9" s="1"/>
  <c r="Q75" i="9"/>
  <c r="BL75" i="9"/>
  <c r="AY75" i="9"/>
  <c r="E76" i="9"/>
  <c r="F76" i="9" s="1"/>
  <c r="Z76" i="9" s="1"/>
  <c r="Q76" i="9"/>
  <c r="AY76" i="9"/>
  <c r="E77" i="9"/>
  <c r="F77" i="9"/>
  <c r="G77" i="9" s="1"/>
  <c r="J77" i="9" s="1"/>
  <c r="Q77" i="9"/>
  <c r="AY77" i="9"/>
  <c r="E78" i="9"/>
  <c r="F78" i="9" s="1"/>
  <c r="Q78" i="9"/>
  <c r="AY78" i="9"/>
  <c r="E79" i="9"/>
  <c r="F79" i="9" s="1"/>
  <c r="Q79" i="9"/>
  <c r="AY79" i="9"/>
  <c r="E80" i="9"/>
  <c r="F80" i="9" s="1"/>
  <c r="Q80" i="9"/>
  <c r="BL80" i="9"/>
  <c r="AY80" i="9"/>
  <c r="E81" i="9"/>
  <c r="F81" i="9" s="1"/>
  <c r="Q81" i="9"/>
  <c r="AY81" i="9"/>
  <c r="E82" i="9"/>
  <c r="F82" i="9"/>
  <c r="Q82" i="9"/>
  <c r="AY82" i="9"/>
  <c r="E83" i="9"/>
  <c r="F83" i="9" s="1"/>
  <c r="Z83" i="9" s="1"/>
  <c r="Q83" i="9"/>
  <c r="BL83" i="9"/>
  <c r="AY83" i="9"/>
  <c r="E84" i="9"/>
  <c r="F84" i="9" s="1"/>
  <c r="Q84" i="9"/>
  <c r="AY84" i="9"/>
  <c r="E85" i="9"/>
  <c r="F85" i="9" s="1"/>
  <c r="Q85" i="9"/>
  <c r="AY85" i="9"/>
  <c r="E86" i="9"/>
  <c r="F86" i="9" s="1"/>
  <c r="AU86" i="9" s="1"/>
  <c r="AT86" i="9" s="1"/>
  <c r="Q86" i="9"/>
  <c r="BL86" i="9"/>
  <c r="AY86" i="9"/>
  <c r="E87" i="9"/>
  <c r="F87" i="9" s="1"/>
  <c r="Q87" i="9"/>
  <c r="AY87" i="9"/>
  <c r="E88" i="9"/>
  <c r="F88" i="9" s="1"/>
  <c r="G88" i="9" s="1"/>
  <c r="Q88" i="9"/>
  <c r="AY88" i="9"/>
  <c r="E89" i="9"/>
  <c r="F89" i="9" s="1"/>
  <c r="Z89" i="9" s="1"/>
  <c r="Q89" i="9"/>
  <c r="AY89" i="9"/>
  <c r="E90" i="9"/>
  <c r="F90" i="9" s="1"/>
  <c r="Q90" i="9"/>
  <c r="AY90" i="9"/>
  <c r="E91" i="9"/>
  <c r="F91" i="9" s="1"/>
  <c r="G91" i="9" s="1"/>
  <c r="K91" i="9" s="1"/>
  <c r="Q91" i="9"/>
  <c r="AY91" i="9"/>
  <c r="E92" i="9"/>
  <c r="F92" i="9" s="1"/>
  <c r="Q92" i="9"/>
  <c r="AY92" i="9"/>
  <c r="E93" i="9"/>
  <c r="F93" i="9" s="1"/>
  <c r="Q93" i="9"/>
  <c r="AY93" i="9"/>
  <c r="E94" i="9"/>
  <c r="F94" i="9" s="1"/>
  <c r="Z94" i="9" s="1"/>
  <c r="Q94" i="9"/>
  <c r="AY94" i="9"/>
  <c r="E95" i="9"/>
  <c r="F95" i="9" s="1"/>
  <c r="AU95" i="9" s="1"/>
  <c r="AT95" i="9" s="1"/>
  <c r="AS95" i="9" s="1"/>
  <c r="AR95" i="9" s="1"/>
  <c r="AQ95" i="9" s="1"/>
  <c r="AP95" i="9" s="1"/>
  <c r="AO95" i="9" s="1"/>
  <c r="AN95" i="9" s="1"/>
  <c r="AM95" i="9" s="1"/>
  <c r="AL95" i="9" s="1"/>
  <c r="Q95" i="9"/>
  <c r="AY95" i="9"/>
  <c r="E96" i="9"/>
  <c r="F96" i="9" s="1"/>
  <c r="AU96" i="9" s="1"/>
  <c r="AT96" i="9" s="1"/>
  <c r="AS96" i="9" s="1"/>
  <c r="AR96" i="9" s="1"/>
  <c r="AQ96" i="9" s="1"/>
  <c r="AP96" i="9" s="1"/>
  <c r="AO96" i="9" s="1"/>
  <c r="AN96" i="9" s="1"/>
  <c r="AM96" i="9" s="1"/>
  <c r="AL96" i="9" s="1"/>
  <c r="Q96" i="9"/>
  <c r="AY96" i="9"/>
  <c r="E97" i="9"/>
  <c r="F97" i="9" s="1"/>
  <c r="G97" i="9" s="1"/>
  <c r="K97" i="9" s="1"/>
  <c r="Q97" i="9"/>
  <c r="AY97" i="9"/>
  <c r="E98" i="9"/>
  <c r="F98" i="9" s="1"/>
  <c r="G98" i="9" s="1"/>
  <c r="K98" i="9" s="1"/>
  <c r="Q98" i="9"/>
  <c r="E99" i="9"/>
  <c r="F99" i="9" s="1"/>
  <c r="AU99" i="9" s="1"/>
  <c r="Q99" i="9"/>
  <c r="E100" i="9"/>
  <c r="F100" i="9" s="1"/>
  <c r="Q100" i="9"/>
  <c r="E101" i="9"/>
  <c r="F101" i="9" s="1"/>
  <c r="Q101" i="9"/>
  <c r="E102" i="9"/>
  <c r="F102" i="9" s="1"/>
  <c r="Q102" i="9"/>
  <c r="E103" i="9"/>
  <c r="F103" i="9" s="1"/>
  <c r="AU103" i="9" s="1"/>
  <c r="AT103" i="9" s="1"/>
  <c r="AS103" i="9" s="1"/>
  <c r="AR103" i="9" s="1"/>
  <c r="AQ103" i="9" s="1"/>
  <c r="AP103" i="9" s="1"/>
  <c r="AO103" i="9" s="1"/>
  <c r="AN103" i="9" s="1"/>
  <c r="AM103" i="9" s="1"/>
  <c r="AL103" i="9" s="1"/>
  <c r="Q103" i="9"/>
  <c r="E104" i="9"/>
  <c r="F104" i="9" s="1"/>
  <c r="AU104" i="9" s="1"/>
  <c r="AT104" i="9" s="1"/>
  <c r="AS104" i="9" s="1"/>
  <c r="AR104" i="9" s="1"/>
  <c r="AQ104" i="9" s="1"/>
  <c r="AP104" i="9" s="1"/>
  <c r="AO104" i="9" s="1"/>
  <c r="AN104" i="9" s="1"/>
  <c r="AM104" i="9" s="1"/>
  <c r="AL104" i="9" s="1"/>
  <c r="Q104" i="9"/>
  <c r="E105" i="9"/>
  <c r="F105" i="9" s="1"/>
  <c r="Q105" i="9"/>
  <c r="E106" i="9"/>
  <c r="F106" i="9"/>
  <c r="Q106" i="9"/>
  <c r="E107" i="9"/>
  <c r="F107" i="9" s="1"/>
  <c r="Q107" i="9"/>
  <c r="E108" i="9"/>
  <c r="F108" i="9" s="1"/>
  <c r="Q108" i="9"/>
  <c r="E109" i="9"/>
  <c r="F109" i="9" s="1"/>
  <c r="Q109" i="9"/>
  <c r="E110" i="9"/>
  <c r="F110" i="9" s="1"/>
  <c r="Q110" i="9"/>
  <c r="E111" i="9"/>
  <c r="F111" i="9" s="1"/>
  <c r="Q111" i="9"/>
  <c r="E112" i="9"/>
  <c r="F112" i="9" s="1"/>
  <c r="Q112" i="9"/>
  <c r="E113" i="9"/>
  <c r="F113" i="9" s="1"/>
  <c r="G113" i="9" s="1"/>
  <c r="J113" i="9" s="1"/>
  <c r="Q113" i="9"/>
  <c r="E114" i="9"/>
  <c r="F114" i="9" s="1"/>
  <c r="Q114" i="9"/>
  <c r="E115" i="9"/>
  <c r="F115" i="9" s="1"/>
  <c r="Q115" i="9"/>
  <c r="E116" i="9"/>
  <c r="F116" i="9" s="1"/>
  <c r="Q116" i="9"/>
  <c r="E117" i="9"/>
  <c r="F117" i="9" s="1"/>
  <c r="AU117" i="9" s="1"/>
  <c r="AT117" i="9" s="1"/>
  <c r="AS117" i="9" s="1"/>
  <c r="AR117" i="9" s="1"/>
  <c r="AQ117" i="9" s="1"/>
  <c r="AP117" i="9" s="1"/>
  <c r="AO117" i="9" s="1"/>
  <c r="AN117" i="9" s="1"/>
  <c r="AM117" i="9" s="1"/>
  <c r="AL117" i="9" s="1"/>
  <c r="Q117" i="9"/>
  <c r="E118" i="9"/>
  <c r="F118" i="9" s="1"/>
  <c r="Q118" i="9"/>
  <c r="E119" i="9"/>
  <c r="F119" i="9" s="1"/>
  <c r="Q119" i="9"/>
  <c r="E120" i="9"/>
  <c r="F120" i="9" s="1"/>
  <c r="Q120" i="9"/>
  <c r="E121" i="9"/>
  <c r="F121" i="9" s="1"/>
  <c r="Q121" i="9"/>
  <c r="E122" i="9"/>
  <c r="F122" i="9" s="1"/>
  <c r="Z122" i="9" s="1"/>
  <c r="Q122" i="9"/>
  <c r="E123" i="9"/>
  <c r="F123" i="9" s="1"/>
  <c r="Q123" i="9"/>
  <c r="E124" i="9"/>
  <c r="F124" i="9" s="1"/>
  <c r="Q124" i="9"/>
  <c r="E125" i="9"/>
  <c r="F125" i="9" s="1"/>
  <c r="Q125" i="9"/>
  <c r="E126" i="9"/>
  <c r="F126" i="9" s="1"/>
  <c r="Q126" i="9"/>
  <c r="E127" i="9"/>
  <c r="F127" i="9" s="1"/>
  <c r="Q127" i="9"/>
  <c r="E128" i="9"/>
  <c r="F128" i="9" s="1"/>
  <c r="Q128" i="9"/>
  <c r="E129" i="9"/>
  <c r="F129" i="9" s="1"/>
  <c r="Q129" i="9"/>
  <c r="E130" i="9"/>
  <c r="F130" i="9"/>
  <c r="Z130" i="9" s="1"/>
  <c r="G130" i="9"/>
  <c r="K130" i="9" s="1"/>
  <c r="Q130" i="9"/>
  <c r="E131" i="9"/>
  <c r="F131" i="9" s="1"/>
  <c r="Z131" i="9" s="1"/>
  <c r="Q131" i="9"/>
  <c r="E132" i="9"/>
  <c r="F132" i="9" s="1"/>
  <c r="Q132" i="9"/>
  <c r="E133" i="9"/>
  <c r="F133" i="9" s="1"/>
  <c r="Q133" i="9"/>
  <c r="E134" i="9"/>
  <c r="F134" i="9" s="1"/>
  <c r="Q134" i="9"/>
  <c r="E135" i="9"/>
  <c r="F135" i="9" s="1"/>
  <c r="Q135" i="9"/>
  <c r="E136" i="9"/>
  <c r="F136" i="9" s="1"/>
  <c r="Q136" i="9"/>
  <c r="E137" i="9"/>
  <c r="F137" i="9"/>
  <c r="Q137" i="9"/>
  <c r="E138" i="9"/>
  <c r="F138" i="9" s="1"/>
  <c r="Q138" i="9"/>
  <c r="E139" i="9"/>
  <c r="F139" i="9"/>
  <c r="G139" i="9" s="1"/>
  <c r="K139" i="9" s="1"/>
  <c r="Q139" i="9"/>
  <c r="E140" i="9"/>
  <c r="F140" i="9" s="1"/>
  <c r="Q140" i="9"/>
  <c r="E141" i="9"/>
  <c r="F141" i="9" s="1"/>
  <c r="Q141" i="9"/>
  <c r="E142" i="9"/>
  <c r="F142" i="9" s="1"/>
  <c r="Q142" i="9"/>
  <c r="E143" i="9"/>
  <c r="F143" i="9" s="1"/>
  <c r="Q143" i="9"/>
  <c r="E144" i="9"/>
  <c r="F144" i="9" s="1"/>
  <c r="Q144" i="9"/>
  <c r="E145" i="9"/>
  <c r="F145" i="9" s="1"/>
  <c r="G145" i="9" s="1"/>
  <c r="Q145" i="9"/>
  <c r="E146" i="9"/>
  <c r="F146" i="9" s="1"/>
  <c r="Q146" i="9"/>
  <c r="E147" i="9"/>
  <c r="F147" i="9" s="1"/>
  <c r="AU147" i="9" s="1"/>
  <c r="Q147" i="9"/>
  <c r="E148" i="9"/>
  <c r="F148" i="9" s="1"/>
  <c r="Q148" i="9"/>
  <c r="E149" i="9"/>
  <c r="F149" i="9" s="1"/>
  <c r="Z149" i="9" s="1"/>
  <c r="Q149" i="9"/>
  <c r="E150" i="9"/>
  <c r="F150" i="9" s="1"/>
  <c r="Q150" i="9"/>
  <c r="E151" i="9"/>
  <c r="F151" i="9" s="1"/>
  <c r="Z151" i="9" s="1"/>
  <c r="Q151" i="9"/>
  <c r="E152" i="9"/>
  <c r="F152" i="9" s="1"/>
  <c r="G152" i="9" s="1"/>
  <c r="Q152" i="9"/>
  <c r="E153" i="9"/>
  <c r="F153" i="9" s="1"/>
  <c r="Q153" i="9"/>
  <c r="E154" i="9"/>
  <c r="F154" i="9" s="1"/>
  <c r="Z154" i="9" s="1"/>
  <c r="Q154" i="9"/>
  <c r="E155" i="9"/>
  <c r="F155" i="9" s="1"/>
  <c r="Q155" i="9"/>
  <c r="E156" i="9"/>
  <c r="F156" i="9" s="1"/>
  <c r="Q156" i="9"/>
  <c r="E157" i="9"/>
  <c r="F157" i="9" s="1"/>
  <c r="Q157" i="9"/>
  <c r="E158" i="9"/>
  <c r="F158" i="9" s="1"/>
  <c r="Q158" i="9"/>
  <c r="E159" i="9"/>
  <c r="F159" i="9" s="1"/>
  <c r="Q159" i="9"/>
  <c r="E160" i="9"/>
  <c r="F160" i="9" s="1"/>
  <c r="Q160" i="9"/>
  <c r="E161" i="9"/>
  <c r="F161" i="9" s="1"/>
  <c r="G161" i="9" s="1"/>
  <c r="Q161" i="9"/>
  <c r="E162" i="9"/>
  <c r="F162" i="9" s="1"/>
  <c r="Q162" i="9"/>
  <c r="E163" i="9"/>
  <c r="F163" i="9" s="1"/>
  <c r="Q163" i="9"/>
  <c r="E164" i="9"/>
  <c r="F164" i="9" s="1"/>
  <c r="Q164" i="9"/>
  <c r="E165" i="9"/>
  <c r="F165" i="9" s="1"/>
  <c r="G165" i="9" s="1"/>
  <c r="Q165" i="9"/>
  <c r="E166" i="9"/>
  <c r="F166" i="9" s="1"/>
  <c r="AU166" i="9" s="1"/>
  <c r="AT166" i="9" s="1"/>
  <c r="AS166" i="9" s="1"/>
  <c r="AR166" i="9" s="1"/>
  <c r="AQ166" i="9" s="1"/>
  <c r="AP166" i="9" s="1"/>
  <c r="AO166" i="9" s="1"/>
  <c r="AN166" i="9" s="1"/>
  <c r="AM166" i="9" s="1"/>
  <c r="AL166" i="9" s="1"/>
  <c r="Q166" i="9"/>
  <c r="E167" i="9"/>
  <c r="F167" i="9" s="1"/>
  <c r="Q167" i="9"/>
  <c r="E168" i="9"/>
  <c r="F168" i="9" s="1"/>
  <c r="Z168" i="9" s="1"/>
  <c r="Q168" i="9"/>
  <c r="E169" i="9"/>
  <c r="F169" i="9" s="1"/>
  <c r="Q169" i="9"/>
  <c r="E170" i="9"/>
  <c r="F170" i="9" s="1"/>
  <c r="AU170" i="9" s="1"/>
  <c r="AT170" i="9" s="1"/>
  <c r="AS170" i="9" s="1"/>
  <c r="AR170" i="9" s="1"/>
  <c r="AQ170" i="9" s="1"/>
  <c r="AP170" i="9" s="1"/>
  <c r="AO170" i="9" s="1"/>
  <c r="AN170" i="9" s="1"/>
  <c r="AM170" i="9" s="1"/>
  <c r="AL170" i="9" s="1"/>
  <c r="Q170" i="9"/>
  <c r="E171" i="9"/>
  <c r="F171" i="9"/>
  <c r="Z171" i="9" s="1"/>
  <c r="Q171" i="9"/>
  <c r="E172" i="9"/>
  <c r="F172" i="9" s="1"/>
  <c r="Q172" i="9"/>
  <c r="E173" i="9"/>
  <c r="F173" i="9" s="1"/>
  <c r="Q173" i="9"/>
  <c r="E174" i="9"/>
  <c r="F174" i="9" s="1"/>
  <c r="G174" i="9" s="1"/>
  <c r="K174" i="9" s="1"/>
  <c r="Q174" i="9"/>
  <c r="E175" i="9"/>
  <c r="F175" i="9" s="1"/>
  <c r="Q175" i="9"/>
  <c r="E176" i="9"/>
  <c r="F176" i="9" s="1"/>
  <c r="Q176" i="9"/>
  <c r="E177" i="9"/>
  <c r="F177" i="9"/>
  <c r="AU177" i="9" s="1"/>
  <c r="AT177" i="9" s="1"/>
  <c r="AS177" i="9" s="1"/>
  <c r="AR177" i="9" s="1"/>
  <c r="Q177" i="9"/>
  <c r="E178" i="9"/>
  <c r="F178" i="9"/>
  <c r="Q178" i="9"/>
  <c r="E179" i="9"/>
  <c r="F179" i="9" s="1"/>
  <c r="Z179" i="9" s="1"/>
  <c r="G179" i="9"/>
  <c r="K179" i="9" s="1"/>
  <c r="Q179" i="9"/>
  <c r="E180" i="9"/>
  <c r="F180" i="9" s="1"/>
  <c r="G180" i="9" s="1"/>
  <c r="Q180" i="9"/>
  <c r="E181" i="9"/>
  <c r="F181" i="9"/>
  <c r="Q181" i="9"/>
  <c r="E182" i="9"/>
  <c r="F182" i="9" s="1"/>
  <c r="Q182" i="9"/>
  <c r="E183" i="9"/>
  <c r="F183" i="9" s="1"/>
  <c r="Q183" i="9"/>
  <c r="E184" i="9"/>
  <c r="F184" i="9" s="1"/>
  <c r="AU184" i="9" s="1"/>
  <c r="AT184" i="9" s="1"/>
  <c r="AS184" i="9" s="1"/>
  <c r="AR184" i="9" s="1"/>
  <c r="AQ184" i="9" s="1"/>
  <c r="AP184" i="9" s="1"/>
  <c r="AO184" i="9" s="1"/>
  <c r="AN184" i="9" s="1"/>
  <c r="AM184" i="9" s="1"/>
  <c r="AL184" i="9" s="1"/>
  <c r="Q184" i="9"/>
  <c r="E185" i="9"/>
  <c r="F185" i="9" s="1"/>
  <c r="Q185" i="9"/>
  <c r="E186" i="9"/>
  <c r="F186" i="9" s="1"/>
  <c r="Q186" i="9"/>
  <c r="E187" i="9"/>
  <c r="F187" i="9" s="1"/>
  <c r="Q187" i="9"/>
  <c r="E188" i="9"/>
  <c r="F188" i="9" s="1"/>
  <c r="Q188" i="9"/>
  <c r="E189" i="9"/>
  <c r="F189" i="9" s="1"/>
  <c r="Q189" i="9"/>
  <c r="E190" i="9"/>
  <c r="F190" i="9" s="1"/>
  <c r="Q190" i="9"/>
  <c r="E191" i="9"/>
  <c r="F191" i="9"/>
  <c r="Q191" i="9"/>
  <c r="E192" i="9"/>
  <c r="F192" i="9" s="1"/>
  <c r="Q192" i="9"/>
  <c r="E193" i="9"/>
  <c r="F193" i="9" s="1"/>
  <c r="Q193" i="9"/>
  <c r="A9" i="5"/>
  <c r="C9" i="5" s="1"/>
  <c r="N13" i="5" s="1"/>
  <c r="D21" i="5"/>
  <c r="F21" i="5" s="1"/>
  <c r="G4" i="5"/>
  <c r="G5" i="5"/>
  <c r="G6" i="5"/>
  <c r="G7" i="5"/>
  <c r="B10" i="5"/>
  <c r="E12" i="5"/>
  <c r="M12" i="5"/>
  <c r="O12" i="5"/>
  <c r="I15" i="5"/>
  <c r="C16" i="5"/>
  <c r="C15" i="5"/>
  <c r="D16" i="5"/>
  <c r="D15" i="5"/>
  <c r="E16" i="5"/>
  <c r="E15" i="5"/>
  <c r="F16" i="5"/>
  <c r="F15" i="5"/>
  <c r="G16" i="5"/>
  <c r="G15" i="5"/>
  <c r="H16" i="5"/>
  <c r="H15" i="5"/>
  <c r="I16" i="5"/>
  <c r="J16" i="5"/>
  <c r="J15" i="5"/>
  <c r="J12" i="5"/>
  <c r="K16" i="5"/>
  <c r="K15" i="5"/>
  <c r="L16" i="5"/>
  <c r="L15" i="5"/>
  <c r="M16" i="5"/>
  <c r="M15" i="5"/>
  <c r="N16" i="5"/>
  <c r="N15" i="5"/>
  <c r="O16" i="5"/>
  <c r="O15" i="5"/>
  <c r="P16" i="5"/>
  <c r="P15" i="5"/>
  <c r="P12" i="5"/>
  <c r="Q16" i="5"/>
  <c r="Q15" i="5"/>
  <c r="E21" i="5"/>
  <c r="D22" i="5"/>
  <c r="E22" i="5"/>
  <c r="L22" i="5"/>
  <c r="F22" i="5"/>
  <c r="H22" i="5"/>
  <c r="I22" i="5"/>
  <c r="J22" i="5"/>
  <c r="K22" i="5"/>
  <c r="D23" i="5"/>
  <c r="E23" i="5"/>
  <c r="F23" i="5"/>
  <c r="H23" i="5"/>
  <c r="I23" i="5"/>
  <c r="J23" i="5"/>
  <c r="D24" i="5"/>
  <c r="F24" i="5"/>
  <c r="E24" i="5"/>
  <c r="H24" i="5"/>
  <c r="J24" i="5"/>
  <c r="K24" i="5"/>
  <c r="D25" i="5"/>
  <c r="I25" i="5"/>
  <c r="E25" i="5"/>
  <c r="K25" i="5"/>
  <c r="G25" i="5"/>
  <c r="H25" i="5"/>
  <c r="J25" i="5"/>
  <c r="L25" i="5"/>
  <c r="D26" i="5"/>
  <c r="E26" i="5"/>
  <c r="F26" i="5"/>
  <c r="H26" i="5"/>
  <c r="I26" i="5"/>
  <c r="J26" i="5"/>
  <c r="D27" i="5"/>
  <c r="L27" i="5"/>
  <c r="E27" i="5"/>
  <c r="G27" i="5"/>
  <c r="F27" i="5"/>
  <c r="K27" i="5"/>
  <c r="D28" i="5"/>
  <c r="E28" i="5"/>
  <c r="G28" i="5"/>
  <c r="D29" i="5"/>
  <c r="I29" i="5"/>
  <c r="E29" i="5"/>
  <c r="K29" i="5"/>
  <c r="G29" i="5"/>
  <c r="H29" i="5"/>
  <c r="J29" i="5"/>
  <c r="L29" i="5"/>
  <c r="D30" i="5"/>
  <c r="E30" i="5"/>
  <c r="F30" i="5"/>
  <c r="H30" i="5"/>
  <c r="I30" i="5"/>
  <c r="J30" i="5"/>
  <c r="D31" i="5"/>
  <c r="L31" i="5"/>
  <c r="E31" i="5"/>
  <c r="G31" i="5"/>
  <c r="F31" i="5"/>
  <c r="K31" i="5"/>
  <c r="D32" i="5"/>
  <c r="E32" i="5"/>
  <c r="G32" i="5"/>
  <c r="J32" i="5"/>
  <c r="L32" i="5"/>
  <c r="D33" i="5"/>
  <c r="E33" i="5"/>
  <c r="G33" i="5"/>
  <c r="D34" i="5"/>
  <c r="E34" i="5"/>
  <c r="F34" i="5"/>
  <c r="H34" i="5"/>
  <c r="I34" i="5"/>
  <c r="J34" i="5"/>
  <c r="D35" i="5"/>
  <c r="K35" i="5"/>
  <c r="E35" i="5"/>
  <c r="G35" i="5"/>
  <c r="F35" i="5"/>
  <c r="H35" i="5"/>
  <c r="L35" i="5"/>
  <c r="D36" i="5"/>
  <c r="F36" i="5"/>
  <c r="E36" i="5"/>
  <c r="G36" i="5"/>
  <c r="I36" i="5"/>
  <c r="J36" i="5"/>
  <c r="D37" i="5"/>
  <c r="E37" i="5"/>
  <c r="G37" i="5"/>
  <c r="J37" i="5"/>
  <c r="L37" i="5"/>
  <c r="D38" i="5"/>
  <c r="E38" i="5"/>
  <c r="F38" i="5"/>
  <c r="H38" i="5"/>
  <c r="I38" i="5"/>
  <c r="J38" i="5"/>
  <c r="D39" i="5"/>
  <c r="E39" i="5"/>
  <c r="G39" i="5"/>
  <c r="H39" i="5"/>
  <c r="D40" i="5"/>
  <c r="I40" i="5"/>
  <c r="E40" i="5"/>
  <c r="F40" i="5"/>
  <c r="G40" i="5"/>
  <c r="J40" i="5"/>
  <c r="L40" i="5"/>
  <c r="D41" i="5"/>
  <c r="E41" i="5"/>
  <c r="K41" i="5"/>
  <c r="G41" i="5"/>
  <c r="H41" i="5"/>
  <c r="J41" i="5"/>
  <c r="L41" i="5"/>
  <c r="D42" i="5"/>
  <c r="E42" i="5"/>
  <c r="F42" i="5"/>
  <c r="H42" i="5"/>
  <c r="I42" i="5"/>
  <c r="J42" i="5"/>
  <c r="D43" i="5"/>
  <c r="E43" i="5"/>
  <c r="G43" i="5"/>
  <c r="F43" i="5"/>
  <c r="K43" i="5"/>
  <c r="L43" i="5"/>
  <c r="D44" i="5"/>
  <c r="E44" i="5"/>
  <c r="G44" i="5"/>
  <c r="D45" i="5"/>
  <c r="E45" i="5"/>
  <c r="K45" i="5"/>
  <c r="G45" i="5"/>
  <c r="J45" i="5"/>
  <c r="D46" i="5"/>
  <c r="E46" i="5"/>
  <c r="F46" i="5"/>
  <c r="H46" i="5"/>
  <c r="I46" i="5"/>
  <c r="J46" i="5"/>
  <c r="D47" i="5"/>
  <c r="F47" i="5"/>
  <c r="E47" i="5"/>
  <c r="G47" i="5"/>
  <c r="H47" i="5"/>
  <c r="K47" i="5"/>
  <c r="L47" i="5"/>
  <c r="D48" i="5"/>
  <c r="E48" i="5"/>
  <c r="F48" i="5"/>
  <c r="G48" i="5"/>
  <c r="I48" i="5"/>
  <c r="J48" i="5"/>
  <c r="L48" i="5"/>
  <c r="D49" i="5"/>
  <c r="E49" i="5"/>
  <c r="G49" i="5"/>
  <c r="D50" i="5"/>
  <c r="E50" i="5"/>
  <c r="F50" i="5"/>
  <c r="H50" i="5"/>
  <c r="I50" i="5"/>
  <c r="J50" i="5"/>
  <c r="D51" i="5"/>
  <c r="K51" i="5"/>
  <c r="E51" i="5"/>
  <c r="G51" i="5"/>
  <c r="F51" i="5"/>
  <c r="H51" i="5"/>
  <c r="L51" i="5"/>
  <c r="D52" i="5"/>
  <c r="F52" i="5"/>
  <c r="E52" i="5"/>
  <c r="G52" i="5"/>
  <c r="I52" i="5"/>
  <c r="J52" i="5"/>
  <c r="D53" i="5"/>
  <c r="E53" i="5"/>
  <c r="G53" i="5"/>
  <c r="D54" i="5"/>
  <c r="E54" i="5"/>
  <c r="F54" i="5"/>
  <c r="H54" i="5"/>
  <c r="I54" i="5"/>
  <c r="J54" i="5"/>
  <c r="D55" i="5"/>
  <c r="E55" i="5"/>
  <c r="G55" i="5"/>
  <c r="H55" i="5"/>
  <c r="D56" i="5"/>
  <c r="I56" i="5"/>
  <c r="E56" i="5"/>
  <c r="F56" i="5"/>
  <c r="G56" i="5"/>
  <c r="J56" i="5"/>
  <c r="L56" i="5"/>
  <c r="D57" i="5"/>
  <c r="E57" i="5"/>
  <c r="K57" i="5"/>
  <c r="G57" i="5"/>
  <c r="H57" i="5"/>
  <c r="J57" i="5"/>
  <c r="L57" i="5"/>
  <c r="D58" i="5"/>
  <c r="E58" i="5"/>
  <c r="F58" i="5"/>
  <c r="H58" i="5"/>
  <c r="I58" i="5"/>
  <c r="J58" i="5"/>
  <c r="D59" i="5"/>
  <c r="E59" i="5"/>
  <c r="G59" i="5"/>
  <c r="F59" i="5"/>
  <c r="K59" i="5"/>
  <c r="L59" i="5"/>
  <c r="D60" i="5"/>
  <c r="E60" i="5"/>
  <c r="G60" i="5"/>
  <c r="D61" i="5"/>
  <c r="J61" i="5"/>
  <c r="E61" i="5"/>
  <c r="G61" i="5"/>
  <c r="D62" i="5"/>
  <c r="E62" i="5"/>
  <c r="F62" i="5"/>
  <c r="H62" i="5"/>
  <c r="I62" i="5"/>
  <c r="J62" i="5"/>
  <c r="D63" i="5"/>
  <c r="F63" i="5"/>
  <c r="E63" i="5"/>
  <c r="G63" i="5"/>
  <c r="H63" i="5"/>
  <c r="K63" i="5"/>
  <c r="L63" i="5"/>
  <c r="D64" i="5"/>
  <c r="E64" i="5"/>
  <c r="F64" i="5"/>
  <c r="G64" i="5"/>
  <c r="I64" i="5"/>
  <c r="J64" i="5"/>
  <c r="L64" i="5"/>
  <c r="D65" i="5"/>
  <c r="E65" i="5"/>
  <c r="G65" i="5"/>
  <c r="D66" i="5"/>
  <c r="E66" i="5"/>
  <c r="F66" i="5"/>
  <c r="H66" i="5"/>
  <c r="I66" i="5"/>
  <c r="J66" i="5"/>
  <c r="D67" i="5"/>
  <c r="K67" i="5"/>
  <c r="E67" i="5"/>
  <c r="G67" i="5"/>
  <c r="F67" i="5"/>
  <c r="H67" i="5"/>
  <c r="L67" i="5"/>
  <c r="D68" i="5"/>
  <c r="F68" i="5"/>
  <c r="E68" i="5"/>
  <c r="G68" i="5"/>
  <c r="I68" i="5"/>
  <c r="J68" i="5"/>
  <c r="D69" i="5"/>
  <c r="E69" i="5"/>
  <c r="G69" i="5"/>
  <c r="J69" i="5"/>
  <c r="L69" i="5"/>
  <c r="D70" i="5"/>
  <c r="E70" i="5"/>
  <c r="F70" i="5"/>
  <c r="H70" i="5"/>
  <c r="I70" i="5"/>
  <c r="J70" i="5"/>
  <c r="D71" i="5"/>
  <c r="E71" i="5"/>
  <c r="G71" i="5"/>
  <c r="H71" i="5"/>
  <c r="D72" i="5"/>
  <c r="F72" i="5"/>
  <c r="E72" i="5"/>
  <c r="G72" i="5"/>
  <c r="I72" i="5"/>
  <c r="D73" i="5"/>
  <c r="J73" i="5"/>
  <c r="E73" i="5"/>
  <c r="H73" i="5"/>
  <c r="D74" i="5"/>
  <c r="E74" i="5"/>
  <c r="F74" i="5"/>
  <c r="H74" i="5"/>
  <c r="I74" i="5"/>
  <c r="J74" i="5"/>
  <c r="K74" i="5"/>
  <c r="D75" i="5"/>
  <c r="J75" i="5"/>
  <c r="E75" i="5"/>
  <c r="G75" i="5"/>
  <c r="F75" i="5"/>
  <c r="H75" i="5"/>
  <c r="I75" i="5"/>
  <c r="K75" i="5"/>
  <c r="L75" i="5"/>
  <c r="D76" i="5"/>
  <c r="F76" i="5"/>
  <c r="E76" i="5"/>
  <c r="G76" i="5"/>
  <c r="I76" i="5"/>
  <c r="J76" i="5"/>
  <c r="D77" i="5"/>
  <c r="E77" i="5"/>
  <c r="G77" i="5"/>
  <c r="J77" i="5"/>
  <c r="D78" i="5"/>
  <c r="E78" i="5"/>
  <c r="F78" i="5"/>
  <c r="H78" i="5"/>
  <c r="I78" i="5"/>
  <c r="J78" i="5"/>
  <c r="D79" i="5"/>
  <c r="J79" i="5"/>
  <c r="E79" i="5"/>
  <c r="G79" i="5"/>
  <c r="F79" i="5"/>
  <c r="I79" i="5"/>
  <c r="K79" i="5"/>
  <c r="L79" i="5"/>
  <c r="D80" i="5"/>
  <c r="F80" i="5"/>
  <c r="E80" i="5"/>
  <c r="G80" i="5"/>
  <c r="L80" i="5"/>
  <c r="D81" i="5"/>
  <c r="E81" i="5"/>
  <c r="H81" i="5"/>
  <c r="D82" i="5"/>
  <c r="E82" i="5"/>
  <c r="F82" i="5"/>
  <c r="H82" i="5"/>
  <c r="I82" i="5"/>
  <c r="J82" i="5"/>
  <c r="D83" i="5"/>
  <c r="E83" i="5"/>
  <c r="G83" i="5"/>
  <c r="D84" i="5"/>
  <c r="I84" i="5"/>
  <c r="E84" i="5"/>
  <c r="F84" i="5"/>
  <c r="G84" i="5"/>
  <c r="J84" i="5"/>
  <c r="L84" i="5"/>
  <c r="D85" i="5"/>
  <c r="E85" i="5"/>
  <c r="K85" i="5"/>
  <c r="G85" i="5"/>
  <c r="H85" i="5"/>
  <c r="J85" i="5"/>
  <c r="D86" i="5"/>
  <c r="E86" i="5"/>
  <c r="F86" i="5"/>
  <c r="H86" i="5"/>
  <c r="I86" i="5"/>
  <c r="J86" i="5"/>
  <c r="K86" i="5"/>
  <c r="D87" i="5"/>
  <c r="J87" i="5"/>
  <c r="E87" i="5"/>
  <c r="G87" i="5"/>
  <c r="H87" i="5"/>
  <c r="I87" i="5"/>
  <c r="K87" i="5"/>
  <c r="D88" i="5"/>
  <c r="E88" i="5"/>
  <c r="G88" i="5"/>
  <c r="I88" i="5"/>
  <c r="D89" i="5"/>
  <c r="E89" i="5"/>
  <c r="J89" i="5"/>
  <c r="L89" i="5"/>
  <c r="D90" i="5"/>
  <c r="E90" i="5"/>
  <c r="F90" i="5"/>
  <c r="H90" i="5"/>
  <c r="I90" i="5"/>
  <c r="J90" i="5"/>
  <c r="K90" i="5"/>
  <c r="D91" i="5"/>
  <c r="E91" i="5"/>
  <c r="G91" i="5"/>
  <c r="D92" i="5"/>
  <c r="E92" i="5"/>
  <c r="G92" i="5"/>
  <c r="D93" i="5"/>
  <c r="E93" i="5"/>
  <c r="D94" i="5"/>
  <c r="E94" i="5"/>
  <c r="F94" i="5"/>
  <c r="H94" i="5"/>
  <c r="I94" i="5"/>
  <c r="J94" i="5"/>
  <c r="D95" i="5"/>
  <c r="J95" i="5"/>
  <c r="E95" i="5"/>
  <c r="G95" i="5"/>
  <c r="F95" i="5"/>
  <c r="H95" i="5"/>
  <c r="K95" i="5"/>
  <c r="L95" i="5"/>
  <c r="D96" i="5"/>
  <c r="E96" i="5"/>
  <c r="F96" i="5"/>
  <c r="G96" i="5"/>
  <c r="I96" i="5"/>
  <c r="J96" i="5"/>
  <c r="L96" i="5"/>
  <c r="D97" i="5"/>
  <c r="E97" i="5"/>
  <c r="G97" i="5"/>
  <c r="H97" i="5"/>
  <c r="J97" i="5"/>
  <c r="L97" i="5"/>
  <c r="D98" i="5"/>
  <c r="E98" i="5"/>
  <c r="F98" i="5"/>
  <c r="H98" i="5"/>
  <c r="I98" i="5"/>
  <c r="J98" i="5"/>
  <c r="K98" i="5"/>
  <c r="D99" i="5"/>
  <c r="I99" i="5"/>
  <c r="E99" i="5"/>
  <c r="F99" i="5"/>
  <c r="G99" i="5"/>
  <c r="K99" i="5"/>
  <c r="L99" i="5"/>
  <c r="D100" i="5"/>
  <c r="E100" i="5"/>
  <c r="H100" i="5"/>
  <c r="D101" i="5"/>
  <c r="E101" i="5"/>
  <c r="F101" i="5"/>
  <c r="H101" i="5"/>
  <c r="I101" i="5"/>
  <c r="J101" i="5"/>
  <c r="K101" i="5"/>
  <c r="D102" i="5"/>
  <c r="H102" i="5"/>
  <c r="E102" i="5"/>
  <c r="F102" i="5"/>
  <c r="G102" i="5"/>
  <c r="J102" i="5"/>
  <c r="K102" i="5"/>
  <c r="D103" i="5"/>
  <c r="E103" i="5"/>
  <c r="J103" i="5"/>
  <c r="K103" i="5"/>
  <c r="L103" i="5"/>
  <c r="D104" i="5"/>
  <c r="J104" i="5"/>
  <c r="E104" i="5"/>
  <c r="K104" i="5"/>
  <c r="F104" i="5"/>
  <c r="H104" i="5"/>
  <c r="I104" i="5"/>
  <c r="L104" i="5"/>
  <c r="D105" i="5"/>
  <c r="E105" i="5"/>
  <c r="G105" i="5"/>
  <c r="D106" i="5"/>
  <c r="E106" i="5"/>
  <c r="L106" i="5"/>
  <c r="F106" i="5"/>
  <c r="G106" i="5"/>
  <c r="H106" i="5"/>
  <c r="I106" i="5"/>
  <c r="J106" i="5"/>
  <c r="K106" i="5"/>
  <c r="D107" i="5"/>
  <c r="F107" i="5"/>
  <c r="E107" i="5"/>
  <c r="G107" i="5"/>
  <c r="K107" i="5"/>
  <c r="L107" i="5"/>
  <c r="D108" i="5"/>
  <c r="F108" i="5"/>
  <c r="E108" i="5"/>
  <c r="K108" i="5"/>
  <c r="G108" i="5"/>
  <c r="H108" i="5"/>
  <c r="I108" i="5"/>
  <c r="J108" i="5"/>
  <c r="L108" i="5"/>
  <c r="D109" i="5"/>
  <c r="E109" i="5"/>
  <c r="F109" i="5"/>
  <c r="H109" i="5"/>
  <c r="I109" i="5"/>
  <c r="J109" i="5"/>
  <c r="K109" i="5"/>
  <c r="D110" i="5"/>
  <c r="H110" i="5"/>
  <c r="E110" i="5"/>
  <c r="F110" i="5"/>
  <c r="G110" i="5"/>
  <c r="I110" i="5"/>
  <c r="J110" i="5"/>
  <c r="K110" i="5"/>
  <c r="L110" i="5"/>
  <c r="D111" i="5"/>
  <c r="E111" i="5"/>
  <c r="G111" i="5"/>
  <c r="D112" i="5"/>
  <c r="J112" i="5"/>
  <c r="E112" i="5"/>
  <c r="F112" i="5"/>
  <c r="H112" i="5"/>
  <c r="I112" i="5"/>
  <c r="K112" i="5"/>
  <c r="D113" i="5"/>
  <c r="E113" i="5"/>
  <c r="D114" i="5"/>
  <c r="E114" i="5"/>
  <c r="L114" i="5"/>
  <c r="F114" i="5"/>
  <c r="G114" i="5"/>
  <c r="H114" i="5"/>
  <c r="I114" i="5"/>
  <c r="J114" i="5"/>
  <c r="D115" i="5"/>
  <c r="E115" i="5"/>
  <c r="G115" i="5"/>
  <c r="D116" i="5"/>
  <c r="F116" i="5"/>
  <c r="E116" i="5"/>
  <c r="G116" i="5"/>
  <c r="H116" i="5"/>
  <c r="I116" i="5"/>
  <c r="J116" i="5"/>
  <c r="D117" i="5"/>
  <c r="E117" i="5"/>
  <c r="F117" i="5"/>
  <c r="H117" i="5"/>
  <c r="I117" i="5"/>
  <c r="J117" i="5"/>
  <c r="D118" i="5"/>
  <c r="H118" i="5"/>
  <c r="E118" i="5"/>
  <c r="G118" i="5"/>
  <c r="I118" i="5"/>
  <c r="J118" i="5"/>
  <c r="L118" i="5"/>
  <c r="D119" i="5"/>
  <c r="E119" i="5"/>
  <c r="D120" i="5"/>
  <c r="E120" i="5"/>
  <c r="I120" i="5"/>
  <c r="K120" i="5"/>
  <c r="L120" i="5"/>
  <c r="D121" i="5"/>
  <c r="H121" i="5"/>
  <c r="E121" i="5"/>
  <c r="G121" i="5"/>
  <c r="F121" i="5"/>
  <c r="J121" i="5"/>
  <c r="D122" i="5"/>
  <c r="E122" i="5"/>
  <c r="F122" i="5"/>
  <c r="H122" i="5"/>
  <c r="I122" i="5"/>
  <c r="J122" i="5"/>
  <c r="K122" i="5"/>
  <c r="D123" i="5"/>
  <c r="F123" i="5"/>
  <c r="E123" i="5"/>
  <c r="G123" i="5"/>
  <c r="H123" i="5"/>
  <c r="D124" i="5"/>
  <c r="I124" i="5"/>
  <c r="E124" i="5"/>
  <c r="G124" i="5"/>
  <c r="L124" i="5"/>
  <c r="D125" i="5"/>
  <c r="E125" i="5"/>
  <c r="F125" i="5"/>
  <c r="H125" i="5"/>
  <c r="I125" i="5"/>
  <c r="J125" i="5"/>
  <c r="D126" i="5"/>
  <c r="E126" i="5"/>
  <c r="G126" i="5"/>
  <c r="D127" i="5"/>
  <c r="E127" i="5"/>
  <c r="D128" i="5"/>
  <c r="J128" i="5"/>
  <c r="E128" i="5"/>
  <c r="F128" i="5"/>
  <c r="I128" i="5"/>
  <c r="D129" i="5"/>
  <c r="H129" i="5"/>
  <c r="E129" i="5"/>
  <c r="K129" i="5"/>
  <c r="F129" i="5"/>
  <c r="G129" i="5"/>
  <c r="I129" i="5"/>
  <c r="J129" i="5"/>
  <c r="L129" i="5"/>
  <c r="D130" i="5"/>
  <c r="E130" i="5"/>
  <c r="L130" i="5"/>
  <c r="F130" i="5"/>
  <c r="G130" i="5"/>
  <c r="H130" i="5"/>
  <c r="I130" i="5"/>
  <c r="J130" i="5"/>
  <c r="K130" i="5"/>
  <c r="D131" i="5"/>
  <c r="J131" i="5"/>
  <c r="E131" i="5"/>
  <c r="F131" i="5"/>
  <c r="G131" i="5"/>
  <c r="I131" i="5"/>
  <c r="K131" i="5"/>
  <c r="D132" i="5"/>
  <c r="F132" i="5"/>
  <c r="E132" i="5"/>
  <c r="I132" i="5"/>
  <c r="J132" i="5"/>
  <c r="L132" i="5"/>
  <c r="D133" i="5"/>
  <c r="E133" i="5"/>
  <c r="F133" i="5"/>
  <c r="H133" i="5"/>
  <c r="I133" i="5"/>
  <c r="J133" i="5"/>
  <c r="D134" i="5"/>
  <c r="I134" i="5"/>
  <c r="E134" i="5"/>
  <c r="G134" i="5"/>
  <c r="J134" i="5"/>
  <c r="K134" i="5"/>
  <c r="D135" i="5"/>
  <c r="E135" i="5"/>
  <c r="L135" i="5"/>
  <c r="G135" i="5"/>
  <c r="D136" i="5"/>
  <c r="J136" i="5"/>
  <c r="E136" i="5"/>
  <c r="F136" i="5"/>
  <c r="G136" i="5"/>
  <c r="H136" i="5"/>
  <c r="I136" i="5"/>
  <c r="K136" i="5"/>
  <c r="L136" i="5"/>
  <c r="D137" i="5"/>
  <c r="E137" i="5"/>
  <c r="F137" i="5"/>
  <c r="H137" i="5"/>
  <c r="I137" i="5"/>
  <c r="J137" i="5"/>
  <c r="L137" i="5"/>
  <c r="D138" i="5"/>
  <c r="E138" i="5"/>
  <c r="F138" i="5"/>
  <c r="H138" i="5"/>
  <c r="I138" i="5"/>
  <c r="J138" i="5"/>
  <c r="D139" i="5"/>
  <c r="J139" i="5"/>
  <c r="E139" i="5"/>
  <c r="F139" i="5"/>
  <c r="G139" i="5"/>
  <c r="I139" i="5"/>
  <c r="L139" i="5"/>
  <c r="D140" i="5"/>
  <c r="F140" i="5"/>
  <c r="E140" i="5"/>
  <c r="G140" i="5"/>
  <c r="H140" i="5"/>
  <c r="I140" i="5"/>
  <c r="J140" i="5"/>
  <c r="L140" i="5"/>
  <c r="D141" i="5"/>
  <c r="F141" i="5"/>
  <c r="E141" i="5"/>
  <c r="G141" i="5"/>
  <c r="K141" i="5"/>
  <c r="L141" i="5"/>
  <c r="D142" i="5"/>
  <c r="H142" i="5"/>
  <c r="E142" i="5"/>
  <c r="G142" i="5"/>
  <c r="F142" i="5"/>
  <c r="J142" i="5"/>
  <c r="D143" i="5"/>
  <c r="H143" i="5"/>
  <c r="E143" i="5"/>
  <c r="G143" i="5"/>
  <c r="J143" i="5"/>
  <c r="K143" i="5"/>
  <c r="D144" i="5"/>
  <c r="E144" i="5"/>
  <c r="L144" i="5"/>
  <c r="G144" i="5"/>
  <c r="D145" i="5"/>
  <c r="E145" i="5"/>
  <c r="K145" i="5"/>
  <c r="F145" i="5"/>
  <c r="G145" i="5"/>
  <c r="H145" i="5"/>
  <c r="I145" i="5"/>
  <c r="J145" i="5"/>
  <c r="D146" i="5"/>
  <c r="E146" i="5"/>
  <c r="L146" i="5"/>
  <c r="F146" i="5"/>
  <c r="G146" i="5"/>
  <c r="H146" i="5"/>
  <c r="I146" i="5"/>
  <c r="J146" i="5"/>
  <c r="D147" i="5"/>
  <c r="E147" i="5"/>
  <c r="F147" i="5"/>
  <c r="G147" i="5"/>
  <c r="J147" i="5"/>
  <c r="K147" i="5"/>
  <c r="L147" i="5"/>
  <c r="D148" i="5"/>
  <c r="E148" i="5"/>
  <c r="G148" i="5"/>
  <c r="I148" i="5"/>
  <c r="D149" i="5"/>
  <c r="K149" i="5"/>
  <c r="E149" i="5"/>
  <c r="G149" i="5"/>
  <c r="F149" i="5"/>
  <c r="H149" i="5"/>
  <c r="I149" i="5"/>
  <c r="J149" i="5"/>
  <c r="L149" i="5"/>
  <c r="D150" i="5"/>
  <c r="E150" i="5"/>
  <c r="G150" i="5"/>
  <c r="D151" i="5"/>
  <c r="I151" i="5"/>
  <c r="E151" i="5"/>
  <c r="F151" i="5"/>
  <c r="G151" i="5"/>
  <c r="J151" i="5"/>
  <c r="D152" i="5"/>
  <c r="J152" i="5"/>
  <c r="E152" i="5"/>
  <c r="F152" i="5"/>
  <c r="G152" i="5"/>
  <c r="H152" i="5"/>
  <c r="I152" i="5"/>
  <c r="K152" i="5"/>
  <c r="L152" i="5"/>
  <c r="D153" i="5"/>
  <c r="F153" i="5"/>
  <c r="E153" i="5"/>
  <c r="G153" i="5"/>
  <c r="I153" i="5"/>
  <c r="J153" i="5"/>
  <c r="D154" i="5"/>
  <c r="E154" i="5"/>
  <c r="F154" i="5"/>
  <c r="H154" i="5"/>
  <c r="I154" i="5"/>
  <c r="J154" i="5"/>
  <c r="K154" i="5"/>
  <c r="D155" i="5"/>
  <c r="E155" i="5"/>
  <c r="G155" i="5"/>
  <c r="D156" i="5"/>
  <c r="E156" i="5"/>
  <c r="G156" i="5"/>
  <c r="D157" i="5"/>
  <c r="H157" i="5"/>
  <c r="E157" i="5"/>
  <c r="D158" i="5"/>
  <c r="J158" i="5"/>
  <c r="E158" i="5"/>
  <c r="F158" i="5"/>
  <c r="G158" i="5"/>
  <c r="I158" i="5"/>
  <c r="D159" i="5"/>
  <c r="E159" i="5"/>
  <c r="K159" i="5"/>
  <c r="F159" i="5"/>
  <c r="G159" i="5"/>
  <c r="H159" i="5"/>
  <c r="I159" i="5"/>
  <c r="J159" i="5"/>
  <c r="D160" i="5"/>
  <c r="J160" i="5"/>
  <c r="E160" i="5"/>
  <c r="F160" i="5"/>
  <c r="G160" i="5"/>
  <c r="H160" i="5"/>
  <c r="I160" i="5"/>
  <c r="K160" i="5"/>
  <c r="L160" i="5"/>
  <c r="D161" i="5"/>
  <c r="F161" i="5"/>
  <c r="E161" i="5"/>
  <c r="G161" i="5"/>
  <c r="H161" i="5"/>
  <c r="I161" i="5"/>
  <c r="J161" i="5"/>
  <c r="L161" i="5"/>
  <c r="D162" i="5"/>
  <c r="E162" i="5"/>
  <c r="F162" i="5"/>
  <c r="H162" i="5"/>
  <c r="I162" i="5"/>
  <c r="J162" i="5"/>
  <c r="D163" i="5"/>
  <c r="E163" i="5"/>
  <c r="F163" i="5"/>
  <c r="G163" i="5"/>
  <c r="L163" i="5"/>
  <c r="D164" i="5"/>
  <c r="E164" i="5"/>
  <c r="G164" i="5"/>
  <c r="D165" i="5"/>
  <c r="E165" i="5"/>
  <c r="F165" i="5"/>
  <c r="D166" i="5"/>
  <c r="H166" i="5"/>
  <c r="E166" i="5"/>
  <c r="F166" i="5"/>
  <c r="I166" i="5"/>
  <c r="J166" i="5"/>
  <c r="D167" i="5"/>
  <c r="E167" i="5"/>
  <c r="L167" i="5"/>
  <c r="F167" i="5"/>
  <c r="G167" i="5"/>
  <c r="H167" i="5"/>
  <c r="I167" i="5"/>
  <c r="J167" i="5"/>
  <c r="K167" i="5"/>
  <c r="D168" i="5"/>
  <c r="F168" i="5"/>
  <c r="E168" i="5"/>
  <c r="G168" i="5"/>
  <c r="H168" i="5"/>
  <c r="I168" i="5"/>
  <c r="K168" i="5"/>
  <c r="L168" i="5"/>
  <c r="D169" i="5"/>
  <c r="F169" i="5"/>
  <c r="E169" i="5"/>
  <c r="G169" i="5"/>
  <c r="H169" i="5"/>
  <c r="D170" i="5"/>
  <c r="E170" i="5"/>
  <c r="F170" i="5"/>
  <c r="H170" i="5"/>
  <c r="I170" i="5"/>
  <c r="J170" i="5"/>
  <c r="K170" i="5"/>
  <c r="D171" i="5"/>
  <c r="F171" i="5"/>
  <c r="E171" i="5"/>
  <c r="G171" i="5"/>
  <c r="J171" i="5"/>
  <c r="K171" i="5"/>
  <c r="L171" i="5"/>
  <c r="D172" i="5"/>
  <c r="E172" i="5"/>
  <c r="G172" i="5"/>
  <c r="K172" i="5"/>
  <c r="L172" i="5"/>
  <c r="D173" i="5"/>
  <c r="F173" i="5"/>
  <c r="E173" i="5"/>
  <c r="H173" i="5"/>
  <c r="L173" i="5"/>
  <c r="D174" i="5"/>
  <c r="H174" i="5"/>
  <c r="E174" i="5"/>
  <c r="F174" i="5"/>
  <c r="G174" i="5"/>
  <c r="I174" i="5"/>
  <c r="J174" i="5"/>
  <c r="D175" i="5"/>
  <c r="E175" i="5"/>
  <c r="L175" i="5"/>
  <c r="F175" i="5"/>
  <c r="G175" i="5"/>
  <c r="H175" i="5"/>
  <c r="I175" i="5"/>
  <c r="J175" i="5"/>
  <c r="K175" i="5"/>
  <c r="D176" i="5"/>
  <c r="F176" i="5"/>
  <c r="E176" i="5"/>
  <c r="G176" i="5"/>
  <c r="H176" i="5"/>
  <c r="I176" i="5"/>
  <c r="K176" i="5"/>
  <c r="L176" i="5"/>
  <c r="D177" i="5"/>
  <c r="F177" i="5"/>
  <c r="E177" i="5"/>
  <c r="G177" i="5"/>
  <c r="I177" i="5"/>
  <c r="J177" i="5"/>
  <c r="L177" i="5"/>
  <c r="D178" i="5"/>
  <c r="E178" i="5"/>
  <c r="F178" i="5"/>
  <c r="H178" i="5"/>
  <c r="I178" i="5"/>
  <c r="J178" i="5"/>
  <c r="K178" i="5"/>
  <c r="D179" i="5"/>
  <c r="E179" i="5"/>
  <c r="G179" i="5"/>
  <c r="D180" i="5"/>
  <c r="E180" i="5"/>
  <c r="G180" i="5"/>
  <c r="D181" i="5"/>
  <c r="E181" i="5"/>
  <c r="H181" i="5"/>
  <c r="D182" i="5"/>
  <c r="H182" i="5"/>
  <c r="E182" i="5"/>
  <c r="G182" i="5"/>
  <c r="F182" i="5"/>
  <c r="I182" i="5"/>
  <c r="J182" i="5"/>
  <c r="D183" i="5"/>
  <c r="E183" i="5"/>
  <c r="L183" i="5"/>
  <c r="F183" i="5"/>
  <c r="G183" i="5"/>
  <c r="H183" i="5"/>
  <c r="I183" i="5"/>
  <c r="J183" i="5"/>
  <c r="K183" i="5"/>
  <c r="D184" i="5"/>
  <c r="F184" i="5"/>
  <c r="E184" i="5"/>
  <c r="G184" i="5"/>
  <c r="H184" i="5"/>
  <c r="I184" i="5"/>
  <c r="K184" i="5"/>
  <c r="L184" i="5"/>
  <c r="D185" i="5"/>
  <c r="E185" i="5"/>
  <c r="G185" i="5"/>
  <c r="I185" i="5"/>
  <c r="D186" i="5"/>
  <c r="E186" i="5"/>
  <c r="F186" i="5"/>
  <c r="H186" i="5"/>
  <c r="I186" i="5"/>
  <c r="J186" i="5"/>
  <c r="D187" i="5"/>
  <c r="E187" i="5"/>
  <c r="G187" i="5"/>
  <c r="L187" i="5"/>
  <c r="D188" i="5"/>
  <c r="E188" i="5"/>
  <c r="K188" i="5"/>
  <c r="G188" i="5"/>
  <c r="L188" i="5"/>
  <c r="D189" i="5"/>
  <c r="E189" i="5"/>
  <c r="L189" i="5"/>
  <c r="D190" i="5"/>
  <c r="H190" i="5"/>
  <c r="E190" i="5"/>
  <c r="G190" i="5"/>
  <c r="F190" i="5"/>
  <c r="I190" i="5"/>
  <c r="J190" i="5"/>
  <c r="D191" i="5"/>
  <c r="E191" i="5"/>
  <c r="L191" i="5"/>
  <c r="F191" i="5"/>
  <c r="G191" i="5"/>
  <c r="H191" i="5"/>
  <c r="I191" i="5"/>
  <c r="J191" i="5"/>
  <c r="K191" i="5"/>
  <c r="D192" i="5"/>
  <c r="F192" i="5"/>
  <c r="E192" i="5"/>
  <c r="G192" i="5"/>
  <c r="H192" i="5"/>
  <c r="I192" i="5"/>
  <c r="K192" i="5"/>
  <c r="L192" i="5"/>
  <c r="D193" i="5"/>
  <c r="E193" i="5"/>
  <c r="G193" i="5"/>
  <c r="D194" i="5"/>
  <c r="E194" i="5"/>
  <c r="F194" i="5"/>
  <c r="H194" i="5"/>
  <c r="I194" i="5"/>
  <c r="J194" i="5"/>
  <c r="K194" i="5"/>
  <c r="D195" i="5"/>
  <c r="E195" i="5"/>
  <c r="F195" i="5"/>
  <c r="G195" i="5"/>
  <c r="J195" i="5"/>
  <c r="K195" i="5"/>
  <c r="L195" i="5"/>
  <c r="D196" i="5"/>
  <c r="E196" i="5"/>
  <c r="G196" i="5"/>
  <c r="H196" i="5"/>
  <c r="K196" i="5"/>
  <c r="D197" i="5"/>
  <c r="E197" i="5"/>
  <c r="H197" i="5"/>
  <c r="D198" i="5"/>
  <c r="H198" i="5"/>
  <c r="E198" i="5"/>
  <c r="F198" i="5"/>
  <c r="I198" i="5"/>
  <c r="J198" i="5"/>
  <c r="D199" i="5"/>
  <c r="E199" i="5"/>
  <c r="L199" i="5"/>
  <c r="F199" i="5"/>
  <c r="G199" i="5"/>
  <c r="H199" i="5"/>
  <c r="I199" i="5"/>
  <c r="J199" i="5"/>
  <c r="K199" i="5"/>
  <c r="D200" i="5"/>
  <c r="E200" i="5"/>
  <c r="G200" i="5"/>
  <c r="D201" i="5"/>
  <c r="F201" i="5"/>
  <c r="E201" i="5"/>
  <c r="G201" i="5"/>
  <c r="I201" i="5"/>
  <c r="J201" i="5"/>
  <c r="D202" i="5"/>
  <c r="E202" i="5"/>
  <c r="F202" i="5"/>
  <c r="H202" i="5"/>
  <c r="I202" i="5"/>
  <c r="J202" i="5"/>
  <c r="D203" i="5"/>
  <c r="H203" i="5"/>
  <c r="E203" i="5"/>
  <c r="G203" i="5"/>
  <c r="I203" i="5"/>
  <c r="J203" i="5"/>
  <c r="L203" i="5"/>
  <c r="D204" i="5"/>
  <c r="E204" i="5"/>
  <c r="H204" i="5"/>
  <c r="D205" i="5"/>
  <c r="E205" i="5"/>
  <c r="K205" i="5"/>
  <c r="L205" i="5"/>
  <c r="D206" i="5"/>
  <c r="H206" i="5"/>
  <c r="E206" i="5"/>
  <c r="F206" i="5"/>
  <c r="G206" i="5"/>
  <c r="I206" i="5"/>
  <c r="J206" i="5"/>
  <c r="L206" i="5"/>
  <c r="D207" i="5"/>
  <c r="E207" i="5"/>
  <c r="F207" i="5"/>
  <c r="H207" i="5"/>
  <c r="I207" i="5"/>
  <c r="J207" i="5"/>
  <c r="D208" i="5"/>
  <c r="J208" i="5"/>
  <c r="E208" i="5"/>
  <c r="F208" i="5"/>
  <c r="G208" i="5"/>
  <c r="H208" i="5"/>
  <c r="I208" i="5"/>
  <c r="K208" i="5"/>
  <c r="L208" i="5"/>
  <c r="D209" i="5"/>
  <c r="E209" i="5"/>
  <c r="G209" i="5"/>
  <c r="J209" i="5"/>
  <c r="L209" i="5"/>
  <c r="D210" i="5"/>
  <c r="E210" i="5"/>
  <c r="F210" i="5"/>
  <c r="H210" i="5"/>
  <c r="I210" i="5"/>
  <c r="J210" i="5"/>
  <c r="D211" i="5"/>
  <c r="J211" i="5"/>
  <c r="E211" i="5"/>
  <c r="G211" i="5"/>
  <c r="D212" i="5"/>
  <c r="E212" i="5"/>
  <c r="G212" i="5"/>
  <c r="H212" i="5"/>
  <c r="J212" i="5"/>
  <c r="D213" i="5"/>
  <c r="J213" i="5"/>
  <c r="E213" i="5"/>
  <c r="F213" i="5"/>
  <c r="L213" i="5"/>
  <c r="D214" i="5"/>
  <c r="H214" i="5"/>
  <c r="E214" i="5"/>
  <c r="K214" i="5"/>
  <c r="G214" i="5"/>
  <c r="I214" i="5"/>
  <c r="J214" i="5"/>
  <c r="L214" i="5"/>
  <c r="D215" i="5"/>
  <c r="E215" i="5"/>
  <c r="L215" i="5"/>
  <c r="F215" i="5"/>
  <c r="G215" i="5"/>
  <c r="H215" i="5"/>
  <c r="I215" i="5"/>
  <c r="J215" i="5"/>
  <c r="K215" i="5"/>
  <c r="D216" i="5"/>
  <c r="J216" i="5"/>
  <c r="E216" i="5"/>
  <c r="F216" i="5"/>
  <c r="G216" i="5"/>
  <c r="H216" i="5"/>
  <c r="I216" i="5"/>
  <c r="K216" i="5"/>
  <c r="D217" i="5"/>
  <c r="F217" i="5"/>
  <c r="E217" i="5"/>
  <c r="G217" i="5"/>
  <c r="L217" i="5"/>
  <c r="D218" i="5"/>
  <c r="E218" i="5"/>
  <c r="F218" i="5"/>
  <c r="H218" i="5"/>
  <c r="I218" i="5"/>
  <c r="J218" i="5"/>
  <c r="K218" i="5"/>
  <c r="D219" i="5"/>
  <c r="H219" i="5"/>
  <c r="E219" i="5"/>
  <c r="F219" i="5"/>
  <c r="G219" i="5"/>
  <c r="K219" i="5"/>
  <c r="L219" i="5"/>
  <c r="D220" i="5"/>
  <c r="E220" i="5"/>
  <c r="G220" i="5"/>
  <c r="H220" i="5"/>
  <c r="J220" i="5"/>
  <c r="K220" i="5"/>
  <c r="L220" i="5"/>
  <c r="D221" i="5"/>
  <c r="E221" i="5"/>
  <c r="F221" i="5"/>
  <c r="H221" i="5"/>
  <c r="D222" i="5"/>
  <c r="E222" i="5"/>
  <c r="G222" i="5"/>
  <c r="J222" i="5"/>
  <c r="D223" i="5"/>
  <c r="E223" i="5"/>
  <c r="F223" i="5"/>
  <c r="G223" i="5"/>
  <c r="H223" i="5"/>
  <c r="I223" i="5"/>
  <c r="J223" i="5"/>
  <c r="D224" i="5"/>
  <c r="J224" i="5"/>
  <c r="E224" i="5"/>
  <c r="G224" i="5"/>
  <c r="H224" i="5"/>
  <c r="I224" i="5"/>
  <c r="K224" i="5"/>
  <c r="L224" i="5"/>
  <c r="D225" i="5"/>
  <c r="E225" i="5"/>
  <c r="G225" i="5"/>
  <c r="H225" i="5"/>
  <c r="D226" i="5"/>
  <c r="E226" i="5"/>
  <c r="F226" i="5"/>
  <c r="H226" i="5"/>
  <c r="I226" i="5"/>
  <c r="J226" i="5"/>
  <c r="K226" i="5"/>
  <c r="D227" i="5"/>
  <c r="E227" i="5"/>
  <c r="F227" i="5"/>
  <c r="G227" i="5"/>
  <c r="L227" i="5"/>
  <c r="D228" i="5"/>
  <c r="E228" i="5"/>
  <c r="G228" i="5"/>
  <c r="H228" i="5"/>
  <c r="J228" i="5"/>
  <c r="K228" i="5"/>
  <c r="L228" i="5"/>
  <c r="D229" i="5"/>
  <c r="E229" i="5"/>
  <c r="H229" i="5"/>
  <c r="I229" i="5"/>
  <c r="D230" i="5"/>
  <c r="E230" i="5"/>
  <c r="J230" i="5"/>
  <c r="D231" i="5"/>
  <c r="E231" i="5"/>
  <c r="F231" i="5"/>
  <c r="H231" i="5"/>
  <c r="I231" i="5"/>
  <c r="J231" i="5"/>
  <c r="D232" i="5"/>
  <c r="E232" i="5"/>
  <c r="G232" i="5"/>
  <c r="D233" i="5"/>
  <c r="H233" i="5"/>
  <c r="E233" i="5"/>
  <c r="I233" i="5"/>
  <c r="D234" i="5"/>
  <c r="E234" i="5"/>
  <c r="F234" i="5"/>
  <c r="H234" i="5"/>
  <c r="I234" i="5"/>
  <c r="J234" i="5"/>
  <c r="K234" i="5"/>
  <c r="D235" i="5"/>
  <c r="E235" i="5"/>
  <c r="G235" i="5"/>
  <c r="I235" i="5"/>
  <c r="D236" i="5"/>
  <c r="J236" i="5"/>
  <c r="E236" i="5"/>
  <c r="G236" i="5"/>
  <c r="D237" i="5"/>
  <c r="J237" i="5"/>
  <c r="E237" i="5"/>
  <c r="K237" i="5"/>
  <c r="F237" i="5"/>
  <c r="H237" i="5"/>
  <c r="I237" i="5"/>
  <c r="D238" i="5"/>
  <c r="H238" i="5"/>
  <c r="E238" i="5"/>
  <c r="F238" i="5"/>
  <c r="L238" i="5"/>
  <c r="D239" i="5"/>
  <c r="I239" i="5"/>
  <c r="E239" i="5"/>
  <c r="L239" i="5"/>
  <c r="F239" i="5"/>
  <c r="G239" i="5"/>
  <c r="H239" i="5"/>
  <c r="J239" i="5"/>
  <c r="K239" i="5"/>
  <c r="D240" i="5"/>
  <c r="J240" i="5"/>
  <c r="E240" i="5"/>
  <c r="F240" i="5"/>
  <c r="G240" i="5"/>
  <c r="K240" i="5"/>
  <c r="L240" i="5"/>
  <c r="D241" i="5"/>
  <c r="F241" i="5"/>
  <c r="E241" i="5"/>
  <c r="G241" i="5"/>
  <c r="H241" i="5"/>
  <c r="I241" i="5"/>
  <c r="J241" i="5"/>
  <c r="L241" i="5"/>
  <c r="D242" i="5"/>
  <c r="E242" i="5"/>
  <c r="F242" i="5"/>
  <c r="H242" i="5"/>
  <c r="I242" i="5"/>
  <c r="J242" i="5"/>
  <c r="D243" i="5"/>
  <c r="H243" i="5"/>
  <c r="E243" i="5"/>
  <c r="F243" i="5"/>
  <c r="G243" i="5"/>
  <c r="I243" i="5"/>
  <c r="J243" i="5"/>
  <c r="K243" i="5"/>
  <c r="D244" i="5"/>
  <c r="E244" i="5"/>
  <c r="G244" i="5"/>
  <c r="D245" i="5"/>
  <c r="J245" i="5"/>
  <c r="E245" i="5"/>
  <c r="H245" i="5"/>
  <c r="I245" i="5"/>
  <c r="K245" i="5"/>
  <c r="L245" i="5"/>
  <c r="D246" i="5"/>
  <c r="E246" i="5"/>
  <c r="F246" i="5"/>
  <c r="I246" i="5"/>
  <c r="D247" i="5"/>
  <c r="I247" i="5"/>
  <c r="E247" i="5"/>
  <c r="L247" i="5"/>
  <c r="F247" i="5"/>
  <c r="H247" i="5"/>
  <c r="J247" i="5"/>
  <c r="K247" i="5"/>
  <c r="D248" i="5"/>
  <c r="E248" i="5"/>
  <c r="G248" i="5"/>
  <c r="D249" i="5"/>
  <c r="J249" i="5"/>
  <c r="E249" i="5"/>
  <c r="G249" i="5"/>
  <c r="I249" i="5"/>
  <c r="L249" i="5"/>
  <c r="D250" i="5"/>
  <c r="E250" i="5"/>
  <c r="F250" i="5"/>
  <c r="H250" i="5"/>
  <c r="I250" i="5"/>
  <c r="J250" i="5"/>
  <c r="D251" i="5"/>
  <c r="J251" i="5"/>
  <c r="E251" i="5"/>
  <c r="G251" i="5"/>
  <c r="I251" i="5"/>
  <c r="D252" i="5"/>
  <c r="J252" i="5"/>
  <c r="E252" i="5"/>
  <c r="G252" i="5"/>
  <c r="H252" i="5"/>
  <c r="D253" i="5"/>
  <c r="E253" i="5"/>
  <c r="K253" i="5"/>
  <c r="L253" i="5"/>
  <c r="D254" i="5"/>
  <c r="H254" i="5"/>
  <c r="E254" i="5"/>
  <c r="F254" i="5"/>
  <c r="G254" i="5"/>
  <c r="I254" i="5"/>
  <c r="J254" i="5"/>
  <c r="L254" i="5"/>
  <c r="D255" i="5"/>
  <c r="I255" i="5"/>
  <c r="E255" i="5"/>
  <c r="F255" i="5"/>
  <c r="H255" i="5"/>
  <c r="J255" i="5"/>
  <c r="K255" i="5"/>
  <c r="D256" i="5"/>
  <c r="J256" i="5"/>
  <c r="E256" i="5"/>
  <c r="F256" i="5"/>
  <c r="G256" i="5"/>
  <c r="H256" i="5"/>
  <c r="I256" i="5"/>
  <c r="K256" i="5"/>
  <c r="D257" i="5"/>
  <c r="E257" i="5"/>
  <c r="G257" i="5"/>
  <c r="D258" i="5"/>
  <c r="E258" i="5"/>
  <c r="F258" i="5"/>
  <c r="H258" i="5"/>
  <c r="I258" i="5"/>
  <c r="J258" i="5"/>
  <c r="K258" i="5"/>
  <c r="D259" i="5"/>
  <c r="E259" i="5"/>
  <c r="F259" i="5"/>
  <c r="G259" i="5"/>
  <c r="K259" i="5"/>
  <c r="L259" i="5"/>
  <c r="D260" i="5"/>
  <c r="E260" i="5"/>
  <c r="G260" i="5"/>
  <c r="H260" i="5"/>
  <c r="J260" i="5"/>
  <c r="K260" i="5"/>
  <c r="L260" i="5"/>
  <c r="D261" i="5"/>
  <c r="E261" i="5"/>
  <c r="H261" i="5"/>
  <c r="D262" i="5"/>
  <c r="E262" i="5"/>
  <c r="G262" i="5"/>
  <c r="J262" i="5"/>
  <c r="D263" i="5"/>
  <c r="I263" i="5"/>
  <c r="E263" i="5"/>
  <c r="F263" i="5"/>
  <c r="H263" i="5"/>
  <c r="J263" i="5"/>
  <c r="D264" i="5"/>
  <c r="K264" i="5"/>
  <c r="E264" i="5"/>
  <c r="G264" i="5"/>
  <c r="H264" i="5"/>
  <c r="I264" i="5"/>
  <c r="L264" i="5"/>
  <c r="D265" i="5"/>
  <c r="E265" i="5"/>
  <c r="G265" i="5"/>
  <c r="F265" i="5"/>
  <c r="J265" i="5"/>
  <c r="K265" i="5"/>
  <c r="D266" i="5"/>
  <c r="F266" i="5"/>
  <c r="E266" i="5"/>
  <c r="K266" i="5"/>
  <c r="G266" i="5"/>
  <c r="D267" i="5"/>
  <c r="E267" i="5"/>
  <c r="G267" i="5"/>
  <c r="F267" i="5"/>
  <c r="H267" i="5"/>
  <c r="D268" i="5"/>
  <c r="E268" i="5"/>
  <c r="F268" i="5"/>
  <c r="G268" i="5"/>
  <c r="H268" i="5"/>
  <c r="I268" i="5"/>
  <c r="J268" i="5"/>
  <c r="D269" i="5"/>
  <c r="K269" i="5"/>
  <c r="E269" i="5"/>
  <c r="F269" i="5"/>
  <c r="G269" i="5"/>
  <c r="H269" i="5"/>
  <c r="I269" i="5"/>
  <c r="J269" i="5"/>
  <c r="L269" i="5"/>
  <c r="D270" i="5"/>
  <c r="F270" i="5"/>
  <c r="E270" i="5"/>
  <c r="L270" i="5"/>
  <c r="G270" i="5"/>
  <c r="H270" i="5"/>
  <c r="I270" i="5"/>
  <c r="J270" i="5"/>
  <c r="K270" i="5"/>
  <c r="D271" i="5"/>
  <c r="F271" i="5"/>
  <c r="E271" i="5"/>
  <c r="G271" i="5"/>
  <c r="H271" i="5"/>
  <c r="I271" i="5"/>
  <c r="J271" i="5"/>
  <c r="K271" i="5"/>
  <c r="L271" i="5"/>
  <c r="D272" i="5"/>
  <c r="J272" i="5"/>
  <c r="E272" i="5"/>
  <c r="G272" i="5"/>
  <c r="I272" i="5"/>
  <c r="K272" i="5"/>
  <c r="D273" i="5"/>
  <c r="E273" i="5"/>
  <c r="F273" i="5"/>
  <c r="J273" i="5"/>
  <c r="D274" i="5"/>
  <c r="E274" i="5"/>
  <c r="D275" i="5"/>
  <c r="E275" i="5"/>
  <c r="H275" i="5"/>
  <c r="D276" i="5"/>
  <c r="E276" i="5"/>
  <c r="F276" i="5"/>
  <c r="G276" i="5"/>
  <c r="H276" i="5"/>
  <c r="I276" i="5"/>
  <c r="J276" i="5"/>
  <c r="D277" i="5"/>
  <c r="K277" i="5"/>
  <c r="E277" i="5"/>
  <c r="F277" i="5"/>
  <c r="G277" i="5"/>
  <c r="H277" i="5"/>
  <c r="I277" i="5"/>
  <c r="J277" i="5"/>
  <c r="L277" i="5"/>
  <c r="D278" i="5"/>
  <c r="F278" i="5"/>
  <c r="E278" i="5"/>
  <c r="L278" i="5"/>
  <c r="G278" i="5"/>
  <c r="H278" i="5"/>
  <c r="I278" i="5"/>
  <c r="J278" i="5"/>
  <c r="K278" i="5"/>
  <c r="D279" i="5"/>
  <c r="F279" i="5"/>
  <c r="E279" i="5"/>
  <c r="G279" i="5"/>
  <c r="H279" i="5"/>
  <c r="I279" i="5"/>
  <c r="J279" i="5"/>
  <c r="L279" i="5"/>
  <c r="D280" i="5"/>
  <c r="E280" i="5"/>
  <c r="G280" i="5"/>
  <c r="K280" i="5"/>
  <c r="D281" i="5"/>
  <c r="E281" i="5"/>
  <c r="G281" i="5"/>
  <c r="J281" i="5"/>
  <c r="D282" i="5"/>
  <c r="K282" i="5"/>
  <c r="E282" i="5"/>
  <c r="F282" i="5"/>
  <c r="G282" i="5"/>
  <c r="L282" i="5"/>
  <c r="D283" i="5"/>
  <c r="E283" i="5"/>
  <c r="G283" i="5"/>
  <c r="F283" i="5"/>
  <c r="H283" i="5"/>
  <c r="D284" i="5"/>
  <c r="E284" i="5"/>
  <c r="F284" i="5"/>
  <c r="G284" i="5"/>
  <c r="H284" i="5"/>
  <c r="I284" i="5"/>
  <c r="J284" i="5"/>
  <c r="D285" i="5"/>
  <c r="K285" i="5"/>
  <c r="E285" i="5"/>
  <c r="G285" i="5"/>
  <c r="J285" i="5"/>
  <c r="D286" i="5"/>
  <c r="F286" i="5"/>
  <c r="E286" i="5"/>
  <c r="H286" i="5"/>
  <c r="I286" i="5"/>
  <c r="J286" i="5"/>
  <c r="D287" i="5"/>
  <c r="I287" i="5"/>
  <c r="E287" i="5"/>
  <c r="G287" i="5"/>
  <c r="F287" i="5"/>
  <c r="H287" i="5"/>
  <c r="J287" i="5"/>
  <c r="K287" i="5"/>
  <c r="L287" i="5"/>
  <c r="D288" i="5"/>
  <c r="E288" i="5"/>
  <c r="I288" i="5"/>
  <c r="J288" i="5"/>
  <c r="D289" i="5"/>
  <c r="I289" i="5"/>
  <c r="E289" i="5"/>
  <c r="G289" i="5"/>
  <c r="H289" i="5"/>
  <c r="L289" i="5"/>
  <c r="D290" i="5"/>
  <c r="F290" i="5"/>
  <c r="E290" i="5"/>
  <c r="G290" i="5"/>
  <c r="D291" i="5"/>
  <c r="E291" i="5"/>
  <c r="D292" i="5"/>
  <c r="E292" i="5"/>
  <c r="G292" i="5"/>
  <c r="F292" i="5"/>
  <c r="H292" i="5"/>
  <c r="I292" i="5"/>
  <c r="J292" i="5"/>
  <c r="D293" i="5"/>
  <c r="K293" i="5"/>
  <c r="E293" i="5"/>
  <c r="G293" i="5"/>
  <c r="H293" i="5"/>
  <c r="I293" i="5"/>
  <c r="L293" i="5"/>
  <c r="D294" i="5"/>
  <c r="F294" i="5"/>
  <c r="E294" i="5"/>
  <c r="L294" i="5"/>
  <c r="G294" i="5"/>
  <c r="H294" i="5"/>
  <c r="I294" i="5"/>
  <c r="J294" i="5"/>
  <c r="D295" i="5"/>
  <c r="F295" i="5"/>
  <c r="E295" i="5"/>
  <c r="G295" i="5"/>
  <c r="H295" i="5"/>
  <c r="K295" i="5"/>
  <c r="D296" i="5"/>
  <c r="I296" i="5"/>
  <c r="E296" i="5"/>
  <c r="L296" i="5"/>
  <c r="G296" i="5"/>
  <c r="J296" i="5"/>
  <c r="D297" i="5"/>
  <c r="I297" i="5"/>
  <c r="E297" i="5"/>
  <c r="G297" i="5"/>
  <c r="J297" i="5"/>
  <c r="D298" i="5"/>
  <c r="E298" i="5"/>
  <c r="G298" i="5"/>
  <c r="F298" i="5"/>
  <c r="I298" i="5"/>
  <c r="L298" i="5"/>
  <c r="D299" i="5"/>
  <c r="I299" i="5"/>
  <c r="E299" i="5"/>
  <c r="F299" i="5"/>
  <c r="H299" i="5"/>
  <c r="D300" i="5"/>
  <c r="E300" i="5"/>
  <c r="F300" i="5"/>
  <c r="G300" i="5"/>
  <c r="H300" i="5"/>
  <c r="I300" i="5"/>
  <c r="J300" i="5"/>
  <c r="K300" i="5"/>
  <c r="D301" i="5"/>
  <c r="E301" i="5"/>
  <c r="G301" i="5"/>
  <c r="D302" i="5"/>
  <c r="F302" i="5"/>
  <c r="E302" i="5"/>
  <c r="L302" i="5"/>
  <c r="H302" i="5"/>
  <c r="I302" i="5"/>
  <c r="J302" i="5"/>
  <c r="D303" i="5"/>
  <c r="F303" i="5"/>
  <c r="E303" i="5"/>
  <c r="G303" i="5"/>
  <c r="I303" i="5"/>
  <c r="J303" i="5"/>
  <c r="L303" i="5"/>
  <c r="D304" i="5"/>
  <c r="J304" i="5"/>
  <c r="E304" i="5"/>
  <c r="L304" i="5"/>
  <c r="I304" i="5"/>
  <c r="K304" i="5"/>
  <c r="D305" i="5"/>
  <c r="E305" i="5"/>
  <c r="G305" i="5"/>
  <c r="D306" i="5"/>
  <c r="I306" i="5"/>
  <c r="E306" i="5"/>
  <c r="F306" i="5"/>
  <c r="G306" i="5"/>
  <c r="K306" i="5"/>
  <c r="L306" i="5"/>
  <c r="D307" i="5"/>
  <c r="I307" i="5"/>
  <c r="E307" i="5"/>
  <c r="F307" i="5"/>
  <c r="G307" i="5"/>
  <c r="H307" i="5"/>
  <c r="D308" i="5"/>
  <c r="E308" i="5"/>
  <c r="F308" i="5"/>
  <c r="G308" i="5"/>
  <c r="H308" i="5"/>
  <c r="I308" i="5"/>
  <c r="J308" i="5"/>
  <c r="K308" i="5"/>
  <c r="D309" i="5"/>
  <c r="K309" i="5"/>
  <c r="E309" i="5"/>
  <c r="F309" i="5"/>
  <c r="G309" i="5"/>
  <c r="H309" i="5"/>
  <c r="J309" i="5"/>
  <c r="L309" i="5"/>
  <c r="D310" i="5"/>
  <c r="F310" i="5"/>
  <c r="E310" i="5"/>
  <c r="L310" i="5"/>
  <c r="H310" i="5"/>
  <c r="I310" i="5"/>
  <c r="J310" i="5"/>
  <c r="D311" i="5"/>
  <c r="E311" i="5"/>
  <c r="G311" i="5"/>
  <c r="D312" i="5"/>
  <c r="E312" i="5"/>
  <c r="G312" i="5"/>
  <c r="I312" i="5"/>
  <c r="J312" i="5"/>
  <c r="K312" i="5"/>
  <c r="D313" i="5"/>
  <c r="I313" i="5"/>
  <c r="E313" i="5"/>
  <c r="F313" i="5"/>
  <c r="H313" i="5"/>
  <c r="J313" i="5"/>
  <c r="D314" i="5"/>
  <c r="E314" i="5"/>
  <c r="K314" i="5"/>
  <c r="G314" i="5"/>
  <c r="L314" i="5"/>
  <c r="D315" i="5"/>
  <c r="I315" i="5"/>
  <c r="E315" i="5"/>
  <c r="G315" i="5"/>
  <c r="H315" i="5"/>
  <c r="D316" i="5"/>
  <c r="E316" i="5"/>
  <c r="F316" i="5"/>
  <c r="H316" i="5"/>
  <c r="I316" i="5"/>
  <c r="J316" i="5"/>
  <c r="K316" i="5"/>
  <c r="D317" i="5"/>
  <c r="K317" i="5"/>
  <c r="E317" i="5"/>
  <c r="F317" i="5"/>
  <c r="G317" i="5"/>
  <c r="H317" i="5"/>
  <c r="L317" i="5"/>
  <c r="D318" i="5"/>
  <c r="F318" i="5"/>
  <c r="E318" i="5"/>
  <c r="L318" i="5"/>
  <c r="G318" i="5"/>
  <c r="H318" i="5"/>
  <c r="I318" i="5"/>
  <c r="J318" i="5"/>
  <c r="K318" i="5"/>
  <c r="D319" i="5"/>
  <c r="J319" i="5"/>
  <c r="E319" i="5"/>
  <c r="G319" i="5"/>
  <c r="F319" i="5"/>
  <c r="H319" i="5"/>
  <c r="I319" i="5"/>
  <c r="K319" i="5"/>
  <c r="L319" i="5"/>
  <c r="D320" i="5"/>
  <c r="J320" i="5"/>
  <c r="E320" i="5"/>
  <c r="G320" i="5"/>
  <c r="I320" i="5"/>
  <c r="K320" i="5"/>
  <c r="L320" i="5"/>
  <c r="D321" i="5"/>
  <c r="I321" i="5"/>
  <c r="E321" i="5"/>
  <c r="G321" i="5"/>
  <c r="F321" i="5"/>
  <c r="H321" i="5"/>
  <c r="J321" i="5"/>
  <c r="D322" i="5"/>
  <c r="E322" i="5"/>
  <c r="D323" i="5"/>
  <c r="I323" i="5"/>
  <c r="E323" i="5"/>
  <c r="K323" i="5"/>
  <c r="F323" i="5"/>
  <c r="H323" i="5"/>
  <c r="J323" i="5"/>
  <c r="D324" i="5"/>
  <c r="E324" i="5"/>
  <c r="F324" i="5"/>
  <c r="H324" i="5"/>
  <c r="I324" i="5"/>
  <c r="J324" i="5"/>
  <c r="D325" i="5"/>
  <c r="K325" i="5"/>
  <c r="E325" i="5"/>
  <c r="G325" i="5"/>
  <c r="H325" i="5"/>
  <c r="D326" i="5"/>
  <c r="F326" i="5"/>
  <c r="E326" i="5"/>
  <c r="L326" i="5"/>
  <c r="H326" i="5"/>
  <c r="I326" i="5"/>
  <c r="J326" i="5"/>
  <c r="K326" i="5"/>
  <c r="D327" i="5"/>
  <c r="J327" i="5"/>
  <c r="E327" i="5"/>
  <c r="G327" i="5"/>
  <c r="F327" i="5"/>
  <c r="H327" i="5"/>
  <c r="I327" i="5"/>
  <c r="L327" i="5"/>
  <c r="D328" i="5"/>
  <c r="E328" i="5"/>
  <c r="G328" i="5"/>
  <c r="I328" i="5"/>
  <c r="L328" i="5"/>
  <c r="D329" i="5"/>
  <c r="I329" i="5"/>
  <c r="E329" i="5"/>
  <c r="G329" i="5"/>
  <c r="H329" i="5"/>
  <c r="J329" i="5"/>
  <c r="D330" i="5"/>
  <c r="E330" i="5"/>
  <c r="D331" i="5"/>
  <c r="I331" i="5"/>
  <c r="E331" i="5"/>
  <c r="F331" i="5"/>
  <c r="G331" i="5"/>
  <c r="J331" i="5"/>
  <c r="L331" i="5"/>
  <c r="D332" i="5"/>
  <c r="E332" i="5"/>
  <c r="F332" i="5"/>
  <c r="H332" i="5"/>
  <c r="I332" i="5"/>
  <c r="J332" i="5"/>
  <c r="D333" i="5"/>
  <c r="K333" i="5"/>
  <c r="E333" i="5"/>
  <c r="F333" i="5"/>
  <c r="G333" i="5"/>
  <c r="H333" i="5"/>
  <c r="I333" i="5"/>
  <c r="J333" i="5"/>
  <c r="L333" i="5"/>
  <c r="D334" i="5"/>
  <c r="F334" i="5"/>
  <c r="E334" i="5"/>
  <c r="L334" i="5"/>
  <c r="H334" i="5"/>
  <c r="I334" i="5"/>
  <c r="J334" i="5"/>
  <c r="D335" i="5"/>
  <c r="K335" i="5"/>
  <c r="E335" i="5"/>
  <c r="G335" i="5"/>
  <c r="H335" i="5"/>
  <c r="I335" i="5"/>
  <c r="C17" i="4"/>
  <c r="L332" i="5"/>
  <c r="K332" i="5"/>
  <c r="G332" i="5"/>
  <c r="K127" i="5"/>
  <c r="L127" i="5"/>
  <c r="G127" i="5"/>
  <c r="H311" i="5"/>
  <c r="I311" i="5"/>
  <c r="J311" i="5"/>
  <c r="K311" i="5"/>
  <c r="L311" i="5"/>
  <c r="F311" i="5"/>
  <c r="K288" i="5"/>
  <c r="L288" i="5"/>
  <c r="G288" i="5"/>
  <c r="H274" i="5"/>
  <c r="I274" i="5"/>
  <c r="J274" i="5"/>
  <c r="L274" i="5"/>
  <c r="F274" i="5"/>
  <c r="F257" i="5"/>
  <c r="H257" i="5"/>
  <c r="I257" i="5"/>
  <c r="J257" i="5"/>
  <c r="L257" i="5"/>
  <c r="L231" i="5"/>
  <c r="K231" i="5"/>
  <c r="G231" i="5"/>
  <c r="H155" i="5"/>
  <c r="I155" i="5"/>
  <c r="J155" i="5"/>
  <c r="K155" i="5"/>
  <c r="L155" i="5"/>
  <c r="F155" i="5"/>
  <c r="K301" i="5"/>
  <c r="H301" i="5"/>
  <c r="I301" i="5"/>
  <c r="J301" i="5"/>
  <c r="L301" i="5"/>
  <c r="F301" i="5"/>
  <c r="D12" i="5"/>
  <c r="G330" i="5"/>
  <c r="K330" i="5"/>
  <c r="L330" i="5"/>
  <c r="K157" i="5"/>
  <c r="G157" i="5"/>
  <c r="L157" i="5"/>
  <c r="H113" i="5"/>
  <c r="J113" i="5"/>
  <c r="F113" i="5"/>
  <c r="I113" i="5"/>
  <c r="K233" i="5"/>
  <c r="L233" i="5"/>
  <c r="G233" i="5"/>
  <c r="H330" i="5"/>
  <c r="J330" i="5"/>
  <c r="I330" i="5"/>
  <c r="F330" i="5"/>
  <c r="H180" i="5"/>
  <c r="I180" i="5"/>
  <c r="J180" i="5"/>
  <c r="F180" i="5"/>
  <c r="K180" i="5"/>
  <c r="L138" i="5"/>
  <c r="K138" i="5"/>
  <c r="G138" i="5"/>
  <c r="K299" i="5"/>
  <c r="L299" i="5"/>
  <c r="G299" i="5"/>
  <c r="G273" i="5"/>
  <c r="K273" i="5"/>
  <c r="L273" i="5"/>
  <c r="J232" i="5"/>
  <c r="F232" i="5"/>
  <c r="K232" i="5"/>
  <c r="H232" i="5"/>
  <c r="I232" i="5"/>
  <c r="L232" i="5"/>
  <c r="L207" i="5"/>
  <c r="G207" i="5"/>
  <c r="K207" i="5"/>
  <c r="K166" i="5"/>
  <c r="L166" i="5"/>
  <c r="G166" i="5"/>
  <c r="I305" i="5"/>
  <c r="H305" i="5"/>
  <c r="J305" i="5"/>
  <c r="K305" i="5"/>
  <c r="L305" i="5"/>
  <c r="F305" i="5"/>
  <c r="G313" i="5"/>
  <c r="K313" i="5"/>
  <c r="L313" i="5"/>
  <c r="L12" i="5"/>
  <c r="I291" i="5"/>
  <c r="H291" i="5"/>
  <c r="J291" i="5"/>
  <c r="L291" i="5"/>
  <c r="F291" i="5"/>
  <c r="L286" i="5"/>
  <c r="K286" i="5"/>
  <c r="G286" i="5"/>
  <c r="H150" i="5"/>
  <c r="I150" i="5"/>
  <c r="J150" i="5"/>
  <c r="K150" i="5"/>
  <c r="L150" i="5"/>
  <c r="F150" i="5"/>
  <c r="J335" i="5"/>
  <c r="K329" i="5"/>
  <c r="F328" i="5"/>
  <c r="H328" i="5"/>
  <c r="I325" i="5"/>
  <c r="L323" i="5"/>
  <c r="L316" i="5"/>
  <c r="J315" i="5"/>
  <c r="H314" i="5"/>
  <c r="J314" i="5"/>
  <c r="L312" i="5"/>
  <c r="K310" i="5"/>
  <c r="K290" i="5"/>
  <c r="H281" i="5"/>
  <c r="I281" i="5"/>
  <c r="K275" i="5"/>
  <c r="L266" i="5"/>
  <c r="L263" i="5"/>
  <c r="K263" i="5"/>
  <c r="H262" i="5"/>
  <c r="F262" i="5"/>
  <c r="J261" i="5"/>
  <c r="I261" i="5"/>
  <c r="K251" i="5"/>
  <c r="J248" i="5"/>
  <c r="I248" i="5"/>
  <c r="K248" i="5"/>
  <c r="L248" i="5"/>
  <c r="K246" i="5"/>
  <c r="L246" i="5"/>
  <c r="I244" i="5"/>
  <c r="F244" i="5"/>
  <c r="H244" i="5"/>
  <c r="J244" i="5"/>
  <c r="K236" i="5"/>
  <c r="K230" i="5"/>
  <c r="G230" i="5"/>
  <c r="H222" i="5"/>
  <c r="F222" i="5"/>
  <c r="L222" i="5"/>
  <c r="K211" i="5"/>
  <c r="F193" i="5"/>
  <c r="H193" i="5"/>
  <c r="I193" i="5"/>
  <c r="J193" i="5"/>
  <c r="H187" i="5"/>
  <c r="I187" i="5"/>
  <c r="F187" i="5"/>
  <c r="J187" i="5"/>
  <c r="H126" i="5"/>
  <c r="F126" i="5"/>
  <c r="L126" i="5"/>
  <c r="I126" i="5"/>
  <c r="J126" i="5"/>
  <c r="K119" i="5"/>
  <c r="L119" i="5"/>
  <c r="G119" i="5"/>
  <c r="J115" i="5"/>
  <c r="H115" i="5"/>
  <c r="I115" i="5"/>
  <c r="K115" i="5"/>
  <c r="F115" i="5"/>
  <c r="K93" i="5"/>
  <c r="L93" i="5"/>
  <c r="G93" i="5"/>
  <c r="G26" i="5"/>
  <c r="K26" i="5"/>
  <c r="L26" i="5"/>
  <c r="L324" i="5"/>
  <c r="H322" i="5"/>
  <c r="J322" i="5"/>
  <c r="K298" i="5"/>
  <c r="L295" i="5"/>
  <c r="K291" i="5"/>
  <c r="I290" i="5"/>
  <c r="L285" i="5"/>
  <c r="L283" i="5"/>
  <c r="F280" i="5"/>
  <c r="H280" i="5"/>
  <c r="I275" i="5"/>
  <c r="J275" i="5"/>
  <c r="K268" i="5"/>
  <c r="L268" i="5"/>
  <c r="L265" i="5"/>
  <c r="H259" i="5"/>
  <c r="I259" i="5"/>
  <c r="J259" i="5"/>
  <c r="K257" i="5"/>
  <c r="H246" i="5"/>
  <c r="J246" i="5"/>
  <c r="H230" i="5"/>
  <c r="F230" i="5"/>
  <c r="I230" i="5"/>
  <c r="L223" i="5"/>
  <c r="K223" i="5"/>
  <c r="F209" i="5"/>
  <c r="H209" i="5"/>
  <c r="I209" i="5"/>
  <c r="J205" i="5"/>
  <c r="F205" i="5"/>
  <c r="H205" i="5"/>
  <c r="I205" i="5"/>
  <c r="F200" i="5"/>
  <c r="J200" i="5"/>
  <c r="H200" i="5"/>
  <c r="I200" i="5"/>
  <c r="K200" i="5"/>
  <c r="L200" i="5"/>
  <c r="K198" i="5"/>
  <c r="L198" i="5"/>
  <c r="G198" i="5"/>
  <c r="G162" i="5"/>
  <c r="L162" i="5"/>
  <c r="K162" i="5"/>
  <c r="F119" i="5"/>
  <c r="I119" i="5"/>
  <c r="J119" i="5"/>
  <c r="H119" i="5"/>
  <c r="K113" i="5"/>
  <c r="L113" i="5"/>
  <c r="G113" i="5"/>
  <c r="G50" i="5"/>
  <c r="K50" i="5"/>
  <c r="L50" i="5"/>
  <c r="F335" i="5"/>
  <c r="K334" i="5"/>
  <c r="H331" i="5"/>
  <c r="F329" i="5"/>
  <c r="K328" i="5"/>
  <c r="F325" i="5"/>
  <c r="K324" i="5"/>
  <c r="G323" i="5"/>
  <c r="L322" i="5"/>
  <c r="F315" i="5"/>
  <c r="K307" i="5"/>
  <c r="G304" i="5"/>
  <c r="K303" i="5"/>
  <c r="G302" i="5"/>
  <c r="L297" i="5"/>
  <c r="J295" i="5"/>
  <c r="J293" i="5"/>
  <c r="K289" i="5"/>
  <c r="F288" i="5"/>
  <c r="H288" i="5"/>
  <c r="I285" i="5"/>
  <c r="K284" i="5"/>
  <c r="L284" i="5"/>
  <c r="L281" i="5"/>
  <c r="H273" i="5"/>
  <c r="I273" i="5"/>
  <c r="K267" i="5"/>
  <c r="G242" i="5"/>
  <c r="L242" i="5"/>
  <c r="H235" i="5"/>
  <c r="J235" i="5"/>
  <c r="K235" i="5"/>
  <c r="L235" i="5"/>
  <c r="F235" i="5"/>
  <c r="F233" i="5"/>
  <c r="J233" i="5"/>
  <c r="G210" i="5"/>
  <c r="L210" i="5"/>
  <c r="K210" i="5"/>
  <c r="L196" i="5"/>
  <c r="K182" i="5"/>
  <c r="L182" i="5"/>
  <c r="I157" i="5"/>
  <c r="J157" i="5"/>
  <c r="F157" i="5"/>
  <c r="I45" i="5"/>
  <c r="F45" i="5"/>
  <c r="L45" i="5"/>
  <c r="H45" i="5"/>
  <c r="G21" i="5"/>
  <c r="J328" i="5"/>
  <c r="K322" i="5"/>
  <c r="K315" i="5"/>
  <c r="I314" i="5"/>
  <c r="G310" i="5"/>
  <c r="K297" i="5"/>
  <c r="F296" i="5"/>
  <c r="H296" i="5"/>
  <c r="I295" i="5"/>
  <c r="J289" i="5"/>
  <c r="H285" i="5"/>
  <c r="K281" i="5"/>
  <c r="L280" i="5"/>
  <c r="L275" i="5"/>
  <c r="F272" i="5"/>
  <c r="H272" i="5"/>
  <c r="I267" i="5"/>
  <c r="J267" i="5"/>
  <c r="L262" i="5"/>
  <c r="L255" i="5"/>
  <c r="G255" i="5"/>
  <c r="G253" i="5"/>
  <c r="K252" i="5"/>
  <c r="L252" i="5"/>
  <c r="H248" i="5"/>
  <c r="K238" i="5"/>
  <c r="G238" i="5"/>
  <c r="G237" i="5"/>
  <c r="L237" i="5"/>
  <c r="I236" i="5"/>
  <c r="F236" i="5"/>
  <c r="H236" i="5"/>
  <c r="L236" i="5"/>
  <c r="H211" i="5"/>
  <c r="F211" i="5"/>
  <c r="I211" i="5"/>
  <c r="L211" i="5"/>
  <c r="G202" i="5"/>
  <c r="L202" i="5"/>
  <c r="K202" i="5"/>
  <c r="F185" i="5"/>
  <c r="J185" i="5"/>
  <c r="L185" i="5"/>
  <c r="H185" i="5"/>
  <c r="H164" i="5"/>
  <c r="I164" i="5"/>
  <c r="J164" i="5"/>
  <c r="F164" i="5"/>
  <c r="F304" i="5"/>
  <c r="H304" i="5"/>
  <c r="L292" i="5"/>
  <c r="H290" i="5"/>
  <c r="J290" i="5"/>
  <c r="K283" i="5"/>
  <c r="H266" i="5"/>
  <c r="I266" i="5"/>
  <c r="J266" i="5"/>
  <c r="J253" i="5"/>
  <c r="F253" i="5"/>
  <c r="H253" i="5"/>
  <c r="I253" i="5"/>
  <c r="I252" i="5"/>
  <c r="F252" i="5"/>
  <c r="H251" i="5"/>
  <c r="F251" i="5"/>
  <c r="L244" i="5"/>
  <c r="K212" i="5"/>
  <c r="L212" i="5"/>
  <c r="K204" i="5"/>
  <c r="L204" i="5"/>
  <c r="G204" i="5"/>
  <c r="I189" i="5"/>
  <c r="J189" i="5"/>
  <c r="F189" i="5"/>
  <c r="H189" i="5"/>
  <c r="K187" i="5"/>
  <c r="K148" i="5"/>
  <c r="L148" i="5"/>
  <c r="K126" i="5"/>
  <c r="L117" i="5"/>
  <c r="G117" i="5"/>
  <c r="K117" i="5"/>
  <c r="L115" i="5"/>
  <c r="K88" i="5"/>
  <c r="H88" i="5"/>
  <c r="F88" i="5"/>
  <c r="J88" i="5"/>
  <c r="L88" i="5"/>
  <c r="Q12" i="5"/>
  <c r="I12" i="5"/>
  <c r="Z70" i="9"/>
  <c r="I322" i="5"/>
  <c r="L335" i="5"/>
  <c r="K331" i="5"/>
  <c r="K327" i="5"/>
  <c r="G326" i="5"/>
  <c r="L325" i="5"/>
  <c r="G322" i="5"/>
  <c r="L321" i="5"/>
  <c r="J317" i="5"/>
  <c r="G316" i="5"/>
  <c r="F314" i="5"/>
  <c r="F312" i="5"/>
  <c r="H312" i="5"/>
  <c r="I309" i="5"/>
  <c r="L307" i="5"/>
  <c r="H303" i="5"/>
  <c r="L300" i="5"/>
  <c r="J299" i="5"/>
  <c r="H298" i="5"/>
  <c r="J298" i="5"/>
  <c r="H297" i="5"/>
  <c r="K294" i="5"/>
  <c r="F289" i="5"/>
  <c r="F285" i="5"/>
  <c r="I283" i="5"/>
  <c r="J283" i="5"/>
  <c r="F281" i="5"/>
  <c r="J280" i="5"/>
  <c r="K279" i="5"/>
  <c r="K276" i="5"/>
  <c r="L276" i="5"/>
  <c r="G275" i="5"/>
  <c r="K274" i="5"/>
  <c r="H265" i="5"/>
  <c r="I265" i="5"/>
  <c r="G263" i="5"/>
  <c r="I262" i="5"/>
  <c r="F261" i="5"/>
  <c r="G250" i="5"/>
  <c r="L250" i="5"/>
  <c r="K250" i="5"/>
  <c r="F248" i="5"/>
  <c r="G246" i="5"/>
  <c r="K242" i="5"/>
  <c r="L230" i="5"/>
  <c r="G229" i="5"/>
  <c r="K229" i="5"/>
  <c r="L229" i="5"/>
  <c r="H227" i="5"/>
  <c r="I227" i="5"/>
  <c r="J227" i="5"/>
  <c r="K227" i="5"/>
  <c r="I222" i="5"/>
  <c r="K217" i="5"/>
  <c r="G213" i="5"/>
  <c r="K213" i="5"/>
  <c r="I204" i="5"/>
  <c r="F204" i="5"/>
  <c r="J204" i="5"/>
  <c r="K197" i="5"/>
  <c r="G197" i="5"/>
  <c r="L197" i="5"/>
  <c r="L193" i="5"/>
  <c r="K181" i="5"/>
  <c r="G181" i="5"/>
  <c r="L181" i="5"/>
  <c r="H179" i="5"/>
  <c r="I179" i="5"/>
  <c r="J179" i="5"/>
  <c r="K179" i="5"/>
  <c r="L179" i="5"/>
  <c r="F179" i="5"/>
  <c r="H156" i="5"/>
  <c r="I156" i="5"/>
  <c r="J156" i="5"/>
  <c r="F156" i="5"/>
  <c r="K156" i="5"/>
  <c r="K151" i="5"/>
  <c r="L151" i="5"/>
  <c r="J91" i="5"/>
  <c r="H91" i="5"/>
  <c r="I91" i="5"/>
  <c r="K91" i="5"/>
  <c r="F91" i="5"/>
  <c r="L91" i="5"/>
  <c r="J83" i="5"/>
  <c r="K83" i="5"/>
  <c r="L83" i="5"/>
  <c r="H83" i="5"/>
  <c r="F83" i="5"/>
  <c r="I83" i="5"/>
  <c r="K81" i="5"/>
  <c r="L81" i="5"/>
  <c r="G81" i="5"/>
  <c r="G78" i="5"/>
  <c r="L78" i="5"/>
  <c r="K78" i="5"/>
  <c r="I65" i="5"/>
  <c r="F65" i="5"/>
  <c r="H65" i="5"/>
  <c r="J65" i="5"/>
  <c r="L65" i="5"/>
  <c r="K60" i="5"/>
  <c r="H60" i="5"/>
  <c r="I60" i="5"/>
  <c r="J60" i="5"/>
  <c r="L60" i="5"/>
  <c r="F60" i="5"/>
  <c r="G334" i="5"/>
  <c r="L329" i="5"/>
  <c r="J325" i="5"/>
  <c r="G324" i="5"/>
  <c r="F322" i="5"/>
  <c r="K321" i="5"/>
  <c r="F320" i="5"/>
  <c r="H320" i="5"/>
  <c r="I317" i="5"/>
  <c r="L315" i="5"/>
  <c r="L308" i="5"/>
  <c r="J307" i="5"/>
  <c r="H306" i="5"/>
  <c r="J306" i="5"/>
  <c r="K302" i="5"/>
  <c r="F297" i="5"/>
  <c r="K296" i="5"/>
  <c r="F293" i="5"/>
  <c r="K292" i="5"/>
  <c r="G291" i="5"/>
  <c r="L290" i="5"/>
  <c r="H282" i="5"/>
  <c r="I282" i="5"/>
  <c r="J282" i="5"/>
  <c r="I280" i="5"/>
  <c r="F275" i="5"/>
  <c r="G274" i="5"/>
  <c r="L272" i="5"/>
  <c r="L267" i="5"/>
  <c r="J264" i="5"/>
  <c r="F264" i="5"/>
  <c r="G261" i="5"/>
  <c r="K261" i="5"/>
  <c r="L261" i="5"/>
  <c r="L251" i="5"/>
  <c r="F249" i="5"/>
  <c r="H249" i="5"/>
  <c r="K244" i="5"/>
  <c r="J229" i="5"/>
  <c r="F229" i="5"/>
  <c r="F225" i="5"/>
  <c r="I225" i="5"/>
  <c r="J225" i="5"/>
  <c r="J221" i="5"/>
  <c r="I221" i="5"/>
  <c r="J197" i="5"/>
  <c r="I197" i="5"/>
  <c r="F197" i="5"/>
  <c r="I181" i="5"/>
  <c r="J181" i="5"/>
  <c r="F181" i="5"/>
  <c r="K165" i="5"/>
  <c r="G165" i="5"/>
  <c r="L165" i="5"/>
  <c r="K158" i="5"/>
  <c r="L158" i="5"/>
  <c r="L125" i="5"/>
  <c r="G125" i="5"/>
  <c r="K125" i="5"/>
  <c r="K73" i="5"/>
  <c r="G73" i="5"/>
  <c r="L73" i="5"/>
  <c r="I33" i="5"/>
  <c r="F33" i="5"/>
  <c r="H33" i="5"/>
  <c r="J33" i="5"/>
  <c r="L33" i="5"/>
  <c r="K28" i="5"/>
  <c r="F28" i="5"/>
  <c r="H28" i="5"/>
  <c r="I28" i="5"/>
  <c r="J28" i="5"/>
  <c r="L28" i="5"/>
  <c r="K225" i="5"/>
  <c r="G221" i="5"/>
  <c r="K203" i="5"/>
  <c r="L201" i="5"/>
  <c r="G186" i="5"/>
  <c r="L186" i="5"/>
  <c r="I165" i="5"/>
  <c r="J165" i="5"/>
  <c r="H163" i="5"/>
  <c r="I163" i="5"/>
  <c r="L153" i="5"/>
  <c r="G128" i="5"/>
  <c r="F127" i="5"/>
  <c r="I127" i="5"/>
  <c r="H127" i="5"/>
  <c r="F111" i="5"/>
  <c r="I111" i="5"/>
  <c r="H111" i="5"/>
  <c r="J111" i="5"/>
  <c r="K111" i="5"/>
  <c r="I93" i="5"/>
  <c r="F93" i="5"/>
  <c r="H93" i="5"/>
  <c r="I81" i="5"/>
  <c r="F81" i="5"/>
  <c r="J81" i="5"/>
  <c r="I77" i="5"/>
  <c r="F77" i="5"/>
  <c r="H77" i="5"/>
  <c r="J71" i="5"/>
  <c r="I71" i="5"/>
  <c r="K71" i="5"/>
  <c r="L71" i="5"/>
  <c r="F71" i="5"/>
  <c r="I53" i="5"/>
  <c r="F53" i="5"/>
  <c r="H53" i="5"/>
  <c r="I39" i="5"/>
  <c r="J39" i="5"/>
  <c r="K39" i="5"/>
  <c r="L39" i="5"/>
  <c r="F39" i="5"/>
  <c r="K12" i="5"/>
  <c r="C12" i="5"/>
  <c r="G168" i="9"/>
  <c r="Z124" i="9"/>
  <c r="G258" i="5"/>
  <c r="L258" i="5"/>
  <c r="K254" i="5"/>
  <c r="G247" i="5"/>
  <c r="F245" i="5"/>
  <c r="K241" i="5"/>
  <c r="I240" i="5"/>
  <c r="J238" i="5"/>
  <c r="L225" i="5"/>
  <c r="F224" i="5"/>
  <c r="L221" i="5"/>
  <c r="J219" i="5"/>
  <c r="G218" i="5"/>
  <c r="L218" i="5"/>
  <c r="J217" i="5"/>
  <c r="F214" i="5"/>
  <c r="I212" i="5"/>
  <c r="F212" i="5"/>
  <c r="K206" i="5"/>
  <c r="H201" i="5"/>
  <c r="I196" i="5"/>
  <c r="J196" i="5"/>
  <c r="F196" i="5"/>
  <c r="K186" i="5"/>
  <c r="G178" i="5"/>
  <c r="L178" i="5"/>
  <c r="H177" i="5"/>
  <c r="L169" i="5"/>
  <c r="L164" i="5"/>
  <c r="K163" i="5"/>
  <c r="G154" i="5"/>
  <c r="L154" i="5"/>
  <c r="H153" i="5"/>
  <c r="F148" i="5"/>
  <c r="J148" i="5"/>
  <c r="H148" i="5"/>
  <c r="H147" i="5"/>
  <c r="I147" i="5"/>
  <c r="K137" i="5"/>
  <c r="G137" i="5"/>
  <c r="J124" i="5"/>
  <c r="G103" i="5"/>
  <c r="K100" i="5"/>
  <c r="L100" i="5"/>
  <c r="G100" i="5"/>
  <c r="G94" i="5"/>
  <c r="L94" i="5"/>
  <c r="K94" i="5"/>
  <c r="K92" i="5"/>
  <c r="H92" i="5"/>
  <c r="I92" i="5"/>
  <c r="J92" i="5"/>
  <c r="L92" i="5"/>
  <c r="F92" i="5"/>
  <c r="K89" i="5"/>
  <c r="G89" i="5"/>
  <c r="G66" i="5"/>
  <c r="K66" i="5"/>
  <c r="L66" i="5"/>
  <c r="I49" i="5"/>
  <c r="F49" i="5"/>
  <c r="H49" i="5"/>
  <c r="J49" i="5"/>
  <c r="L49" i="5"/>
  <c r="G34" i="5"/>
  <c r="K34" i="5"/>
  <c r="L34" i="5"/>
  <c r="Z178" i="9"/>
  <c r="G178" i="9"/>
  <c r="K178" i="9" s="1"/>
  <c r="Z152" i="9"/>
  <c r="I260" i="5"/>
  <c r="F260" i="5"/>
  <c r="G245" i="5"/>
  <c r="H240" i="5"/>
  <c r="I238" i="5"/>
  <c r="G226" i="5"/>
  <c r="L226" i="5"/>
  <c r="K221" i="5"/>
  <c r="I220" i="5"/>
  <c r="F220" i="5"/>
  <c r="I219" i="5"/>
  <c r="I217" i="5"/>
  <c r="I213" i="5"/>
  <c r="F203" i="5"/>
  <c r="H195" i="5"/>
  <c r="I195" i="5"/>
  <c r="K174" i="5"/>
  <c r="L174" i="5"/>
  <c r="K173" i="5"/>
  <c r="G173" i="5"/>
  <c r="H172" i="5"/>
  <c r="I172" i="5"/>
  <c r="J172" i="5"/>
  <c r="F172" i="5"/>
  <c r="J169" i="5"/>
  <c r="K164" i="5"/>
  <c r="J163" i="5"/>
  <c r="K132" i="5"/>
  <c r="G132" i="5"/>
  <c r="L128" i="5"/>
  <c r="J120" i="5"/>
  <c r="F120" i="5"/>
  <c r="H120" i="5"/>
  <c r="I100" i="5"/>
  <c r="F100" i="5"/>
  <c r="J100" i="5"/>
  <c r="G82" i="5"/>
  <c r="L82" i="5"/>
  <c r="K82" i="5"/>
  <c r="I69" i="5"/>
  <c r="F69" i="5"/>
  <c r="H69" i="5"/>
  <c r="I55" i="5"/>
  <c r="J55" i="5"/>
  <c r="K55" i="5"/>
  <c r="L55" i="5"/>
  <c r="F55" i="5"/>
  <c r="L53" i="5"/>
  <c r="I37" i="5"/>
  <c r="F37" i="5"/>
  <c r="H37" i="5"/>
  <c r="K32" i="5"/>
  <c r="F32" i="5"/>
  <c r="H32" i="5"/>
  <c r="I32" i="5"/>
  <c r="K262" i="5"/>
  <c r="L256" i="5"/>
  <c r="K249" i="5"/>
  <c r="L243" i="5"/>
  <c r="G234" i="5"/>
  <c r="L234" i="5"/>
  <c r="I228" i="5"/>
  <c r="F228" i="5"/>
  <c r="K222" i="5"/>
  <c r="H217" i="5"/>
  <c r="L216" i="5"/>
  <c r="H213" i="5"/>
  <c r="K201" i="5"/>
  <c r="G194" i="5"/>
  <c r="L194" i="5"/>
  <c r="L180" i="5"/>
  <c r="I173" i="5"/>
  <c r="J173" i="5"/>
  <c r="H171" i="5"/>
  <c r="I171" i="5"/>
  <c r="I169" i="5"/>
  <c r="H165" i="5"/>
  <c r="L156" i="5"/>
  <c r="K153" i="5"/>
  <c r="K144" i="5"/>
  <c r="L143" i="5"/>
  <c r="K142" i="5"/>
  <c r="L142" i="5"/>
  <c r="H141" i="5"/>
  <c r="I141" i="5"/>
  <c r="J141" i="5"/>
  <c r="K135" i="5"/>
  <c r="H134" i="5"/>
  <c r="F134" i="5"/>
  <c r="G133" i="5"/>
  <c r="K133" i="5"/>
  <c r="L133" i="5"/>
  <c r="K128" i="5"/>
  <c r="J127" i="5"/>
  <c r="L122" i="5"/>
  <c r="G122" i="5"/>
  <c r="K121" i="5"/>
  <c r="L121" i="5"/>
  <c r="L111" i="5"/>
  <c r="J107" i="5"/>
  <c r="H107" i="5"/>
  <c r="I107" i="5"/>
  <c r="K105" i="5"/>
  <c r="L105" i="5"/>
  <c r="L101" i="5"/>
  <c r="G101" i="5"/>
  <c r="J93" i="5"/>
  <c r="K80" i="5"/>
  <c r="H80" i="5"/>
  <c r="I80" i="5"/>
  <c r="J80" i="5"/>
  <c r="L77" i="5"/>
  <c r="K72" i="5"/>
  <c r="H72" i="5"/>
  <c r="J72" i="5"/>
  <c r="L72" i="5"/>
  <c r="K61" i="5"/>
  <c r="J53" i="5"/>
  <c r="K44" i="5"/>
  <c r="H44" i="5"/>
  <c r="I44" i="5"/>
  <c r="J44" i="5"/>
  <c r="L44" i="5"/>
  <c r="F44" i="5"/>
  <c r="G30" i="5"/>
  <c r="K30" i="5"/>
  <c r="L30" i="5"/>
  <c r="N12" i="5"/>
  <c r="F12" i="5"/>
  <c r="K209" i="5"/>
  <c r="G205" i="5"/>
  <c r="K190" i="5"/>
  <c r="L190" i="5"/>
  <c r="K189" i="5"/>
  <c r="G189" i="5"/>
  <c r="H188" i="5"/>
  <c r="I188" i="5"/>
  <c r="J188" i="5"/>
  <c r="F188" i="5"/>
  <c r="G170" i="5"/>
  <c r="L170" i="5"/>
  <c r="J144" i="5"/>
  <c r="H144" i="5"/>
  <c r="I144" i="5"/>
  <c r="F144" i="5"/>
  <c r="I143" i="5"/>
  <c r="F143" i="5"/>
  <c r="I135" i="5"/>
  <c r="H135" i="5"/>
  <c r="J135" i="5"/>
  <c r="F135" i="5"/>
  <c r="F124" i="5"/>
  <c r="H124" i="5"/>
  <c r="J123" i="5"/>
  <c r="I123" i="5"/>
  <c r="K123" i="5"/>
  <c r="L123" i="5"/>
  <c r="H105" i="5"/>
  <c r="I105" i="5"/>
  <c r="J105" i="5"/>
  <c r="F105" i="5"/>
  <c r="I61" i="5"/>
  <c r="F61" i="5"/>
  <c r="L61" i="5"/>
  <c r="H61" i="5"/>
  <c r="G74" i="9"/>
  <c r="Z74" i="9"/>
  <c r="K193" i="5"/>
  <c r="J192" i="5"/>
  <c r="K185" i="5"/>
  <c r="J184" i="5"/>
  <c r="K177" i="5"/>
  <c r="J176" i="5"/>
  <c r="K169" i="5"/>
  <c r="J168" i="5"/>
  <c r="K161" i="5"/>
  <c r="H158" i="5"/>
  <c r="H151" i="5"/>
  <c r="K146" i="5"/>
  <c r="I142" i="5"/>
  <c r="K140" i="5"/>
  <c r="H139" i="5"/>
  <c r="L134" i="5"/>
  <c r="H131" i="5"/>
  <c r="I121" i="5"/>
  <c r="K118" i="5"/>
  <c r="L116" i="5"/>
  <c r="K114" i="5"/>
  <c r="L112" i="5"/>
  <c r="L109" i="5"/>
  <c r="G109" i="5"/>
  <c r="F103" i="5"/>
  <c r="I103" i="5"/>
  <c r="I102" i="5"/>
  <c r="I95" i="5"/>
  <c r="G90" i="5"/>
  <c r="L90" i="5"/>
  <c r="I89" i="5"/>
  <c r="F89" i="5"/>
  <c r="L87" i="5"/>
  <c r="L85" i="5"/>
  <c r="L76" i="5"/>
  <c r="G70" i="5"/>
  <c r="K70" i="5"/>
  <c r="L70" i="5"/>
  <c r="L68" i="5"/>
  <c r="K65" i="5"/>
  <c r="K64" i="5"/>
  <c r="H64" i="5"/>
  <c r="I59" i="5"/>
  <c r="J59" i="5"/>
  <c r="G54" i="5"/>
  <c r="K54" i="5"/>
  <c r="L54" i="5"/>
  <c r="L52" i="5"/>
  <c r="K49" i="5"/>
  <c r="K48" i="5"/>
  <c r="H48" i="5"/>
  <c r="I43" i="5"/>
  <c r="J43" i="5"/>
  <c r="G38" i="5"/>
  <c r="K38" i="5"/>
  <c r="L38" i="5"/>
  <c r="L36" i="5"/>
  <c r="K33" i="5"/>
  <c r="Z172" i="9"/>
  <c r="G172" i="9"/>
  <c r="K172" i="9" s="1"/>
  <c r="BH106" i="10"/>
  <c r="BG106" i="10"/>
  <c r="F118" i="5"/>
  <c r="G104" i="5"/>
  <c r="H99" i="5"/>
  <c r="J99" i="5"/>
  <c r="F87" i="5"/>
  <c r="K84" i="5"/>
  <c r="H84" i="5"/>
  <c r="G74" i="5"/>
  <c r="L74" i="5"/>
  <c r="I73" i="5"/>
  <c r="F73" i="5"/>
  <c r="I67" i="5"/>
  <c r="J67" i="5"/>
  <c r="G62" i="5"/>
  <c r="K62" i="5"/>
  <c r="L62" i="5"/>
  <c r="K56" i="5"/>
  <c r="H56" i="5"/>
  <c r="I51" i="5"/>
  <c r="J51" i="5"/>
  <c r="G46" i="5"/>
  <c r="K46" i="5"/>
  <c r="L46" i="5"/>
  <c r="K40" i="5"/>
  <c r="H40" i="5"/>
  <c r="I35" i="5"/>
  <c r="J35" i="5"/>
  <c r="H31" i="5"/>
  <c r="I31" i="5"/>
  <c r="J31" i="5"/>
  <c r="H27" i="5"/>
  <c r="I27" i="5"/>
  <c r="J27" i="5"/>
  <c r="Z174" i="9"/>
  <c r="L159" i="5"/>
  <c r="K139" i="5"/>
  <c r="H132" i="5"/>
  <c r="L131" i="5"/>
  <c r="H128" i="5"/>
  <c r="K116" i="5"/>
  <c r="G112" i="5"/>
  <c r="H103" i="5"/>
  <c r="L102" i="5"/>
  <c r="K97" i="5"/>
  <c r="K96" i="5"/>
  <c r="H96" i="5"/>
  <c r="H89" i="5"/>
  <c r="G86" i="5"/>
  <c r="L86" i="5"/>
  <c r="I85" i="5"/>
  <c r="F85" i="5"/>
  <c r="H79" i="5"/>
  <c r="H59" i="5"/>
  <c r="I57" i="5"/>
  <c r="F57" i="5"/>
  <c r="H43" i="5"/>
  <c r="I41" i="5"/>
  <c r="F41" i="5"/>
  <c r="H12" i="5"/>
  <c r="Z181" i="9"/>
  <c r="Z156" i="9"/>
  <c r="G156" i="9"/>
  <c r="G76" i="9"/>
  <c r="L145" i="5"/>
  <c r="K124" i="5"/>
  <c r="G120" i="5"/>
  <c r="G98" i="5"/>
  <c r="L98" i="5"/>
  <c r="I97" i="5"/>
  <c r="F97" i="5"/>
  <c r="K77" i="5"/>
  <c r="K76" i="5"/>
  <c r="H76" i="5"/>
  <c r="K69" i="5"/>
  <c r="K68" i="5"/>
  <c r="H68" i="5"/>
  <c r="I63" i="5"/>
  <c r="J63" i="5"/>
  <c r="G58" i="5"/>
  <c r="K58" i="5"/>
  <c r="L58" i="5"/>
  <c r="K53" i="5"/>
  <c r="K52" i="5"/>
  <c r="H52" i="5"/>
  <c r="I47" i="5"/>
  <c r="J47" i="5"/>
  <c r="G42" i="5"/>
  <c r="K42" i="5"/>
  <c r="L42" i="5"/>
  <c r="K37" i="5"/>
  <c r="K36" i="5"/>
  <c r="H36" i="5"/>
  <c r="L24" i="5"/>
  <c r="G24" i="5"/>
  <c r="G23" i="5"/>
  <c r="K23" i="5"/>
  <c r="L23" i="5"/>
  <c r="G12" i="5"/>
  <c r="Z186" i="9"/>
  <c r="F29" i="5"/>
  <c r="F25" i="5"/>
  <c r="I24" i="5"/>
  <c r="G22" i="5"/>
  <c r="G131" i="9"/>
  <c r="G129" i="9"/>
  <c r="Z129" i="9"/>
  <c r="Z121" i="9"/>
  <c r="Z105" i="9"/>
  <c r="G105" i="9"/>
  <c r="G89" i="9"/>
  <c r="K89" i="9" s="1"/>
  <c r="G72" i="9"/>
  <c r="Z72" i="9"/>
  <c r="BG105" i="10"/>
  <c r="BH105" i="10"/>
  <c r="G102" i="9"/>
  <c r="J102" i="9" s="1"/>
  <c r="Z100" i="9"/>
  <c r="G79" i="9"/>
  <c r="Z71" i="9"/>
  <c r="G71" i="9"/>
  <c r="G46" i="9"/>
  <c r="Z46" i="9"/>
  <c r="Z40" i="9"/>
  <c r="G40" i="9"/>
  <c r="G82" i="6"/>
  <c r="L82" i="6"/>
  <c r="Z98" i="9"/>
  <c r="Z82" i="9"/>
  <c r="G82" i="9"/>
  <c r="G38" i="9"/>
  <c r="BG99" i="10"/>
  <c r="BH99" i="10"/>
  <c r="G83" i="9"/>
  <c r="Z128" i="9"/>
  <c r="K88" i="9"/>
  <c r="Z62" i="9"/>
  <c r="Z33" i="9"/>
  <c r="Z113" i="9"/>
  <c r="G101" i="9"/>
  <c r="Z97" i="9"/>
  <c r="Z88" i="9"/>
  <c r="G64" i="9"/>
  <c r="J64" i="9" s="1"/>
  <c r="Z64" i="9"/>
  <c r="G56" i="9"/>
  <c r="Z56" i="9"/>
  <c r="Z49" i="9"/>
  <c r="G49" i="9"/>
  <c r="BH104" i="10"/>
  <c r="BG104" i="10"/>
  <c r="Z34" i="9"/>
  <c r="Z32" i="9"/>
  <c r="G22" i="9"/>
  <c r="G59" i="9"/>
  <c r="Z37" i="9"/>
  <c r="G34" i="9"/>
  <c r="J34" i="9" s="1"/>
  <c r="Z26" i="9"/>
  <c r="G26" i="9"/>
  <c r="G53" i="7"/>
  <c r="I53" i="7"/>
  <c r="BL16" i="9"/>
  <c r="BL38" i="9"/>
  <c r="BL46" i="9"/>
  <c r="BL54" i="9"/>
  <c r="BL78" i="9"/>
  <c r="BL6" i="9"/>
  <c r="BL9" i="9"/>
  <c r="BL22" i="9"/>
  <c r="BL35" i="9"/>
  <c r="BL3" i="9"/>
  <c r="BL7" i="9"/>
  <c r="BL10" i="9"/>
  <c r="BL25" i="9"/>
  <c r="BL37" i="9"/>
  <c r="BL45" i="9"/>
  <c r="BL53" i="9"/>
  <c r="BL28" i="9"/>
  <c r="BL13" i="9"/>
  <c r="BL30" i="9"/>
  <c r="BL33" i="9"/>
  <c r="BL36" i="9"/>
  <c r="BL44" i="9"/>
  <c r="BL52" i="9"/>
  <c r="BL60" i="9"/>
  <c r="BL68" i="9"/>
  <c r="BG107" i="10"/>
  <c r="BH107" i="10"/>
  <c r="G35" i="10"/>
  <c r="AF35" i="10"/>
  <c r="G26" i="10"/>
  <c r="AF26" i="10"/>
  <c r="G192" i="10"/>
  <c r="AF192" i="10"/>
  <c r="G66" i="9"/>
  <c r="J66" i="9" s="1"/>
  <c r="Z66" i="9"/>
  <c r="G45" i="9"/>
  <c r="G37" i="9"/>
  <c r="BL19" i="9"/>
  <c r="BH98" i="10"/>
  <c r="BG98" i="10"/>
  <c r="G132" i="10"/>
  <c r="AF132" i="10"/>
  <c r="G39" i="9"/>
  <c r="BG103" i="10"/>
  <c r="BH103" i="10"/>
  <c r="BG102" i="10"/>
  <c r="BH102" i="10"/>
  <c r="G68" i="10"/>
  <c r="AF68" i="10"/>
  <c r="BL63" i="9"/>
  <c r="BL58" i="9"/>
  <c r="Z57" i="9"/>
  <c r="BL56" i="9"/>
  <c r="G28" i="9"/>
  <c r="AO14" i="9"/>
  <c r="AP14" i="9"/>
  <c r="BL12" i="9"/>
  <c r="BL8" i="9"/>
  <c r="G136" i="10"/>
  <c r="AF136" i="10"/>
  <c r="G119" i="10"/>
  <c r="AF119" i="10"/>
  <c r="G96" i="10"/>
  <c r="AF96" i="10"/>
  <c r="G85" i="10"/>
  <c r="AF85" i="10"/>
  <c r="G22" i="10"/>
  <c r="AF22" i="10"/>
  <c r="G130" i="10"/>
  <c r="AF130" i="10"/>
  <c r="G80" i="10"/>
  <c r="AF80" i="10"/>
  <c r="G88" i="6"/>
  <c r="J88" i="6"/>
  <c r="BH101" i="10"/>
  <c r="G129" i="10"/>
  <c r="AF129" i="10"/>
  <c r="G99" i="10"/>
  <c r="AF99" i="10"/>
  <c r="G39" i="10"/>
  <c r="AF39" i="10"/>
  <c r="G88" i="10"/>
  <c r="AF88" i="10"/>
  <c r="G97" i="6"/>
  <c r="J97" i="6"/>
  <c r="G90" i="6"/>
  <c r="J90" i="6"/>
  <c r="G116" i="10"/>
  <c r="AF116" i="10"/>
  <c r="G78" i="10"/>
  <c r="AF78" i="10"/>
  <c r="G189" i="10"/>
  <c r="AF189" i="10"/>
  <c r="K183" i="10"/>
  <c r="G176" i="10"/>
  <c r="AF176" i="10"/>
  <c r="G170" i="10"/>
  <c r="AF170" i="10"/>
  <c r="G160" i="10"/>
  <c r="AF160" i="10"/>
  <c r="K154" i="10"/>
  <c r="G72" i="10"/>
  <c r="AF72" i="10"/>
  <c r="G82" i="10"/>
  <c r="AF82" i="10"/>
  <c r="G139" i="10"/>
  <c r="AF139" i="10"/>
  <c r="G79" i="7"/>
  <c r="I79" i="7"/>
  <c r="AU30" i="9"/>
  <c r="AT30" i="9" s="1"/>
  <c r="AS30" i="9" s="1"/>
  <c r="AR30" i="9" s="1"/>
  <c r="AQ30" i="9" s="1"/>
  <c r="AP30" i="9" s="1"/>
  <c r="AO30" i="9" s="1"/>
  <c r="AN30" i="9" s="1"/>
  <c r="AM30" i="9" s="1"/>
  <c r="AL30" i="9" s="1"/>
  <c r="AU46" i="9"/>
  <c r="AT46" i="9" s="1"/>
  <c r="AS46" i="9" s="1"/>
  <c r="AR46" i="9" s="1"/>
  <c r="AQ46" i="9" s="1"/>
  <c r="AP46" i="9" s="1"/>
  <c r="AO46" i="9" s="1"/>
  <c r="AN46" i="9" s="1"/>
  <c r="AM46" i="9" s="1"/>
  <c r="AL46" i="9" s="1"/>
  <c r="AI46" i="9" s="1"/>
  <c r="AU29" i="9"/>
  <c r="AU37" i="9"/>
  <c r="AU36" i="9"/>
  <c r="AU44" i="9"/>
  <c r="AU51" i="9"/>
  <c r="AU26" i="9"/>
  <c r="AU34" i="9"/>
  <c r="AU24" i="9"/>
  <c r="AU45" i="9"/>
  <c r="AU63" i="9"/>
  <c r="AU71" i="9"/>
  <c r="AT71" i="9" s="1"/>
  <c r="AS71" i="9" s="1"/>
  <c r="AR71" i="9" s="1"/>
  <c r="AQ71" i="9" s="1"/>
  <c r="AP71" i="9" s="1"/>
  <c r="AO71" i="9" s="1"/>
  <c r="AN71" i="9" s="1"/>
  <c r="AM71" i="9" s="1"/>
  <c r="AL71" i="9" s="1"/>
  <c r="AU79" i="9"/>
  <c r="AU52" i="9"/>
  <c r="AU62" i="9"/>
  <c r="AU70" i="9"/>
  <c r="AU78" i="9"/>
  <c r="AU33" i="9"/>
  <c r="AU40" i="9"/>
  <c r="AU59" i="9"/>
  <c r="AU32" i="9"/>
  <c r="AT32" i="9" s="1"/>
  <c r="AS32" i="9" s="1"/>
  <c r="AU39" i="9"/>
  <c r="AU57" i="9"/>
  <c r="AU73" i="9"/>
  <c r="AU56" i="9"/>
  <c r="AU76" i="9"/>
  <c r="AT76" i="9" s="1"/>
  <c r="AS76" i="9" s="1"/>
  <c r="AR76" i="9" s="1"/>
  <c r="AQ76" i="9" s="1"/>
  <c r="AP76" i="9" s="1"/>
  <c r="AO76" i="9" s="1"/>
  <c r="AN76" i="9" s="1"/>
  <c r="AM76" i="9" s="1"/>
  <c r="AL76" i="9" s="1"/>
  <c r="AU74" i="9"/>
  <c r="AU83" i="9"/>
  <c r="AT83" i="9" s="1"/>
  <c r="AS83" i="9" s="1"/>
  <c r="AU91" i="9"/>
  <c r="AT91" i="9" s="1"/>
  <c r="AS91" i="9" s="1"/>
  <c r="AR91" i="9" s="1"/>
  <c r="AQ91" i="9" s="1"/>
  <c r="AP91" i="9" s="1"/>
  <c r="AO91" i="9" s="1"/>
  <c r="AN91" i="9" s="1"/>
  <c r="AM91" i="9" s="1"/>
  <c r="AL91" i="9" s="1"/>
  <c r="AU107" i="9"/>
  <c r="AU49" i="9"/>
  <c r="AU72" i="9"/>
  <c r="AU82" i="9"/>
  <c r="AU90" i="9"/>
  <c r="AU98" i="9"/>
  <c r="AU106" i="9"/>
  <c r="AT106" i="9" s="1"/>
  <c r="AS106" i="9" s="1"/>
  <c r="AR106" i="9" s="1"/>
  <c r="AQ106" i="9" s="1"/>
  <c r="AP106" i="9" s="1"/>
  <c r="AO106" i="9" s="1"/>
  <c r="AN106" i="9" s="1"/>
  <c r="AM106" i="9" s="1"/>
  <c r="AL106" i="9" s="1"/>
  <c r="AU69" i="9"/>
  <c r="AU68" i="9"/>
  <c r="AU88" i="9"/>
  <c r="AU66" i="9"/>
  <c r="AT66" i="9" s="1"/>
  <c r="AS66" i="9" s="1"/>
  <c r="AR66" i="9" s="1"/>
  <c r="AQ66" i="9" s="1"/>
  <c r="AP66" i="9" s="1"/>
  <c r="AO66" i="9" s="1"/>
  <c r="AN66" i="9" s="1"/>
  <c r="AM66" i="9" s="1"/>
  <c r="AL66" i="9" s="1"/>
  <c r="AU87" i="9"/>
  <c r="AT87" i="9" s="1"/>
  <c r="AS87" i="9" s="1"/>
  <c r="AR87" i="9" s="1"/>
  <c r="AQ87" i="9" s="1"/>
  <c r="AP87" i="9" s="1"/>
  <c r="AO87" i="9" s="1"/>
  <c r="AN87" i="9" s="1"/>
  <c r="AM87" i="9" s="1"/>
  <c r="AL87" i="9" s="1"/>
  <c r="AU111" i="9"/>
  <c r="AU122" i="9"/>
  <c r="AT122" i="9" s="1"/>
  <c r="AU89" i="9"/>
  <c r="AU105" i="9"/>
  <c r="AU113" i="9"/>
  <c r="AU121" i="9"/>
  <c r="AU129" i="9"/>
  <c r="AU85" i="9"/>
  <c r="AT85" i="9" s="1"/>
  <c r="AU101" i="9"/>
  <c r="AT101" i="9" s="1"/>
  <c r="AS101" i="9" s="1"/>
  <c r="AR101" i="9" s="1"/>
  <c r="AQ101" i="9" s="1"/>
  <c r="AP101" i="9" s="1"/>
  <c r="AO101" i="9" s="1"/>
  <c r="AN101" i="9" s="1"/>
  <c r="AM101" i="9" s="1"/>
  <c r="AL101" i="9" s="1"/>
  <c r="AI101" i="9" s="1"/>
  <c r="AU84" i="9"/>
  <c r="AU100" i="9"/>
  <c r="AU118" i="9"/>
  <c r="AU126" i="9"/>
  <c r="AU97" i="9"/>
  <c r="AU102" i="9"/>
  <c r="AT102" i="9" s="1"/>
  <c r="AS102" i="9" s="1"/>
  <c r="AR102" i="9" s="1"/>
  <c r="AQ102" i="9" s="1"/>
  <c r="AP102" i="9" s="1"/>
  <c r="AO102" i="9" s="1"/>
  <c r="AN102" i="9" s="1"/>
  <c r="AM102" i="9" s="1"/>
  <c r="AL102" i="9" s="1"/>
  <c r="AI102" i="9" s="1"/>
  <c r="AU112" i="9"/>
  <c r="AU128" i="9"/>
  <c r="AU146" i="9"/>
  <c r="AU154" i="9"/>
  <c r="AT154" i="9" s="1"/>
  <c r="AS154" i="9" s="1"/>
  <c r="AR154" i="9" s="1"/>
  <c r="AQ154" i="9" s="1"/>
  <c r="AP154" i="9" s="1"/>
  <c r="AO154" i="9" s="1"/>
  <c r="AN154" i="9" s="1"/>
  <c r="AM154" i="9" s="1"/>
  <c r="AL154" i="9" s="1"/>
  <c r="AU145" i="9"/>
  <c r="AT145" i="9" s="1"/>
  <c r="AU153" i="9"/>
  <c r="AU161" i="9"/>
  <c r="AU169" i="9"/>
  <c r="AU124" i="9"/>
  <c r="AU152" i="9"/>
  <c r="AU167" i="9"/>
  <c r="AU77" i="9"/>
  <c r="AU158" i="9"/>
  <c r="AU64" i="9"/>
  <c r="AU93" i="9"/>
  <c r="AU132" i="9"/>
  <c r="AT132" i="9" s="1"/>
  <c r="AS132" i="9" s="1"/>
  <c r="AR132" i="9" s="1"/>
  <c r="AQ132" i="9" s="1"/>
  <c r="AP132" i="9" s="1"/>
  <c r="AO132" i="9" s="1"/>
  <c r="AN132" i="9" s="1"/>
  <c r="AM132" i="9" s="1"/>
  <c r="AL132" i="9" s="1"/>
  <c r="AU148" i="9"/>
  <c r="AU156" i="9"/>
  <c r="AU164" i="9"/>
  <c r="AU109" i="9"/>
  <c r="AU131" i="9"/>
  <c r="AU139" i="9"/>
  <c r="AU171" i="9"/>
  <c r="AU149" i="9"/>
  <c r="AU165" i="9"/>
  <c r="AU176" i="9"/>
  <c r="AU179" i="9"/>
  <c r="AU187" i="9"/>
  <c r="AU115" i="9"/>
  <c r="AU162" i="9"/>
  <c r="AU168" i="9"/>
  <c r="AT168" i="9" s="1"/>
  <c r="AU173" i="9"/>
  <c r="AU186" i="9"/>
  <c r="AU160" i="9"/>
  <c r="AU185" i="9"/>
  <c r="AU182" i="9"/>
  <c r="AU190" i="9"/>
  <c r="AT190" i="9" s="1"/>
  <c r="AS190" i="9" s="1"/>
  <c r="AR190" i="9" s="1"/>
  <c r="AQ190" i="9" s="1"/>
  <c r="AP190" i="9" s="1"/>
  <c r="AO190" i="9" s="1"/>
  <c r="AN190" i="9" s="1"/>
  <c r="AM190" i="9" s="1"/>
  <c r="AL190" i="9" s="1"/>
  <c r="AI190" i="9" s="1"/>
  <c r="AH190" i="9" s="1"/>
  <c r="AU174" i="9"/>
  <c r="AT174" i="9" s="1"/>
  <c r="AS174" i="9" s="1"/>
  <c r="AR174" i="9" s="1"/>
  <c r="AQ174" i="9" s="1"/>
  <c r="AP174" i="9" s="1"/>
  <c r="AO174" i="9" s="1"/>
  <c r="AN174" i="9" s="1"/>
  <c r="AM174" i="9" s="1"/>
  <c r="AL174" i="9" s="1"/>
  <c r="AU181" i="9"/>
  <c r="AT181" i="9" s="1"/>
  <c r="AS181" i="9" s="1"/>
  <c r="AR181" i="9" s="1"/>
  <c r="AQ181" i="9" s="1"/>
  <c r="AP181" i="9" s="1"/>
  <c r="AO181" i="9" s="1"/>
  <c r="AU172" i="9"/>
  <c r="AU175" i="9"/>
  <c r="AU192" i="9"/>
  <c r="AU178" i="9"/>
  <c r="AU141" i="9"/>
  <c r="G133" i="10"/>
  <c r="AF133" i="10"/>
  <c r="G60" i="10"/>
  <c r="AF60" i="10"/>
  <c r="G95" i="7"/>
  <c r="I95" i="7"/>
  <c r="G92" i="7"/>
  <c r="I92" i="7"/>
  <c r="G87" i="7"/>
  <c r="I87" i="7"/>
  <c r="G84" i="7"/>
  <c r="I84" i="7"/>
  <c r="G54" i="10"/>
  <c r="AF54" i="10"/>
  <c r="K115" i="10"/>
  <c r="K113" i="10"/>
  <c r="G102" i="10"/>
  <c r="AF102" i="10"/>
  <c r="J67" i="10"/>
  <c r="G42" i="10"/>
  <c r="AF42" i="10"/>
  <c r="J36" i="10"/>
  <c r="J34" i="10"/>
  <c r="I23" i="10"/>
  <c r="G50" i="10"/>
  <c r="AF50" i="10"/>
  <c r="K126" i="10"/>
  <c r="J51" i="10"/>
  <c r="G57" i="10"/>
  <c r="AF57" i="10"/>
  <c r="K112" i="10"/>
  <c r="AF56" i="10"/>
  <c r="AF107" i="10"/>
  <c r="AF75" i="10"/>
  <c r="G83" i="10"/>
  <c r="AF83" i="10"/>
  <c r="J77" i="10"/>
  <c r="J64" i="10"/>
  <c r="G33" i="10"/>
  <c r="AF33" i="10"/>
  <c r="J38" i="10"/>
  <c r="AF89" i="10"/>
  <c r="P115" i="6"/>
  <c r="S115" i="6" s="1"/>
  <c r="U115" i="6" s="1"/>
  <c r="G115" i="6"/>
  <c r="J115" i="6"/>
  <c r="P56" i="6"/>
  <c r="S56" i="6" s="1"/>
  <c r="U56" i="6" s="1"/>
  <c r="G56" i="6"/>
  <c r="I56" i="6"/>
  <c r="AF123" i="10"/>
  <c r="G111" i="10"/>
  <c r="AF111" i="10"/>
  <c r="J56" i="10"/>
  <c r="K107" i="10"/>
  <c r="G95" i="10"/>
  <c r="AF95" i="10"/>
  <c r="J75" i="10"/>
  <c r="AF93" i="10"/>
  <c r="AF65" i="10"/>
  <c r="AF63" i="10"/>
  <c r="G31" i="10"/>
  <c r="AF31" i="10"/>
  <c r="K89" i="10"/>
  <c r="G186" i="10"/>
  <c r="AF186" i="10"/>
  <c r="K173" i="10"/>
  <c r="J44" i="10"/>
  <c r="G163" i="10"/>
  <c r="AF163" i="10"/>
  <c r="G157" i="10"/>
  <c r="AF157" i="10"/>
  <c r="K145" i="10"/>
  <c r="G119" i="7"/>
  <c r="I119" i="7"/>
  <c r="G55" i="7"/>
  <c r="H55" i="7"/>
  <c r="G125" i="10"/>
  <c r="AF125" i="10"/>
  <c r="K123" i="10"/>
  <c r="AF120" i="10"/>
  <c r="AF117" i="10"/>
  <c r="AF106" i="10"/>
  <c r="G76" i="10"/>
  <c r="AF76" i="10"/>
  <c r="K93" i="10"/>
  <c r="J65" i="10"/>
  <c r="G91" i="10"/>
  <c r="AF91" i="10"/>
  <c r="J63" i="10"/>
  <c r="AF45" i="10"/>
  <c r="AF41" i="10"/>
  <c r="K185" i="10"/>
  <c r="K179" i="10"/>
  <c r="G172" i="10"/>
  <c r="AF172" i="10"/>
  <c r="G48" i="10"/>
  <c r="AF48" i="10"/>
  <c r="K156" i="10"/>
  <c r="K151" i="10"/>
  <c r="G144" i="10"/>
  <c r="AF144" i="10"/>
  <c r="G112" i="6"/>
  <c r="J112" i="6"/>
  <c r="G63" i="6"/>
  <c r="J63" i="6"/>
  <c r="P80" i="6"/>
  <c r="S80" i="6" s="1"/>
  <c r="U80" i="6" s="1"/>
  <c r="G124" i="7"/>
  <c r="I124" i="7"/>
  <c r="G77" i="7"/>
  <c r="H77" i="7"/>
  <c r="G71" i="7"/>
  <c r="I71" i="7"/>
  <c r="G63" i="7"/>
  <c r="I63" i="7"/>
  <c r="G60" i="7"/>
  <c r="I60" i="7"/>
  <c r="G122" i="10"/>
  <c r="AF122" i="10"/>
  <c r="K120" i="10"/>
  <c r="K117" i="10"/>
  <c r="G59" i="10"/>
  <c r="AF59" i="10"/>
  <c r="K106" i="10"/>
  <c r="G53" i="10"/>
  <c r="AF53" i="10"/>
  <c r="J45" i="10"/>
  <c r="J41" i="10"/>
  <c r="K191" i="10"/>
  <c r="G184" i="10"/>
  <c r="AF184" i="10"/>
  <c r="G178" i="10"/>
  <c r="AF178" i="10"/>
  <c r="J46" i="10"/>
  <c r="K162" i="10"/>
  <c r="G155" i="10"/>
  <c r="AF155" i="10"/>
  <c r="G150" i="10"/>
  <c r="AF150" i="10"/>
  <c r="G58" i="6"/>
  <c r="I58" i="6"/>
  <c r="P49" i="6"/>
  <c r="S49" i="6" s="1"/>
  <c r="U49" i="6" s="1"/>
  <c r="G68" i="7"/>
  <c r="H68" i="7"/>
  <c r="X16" i="10"/>
  <c r="X17" i="10"/>
  <c r="AB16" i="10"/>
  <c r="AB17" i="10"/>
  <c r="U16" i="10"/>
  <c r="U17" i="10"/>
  <c r="Y16" i="10"/>
  <c r="Y17" i="10"/>
  <c r="AC16" i="10"/>
  <c r="AC17" i="10"/>
  <c r="Z16" i="10"/>
  <c r="Z17" i="10"/>
  <c r="AA16" i="10"/>
  <c r="AA17" i="10"/>
  <c r="AD16" i="10"/>
  <c r="AD17" i="10"/>
  <c r="AE16" i="10"/>
  <c r="AE17" i="10"/>
  <c r="V16" i="10"/>
  <c r="V17" i="10"/>
  <c r="W16" i="10"/>
  <c r="W17" i="10"/>
  <c r="T19" i="10"/>
  <c r="G105" i="10"/>
  <c r="AF105" i="10"/>
  <c r="J66" i="10"/>
  <c r="K100" i="10"/>
  <c r="G69" i="10"/>
  <c r="AF69" i="10"/>
  <c r="J70" i="10"/>
  <c r="K86" i="10"/>
  <c r="G140" i="10"/>
  <c r="AF140" i="10"/>
  <c r="G119" i="6"/>
  <c r="M119" i="6"/>
  <c r="G70" i="7"/>
  <c r="I70" i="7"/>
  <c r="AF182" i="10"/>
  <c r="AF49" i="10"/>
  <c r="AF142" i="10"/>
  <c r="AF138" i="10"/>
  <c r="K135" i="10"/>
  <c r="K128" i="10"/>
  <c r="J52" i="10"/>
  <c r="J55" i="10"/>
  <c r="K110" i="10"/>
  <c r="K104" i="10"/>
  <c r="K98" i="10"/>
  <c r="J79" i="10"/>
  <c r="J74" i="10"/>
  <c r="J84" i="10"/>
  <c r="J30" i="10"/>
  <c r="J40" i="10"/>
  <c r="K90" i="10"/>
  <c r="J28" i="10"/>
  <c r="K87" i="10"/>
  <c r="K190" i="10"/>
  <c r="K177" i="10"/>
  <c r="K171" i="10"/>
  <c r="K167" i="10"/>
  <c r="K161" i="10"/>
  <c r="K149" i="10"/>
  <c r="K143" i="10"/>
  <c r="P72" i="6"/>
  <c r="S72" i="6" s="1"/>
  <c r="U72" i="6" s="1"/>
  <c r="G65" i="6"/>
  <c r="J65" i="6"/>
  <c r="D16" i="6"/>
  <c r="D19" i="6" s="1"/>
  <c r="P106" i="6"/>
  <c r="S106" i="6" s="1"/>
  <c r="U106" i="6" s="1"/>
  <c r="G104" i="7"/>
  <c r="I104" i="7"/>
  <c r="G67" i="7"/>
  <c r="I67" i="7"/>
  <c r="G21" i="7"/>
  <c r="K148" i="10"/>
  <c r="K142" i="10"/>
  <c r="G118" i="6"/>
  <c r="M118" i="6"/>
  <c r="G111" i="7"/>
  <c r="I111" i="7"/>
  <c r="G106" i="7"/>
  <c r="I106" i="7"/>
  <c r="G101" i="7"/>
  <c r="I101" i="7"/>
  <c r="G86" i="7"/>
  <c r="R86" i="7"/>
  <c r="I25" i="10"/>
  <c r="K138" i="10"/>
  <c r="K182" i="10"/>
  <c r="K169" i="10"/>
  <c r="K166" i="10"/>
  <c r="K159" i="10"/>
  <c r="J49" i="10"/>
  <c r="K141" i="10"/>
  <c r="G122" i="6"/>
  <c r="M122" i="6"/>
  <c r="P120" i="6"/>
  <c r="S120" i="6" s="1"/>
  <c r="U120" i="6" s="1"/>
  <c r="G120" i="6"/>
  <c r="M120" i="6"/>
  <c r="P47" i="6"/>
  <c r="S47" i="6" s="1"/>
  <c r="U47" i="6" s="1"/>
  <c r="K188" i="10"/>
  <c r="K134" i="10"/>
  <c r="K127" i="10"/>
  <c r="K121" i="10"/>
  <c r="J58" i="10"/>
  <c r="K109" i="10"/>
  <c r="K103" i="10"/>
  <c r="K97" i="10"/>
  <c r="K94" i="10"/>
  <c r="J81" i="10"/>
  <c r="J73" i="10"/>
  <c r="J47" i="10"/>
  <c r="J37" i="10"/>
  <c r="J29" i="10"/>
  <c r="J27" i="10"/>
  <c r="K137" i="10"/>
  <c r="K181" i="10"/>
  <c r="K175" i="10"/>
  <c r="K168" i="10"/>
  <c r="K165" i="10"/>
  <c r="K153" i="10"/>
  <c r="K147" i="10"/>
  <c r="G111" i="6"/>
  <c r="J111" i="6"/>
  <c r="G102" i="6"/>
  <c r="J102" i="6"/>
  <c r="G86" i="6"/>
  <c r="R86" i="6"/>
  <c r="G83" i="6"/>
  <c r="J83" i="6"/>
  <c r="P83" i="6"/>
  <c r="S83" i="6" s="1"/>
  <c r="U83" i="6" s="1"/>
  <c r="P75" i="6"/>
  <c r="S75" i="6" s="1"/>
  <c r="U75" i="6" s="1"/>
  <c r="G120" i="7"/>
  <c r="I120" i="7"/>
  <c r="G103" i="7"/>
  <c r="I103" i="7"/>
  <c r="G74" i="7"/>
  <c r="I74" i="7"/>
  <c r="AF188" i="10"/>
  <c r="AF159" i="10"/>
  <c r="AF148" i="10"/>
  <c r="K131" i="10"/>
  <c r="K124" i="10"/>
  <c r="K118" i="10"/>
  <c r="K114" i="10"/>
  <c r="K108" i="10"/>
  <c r="K101" i="10"/>
  <c r="J71" i="10"/>
  <c r="K92" i="10"/>
  <c r="J61" i="10"/>
  <c r="J62" i="10"/>
  <c r="J43" i="10"/>
  <c r="J32" i="10"/>
  <c r="I24" i="10"/>
  <c r="I21" i="10"/>
  <c r="K193" i="10"/>
  <c r="K187" i="10"/>
  <c r="K180" i="10"/>
  <c r="K174" i="10"/>
  <c r="K164" i="10"/>
  <c r="K158" i="10"/>
  <c r="K152" i="10"/>
  <c r="K146" i="10"/>
  <c r="G104" i="6"/>
  <c r="J104" i="6"/>
  <c r="G50" i="6"/>
  <c r="P50" i="6"/>
  <c r="S50" i="6" s="1"/>
  <c r="U50" i="6" s="1"/>
  <c r="P74" i="6"/>
  <c r="S74" i="6" s="1"/>
  <c r="U74" i="6" s="1"/>
  <c r="G125" i="7"/>
  <c r="I125" i="7"/>
  <c r="G122" i="7"/>
  <c r="I122" i="7"/>
  <c r="G115" i="7"/>
  <c r="I115" i="7"/>
  <c r="G61" i="7"/>
  <c r="I61" i="7"/>
  <c r="G108" i="7"/>
  <c r="I108" i="7"/>
  <c r="G83" i="7"/>
  <c r="I83" i="7"/>
  <c r="G52" i="7"/>
  <c r="I52" i="7"/>
  <c r="G47" i="7"/>
  <c r="H47" i="7"/>
  <c r="G112" i="7"/>
  <c r="I112" i="7"/>
  <c r="G76" i="7"/>
  <c r="I76" i="7"/>
  <c r="E117" i="8"/>
  <c r="P110" i="6"/>
  <c r="S110" i="6" s="1"/>
  <c r="U110" i="6" s="1"/>
  <c r="P71" i="6"/>
  <c r="S71" i="6" s="1"/>
  <c r="U71" i="6" s="1"/>
  <c r="P101" i="6"/>
  <c r="S101" i="6" s="1"/>
  <c r="U101" i="6" s="1"/>
  <c r="D15" i="6"/>
  <c r="C19" i="6" s="1"/>
  <c r="P60" i="6"/>
  <c r="S60" i="6" s="1"/>
  <c r="U60" i="6" s="1"/>
  <c r="P76" i="6"/>
  <c r="S76" i="6" s="1"/>
  <c r="U76" i="6" s="1"/>
  <c r="P92" i="6"/>
  <c r="S92" i="6" s="1"/>
  <c r="U92" i="6" s="1"/>
  <c r="G116" i="7"/>
  <c r="I116" i="7"/>
  <c r="G96" i="7"/>
  <c r="I96" i="7"/>
  <c r="G75" i="7"/>
  <c r="H75" i="7"/>
  <c r="G100" i="7"/>
  <c r="I100" i="7"/>
  <c r="G88" i="7"/>
  <c r="I88" i="7"/>
  <c r="G80" i="7"/>
  <c r="R80" i="7"/>
  <c r="G72" i="7"/>
  <c r="I72" i="7"/>
  <c r="G64" i="7"/>
  <c r="I64" i="7"/>
  <c r="G56" i="7"/>
  <c r="I56" i="7"/>
  <c r="AC3" i="10"/>
  <c r="AC5" i="10"/>
  <c r="H15" i="10"/>
  <c r="I12" i="10"/>
  <c r="I13" i="10"/>
  <c r="AH15" i="10"/>
  <c r="AH11" i="10"/>
  <c r="AH12" i="10"/>
  <c r="AH18" i="10"/>
  <c r="AB12" i="9"/>
  <c r="AB11" i="9"/>
  <c r="BA22" i="10"/>
  <c r="BA32" i="10"/>
  <c r="BA40" i="10"/>
  <c r="BA48" i="10"/>
  <c r="BA56" i="10"/>
  <c r="BA64" i="10"/>
  <c r="BA72" i="10"/>
  <c r="BA80" i="10"/>
  <c r="BA88" i="10"/>
  <c r="BA31" i="10"/>
  <c r="BA39" i="10"/>
  <c r="BA47" i="10"/>
  <c r="BA55" i="10"/>
  <c r="BA63" i="10"/>
  <c r="BA30" i="10"/>
  <c r="BA38" i="10"/>
  <c r="BA46" i="10"/>
  <c r="BA54" i="10"/>
  <c r="BA62" i="10"/>
  <c r="BA70" i="10"/>
  <c r="BA78" i="10"/>
  <c r="BA29" i="10"/>
  <c r="BA37" i="10"/>
  <c r="BA45" i="10"/>
  <c r="BA53" i="10"/>
  <c r="BA61" i="10"/>
  <c r="BA69" i="10"/>
  <c r="BA77" i="10"/>
  <c r="BA85" i="10"/>
  <c r="BA21" i="10"/>
  <c r="BA26" i="10"/>
  <c r="BA28" i="10"/>
  <c r="BA36" i="10"/>
  <c r="BA44" i="10"/>
  <c r="BA52" i="10"/>
  <c r="BA60" i="10"/>
  <c r="BA68" i="10"/>
  <c r="BA76" i="10"/>
  <c r="BA84" i="10"/>
  <c r="BA35" i="10"/>
  <c r="BA42" i="10"/>
  <c r="BA49" i="10"/>
  <c r="BA74" i="10"/>
  <c r="BA94" i="10"/>
  <c r="BA102" i="10"/>
  <c r="BA73" i="10"/>
  <c r="BA93" i="10"/>
  <c r="BA101" i="10"/>
  <c r="BA24" i="10"/>
  <c r="BA51" i="10"/>
  <c r="BA58" i="10"/>
  <c r="BA65" i="10"/>
  <c r="BA71" i="10"/>
  <c r="BA92" i="10"/>
  <c r="BA100" i="10"/>
  <c r="BA27" i="10"/>
  <c r="BA34" i="10"/>
  <c r="BA41" i="10"/>
  <c r="BA83" i="10"/>
  <c r="BA86" i="10"/>
  <c r="BA91" i="10"/>
  <c r="BA99" i="10"/>
  <c r="BA67" i="10"/>
  <c r="BA82" i="10"/>
  <c r="BA87" i="10"/>
  <c r="BA90" i="10"/>
  <c r="BA98" i="10"/>
  <c r="BA23" i="10"/>
  <c r="BA43" i="10"/>
  <c r="BA50" i="10"/>
  <c r="BA57" i="10"/>
  <c r="BA81" i="10"/>
  <c r="BA97" i="10"/>
  <c r="BA104" i="10"/>
  <c r="BA113" i="10"/>
  <c r="BA121" i="10"/>
  <c r="BA129" i="10"/>
  <c r="BA137" i="10"/>
  <c r="BA145" i="10"/>
  <c r="BA153" i="10"/>
  <c r="BA161" i="10"/>
  <c r="BA169" i="10"/>
  <c r="BA177" i="10"/>
  <c r="BA89" i="10"/>
  <c r="BA107" i="10"/>
  <c r="BA112" i="10"/>
  <c r="BA120" i="10"/>
  <c r="BA128" i="10"/>
  <c r="BA136" i="10"/>
  <c r="BA144" i="10"/>
  <c r="BA152" i="10"/>
  <c r="BA160" i="10"/>
  <c r="BA168" i="10"/>
  <c r="BA176" i="10"/>
  <c r="BA96" i="10"/>
  <c r="BA111" i="10"/>
  <c r="BA119" i="10"/>
  <c r="BA127" i="10"/>
  <c r="BA135" i="10"/>
  <c r="BA143" i="10"/>
  <c r="BA151" i="10"/>
  <c r="BA159" i="10"/>
  <c r="BA167" i="10"/>
  <c r="BA175" i="10"/>
  <c r="BA25" i="10"/>
  <c r="BA59" i="10"/>
  <c r="BA103" i="10"/>
  <c r="BA110" i="10"/>
  <c r="BA118" i="10"/>
  <c r="BA126" i="10"/>
  <c r="BA134" i="10"/>
  <c r="BA142" i="10"/>
  <c r="BA150" i="10"/>
  <c r="BA158" i="10"/>
  <c r="BA166" i="10"/>
  <c r="BA174" i="10"/>
  <c r="BA182" i="10"/>
  <c r="BA79" i="10"/>
  <c r="BA106" i="10"/>
  <c r="BA109" i="10"/>
  <c r="BA117" i="10"/>
  <c r="BA125" i="10"/>
  <c r="BA133" i="10"/>
  <c r="BA141" i="10"/>
  <c r="BA149" i="10"/>
  <c r="BA157" i="10"/>
  <c r="BA165" i="10"/>
  <c r="BA173" i="10"/>
  <c r="BA181" i="10"/>
  <c r="BA66" i="10"/>
  <c r="BA75" i="10"/>
  <c r="BA116" i="10"/>
  <c r="BA124" i="10"/>
  <c r="BA132" i="10"/>
  <c r="BA140" i="10"/>
  <c r="BA148" i="10"/>
  <c r="BA156" i="10"/>
  <c r="BA164" i="10"/>
  <c r="BA172" i="10"/>
  <c r="BA122" i="10"/>
  <c r="BA154" i="10"/>
  <c r="BA186" i="10"/>
  <c r="BA33" i="10"/>
  <c r="BA131" i="10"/>
  <c r="BA163" i="10"/>
  <c r="BA185" i="10"/>
  <c r="BA193" i="10"/>
  <c r="BA105" i="10"/>
  <c r="BA114" i="10"/>
  <c r="BA146" i="10"/>
  <c r="BA180" i="10"/>
  <c r="BA184" i="10"/>
  <c r="BA192" i="10"/>
  <c r="BA108" i="10"/>
  <c r="BA123" i="10"/>
  <c r="BA155" i="10"/>
  <c r="BA179" i="10"/>
  <c r="BA183" i="10"/>
  <c r="BA191" i="10"/>
  <c r="BA138" i="10"/>
  <c r="BA170" i="10"/>
  <c r="BA178" i="10"/>
  <c r="BA190" i="10"/>
  <c r="BA115" i="10"/>
  <c r="BA147" i="10"/>
  <c r="BA189" i="10"/>
  <c r="BA95" i="10"/>
  <c r="BA162" i="10"/>
  <c r="BA171" i="10"/>
  <c r="BA187" i="10"/>
  <c r="BA130" i="10"/>
  <c r="BA139" i="10"/>
  <c r="BA188" i="10"/>
  <c r="BR4" i="10"/>
  <c r="BR10" i="10"/>
  <c r="BR6" i="10"/>
  <c r="BR8" i="10"/>
  <c r="BR14" i="10"/>
  <c r="BR23" i="10"/>
  <c r="BR27" i="10"/>
  <c r="BR64" i="10"/>
  <c r="BR57" i="10"/>
  <c r="BR68" i="10"/>
  <c r="BR72" i="10"/>
  <c r="BR79" i="10"/>
  <c r="BR2" i="10"/>
  <c r="BR9" i="10"/>
  <c r="BR15" i="10"/>
  <c r="BR85" i="10"/>
  <c r="BR30" i="10"/>
  <c r="BR7" i="10"/>
  <c r="BR3" i="10"/>
  <c r="BR16" i="10"/>
  <c r="BR18" i="10"/>
  <c r="BR21" i="10"/>
  <c r="BR25" i="10"/>
  <c r="BR86" i="10"/>
  <c r="BR90" i="10"/>
  <c r="BR37" i="10"/>
  <c r="BR73" i="10"/>
  <c r="BR93" i="10"/>
  <c r="BR24" i="10"/>
  <c r="BR89" i="10"/>
  <c r="BR42" i="10"/>
  <c r="BR50" i="10"/>
  <c r="BR91" i="10"/>
  <c r="BR82" i="10"/>
  <c r="BR69" i="10"/>
  <c r="BR76" i="10"/>
  <c r="BR95" i="10"/>
  <c r="BR12" i="10"/>
  <c r="BR17" i="10"/>
  <c r="BR43" i="10"/>
  <c r="BR51" i="10"/>
  <c r="BR59" i="10"/>
  <c r="BR35" i="10"/>
  <c r="BR44" i="10"/>
  <c r="BR53" i="10"/>
  <c r="BR83" i="10"/>
  <c r="BR65" i="10"/>
  <c r="BR5" i="10"/>
  <c r="BR22" i="10"/>
  <c r="BR36" i="10"/>
  <c r="BR45" i="10"/>
  <c r="BR54" i="10"/>
  <c r="BR13" i="10"/>
  <c r="BR26" i="10"/>
  <c r="BR33" i="10"/>
  <c r="BR38" i="10"/>
  <c r="BR46" i="10"/>
  <c r="BR62" i="10"/>
  <c r="BR56" i="10"/>
  <c r="BR78" i="10"/>
  <c r="BR94" i="10"/>
  <c r="BR96" i="10"/>
  <c r="BR11" i="10"/>
  <c r="BR19" i="10"/>
  <c r="BR28" i="10"/>
  <c r="BR87" i="10"/>
  <c r="BR88" i="10"/>
  <c r="BR32" i="10"/>
  <c r="BR40" i="10"/>
  <c r="BR48" i="10"/>
  <c r="BR63" i="10"/>
  <c r="BR84" i="10"/>
  <c r="BR60" i="10"/>
  <c r="BR66" i="10"/>
  <c r="BR92" i="10"/>
  <c r="BR75" i="10"/>
  <c r="BR55" i="10"/>
  <c r="BR80" i="10"/>
  <c r="BR31" i="10"/>
  <c r="BR41" i="10"/>
  <c r="BR34" i="10"/>
  <c r="BR49" i="10"/>
  <c r="BR77" i="10"/>
  <c r="BR70" i="10"/>
  <c r="BR52" i="10"/>
  <c r="BR81" i="10"/>
  <c r="BR71" i="10"/>
  <c r="BR20" i="10"/>
  <c r="BR47" i="10"/>
  <c r="BR74" i="10"/>
  <c r="BR97" i="10"/>
  <c r="BR67" i="10"/>
  <c r="BR58" i="10"/>
  <c r="BR61" i="10"/>
  <c r="BR39" i="10"/>
  <c r="BR29" i="10"/>
  <c r="K50" i="6"/>
  <c r="K91" i="10"/>
  <c r="J60" i="10"/>
  <c r="AT115" i="9"/>
  <c r="AS115" i="9" s="1"/>
  <c r="AR115" i="9" s="1"/>
  <c r="AQ115" i="9" s="1"/>
  <c r="AP115" i="9" s="1"/>
  <c r="AO115" i="9" s="1"/>
  <c r="AN115" i="9" s="1"/>
  <c r="AM115" i="9" s="1"/>
  <c r="AL115" i="9" s="1"/>
  <c r="AT148" i="9"/>
  <c r="AS148" i="9" s="1"/>
  <c r="AR148" i="9" s="1"/>
  <c r="AQ148" i="9" s="1"/>
  <c r="AP148" i="9" s="1"/>
  <c r="AO148" i="9" s="1"/>
  <c r="AN148" i="9" s="1"/>
  <c r="AM148" i="9" s="1"/>
  <c r="AL148" i="9" s="1"/>
  <c r="AT152" i="9"/>
  <c r="AS152" i="9" s="1"/>
  <c r="AR152" i="9" s="1"/>
  <c r="AQ152" i="9" s="1"/>
  <c r="AP152" i="9" s="1"/>
  <c r="AO152" i="9" s="1"/>
  <c r="AN152" i="9" s="1"/>
  <c r="AM152" i="9" s="1"/>
  <c r="AL152" i="9"/>
  <c r="AR90" i="9"/>
  <c r="AQ90" i="9" s="1"/>
  <c r="AP90" i="9" s="1"/>
  <c r="AO90" i="9" s="1"/>
  <c r="AN90" i="9" s="1"/>
  <c r="AM90" i="9" s="1"/>
  <c r="AL90" i="9" s="1"/>
  <c r="AT90" i="9"/>
  <c r="AS90" i="9" s="1"/>
  <c r="AT74" i="9"/>
  <c r="AS74" i="9" s="1"/>
  <c r="AR74" i="9" s="1"/>
  <c r="AQ74" i="9" s="1"/>
  <c r="AP74" i="9" s="1"/>
  <c r="AO74" i="9" s="1"/>
  <c r="AN74" i="9" s="1"/>
  <c r="AM74" i="9" s="1"/>
  <c r="AL74" i="9" s="1"/>
  <c r="AI74" i="9" s="1"/>
  <c r="AT33" i="9"/>
  <c r="AS33" i="9" s="1"/>
  <c r="AR33" i="9" s="1"/>
  <c r="AQ33" i="9" s="1"/>
  <c r="AP33" i="9" s="1"/>
  <c r="AO33" i="9" s="1"/>
  <c r="AN33" i="9" s="1"/>
  <c r="AM33" i="9" s="1"/>
  <c r="AL33" i="9" s="1"/>
  <c r="AT24" i="9"/>
  <c r="AS24" i="9" s="1"/>
  <c r="AR24" i="9" s="1"/>
  <c r="AQ24" i="9" s="1"/>
  <c r="AP24" i="9" s="1"/>
  <c r="AO24" i="9" s="1"/>
  <c r="AN24" i="9" s="1"/>
  <c r="AM24" i="9" s="1"/>
  <c r="AL24" i="9" s="1"/>
  <c r="J78" i="10"/>
  <c r="J80" i="10"/>
  <c r="I22" i="10"/>
  <c r="K136" i="10"/>
  <c r="BK12" i="9"/>
  <c r="BJ12" i="9"/>
  <c r="BI12" i="9" s="1"/>
  <c r="BH12" i="9" s="1"/>
  <c r="BG12" i="9" s="1"/>
  <c r="BF12" i="9" s="1"/>
  <c r="BE12" i="9" s="1"/>
  <c r="BD12" i="9" s="1"/>
  <c r="BC12" i="9" s="1"/>
  <c r="K192" i="10"/>
  <c r="BK44" i="9"/>
  <c r="BJ44" i="9" s="1"/>
  <c r="BI44" i="9" s="1"/>
  <c r="BH44" i="9" s="1"/>
  <c r="BG44" i="9"/>
  <c r="BF44" i="9" s="1"/>
  <c r="BE44" i="9" s="1"/>
  <c r="BD44" i="9" s="1"/>
  <c r="BC44" i="9" s="1"/>
  <c r="J59" i="9"/>
  <c r="I49" i="9"/>
  <c r="J83" i="9"/>
  <c r="J69" i="10"/>
  <c r="K155" i="10"/>
  <c r="K184" i="10"/>
  <c r="J33" i="10"/>
  <c r="J42" i="10"/>
  <c r="J54" i="10"/>
  <c r="AT160" i="9"/>
  <c r="AS160" i="9" s="1"/>
  <c r="AR160" i="9"/>
  <c r="AQ160" i="9" s="1"/>
  <c r="AP160" i="9" s="1"/>
  <c r="AO160" i="9" s="1"/>
  <c r="AN160" i="9" s="1"/>
  <c r="AM160" i="9" s="1"/>
  <c r="AL160" i="9" s="1"/>
  <c r="AT187" i="9"/>
  <c r="AS187" i="9"/>
  <c r="AR187" i="9" s="1"/>
  <c r="AQ187" i="9" s="1"/>
  <c r="AP187" i="9" s="1"/>
  <c r="AO187" i="9" s="1"/>
  <c r="AN187" i="9" s="1"/>
  <c r="AM187" i="9" s="1"/>
  <c r="AL187" i="9" s="1"/>
  <c r="AI187" i="9" s="1"/>
  <c r="AT171" i="9"/>
  <c r="AS171" i="9" s="1"/>
  <c r="AR171" i="9" s="1"/>
  <c r="AQ171" i="9" s="1"/>
  <c r="AP171" i="9" s="1"/>
  <c r="AO171" i="9" s="1"/>
  <c r="AN171" i="9" s="1"/>
  <c r="AM171" i="9" s="1"/>
  <c r="AL171" i="9" s="1"/>
  <c r="AT82" i="9"/>
  <c r="AS82" i="9" s="1"/>
  <c r="AR82" i="9" s="1"/>
  <c r="AQ82" i="9" s="1"/>
  <c r="AP82" i="9" s="1"/>
  <c r="AO82" i="9" s="1"/>
  <c r="AN82" i="9" s="1"/>
  <c r="AM82" i="9" s="1"/>
  <c r="AL82" i="9" s="1"/>
  <c r="AT44" i="9"/>
  <c r="AS44" i="9" s="1"/>
  <c r="AR44" i="9" s="1"/>
  <c r="AQ44" i="9" s="1"/>
  <c r="AP44" i="9" s="1"/>
  <c r="AO44" i="9" s="1"/>
  <c r="AN44" i="9" s="1"/>
  <c r="AM44" i="9" s="1"/>
  <c r="AL44" i="9" s="1"/>
  <c r="J72" i="10"/>
  <c r="K176" i="10"/>
  <c r="K88" i="10"/>
  <c r="K132" i="10"/>
  <c r="BK36" i="9"/>
  <c r="BJ36" i="9"/>
  <c r="BI36" i="9" s="1"/>
  <c r="BH36" i="9" s="1"/>
  <c r="BG36" i="9" s="1"/>
  <c r="BF36" i="9" s="1"/>
  <c r="BE36" i="9" s="1"/>
  <c r="BD36" i="9" s="1"/>
  <c r="BC36" i="9" s="1"/>
  <c r="K101" i="9"/>
  <c r="J46" i="9"/>
  <c r="K79" i="9"/>
  <c r="J74" i="9"/>
  <c r="J48" i="10"/>
  <c r="J76" i="10"/>
  <c r="K125" i="10"/>
  <c r="K157" i="10"/>
  <c r="K186" i="10"/>
  <c r="J31" i="10"/>
  <c r="K95" i="10"/>
  <c r="K133" i="10"/>
  <c r="AT179" i="9"/>
  <c r="AS179" i="9" s="1"/>
  <c r="AR179" i="9" s="1"/>
  <c r="AQ179" i="9"/>
  <c r="AP179" i="9" s="1"/>
  <c r="AO179" i="9" s="1"/>
  <c r="AN179" i="9" s="1"/>
  <c r="AM179" i="9" s="1"/>
  <c r="AL179" i="9" s="1"/>
  <c r="AT129" i="9"/>
  <c r="AS129" i="9" s="1"/>
  <c r="AR129" i="9" s="1"/>
  <c r="AQ129" i="9" s="1"/>
  <c r="AP129" i="9" s="1"/>
  <c r="AO129" i="9" s="1"/>
  <c r="AN129" i="9" s="1"/>
  <c r="AM129" i="9" s="1"/>
  <c r="AL129" i="9" s="1"/>
  <c r="AT88" i="9"/>
  <c r="AS88" i="9"/>
  <c r="AR88" i="9" s="1"/>
  <c r="AQ88" i="9" s="1"/>
  <c r="AP88" i="9" s="1"/>
  <c r="AO88" i="9" s="1"/>
  <c r="AN88" i="9" s="1"/>
  <c r="AM88" i="9" s="1"/>
  <c r="AL88" i="9" s="1"/>
  <c r="AJ88" i="9" s="1"/>
  <c r="AT72" i="9"/>
  <c r="AS72" i="9" s="1"/>
  <c r="AR72" i="9" s="1"/>
  <c r="AQ72" i="9" s="1"/>
  <c r="AP72" i="9" s="1"/>
  <c r="AO72" i="9" s="1"/>
  <c r="AN72" i="9" s="1"/>
  <c r="AM72" i="9" s="1"/>
  <c r="AL72" i="9" s="1"/>
  <c r="AT56" i="9"/>
  <c r="AS56" i="9" s="1"/>
  <c r="AR56" i="9" s="1"/>
  <c r="AQ56" i="9" s="1"/>
  <c r="AP56" i="9" s="1"/>
  <c r="AO56" i="9" s="1"/>
  <c r="AN56" i="9" s="1"/>
  <c r="AM56" i="9" s="1"/>
  <c r="AL56" i="9" s="1"/>
  <c r="AT79" i="9"/>
  <c r="AS79" i="9"/>
  <c r="AR79" i="9" s="1"/>
  <c r="AQ79" i="9" s="1"/>
  <c r="AP79" i="9" s="1"/>
  <c r="AO79" i="9" s="1"/>
  <c r="AN79" i="9" s="1"/>
  <c r="AM79" i="9" s="1"/>
  <c r="AL79" i="9" s="1"/>
  <c r="AT36" i="9"/>
  <c r="AS36" i="9" s="1"/>
  <c r="AR36" i="9" s="1"/>
  <c r="AQ36" i="9" s="1"/>
  <c r="AP36" i="9" s="1"/>
  <c r="AO36" i="9" s="1"/>
  <c r="AN36" i="9" s="1"/>
  <c r="AM36" i="9" s="1"/>
  <c r="AL36" i="9" s="1"/>
  <c r="K116" i="10"/>
  <c r="K129" i="10"/>
  <c r="BK56" i="9"/>
  <c r="BJ56" i="9" s="1"/>
  <c r="BI56" i="9"/>
  <c r="BH56" i="9" s="1"/>
  <c r="BG56" i="9" s="1"/>
  <c r="BF56" i="9" s="1"/>
  <c r="BE56" i="9" s="1"/>
  <c r="BD56" i="9" s="1"/>
  <c r="BC56" i="9"/>
  <c r="J68" i="10"/>
  <c r="J45" i="9"/>
  <c r="I26" i="10"/>
  <c r="I19" i="10"/>
  <c r="I14" i="10"/>
  <c r="BK33" i="9"/>
  <c r="BJ33" i="9"/>
  <c r="BI33" i="9" s="1"/>
  <c r="BH33" i="9" s="1"/>
  <c r="BG33" i="9" s="1"/>
  <c r="BF33" i="9" s="1"/>
  <c r="BE33" i="9" s="1"/>
  <c r="BD33" i="9" s="1"/>
  <c r="BC33" i="9" s="1"/>
  <c r="BK53" i="9"/>
  <c r="BJ53" i="9" s="1"/>
  <c r="BI53" i="9"/>
  <c r="BH53" i="9" s="1"/>
  <c r="BG53" i="9" s="1"/>
  <c r="BF53" i="9" s="1"/>
  <c r="BE53" i="9" s="1"/>
  <c r="BD53" i="9" s="1"/>
  <c r="BC53" i="9" s="1"/>
  <c r="BK10" i="9"/>
  <c r="BJ10" i="9"/>
  <c r="BI10" i="9" s="1"/>
  <c r="BH10" i="9" s="1"/>
  <c r="BG10" i="9" s="1"/>
  <c r="BF10" i="9" s="1"/>
  <c r="BE10" i="9" s="1"/>
  <c r="BD10" i="9" s="1"/>
  <c r="BC10" i="9" s="1"/>
  <c r="BF22" i="9"/>
  <c r="BE22" i="9" s="1"/>
  <c r="BD22" i="9" s="1"/>
  <c r="BC22" i="9" s="1"/>
  <c r="BK22" i="9"/>
  <c r="BJ22" i="9" s="1"/>
  <c r="BI22" i="9" s="1"/>
  <c r="BH22" i="9" s="1"/>
  <c r="BG22" i="9" s="1"/>
  <c r="BK54" i="9"/>
  <c r="BJ54" i="9"/>
  <c r="BI54" i="9" s="1"/>
  <c r="BH54" i="9"/>
  <c r="BG54" i="9" s="1"/>
  <c r="BF54" i="9" s="1"/>
  <c r="BE54" i="9" s="1"/>
  <c r="BD54" i="9" s="1"/>
  <c r="BC54" i="9" s="1"/>
  <c r="H21" i="7"/>
  <c r="H19" i="7"/>
  <c r="K105" i="10"/>
  <c r="AT192" i="9"/>
  <c r="AS192" i="9" s="1"/>
  <c r="AR192" i="9" s="1"/>
  <c r="AQ192" i="9" s="1"/>
  <c r="AP192" i="9" s="1"/>
  <c r="AO192" i="9" s="1"/>
  <c r="AN192" i="9" s="1"/>
  <c r="AM192" i="9" s="1"/>
  <c r="AL192" i="9" s="1"/>
  <c r="AK192" i="9" s="1"/>
  <c r="AT186" i="9"/>
  <c r="AS186" i="9" s="1"/>
  <c r="AR186" i="9" s="1"/>
  <c r="AQ186" i="9" s="1"/>
  <c r="AP186" i="9" s="1"/>
  <c r="AO186" i="9" s="1"/>
  <c r="AN186" i="9" s="1"/>
  <c r="AM186" i="9" s="1"/>
  <c r="AL186" i="9" s="1"/>
  <c r="AT176" i="9"/>
  <c r="AS176" i="9"/>
  <c r="AR176" i="9" s="1"/>
  <c r="AQ176" i="9" s="1"/>
  <c r="AP176" i="9" s="1"/>
  <c r="AO176" i="9" s="1"/>
  <c r="AN176" i="9" s="1"/>
  <c r="AM176" i="9" s="1"/>
  <c r="AL176" i="9" s="1"/>
  <c r="AT139" i="9"/>
  <c r="AS139" i="9" s="1"/>
  <c r="AR139" i="9" s="1"/>
  <c r="AQ139" i="9" s="1"/>
  <c r="AP139" i="9"/>
  <c r="AO139" i="9" s="1"/>
  <c r="AN139" i="9" s="1"/>
  <c r="AM139" i="9" s="1"/>
  <c r="AL139" i="9" s="1"/>
  <c r="AT124" i="9"/>
  <c r="AS124" i="9" s="1"/>
  <c r="AR124" i="9" s="1"/>
  <c r="AQ124" i="9" s="1"/>
  <c r="AP124" i="9" s="1"/>
  <c r="AO124" i="9" s="1"/>
  <c r="AN124" i="9" s="1"/>
  <c r="AM124" i="9" s="1"/>
  <c r="AL124" i="9" s="1"/>
  <c r="AT146" i="9"/>
  <c r="AS146" i="9" s="1"/>
  <c r="AR146" i="9" s="1"/>
  <c r="AQ146" i="9" s="1"/>
  <c r="AP146" i="9" s="1"/>
  <c r="AO146" i="9" s="1"/>
  <c r="AN146" i="9" s="1"/>
  <c r="AM146" i="9" s="1"/>
  <c r="AL146" i="9" s="1"/>
  <c r="AK146" i="9" s="1"/>
  <c r="AT126" i="9"/>
  <c r="AT121" i="9"/>
  <c r="AS121" i="9" s="1"/>
  <c r="AR121" i="9" s="1"/>
  <c r="AQ121" i="9" s="1"/>
  <c r="AP121" i="9" s="1"/>
  <c r="AO121" i="9" s="1"/>
  <c r="AN121" i="9" s="1"/>
  <c r="AM121" i="9" s="1"/>
  <c r="AL121" i="9" s="1"/>
  <c r="AI121" i="9" s="1"/>
  <c r="AT111" i="9"/>
  <c r="AS111" i="9" s="1"/>
  <c r="AR111" i="9" s="1"/>
  <c r="AQ111" i="9" s="1"/>
  <c r="AP111" i="9" s="1"/>
  <c r="AO111" i="9" s="1"/>
  <c r="AN111" i="9" s="1"/>
  <c r="AM111" i="9" s="1"/>
  <c r="AL111" i="9" s="1"/>
  <c r="AT68" i="9"/>
  <c r="AS68" i="9" s="1"/>
  <c r="AR68" i="9" s="1"/>
  <c r="AQ68" i="9" s="1"/>
  <c r="AP68" i="9" s="1"/>
  <c r="AO68" i="9" s="1"/>
  <c r="AN68" i="9" s="1"/>
  <c r="AM68" i="9" s="1"/>
  <c r="AL68" i="9" s="1"/>
  <c r="AI68" i="9" s="1"/>
  <c r="AT49" i="9"/>
  <c r="AS49" i="9" s="1"/>
  <c r="AR49" i="9" s="1"/>
  <c r="AQ49" i="9" s="1"/>
  <c r="AP49" i="9" s="1"/>
  <c r="AO49" i="9" s="1"/>
  <c r="AN49" i="9" s="1"/>
  <c r="AM49" i="9" s="1"/>
  <c r="AL49" i="9" s="1"/>
  <c r="AT59" i="9"/>
  <c r="AS59" i="9" s="1"/>
  <c r="AR59" i="9" s="1"/>
  <c r="AQ59" i="9" s="1"/>
  <c r="AP59" i="9" s="1"/>
  <c r="AO59" i="9" s="1"/>
  <c r="AN59" i="9" s="1"/>
  <c r="AM59" i="9" s="1"/>
  <c r="AL59" i="9" s="1"/>
  <c r="AT78" i="9"/>
  <c r="AS78" i="9" s="1"/>
  <c r="AR78" i="9" s="1"/>
  <c r="AQ78" i="9" s="1"/>
  <c r="AP78" i="9" s="1"/>
  <c r="AO78" i="9" s="1"/>
  <c r="AN78" i="9" s="1"/>
  <c r="AM78" i="9" s="1"/>
  <c r="AL78" i="9" s="1"/>
  <c r="AT34" i="9"/>
  <c r="AS34" i="9" s="1"/>
  <c r="AR34" i="9" s="1"/>
  <c r="AQ34" i="9" s="1"/>
  <c r="AP34" i="9" s="1"/>
  <c r="AO34" i="9" s="1"/>
  <c r="AN34" i="9" s="1"/>
  <c r="AM34" i="9" s="1"/>
  <c r="AL34" i="9" s="1"/>
  <c r="K139" i="10"/>
  <c r="J39" i="10"/>
  <c r="K85" i="10"/>
  <c r="BK19" i="9"/>
  <c r="BJ19" i="9"/>
  <c r="BI19" i="9" s="1"/>
  <c r="BH19" i="9" s="1"/>
  <c r="BG19" i="9" s="1"/>
  <c r="BF19" i="9" s="1"/>
  <c r="BE19" i="9" s="1"/>
  <c r="BD19" i="9" s="1"/>
  <c r="BC19" i="9"/>
  <c r="BB19" i="9" s="1"/>
  <c r="BK30" i="9"/>
  <c r="BJ30" i="9" s="1"/>
  <c r="BI30" i="9"/>
  <c r="BH30" i="9" s="1"/>
  <c r="BG30" i="9" s="1"/>
  <c r="BF30" i="9" s="1"/>
  <c r="BE30" i="9" s="1"/>
  <c r="BD30" i="9" s="1"/>
  <c r="BC30" i="9" s="1"/>
  <c r="BK45" i="9"/>
  <c r="BI45" i="9"/>
  <c r="BH45" i="9" s="1"/>
  <c r="BG45" i="9" s="1"/>
  <c r="BF45" i="9" s="1"/>
  <c r="BE45" i="9" s="1"/>
  <c r="BD45" i="9" s="1"/>
  <c r="BC45" i="9"/>
  <c r="BJ45" i="9"/>
  <c r="BK7" i="9"/>
  <c r="BJ7" i="9" s="1"/>
  <c r="BI7" i="9" s="1"/>
  <c r="BH7" i="9" s="1"/>
  <c r="BG7" i="9" s="1"/>
  <c r="BF7" i="9" s="1"/>
  <c r="BE7" i="9" s="1"/>
  <c r="BD7" i="9" s="1"/>
  <c r="BC7" i="9" s="1"/>
  <c r="BJ9" i="9"/>
  <c r="BI9" i="9" s="1"/>
  <c r="BH9" i="9" s="1"/>
  <c r="BG9" i="9" s="1"/>
  <c r="BF9" i="9" s="1"/>
  <c r="BE9" i="9" s="1"/>
  <c r="BD9" i="9" s="1"/>
  <c r="BC9" i="9" s="1"/>
  <c r="BK9" i="9"/>
  <c r="BK46" i="9"/>
  <c r="BJ46" i="9" s="1"/>
  <c r="BI46" i="9" s="1"/>
  <c r="BH46" i="9" s="1"/>
  <c r="BG46" i="9" s="1"/>
  <c r="BF46" i="9" s="1"/>
  <c r="BE46" i="9" s="1"/>
  <c r="BD46" i="9"/>
  <c r="BC46" i="9" s="1"/>
  <c r="J56" i="9"/>
  <c r="K129" i="9"/>
  <c r="J76" i="9"/>
  <c r="K152" i="9"/>
  <c r="K144" i="10"/>
  <c r="K172" i="10"/>
  <c r="K163" i="10"/>
  <c r="K111" i="10"/>
  <c r="J83" i="10"/>
  <c r="J57" i="10"/>
  <c r="AT182" i="9"/>
  <c r="AS182" i="9" s="1"/>
  <c r="AR182" i="9" s="1"/>
  <c r="AQ182" i="9" s="1"/>
  <c r="AP182" i="9" s="1"/>
  <c r="AO182" i="9" s="1"/>
  <c r="AN182" i="9" s="1"/>
  <c r="AM182" i="9" s="1"/>
  <c r="AL182" i="9" s="1"/>
  <c r="AT131" i="9"/>
  <c r="AS131" i="9" s="1"/>
  <c r="AR131" i="9" s="1"/>
  <c r="AQ131" i="9" s="1"/>
  <c r="AP131" i="9" s="1"/>
  <c r="AO131" i="9" s="1"/>
  <c r="AN131" i="9" s="1"/>
  <c r="AM131" i="9" s="1"/>
  <c r="AL131" i="9" s="1"/>
  <c r="AT93" i="9"/>
  <c r="AS93" i="9" s="1"/>
  <c r="AR93" i="9" s="1"/>
  <c r="AQ93" i="9" s="1"/>
  <c r="AP93" i="9" s="1"/>
  <c r="AO93" i="9" s="1"/>
  <c r="AN93" i="9" s="1"/>
  <c r="AM93" i="9" s="1"/>
  <c r="AL93" i="9" s="1"/>
  <c r="AI93" i="9" s="1"/>
  <c r="AT167" i="9"/>
  <c r="AS167" i="9" s="1"/>
  <c r="AR167" i="9" s="1"/>
  <c r="AQ167" i="9" s="1"/>
  <c r="AP167" i="9" s="1"/>
  <c r="AO167" i="9" s="1"/>
  <c r="AN167" i="9" s="1"/>
  <c r="AM167" i="9" s="1"/>
  <c r="AL167" i="9" s="1"/>
  <c r="AI167" i="9" s="1"/>
  <c r="AQ177" i="9"/>
  <c r="AP177" i="9" s="1"/>
  <c r="AO177" i="9" s="1"/>
  <c r="AN177" i="9" s="1"/>
  <c r="AM177" i="9" s="1"/>
  <c r="AL177" i="9" s="1"/>
  <c r="AT118" i="9"/>
  <c r="AS118" i="9" s="1"/>
  <c r="AR118" i="9" s="1"/>
  <c r="AQ118" i="9" s="1"/>
  <c r="AP118" i="9" s="1"/>
  <c r="AO118" i="9" s="1"/>
  <c r="AN118" i="9" s="1"/>
  <c r="AM118" i="9" s="1"/>
  <c r="AL118" i="9" s="1"/>
  <c r="AT113" i="9"/>
  <c r="AS113" i="9" s="1"/>
  <c r="AR113" i="9" s="1"/>
  <c r="AQ113" i="9" s="1"/>
  <c r="AP113" i="9" s="1"/>
  <c r="AO113" i="9" s="1"/>
  <c r="AN113" i="9" s="1"/>
  <c r="AM113" i="9" s="1"/>
  <c r="AL113" i="9" s="1"/>
  <c r="AK113" i="9" s="1"/>
  <c r="AT69" i="9"/>
  <c r="AS69" i="9" s="1"/>
  <c r="AR69" i="9" s="1"/>
  <c r="AQ69" i="9" s="1"/>
  <c r="AP69" i="9" s="1"/>
  <c r="AO69" i="9" s="1"/>
  <c r="AN69" i="9" s="1"/>
  <c r="AM69" i="9" s="1"/>
  <c r="AL69" i="9" s="1"/>
  <c r="AI69" i="9" s="1"/>
  <c r="AT107" i="9"/>
  <c r="AS107" i="9" s="1"/>
  <c r="AR107" i="9" s="1"/>
  <c r="AQ107" i="9" s="1"/>
  <c r="AP107" i="9" s="1"/>
  <c r="AO107" i="9" s="1"/>
  <c r="AN107" i="9" s="1"/>
  <c r="AM107" i="9" s="1"/>
  <c r="AL107" i="9" s="1"/>
  <c r="AT73" i="9"/>
  <c r="AS73" i="9"/>
  <c r="AR73" i="9" s="1"/>
  <c r="AQ73" i="9" s="1"/>
  <c r="AP73" i="9" s="1"/>
  <c r="AO73" i="9" s="1"/>
  <c r="AN73" i="9" s="1"/>
  <c r="AM73" i="9" s="1"/>
  <c r="AL73" i="9" s="1"/>
  <c r="AK73" i="9" s="1"/>
  <c r="AT70" i="9"/>
  <c r="AS70" i="9" s="1"/>
  <c r="AR70" i="9" s="1"/>
  <c r="AQ70" i="9" s="1"/>
  <c r="AP70" i="9" s="1"/>
  <c r="AO70" i="9" s="1"/>
  <c r="AN70" i="9" s="1"/>
  <c r="AM70" i="9" s="1"/>
  <c r="AL70" i="9" s="1"/>
  <c r="AJ70" i="9" s="1"/>
  <c r="AT63" i="9"/>
  <c r="AS63" i="9" s="1"/>
  <c r="AR63" i="9" s="1"/>
  <c r="AQ63" i="9" s="1"/>
  <c r="AP63" i="9" s="1"/>
  <c r="AO63" i="9" s="1"/>
  <c r="AN63" i="9" s="1"/>
  <c r="AM63" i="9" s="1"/>
  <c r="AL63" i="9" s="1"/>
  <c r="AK63" i="9" s="1"/>
  <c r="AT26" i="9"/>
  <c r="AS26" i="9" s="1"/>
  <c r="AR26" i="9" s="1"/>
  <c r="AQ26" i="9" s="1"/>
  <c r="AP26" i="9" s="1"/>
  <c r="AO26" i="9" s="1"/>
  <c r="AN26" i="9" s="1"/>
  <c r="AM26" i="9" s="1"/>
  <c r="AL26" i="9" s="1"/>
  <c r="AT37" i="9"/>
  <c r="AS37" i="9" s="1"/>
  <c r="AR37" i="9" s="1"/>
  <c r="AQ37" i="9" s="1"/>
  <c r="AP37" i="9" s="1"/>
  <c r="AO37" i="9" s="1"/>
  <c r="AN37" i="9" s="1"/>
  <c r="AM37" i="9" s="1"/>
  <c r="AL37" i="9" s="1"/>
  <c r="AJ37" i="9" s="1"/>
  <c r="K130" i="10"/>
  <c r="BK58" i="9"/>
  <c r="BJ58" i="9" s="1"/>
  <c r="BI58" i="9" s="1"/>
  <c r="BH58" i="9" s="1"/>
  <c r="BG58" i="9" s="1"/>
  <c r="BF58" i="9" s="1"/>
  <c r="BE58" i="9" s="1"/>
  <c r="BD58" i="9" s="1"/>
  <c r="BC58" i="9" s="1"/>
  <c r="BK13" i="9"/>
  <c r="BJ13" i="9"/>
  <c r="BI13" i="9" s="1"/>
  <c r="BH13" i="9" s="1"/>
  <c r="BG13" i="9" s="1"/>
  <c r="BF13" i="9" s="1"/>
  <c r="BE13" i="9" s="1"/>
  <c r="BD13" i="9"/>
  <c r="BC13" i="9" s="1"/>
  <c r="BK37" i="9"/>
  <c r="BJ37" i="9" s="1"/>
  <c r="BI37" i="9" s="1"/>
  <c r="BH37" i="9" s="1"/>
  <c r="BG37" i="9" s="1"/>
  <c r="BF37" i="9" s="1"/>
  <c r="BE37" i="9"/>
  <c r="BD37" i="9" s="1"/>
  <c r="BC37" i="9" s="1"/>
  <c r="BK3" i="9"/>
  <c r="BJ3" i="9"/>
  <c r="BI3" i="9"/>
  <c r="BH3" i="9" s="1"/>
  <c r="BG3" i="9" s="1"/>
  <c r="BF3" i="9"/>
  <c r="BE3" i="9" s="1"/>
  <c r="BD3" i="9" s="1"/>
  <c r="BC3" i="9" s="1"/>
  <c r="BB3" i="9" s="1"/>
  <c r="BK6" i="9"/>
  <c r="BJ6" i="9" s="1"/>
  <c r="BI6" i="9" s="1"/>
  <c r="BH6" i="9" s="1"/>
  <c r="BG6" i="9" s="1"/>
  <c r="BF6" i="9" s="1"/>
  <c r="BE6" i="9" s="1"/>
  <c r="BD6" i="9" s="1"/>
  <c r="BC6" i="9" s="1"/>
  <c r="BK38" i="9"/>
  <c r="BJ38" i="9" s="1"/>
  <c r="BI38" i="9" s="1"/>
  <c r="BH38" i="9"/>
  <c r="BG38" i="9" s="1"/>
  <c r="BF38" i="9" s="1"/>
  <c r="BE38" i="9" s="1"/>
  <c r="BD38" i="9" s="1"/>
  <c r="BC38" i="9" s="1"/>
  <c r="J40" i="9"/>
  <c r="K71" i="9"/>
  <c r="K131" i="9"/>
  <c r="K168" i="9"/>
  <c r="K140" i="10"/>
  <c r="J59" i="10"/>
  <c r="K122" i="10"/>
  <c r="J50" i="10"/>
  <c r="AT175" i="9"/>
  <c r="AS175" i="9"/>
  <c r="AR175" i="9" s="1"/>
  <c r="AQ175" i="9" s="1"/>
  <c r="AP175" i="9" s="1"/>
  <c r="AO175" i="9" s="1"/>
  <c r="AN175" i="9" s="1"/>
  <c r="AM175" i="9" s="1"/>
  <c r="AL175" i="9" s="1"/>
  <c r="AI175" i="9" s="1"/>
  <c r="AT109" i="9"/>
  <c r="AS109" i="9" s="1"/>
  <c r="AR109" i="9" s="1"/>
  <c r="AQ109" i="9" s="1"/>
  <c r="AP109" i="9" s="1"/>
  <c r="AO109" i="9" s="1"/>
  <c r="AN109" i="9" s="1"/>
  <c r="AM109" i="9" s="1"/>
  <c r="AL109" i="9" s="1"/>
  <c r="AT64" i="9"/>
  <c r="AS64" i="9" s="1"/>
  <c r="AR64" i="9" s="1"/>
  <c r="AQ64" i="9" s="1"/>
  <c r="AP64" i="9" s="1"/>
  <c r="AO64" i="9" s="1"/>
  <c r="AN64" i="9" s="1"/>
  <c r="AM64" i="9" s="1"/>
  <c r="AL64" i="9" s="1"/>
  <c r="AI64" i="9" s="1"/>
  <c r="AT169" i="9"/>
  <c r="AS169" i="9" s="1"/>
  <c r="AR169" i="9" s="1"/>
  <c r="AQ169" i="9" s="1"/>
  <c r="AP169" i="9" s="1"/>
  <c r="AO169" i="9" s="1"/>
  <c r="AN169" i="9" s="1"/>
  <c r="AM169" i="9" s="1"/>
  <c r="AL169" i="9" s="1"/>
  <c r="AJ169" i="9" s="1"/>
  <c r="AT128" i="9"/>
  <c r="AS128" i="9" s="1"/>
  <c r="AR128" i="9" s="1"/>
  <c r="AQ128" i="9" s="1"/>
  <c r="AP128" i="9" s="1"/>
  <c r="AO128" i="9" s="1"/>
  <c r="AN128" i="9" s="1"/>
  <c r="AM128" i="9" s="1"/>
  <c r="AL128" i="9" s="1"/>
  <c r="AI128" i="9" s="1"/>
  <c r="AT105" i="9"/>
  <c r="AT62" i="9"/>
  <c r="AS62" i="9" s="1"/>
  <c r="AR62" i="9" s="1"/>
  <c r="AQ62" i="9"/>
  <c r="AP62" i="9" s="1"/>
  <c r="AO62" i="9" s="1"/>
  <c r="AN62" i="9" s="1"/>
  <c r="AM62" i="9" s="1"/>
  <c r="AL62" i="9" s="1"/>
  <c r="K160" i="10"/>
  <c r="K99" i="10"/>
  <c r="K96" i="10"/>
  <c r="J35" i="10"/>
  <c r="BK68" i="9"/>
  <c r="BJ68" i="9" s="1"/>
  <c r="BI68" i="9" s="1"/>
  <c r="BH68" i="9" s="1"/>
  <c r="BG68" i="9" s="1"/>
  <c r="BF68" i="9" s="1"/>
  <c r="BE68" i="9" s="1"/>
  <c r="BD68" i="9" s="1"/>
  <c r="BC68" i="9" s="1"/>
  <c r="J105" i="9"/>
  <c r="J53" i="10"/>
  <c r="K102" i="10"/>
  <c r="AT172" i="9"/>
  <c r="AS172" i="9"/>
  <c r="AR172" i="9" s="1"/>
  <c r="AQ172" i="9" s="1"/>
  <c r="AP172" i="9" s="1"/>
  <c r="AO172" i="9" s="1"/>
  <c r="AN172" i="9" s="1"/>
  <c r="AM172" i="9" s="1"/>
  <c r="AL172" i="9" s="1"/>
  <c r="AT185" i="9"/>
  <c r="AS185" i="9" s="1"/>
  <c r="AR185" i="9" s="1"/>
  <c r="AQ185" i="9" s="1"/>
  <c r="AP185" i="9" s="1"/>
  <c r="AO185" i="9" s="1"/>
  <c r="AN185" i="9" s="1"/>
  <c r="AM185" i="9" s="1"/>
  <c r="AL185" i="9" s="1"/>
  <c r="AK185" i="9" s="1"/>
  <c r="AT162" i="9"/>
  <c r="AS162" i="9" s="1"/>
  <c r="AR162" i="9" s="1"/>
  <c r="AQ162" i="9" s="1"/>
  <c r="AP162" i="9" s="1"/>
  <c r="AO162" i="9" s="1"/>
  <c r="AN162" i="9" s="1"/>
  <c r="AM162" i="9" s="1"/>
  <c r="AL162" i="9" s="1"/>
  <c r="AT149" i="9"/>
  <c r="AS149" i="9" s="1"/>
  <c r="AR149" i="9" s="1"/>
  <c r="AQ149" i="9" s="1"/>
  <c r="AP149" i="9" s="1"/>
  <c r="AO149" i="9" s="1"/>
  <c r="AN149" i="9" s="1"/>
  <c r="AM149" i="9" s="1"/>
  <c r="AL149" i="9" s="1"/>
  <c r="AT158" i="9"/>
  <c r="AS158" i="9" s="1"/>
  <c r="AR158" i="9" s="1"/>
  <c r="AQ158" i="9" s="1"/>
  <c r="AP158" i="9" s="1"/>
  <c r="AO158" i="9" s="1"/>
  <c r="AN158" i="9" s="1"/>
  <c r="AM158" i="9" s="1"/>
  <c r="AL158" i="9" s="1"/>
  <c r="AJ158" i="9" s="1"/>
  <c r="AT161" i="9"/>
  <c r="AS161" i="9" s="1"/>
  <c r="AR161" i="9" s="1"/>
  <c r="AQ161" i="9" s="1"/>
  <c r="AP161" i="9" s="1"/>
  <c r="AO161" i="9" s="1"/>
  <c r="AN161" i="9" s="1"/>
  <c r="AM161" i="9" s="1"/>
  <c r="AL161" i="9" s="1"/>
  <c r="AT112" i="9"/>
  <c r="AS112" i="9" s="1"/>
  <c r="AR112" i="9" s="1"/>
  <c r="AQ112" i="9" s="1"/>
  <c r="AP112" i="9" s="1"/>
  <c r="AO112" i="9" s="1"/>
  <c r="AN112" i="9" s="1"/>
  <c r="AM112" i="9" s="1"/>
  <c r="AL112" i="9" s="1"/>
  <c r="AK112" i="9" s="1"/>
  <c r="AT100" i="9"/>
  <c r="AS100" i="9"/>
  <c r="AR100" i="9" s="1"/>
  <c r="AQ100" i="9" s="1"/>
  <c r="AP100" i="9" s="1"/>
  <c r="AO100" i="9" s="1"/>
  <c r="AN100" i="9" s="1"/>
  <c r="AM100" i="9" s="1"/>
  <c r="AL100" i="9" s="1"/>
  <c r="AJ100" i="9" s="1"/>
  <c r="AS86" i="9"/>
  <c r="AR86" i="9" s="1"/>
  <c r="AQ86" i="9" s="1"/>
  <c r="AP86" i="9" s="1"/>
  <c r="AO86" i="9" s="1"/>
  <c r="AN86" i="9" s="1"/>
  <c r="AM86" i="9" s="1"/>
  <c r="AL86" i="9" s="1"/>
  <c r="AI86" i="9" s="1"/>
  <c r="AT89" i="9"/>
  <c r="AT57" i="9"/>
  <c r="AS57" i="9" s="1"/>
  <c r="AR57" i="9" s="1"/>
  <c r="AQ57" i="9" s="1"/>
  <c r="AP57" i="9" s="1"/>
  <c r="AO57" i="9" s="1"/>
  <c r="AN57" i="9" s="1"/>
  <c r="AM57" i="9" s="1"/>
  <c r="AL57" i="9" s="1"/>
  <c r="AI57" i="9" s="1"/>
  <c r="AT45" i="9"/>
  <c r="AS45" i="9" s="1"/>
  <c r="AR45" i="9" s="1"/>
  <c r="AQ45" i="9" s="1"/>
  <c r="AP45" i="9" s="1"/>
  <c r="AO45" i="9" s="1"/>
  <c r="AN45" i="9" s="1"/>
  <c r="AM45" i="9" s="1"/>
  <c r="AL45" i="9" s="1"/>
  <c r="J82" i="10"/>
  <c r="K189" i="10"/>
  <c r="J28" i="9"/>
  <c r="BK63" i="9"/>
  <c r="BJ63" i="9"/>
  <c r="BI63" i="9" s="1"/>
  <c r="BH63" i="9" s="1"/>
  <c r="BG63" i="9" s="1"/>
  <c r="BF63" i="9" s="1"/>
  <c r="BE63" i="9" s="1"/>
  <c r="BD63" i="9" s="1"/>
  <c r="BC63" i="9" s="1"/>
  <c r="J39" i="9"/>
  <c r="BK60" i="9"/>
  <c r="BJ60" i="9" s="1"/>
  <c r="BI60" i="9" s="1"/>
  <c r="BH60" i="9"/>
  <c r="BG60" i="9" s="1"/>
  <c r="BF60" i="9" s="1"/>
  <c r="BE60" i="9" s="1"/>
  <c r="BD60" i="9" s="1"/>
  <c r="BC60" i="9" s="1"/>
  <c r="J26" i="9"/>
  <c r="J65" i="9"/>
  <c r="K72" i="9"/>
  <c r="K156" i="9"/>
  <c r="K161" i="9"/>
  <c r="K180" i="9"/>
  <c r="BF105" i="10"/>
  <c r="BD105" i="10"/>
  <c r="BF108" i="10"/>
  <c r="BD108" i="10"/>
  <c r="BF103" i="10"/>
  <c r="BD103" i="10"/>
  <c r="BF100" i="10"/>
  <c r="BD100" i="10"/>
  <c r="BF99" i="10"/>
  <c r="BD99" i="10"/>
  <c r="BF107" i="10"/>
  <c r="BD107" i="10"/>
  <c r="BF98" i="10"/>
  <c r="BD98" i="10"/>
  <c r="BF102" i="10"/>
  <c r="BD102" i="10"/>
  <c r="BF101" i="10"/>
  <c r="BD101" i="10"/>
  <c r="BF104" i="10"/>
  <c r="BD104" i="10"/>
  <c r="BF106" i="10"/>
  <c r="BD106" i="10"/>
  <c r="K150" i="10"/>
  <c r="K178" i="10"/>
  <c r="AT156" i="9"/>
  <c r="AT84" i="9"/>
  <c r="AS84" i="9" s="1"/>
  <c r="AR84" i="9" s="1"/>
  <c r="AQ84" i="9" s="1"/>
  <c r="AP84" i="9" s="1"/>
  <c r="AO84" i="9" s="1"/>
  <c r="AN84" i="9" s="1"/>
  <c r="AM84" i="9" s="1"/>
  <c r="AL84" i="9" s="1"/>
  <c r="AT98" i="9"/>
  <c r="AS98" i="9" s="1"/>
  <c r="AR98" i="9" s="1"/>
  <c r="AQ98" i="9" s="1"/>
  <c r="AP98" i="9" s="1"/>
  <c r="AO98" i="9" s="1"/>
  <c r="AN98" i="9" s="1"/>
  <c r="AM98" i="9" s="1"/>
  <c r="AL98" i="9" s="1"/>
  <c r="AR83" i="9"/>
  <c r="AQ83" i="9" s="1"/>
  <c r="AP83" i="9" s="1"/>
  <c r="AO83" i="9" s="1"/>
  <c r="AN83" i="9" s="1"/>
  <c r="AM83" i="9" s="1"/>
  <c r="AL83" i="9" s="1"/>
  <c r="AK83" i="9" s="1"/>
  <c r="AT40" i="9"/>
  <c r="AS40" i="9" s="1"/>
  <c r="AR40" i="9" s="1"/>
  <c r="AQ40" i="9" s="1"/>
  <c r="AP40" i="9" s="1"/>
  <c r="AO40" i="9" s="1"/>
  <c r="AN40" i="9" s="1"/>
  <c r="AM40" i="9" s="1"/>
  <c r="AL40" i="9" s="1"/>
  <c r="AT52" i="9"/>
  <c r="AS52" i="9" s="1"/>
  <c r="AR52" i="9" s="1"/>
  <c r="AQ52" i="9" s="1"/>
  <c r="AP52" i="9" s="1"/>
  <c r="AO52" i="9" s="1"/>
  <c r="AN52" i="9" s="1"/>
  <c r="AM52" i="9" s="1"/>
  <c r="AL52" i="9" s="1"/>
  <c r="K170" i="10"/>
  <c r="K119" i="10"/>
  <c r="BK8" i="9"/>
  <c r="BJ8" i="9"/>
  <c r="BI8" i="9"/>
  <c r="BH8" i="9" s="1"/>
  <c r="BG8" i="9" s="1"/>
  <c r="BF8" i="9" s="1"/>
  <c r="BE8" i="9" s="1"/>
  <c r="BD8" i="9" s="1"/>
  <c r="BC8" i="9" s="1"/>
  <c r="J37" i="9"/>
  <c r="BK52" i="9"/>
  <c r="BJ52" i="9"/>
  <c r="BI52" i="9" s="1"/>
  <c r="BH52" i="9" s="1"/>
  <c r="BG52" i="9" s="1"/>
  <c r="BF52" i="9" s="1"/>
  <c r="BE52" i="9" s="1"/>
  <c r="BD52" i="9" s="1"/>
  <c r="BC52" i="9" s="1"/>
  <c r="BK28" i="9"/>
  <c r="BJ28" i="9" s="1"/>
  <c r="BI28" i="9" s="1"/>
  <c r="BH28" i="9" s="1"/>
  <c r="BG28" i="9" s="1"/>
  <c r="BF28" i="9" s="1"/>
  <c r="BE28" i="9" s="1"/>
  <c r="BD28" i="9" s="1"/>
  <c r="BC28" i="9" s="1"/>
  <c r="BK25" i="9"/>
  <c r="BJ25" i="9" s="1"/>
  <c r="BI25" i="9"/>
  <c r="BH25" i="9" s="1"/>
  <c r="BG25" i="9" s="1"/>
  <c r="BF25" i="9" s="1"/>
  <c r="BE25" i="9" s="1"/>
  <c r="BD25" i="9" s="1"/>
  <c r="BC25" i="9" s="1"/>
  <c r="BK35" i="9"/>
  <c r="BJ35" i="9" s="1"/>
  <c r="BI35" i="9" s="1"/>
  <c r="BH35" i="9" s="1"/>
  <c r="BG35" i="9" s="1"/>
  <c r="BF35" i="9" s="1"/>
  <c r="BE35" i="9" s="1"/>
  <c r="BD35" i="9" s="1"/>
  <c r="BC35" i="9" s="1"/>
  <c r="BK78" i="9"/>
  <c r="BJ78" i="9"/>
  <c r="BI78" i="9" s="1"/>
  <c r="BH78" i="9" s="1"/>
  <c r="BG78" i="9" s="1"/>
  <c r="BF78" i="9" s="1"/>
  <c r="BE78" i="9" s="1"/>
  <c r="BD78" i="9" s="1"/>
  <c r="BC78" i="9" s="1"/>
  <c r="BK16" i="9"/>
  <c r="BJ16" i="9" s="1"/>
  <c r="BI16" i="9"/>
  <c r="BH16" i="9" s="1"/>
  <c r="BG16" i="9" s="1"/>
  <c r="BF16" i="9" s="1"/>
  <c r="BE16" i="9" s="1"/>
  <c r="BD16" i="9" s="1"/>
  <c r="BC16" i="9" s="1"/>
  <c r="K22" i="9"/>
  <c r="J38" i="9"/>
  <c r="K82" i="9"/>
  <c r="AI185" i="9"/>
  <c r="AK128" i="9"/>
  <c r="AI139" i="9"/>
  <c r="AJ139" i="9"/>
  <c r="AK139" i="9"/>
  <c r="AJ179" i="9"/>
  <c r="AI160" i="9"/>
  <c r="AH160" i="9" s="1"/>
  <c r="AJ160" i="9"/>
  <c r="AK160" i="9"/>
  <c r="BB12" i="9"/>
  <c r="BA12" i="9"/>
  <c r="AZ12" i="9" s="1"/>
  <c r="AX12" i="9" s="1"/>
  <c r="AK169" i="9"/>
  <c r="BB37" i="9"/>
  <c r="BA37" i="9"/>
  <c r="AI49" i="9"/>
  <c r="AI75" i="9"/>
  <c r="AK152" i="9"/>
  <c r="BA13" i="9"/>
  <c r="BB13" i="9"/>
  <c r="AI118" i="9"/>
  <c r="AK71" i="9"/>
  <c r="BA33" i="9"/>
  <c r="BB33" i="9"/>
  <c r="AI56" i="9"/>
  <c r="AJ56" i="9"/>
  <c r="AK56" i="9"/>
  <c r="AK154" i="9"/>
  <c r="AJ74" i="9"/>
  <c r="AK175" i="9"/>
  <c r="AJ63" i="9"/>
  <c r="AI107" i="9"/>
  <c r="AJ190" i="9"/>
  <c r="AK190" i="9"/>
  <c r="BB54" i="9"/>
  <c r="AZ54" i="9" s="1"/>
  <c r="AX54" i="9" s="1"/>
  <c r="BA54" i="9"/>
  <c r="AI72" i="9"/>
  <c r="AJ72" i="9"/>
  <c r="AK72" i="9"/>
  <c r="AI44" i="9"/>
  <c r="AJ44" i="9"/>
  <c r="AH44" i="9" s="1"/>
  <c r="AK44" i="9"/>
  <c r="AJ64" i="9"/>
  <c r="BB38" i="9"/>
  <c r="BA38" i="9"/>
  <c r="AJ78" i="9"/>
  <c r="AI78" i="9"/>
  <c r="AH78" i="9" s="1"/>
  <c r="AK78" i="9"/>
  <c r="AI192" i="9"/>
  <c r="AJ192" i="9"/>
  <c r="AJ24" i="9"/>
  <c r="AK24" i="9"/>
  <c r="AI24" i="9"/>
  <c r="AH24" i="9" s="1"/>
  <c r="AI90" i="9"/>
  <c r="AH90" i="9" s="1"/>
  <c r="AJ90" i="9"/>
  <c r="AK90" i="9"/>
  <c r="AI148" i="9"/>
  <c r="AJ148" i="9"/>
  <c r="AK148" i="9"/>
  <c r="AI109" i="9"/>
  <c r="AI37" i="9"/>
  <c r="AK37" i="9"/>
  <c r="AI124" i="9"/>
  <c r="AH124" i="9"/>
  <c r="AA124" i="9" s="1"/>
  <c r="AJ124" i="9"/>
  <c r="AK124" i="9"/>
  <c r="J12" i="10"/>
  <c r="J13" i="10"/>
  <c r="J14" i="10"/>
  <c r="I15" i="10"/>
  <c r="BA56" i="9"/>
  <c r="BB56" i="9"/>
  <c r="AZ56" i="9" s="1"/>
  <c r="AX56" i="9" s="1"/>
  <c r="BA44" i="9"/>
  <c r="BB44" i="9"/>
  <c r="AJ104" i="9"/>
  <c r="AI100" i="9"/>
  <c r="AJ149" i="9"/>
  <c r="BB46" i="9"/>
  <c r="BA46" i="9"/>
  <c r="AZ46" i="9" s="1"/>
  <c r="AX46" i="9" s="1"/>
  <c r="BB45" i="9"/>
  <c r="BA45" i="9"/>
  <c r="AZ45" i="9" s="1"/>
  <c r="AX45" i="9" s="1"/>
  <c r="AI59" i="9"/>
  <c r="AJ59" i="9"/>
  <c r="AK59" i="9"/>
  <c r="BA22" i="9"/>
  <c r="BB22" i="9"/>
  <c r="AJ79" i="9"/>
  <c r="AI79" i="9"/>
  <c r="AK79" i="9"/>
  <c r="AI115" i="9"/>
  <c r="AJ115" i="9"/>
  <c r="AK115" i="9"/>
  <c r="BA3" i="9"/>
  <c r="AZ3" i="9" s="1"/>
  <c r="AX3" i="9" s="1"/>
  <c r="AJ121" i="9"/>
  <c r="AH121" i="9" s="1"/>
  <c r="AK121" i="9"/>
  <c r="BB10" i="9"/>
  <c r="AZ10" i="9" s="1"/>
  <c r="AX10" i="9" s="1"/>
  <c r="BA10" i="9"/>
  <c r="J19" i="10"/>
  <c r="AK187" i="9"/>
  <c r="AJ33" i="9"/>
  <c r="BQ58" i="10"/>
  <c r="BP58" i="10"/>
  <c r="BO58" i="10"/>
  <c r="BN58" i="10"/>
  <c r="BP52" i="10"/>
  <c r="BO52" i="10"/>
  <c r="BN52" i="10"/>
  <c r="BQ52" i="10"/>
  <c r="BP55" i="10"/>
  <c r="BO55" i="10"/>
  <c r="BN55" i="10"/>
  <c r="BQ55" i="10"/>
  <c r="BQ40" i="10"/>
  <c r="BP40" i="10"/>
  <c r="BO40" i="10"/>
  <c r="BN40" i="10"/>
  <c r="BM40" i="10"/>
  <c r="BL40" i="10"/>
  <c r="BK40" i="10"/>
  <c r="BJ40" i="10"/>
  <c r="BI40" i="10"/>
  <c r="BQ94" i="10"/>
  <c r="BP94" i="10"/>
  <c r="BO94" i="10"/>
  <c r="BN94" i="10"/>
  <c r="BM94" i="10"/>
  <c r="BL94" i="10"/>
  <c r="BK94" i="10"/>
  <c r="BJ94" i="10"/>
  <c r="BI94" i="10"/>
  <c r="BQ13" i="10"/>
  <c r="BP13" i="10"/>
  <c r="BO13" i="10"/>
  <c r="BN13" i="10"/>
  <c r="BM13" i="10"/>
  <c r="BL13" i="10"/>
  <c r="BK13" i="10"/>
  <c r="BJ13" i="10"/>
  <c r="BI13" i="10"/>
  <c r="BQ53" i="10"/>
  <c r="BP53" i="10"/>
  <c r="BO53" i="10"/>
  <c r="BN53" i="10"/>
  <c r="BM53" i="10"/>
  <c r="BL53" i="10"/>
  <c r="BK53" i="10"/>
  <c r="BJ53" i="10"/>
  <c r="BI53" i="10"/>
  <c r="BQ95" i="10"/>
  <c r="BP95" i="10"/>
  <c r="BO95" i="10"/>
  <c r="BN95" i="10"/>
  <c r="BM95" i="10"/>
  <c r="BL95" i="10"/>
  <c r="BK95" i="10"/>
  <c r="BJ95" i="10"/>
  <c r="BI95" i="10"/>
  <c r="BP24" i="10"/>
  <c r="BO24" i="10"/>
  <c r="BN24" i="10"/>
  <c r="BM24" i="10"/>
  <c r="BL24" i="10"/>
  <c r="BK24" i="10"/>
  <c r="BJ24" i="10"/>
  <c r="BI24" i="10"/>
  <c r="BQ24" i="10"/>
  <c r="BQ18" i="10"/>
  <c r="BP18" i="10"/>
  <c r="BO18" i="10"/>
  <c r="BN18" i="10"/>
  <c r="BM18" i="10"/>
  <c r="BL18" i="10"/>
  <c r="BK18" i="10"/>
  <c r="BJ18" i="10"/>
  <c r="BI18" i="10"/>
  <c r="BP2" i="10"/>
  <c r="BQ2" i="10"/>
  <c r="BO2" i="10"/>
  <c r="BN2" i="10"/>
  <c r="BM2" i="10"/>
  <c r="BL2" i="10"/>
  <c r="BK2" i="10"/>
  <c r="BJ2" i="10"/>
  <c r="BI2" i="10"/>
  <c r="BQ14" i="10"/>
  <c r="BP14" i="10"/>
  <c r="BO14" i="10"/>
  <c r="BN14" i="10"/>
  <c r="BM14" i="10"/>
  <c r="BL14" i="10"/>
  <c r="BK14" i="10"/>
  <c r="BJ14" i="10"/>
  <c r="BI14" i="10"/>
  <c r="AZ187" i="10"/>
  <c r="AY187" i="10"/>
  <c r="AX187" i="10"/>
  <c r="AW187" i="10"/>
  <c r="AV187" i="10"/>
  <c r="AU187" i="10"/>
  <c r="AT187" i="10"/>
  <c r="AS187" i="10"/>
  <c r="AR187" i="10"/>
  <c r="AZ178" i="10"/>
  <c r="AY178" i="10"/>
  <c r="AX178" i="10"/>
  <c r="AW178" i="10"/>
  <c r="AV178" i="10"/>
  <c r="AU178" i="10"/>
  <c r="AT178" i="10"/>
  <c r="AS178" i="10"/>
  <c r="AR178" i="10"/>
  <c r="AZ108" i="10"/>
  <c r="AY108" i="10"/>
  <c r="AX108" i="10"/>
  <c r="AW108" i="10"/>
  <c r="AV108" i="10"/>
  <c r="AU108" i="10"/>
  <c r="AT108" i="10"/>
  <c r="AS108" i="10"/>
  <c r="AR108" i="10"/>
  <c r="AZ185" i="10"/>
  <c r="AY185" i="10"/>
  <c r="AX185" i="10"/>
  <c r="AW185" i="10"/>
  <c r="AV185" i="10"/>
  <c r="AU185" i="10"/>
  <c r="AT185" i="10"/>
  <c r="AS185" i="10"/>
  <c r="AR185" i="10"/>
  <c r="AZ164" i="10"/>
  <c r="AY164" i="10"/>
  <c r="AX164" i="10"/>
  <c r="AW164" i="10"/>
  <c r="AV164" i="10"/>
  <c r="AU164" i="10"/>
  <c r="AT164" i="10"/>
  <c r="AS164" i="10"/>
  <c r="AR164" i="10"/>
  <c r="AZ66" i="10"/>
  <c r="AY66" i="10"/>
  <c r="AX66" i="10"/>
  <c r="AW66" i="10"/>
  <c r="AV66" i="10"/>
  <c r="AU66" i="10"/>
  <c r="AT66" i="10"/>
  <c r="AS66" i="10"/>
  <c r="AR66" i="10"/>
  <c r="AZ125" i="10"/>
  <c r="AY125" i="10"/>
  <c r="AX125" i="10"/>
  <c r="AW125" i="10"/>
  <c r="AV125" i="10"/>
  <c r="AU125" i="10"/>
  <c r="AT125" i="10"/>
  <c r="AS125" i="10"/>
  <c r="AR125" i="10"/>
  <c r="AZ158" i="10"/>
  <c r="AY158" i="10"/>
  <c r="AX158" i="10"/>
  <c r="AW158" i="10"/>
  <c r="AV158" i="10"/>
  <c r="AU158" i="10"/>
  <c r="AT158" i="10"/>
  <c r="AS158" i="10"/>
  <c r="AR158" i="10"/>
  <c r="AZ59" i="10"/>
  <c r="AY59" i="10"/>
  <c r="AX59" i="10"/>
  <c r="AW59" i="10"/>
  <c r="AV59" i="10"/>
  <c r="AU59" i="10"/>
  <c r="AT59" i="10"/>
  <c r="AS59" i="10"/>
  <c r="AR59" i="10"/>
  <c r="AZ127" i="10"/>
  <c r="AY127" i="10"/>
  <c r="AX127" i="10"/>
  <c r="AW127" i="10"/>
  <c r="AV127" i="10"/>
  <c r="AU127" i="10"/>
  <c r="AT127" i="10"/>
  <c r="AS127" i="10"/>
  <c r="AR127" i="10"/>
  <c r="AZ144" i="10"/>
  <c r="AY144" i="10"/>
  <c r="AX144" i="10"/>
  <c r="AW144" i="10"/>
  <c r="AV144" i="10"/>
  <c r="AU144" i="10"/>
  <c r="AT144" i="10"/>
  <c r="AS144" i="10"/>
  <c r="AR144" i="10"/>
  <c r="AZ169" i="10"/>
  <c r="AY169" i="10"/>
  <c r="AX169" i="10"/>
  <c r="AW169" i="10"/>
  <c r="AV169" i="10"/>
  <c r="AU169" i="10"/>
  <c r="AT169" i="10"/>
  <c r="AS169" i="10"/>
  <c r="AR169" i="10"/>
  <c r="AZ104" i="10"/>
  <c r="AY104" i="10"/>
  <c r="AX104" i="10"/>
  <c r="AW104" i="10"/>
  <c r="AV104" i="10"/>
  <c r="AU104" i="10"/>
  <c r="AT104" i="10"/>
  <c r="AS104" i="10"/>
  <c r="AR104" i="10"/>
  <c r="AZ90" i="10"/>
  <c r="AY90" i="10"/>
  <c r="AX90" i="10"/>
  <c r="AW90" i="10"/>
  <c r="AV90" i="10"/>
  <c r="AU90" i="10"/>
  <c r="AT90" i="10"/>
  <c r="AS90" i="10"/>
  <c r="AR90" i="10"/>
  <c r="AZ41" i="10"/>
  <c r="AY41" i="10"/>
  <c r="AX41" i="10"/>
  <c r="AW41" i="10"/>
  <c r="AV41" i="10"/>
  <c r="AU41" i="10"/>
  <c r="AT41" i="10"/>
  <c r="AS41" i="10"/>
  <c r="AR41" i="10"/>
  <c r="AX51" i="10"/>
  <c r="AW51" i="10"/>
  <c r="AV51" i="10"/>
  <c r="AU51" i="10"/>
  <c r="AT51" i="10"/>
  <c r="AS51" i="10"/>
  <c r="AR51" i="10"/>
  <c r="AZ51" i="10"/>
  <c r="AY51" i="10"/>
  <c r="AZ49" i="10"/>
  <c r="AY49" i="10"/>
  <c r="AX49" i="10"/>
  <c r="AW49" i="10"/>
  <c r="AV49" i="10"/>
  <c r="AU49" i="10"/>
  <c r="AT49" i="10"/>
  <c r="AS49" i="10"/>
  <c r="AR49" i="10"/>
  <c r="AZ44" i="10"/>
  <c r="AY44" i="10"/>
  <c r="AX44" i="10"/>
  <c r="AW44" i="10"/>
  <c r="AV44" i="10"/>
  <c r="AU44" i="10"/>
  <c r="AT44" i="10"/>
  <c r="AS44" i="10"/>
  <c r="AR44" i="10"/>
  <c r="AZ61" i="10"/>
  <c r="AY61" i="10"/>
  <c r="AX61" i="10"/>
  <c r="AW61" i="10"/>
  <c r="AV61" i="10"/>
  <c r="AU61" i="10"/>
  <c r="AT61" i="10"/>
  <c r="AS61" i="10"/>
  <c r="AR61" i="10"/>
  <c r="AZ54" i="10"/>
  <c r="AY54" i="10"/>
  <c r="AX54" i="10"/>
  <c r="AW54" i="10"/>
  <c r="AV54" i="10"/>
  <c r="AU54" i="10"/>
  <c r="AT54" i="10"/>
  <c r="AS54" i="10"/>
  <c r="AR54" i="10"/>
  <c r="AZ31" i="10"/>
  <c r="AY31" i="10"/>
  <c r="AX31" i="10"/>
  <c r="AW31" i="10"/>
  <c r="AV31" i="10"/>
  <c r="AU31" i="10"/>
  <c r="AT31" i="10"/>
  <c r="AS31" i="10"/>
  <c r="AR31" i="10"/>
  <c r="AZ32" i="10"/>
  <c r="AY32" i="10"/>
  <c r="AX32" i="10"/>
  <c r="AW32" i="10"/>
  <c r="AV32" i="10"/>
  <c r="AU32" i="10"/>
  <c r="AT32" i="10"/>
  <c r="AS32" i="10"/>
  <c r="AR32" i="10"/>
  <c r="BO67" i="10"/>
  <c r="BN67" i="10"/>
  <c r="BM67" i="10"/>
  <c r="BL67" i="10"/>
  <c r="BK67" i="10"/>
  <c r="BJ67" i="10"/>
  <c r="BI67" i="10"/>
  <c r="BQ67" i="10"/>
  <c r="BP67" i="10"/>
  <c r="BQ70" i="10"/>
  <c r="BP70" i="10"/>
  <c r="BO70" i="10"/>
  <c r="BN70" i="10"/>
  <c r="BM70" i="10"/>
  <c r="BL70" i="10"/>
  <c r="BK70" i="10"/>
  <c r="BJ70" i="10"/>
  <c r="BI70" i="10"/>
  <c r="BQ75" i="10"/>
  <c r="BO75" i="10"/>
  <c r="BP75" i="10"/>
  <c r="BN75" i="10"/>
  <c r="BM75" i="10"/>
  <c r="BL75" i="10"/>
  <c r="BK75" i="10"/>
  <c r="BJ75" i="10"/>
  <c r="BI75" i="10"/>
  <c r="BQ32" i="10"/>
  <c r="BP32" i="10"/>
  <c r="BO32" i="10"/>
  <c r="BN32" i="10"/>
  <c r="BM32" i="10"/>
  <c r="BL32" i="10"/>
  <c r="BK32" i="10"/>
  <c r="BJ32" i="10"/>
  <c r="BI32" i="10"/>
  <c r="BQ78" i="10"/>
  <c r="BP78" i="10"/>
  <c r="BO78" i="10"/>
  <c r="BN78" i="10"/>
  <c r="BM78" i="10"/>
  <c r="BL78" i="10"/>
  <c r="BK78" i="10"/>
  <c r="BJ78" i="10"/>
  <c r="BI78" i="10"/>
  <c r="BQ54" i="10"/>
  <c r="BP54" i="10"/>
  <c r="BO54" i="10"/>
  <c r="BN54" i="10"/>
  <c r="BQ44" i="10"/>
  <c r="BP44" i="10"/>
  <c r="BO44" i="10"/>
  <c r="BN44" i="10"/>
  <c r="BP76" i="10"/>
  <c r="BQ76" i="10"/>
  <c r="BO76" i="10"/>
  <c r="BN76" i="10"/>
  <c r="BM76" i="10"/>
  <c r="BL76" i="10"/>
  <c r="BK76" i="10"/>
  <c r="BJ76" i="10"/>
  <c r="BI76" i="10"/>
  <c r="BP93" i="10"/>
  <c r="BO93" i="10"/>
  <c r="BN93" i="10"/>
  <c r="BM93" i="10"/>
  <c r="BL93" i="10"/>
  <c r="BK93" i="10"/>
  <c r="BJ93" i="10"/>
  <c r="BI93" i="10"/>
  <c r="BQ93" i="10"/>
  <c r="BP16" i="10"/>
  <c r="BO16" i="10"/>
  <c r="BN16" i="10"/>
  <c r="BM16" i="10"/>
  <c r="BL16" i="10"/>
  <c r="BK16" i="10"/>
  <c r="BJ16" i="10"/>
  <c r="BI16" i="10"/>
  <c r="BQ16" i="10"/>
  <c r="BP79" i="10"/>
  <c r="BO79" i="10"/>
  <c r="BN79" i="10"/>
  <c r="BM79" i="10"/>
  <c r="BL79" i="10"/>
  <c r="BK79" i="10"/>
  <c r="BJ79" i="10"/>
  <c r="BI79" i="10"/>
  <c r="BQ79" i="10"/>
  <c r="BQ8" i="10"/>
  <c r="BP8" i="10"/>
  <c r="BO8" i="10"/>
  <c r="BN8" i="10"/>
  <c r="BM8" i="10"/>
  <c r="BL8" i="10"/>
  <c r="BK8" i="10"/>
  <c r="BJ8" i="10"/>
  <c r="BI8" i="10"/>
  <c r="AZ171" i="10"/>
  <c r="AY171" i="10"/>
  <c r="AX171" i="10"/>
  <c r="AW171" i="10"/>
  <c r="AV171" i="10"/>
  <c r="AU171" i="10"/>
  <c r="AT171" i="10"/>
  <c r="AS171" i="10"/>
  <c r="AR171" i="10"/>
  <c r="AZ170" i="10"/>
  <c r="AY170" i="10"/>
  <c r="AX170" i="10"/>
  <c r="AW170" i="10"/>
  <c r="AV170" i="10"/>
  <c r="AU170" i="10"/>
  <c r="AT170" i="10"/>
  <c r="AS170" i="10"/>
  <c r="AR170" i="10"/>
  <c r="AZ192" i="10"/>
  <c r="AY192" i="10"/>
  <c r="AX192" i="10"/>
  <c r="AW192" i="10"/>
  <c r="AV192" i="10"/>
  <c r="AU192" i="10"/>
  <c r="AT192" i="10"/>
  <c r="AS192" i="10"/>
  <c r="AR192" i="10"/>
  <c r="AY163" i="10"/>
  <c r="AX163" i="10"/>
  <c r="AW163" i="10"/>
  <c r="AV163" i="10"/>
  <c r="AU163" i="10"/>
  <c r="AT163" i="10"/>
  <c r="AS163" i="10"/>
  <c r="AR163" i="10"/>
  <c r="AZ163" i="10"/>
  <c r="AZ156" i="10"/>
  <c r="AY156" i="10"/>
  <c r="AX156" i="10"/>
  <c r="AW156" i="10"/>
  <c r="AV156" i="10"/>
  <c r="AU156" i="10"/>
  <c r="AT156" i="10"/>
  <c r="AS156" i="10"/>
  <c r="AR156" i="10"/>
  <c r="AZ181" i="10"/>
  <c r="AY181" i="10"/>
  <c r="AX181" i="10"/>
  <c r="AW181" i="10"/>
  <c r="AV181" i="10"/>
  <c r="AU181" i="10"/>
  <c r="AT181" i="10"/>
  <c r="AS181" i="10"/>
  <c r="AR181" i="10"/>
  <c r="AZ117" i="10"/>
  <c r="AY117" i="10"/>
  <c r="AX117" i="10"/>
  <c r="AW117" i="10"/>
  <c r="AV117" i="10"/>
  <c r="AU117" i="10"/>
  <c r="AT117" i="10"/>
  <c r="AS117" i="10"/>
  <c r="AR117" i="10"/>
  <c r="AZ150" i="10"/>
  <c r="AY150" i="10"/>
  <c r="AX150" i="10"/>
  <c r="AW150" i="10"/>
  <c r="AV150" i="10"/>
  <c r="AU150" i="10"/>
  <c r="AT150" i="10"/>
  <c r="AS150" i="10"/>
  <c r="AR150" i="10"/>
  <c r="AZ25" i="10"/>
  <c r="AY25" i="10"/>
  <c r="AX25" i="10"/>
  <c r="AW25" i="10"/>
  <c r="AV25" i="10"/>
  <c r="AU25" i="10"/>
  <c r="AT25" i="10"/>
  <c r="AS25" i="10"/>
  <c r="AR25" i="10"/>
  <c r="AZ119" i="10"/>
  <c r="AY119" i="10"/>
  <c r="AX119" i="10"/>
  <c r="AW119" i="10"/>
  <c r="AV119" i="10"/>
  <c r="AU119" i="10"/>
  <c r="AT119" i="10"/>
  <c r="AS119" i="10"/>
  <c r="AR119" i="10"/>
  <c r="AZ136" i="10"/>
  <c r="AY136" i="10"/>
  <c r="AX136" i="10"/>
  <c r="AW136" i="10"/>
  <c r="AV136" i="10"/>
  <c r="AU136" i="10"/>
  <c r="AT136" i="10"/>
  <c r="AS136" i="10"/>
  <c r="AR136" i="10"/>
  <c r="AZ161" i="10"/>
  <c r="AY161" i="10"/>
  <c r="AX161" i="10"/>
  <c r="AW161" i="10"/>
  <c r="AV161" i="10"/>
  <c r="AU161" i="10"/>
  <c r="AT161" i="10"/>
  <c r="AS161" i="10"/>
  <c r="AR161" i="10"/>
  <c r="AZ97" i="10"/>
  <c r="AY97" i="10"/>
  <c r="AX97" i="10"/>
  <c r="AW97" i="10"/>
  <c r="AV97" i="10"/>
  <c r="AU97" i="10"/>
  <c r="AT97" i="10"/>
  <c r="AS97" i="10"/>
  <c r="AR97" i="10"/>
  <c r="AY87" i="10"/>
  <c r="AX87" i="10"/>
  <c r="AW87" i="10"/>
  <c r="AV87" i="10"/>
  <c r="AU87" i="10"/>
  <c r="AT87" i="10"/>
  <c r="AS87" i="10"/>
  <c r="AR87" i="10"/>
  <c r="AZ87" i="10"/>
  <c r="AY34" i="10"/>
  <c r="AX34" i="10"/>
  <c r="AW34" i="10"/>
  <c r="AV34" i="10"/>
  <c r="AU34" i="10"/>
  <c r="AT34" i="10"/>
  <c r="AS34" i="10"/>
  <c r="AR34" i="10"/>
  <c r="AZ34" i="10"/>
  <c r="AZ24" i="10"/>
  <c r="AY24" i="10"/>
  <c r="AX24" i="10"/>
  <c r="AW24" i="10"/>
  <c r="AV24" i="10"/>
  <c r="AU24" i="10"/>
  <c r="AT24" i="10"/>
  <c r="AS24" i="10"/>
  <c r="AR24" i="10"/>
  <c r="AZ42" i="10"/>
  <c r="AY42" i="10"/>
  <c r="AX42" i="10"/>
  <c r="AW42" i="10"/>
  <c r="AV42" i="10"/>
  <c r="AU42" i="10"/>
  <c r="AT42" i="10"/>
  <c r="AS42" i="10"/>
  <c r="AR42" i="10"/>
  <c r="AZ36" i="10"/>
  <c r="AY36" i="10"/>
  <c r="AX36" i="10"/>
  <c r="AW36" i="10"/>
  <c r="AV36" i="10"/>
  <c r="AU36" i="10"/>
  <c r="AT36" i="10"/>
  <c r="AS36" i="10"/>
  <c r="AR36" i="10"/>
  <c r="AZ53" i="10"/>
  <c r="AY53" i="10"/>
  <c r="AX53" i="10"/>
  <c r="AW53" i="10"/>
  <c r="AV53" i="10"/>
  <c r="AU53" i="10"/>
  <c r="AT53" i="10"/>
  <c r="AS53" i="10"/>
  <c r="AR53" i="10"/>
  <c r="AZ46" i="10"/>
  <c r="AY46" i="10"/>
  <c r="AX46" i="10"/>
  <c r="AW46" i="10"/>
  <c r="AV46" i="10"/>
  <c r="AU46" i="10"/>
  <c r="AT46" i="10"/>
  <c r="AS46" i="10"/>
  <c r="AR46" i="10"/>
  <c r="AZ88" i="10"/>
  <c r="AY88" i="10"/>
  <c r="AX88" i="10"/>
  <c r="AW88" i="10"/>
  <c r="AV88" i="10"/>
  <c r="AU88" i="10"/>
  <c r="AT88" i="10"/>
  <c r="AS88" i="10"/>
  <c r="AR88" i="10"/>
  <c r="AZ22" i="10"/>
  <c r="AY22" i="10"/>
  <c r="AX22" i="10"/>
  <c r="AW22" i="10"/>
  <c r="AV22" i="10"/>
  <c r="AU22" i="10"/>
  <c r="AT22" i="10"/>
  <c r="AS22" i="10"/>
  <c r="AR22" i="10"/>
  <c r="BQ97" i="10"/>
  <c r="BO97" i="10"/>
  <c r="BN97" i="10"/>
  <c r="BM97" i="10"/>
  <c r="BL97" i="10"/>
  <c r="BK97" i="10"/>
  <c r="BJ97" i="10"/>
  <c r="BI97" i="10"/>
  <c r="BP97" i="10"/>
  <c r="BQ77" i="10"/>
  <c r="BP77" i="10"/>
  <c r="BO77" i="10"/>
  <c r="BN77" i="10"/>
  <c r="BM77" i="10"/>
  <c r="BL77" i="10"/>
  <c r="BK77" i="10"/>
  <c r="BJ77" i="10"/>
  <c r="BI77" i="10"/>
  <c r="BQ92" i="10"/>
  <c r="BO92" i="10"/>
  <c r="BN92" i="10"/>
  <c r="BM92" i="10"/>
  <c r="BL92" i="10"/>
  <c r="BK92" i="10"/>
  <c r="BJ92" i="10"/>
  <c r="BI92" i="10"/>
  <c r="BP92" i="10"/>
  <c r="BQ88" i="10"/>
  <c r="BP88" i="10"/>
  <c r="BO88" i="10"/>
  <c r="BN88" i="10"/>
  <c r="BM88" i="10"/>
  <c r="BL88" i="10"/>
  <c r="BK88" i="10"/>
  <c r="BJ88" i="10"/>
  <c r="BI88" i="10"/>
  <c r="BO56" i="10"/>
  <c r="BN56" i="10"/>
  <c r="BM56" i="10"/>
  <c r="BL56" i="10"/>
  <c r="BK56" i="10"/>
  <c r="BJ56" i="10"/>
  <c r="BI56" i="10"/>
  <c r="BP56" i="10"/>
  <c r="BQ56" i="10"/>
  <c r="BQ45" i="10"/>
  <c r="BP45" i="10"/>
  <c r="BO45" i="10"/>
  <c r="BN45" i="10"/>
  <c r="BM45" i="10"/>
  <c r="BL45" i="10"/>
  <c r="BK45" i="10"/>
  <c r="BJ45" i="10"/>
  <c r="BI45" i="10"/>
  <c r="BQ35" i="10"/>
  <c r="BP35" i="10"/>
  <c r="BO35" i="10"/>
  <c r="BN35" i="10"/>
  <c r="BM35" i="10"/>
  <c r="BL35" i="10"/>
  <c r="BK35" i="10"/>
  <c r="BJ35" i="10"/>
  <c r="BI35" i="10"/>
  <c r="BQ69" i="10"/>
  <c r="BP69" i="10"/>
  <c r="BO69" i="10"/>
  <c r="BN69" i="10"/>
  <c r="BM69" i="10"/>
  <c r="BL69" i="10"/>
  <c r="BK69" i="10"/>
  <c r="BJ69" i="10"/>
  <c r="BI69" i="10"/>
  <c r="BQ73" i="10"/>
  <c r="BP73" i="10"/>
  <c r="BO73" i="10"/>
  <c r="BN73" i="10"/>
  <c r="BM73" i="10"/>
  <c r="BL73" i="10"/>
  <c r="BK73" i="10"/>
  <c r="BJ73" i="10"/>
  <c r="BI73" i="10"/>
  <c r="BQ3" i="10"/>
  <c r="BO3" i="10"/>
  <c r="BN3" i="10"/>
  <c r="BM3" i="10"/>
  <c r="BL3" i="10"/>
  <c r="BK3" i="10"/>
  <c r="BJ3" i="10"/>
  <c r="BI3" i="10"/>
  <c r="BP3" i="10"/>
  <c r="BQ72" i="10"/>
  <c r="BP72" i="10"/>
  <c r="BO72" i="10"/>
  <c r="BN72" i="10"/>
  <c r="BM72" i="10"/>
  <c r="BL72" i="10"/>
  <c r="BK72" i="10"/>
  <c r="BJ72" i="10"/>
  <c r="BI72" i="10"/>
  <c r="BQ6" i="10"/>
  <c r="BP6" i="10"/>
  <c r="BO6" i="10"/>
  <c r="BN6" i="10"/>
  <c r="BM6" i="10"/>
  <c r="BL6" i="10"/>
  <c r="BK6" i="10"/>
  <c r="BJ6" i="10"/>
  <c r="BI6" i="10"/>
  <c r="AZ162" i="10"/>
  <c r="AY162" i="10"/>
  <c r="AX162" i="10"/>
  <c r="AW162" i="10"/>
  <c r="AV162" i="10"/>
  <c r="AU162" i="10"/>
  <c r="AT162" i="10"/>
  <c r="AS162" i="10"/>
  <c r="AR162" i="10"/>
  <c r="AZ138" i="10"/>
  <c r="AY138" i="10"/>
  <c r="AX138" i="10"/>
  <c r="AW138" i="10"/>
  <c r="AV138" i="10"/>
  <c r="AU138" i="10"/>
  <c r="AT138" i="10"/>
  <c r="AS138" i="10"/>
  <c r="AR138" i="10"/>
  <c r="AZ184" i="10"/>
  <c r="AY184" i="10"/>
  <c r="AX184" i="10"/>
  <c r="AW184" i="10"/>
  <c r="AV184" i="10"/>
  <c r="AU184" i="10"/>
  <c r="AT184" i="10"/>
  <c r="AS184" i="10"/>
  <c r="AR184" i="10"/>
  <c r="AZ131" i="10"/>
  <c r="AY131" i="10"/>
  <c r="AX131" i="10"/>
  <c r="AW131" i="10"/>
  <c r="AV131" i="10"/>
  <c r="AU131" i="10"/>
  <c r="AT131" i="10"/>
  <c r="AS131" i="10"/>
  <c r="AR131" i="10"/>
  <c r="AX148" i="10"/>
  <c r="AW148" i="10"/>
  <c r="AV148" i="10"/>
  <c r="AU148" i="10"/>
  <c r="AT148" i="10"/>
  <c r="AS148" i="10"/>
  <c r="AR148" i="10"/>
  <c r="AZ148" i="10"/>
  <c r="AY148" i="10"/>
  <c r="AZ173" i="10"/>
  <c r="AY173" i="10"/>
  <c r="AX173" i="10"/>
  <c r="AW173" i="10"/>
  <c r="AV173" i="10"/>
  <c r="AU173" i="10"/>
  <c r="AT173" i="10"/>
  <c r="AS173" i="10"/>
  <c r="AR173" i="10"/>
  <c r="AZ109" i="10"/>
  <c r="AY109" i="10"/>
  <c r="AX109" i="10"/>
  <c r="AW109" i="10"/>
  <c r="AV109" i="10"/>
  <c r="AU109" i="10"/>
  <c r="AT109" i="10"/>
  <c r="AS109" i="10"/>
  <c r="AR109" i="10"/>
  <c r="AZ142" i="10"/>
  <c r="AY142" i="10"/>
  <c r="AX142" i="10"/>
  <c r="AW142" i="10"/>
  <c r="AV142" i="10"/>
  <c r="AU142" i="10"/>
  <c r="AT142" i="10"/>
  <c r="AS142" i="10"/>
  <c r="AR142" i="10"/>
  <c r="AZ175" i="10"/>
  <c r="AY175" i="10"/>
  <c r="AX175" i="10"/>
  <c r="AW175" i="10"/>
  <c r="AV175" i="10"/>
  <c r="AU175" i="10"/>
  <c r="AT175" i="10"/>
  <c r="AS175" i="10"/>
  <c r="AR175" i="10"/>
  <c r="AZ111" i="10"/>
  <c r="AY111" i="10"/>
  <c r="AX111" i="10"/>
  <c r="AW111" i="10"/>
  <c r="AV111" i="10"/>
  <c r="AU111" i="10"/>
  <c r="AT111" i="10"/>
  <c r="AS111" i="10"/>
  <c r="AR111" i="10"/>
  <c r="AZ128" i="10"/>
  <c r="AY128" i="10"/>
  <c r="AX128" i="10"/>
  <c r="AW128" i="10"/>
  <c r="AV128" i="10"/>
  <c r="AU128" i="10"/>
  <c r="AT128" i="10"/>
  <c r="AS128" i="10"/>
  <c r="AR128" i="10"/>
  <c r="AZ153" i="10"/>
  <c r="AY153" i="10"/>
  <c r="AX153" i="10"/>
  <c r="AW153" i="10"/>
  <c r="AV153" i="10"/>
  <c r="AU153" i="10"/>
  <c r="AT153" i="10"/>
  <c r="AS153" i="10"/>
  <c r="AR153" i="10"/>
  <c r="AZ81" i="10"/>
  <c r="AY81" i="10"/>
  <c r="AX81" i="10"/>
  <c r="AW81" i="10"/>
  <c r="AV81" i="10"/>
  <c r="AU81" i="10"/>
  <c r="AT81" i="10"/>
  <c r="AS81" i="10"/>
  <c r="AR81" i="10"/>
  <c r="AZ82" i="10"/>
  <c r="AY82" i="10"/>
  <c r="AX82" i="10"/>
  <c r="AW82" i="10"/>
  <c r="AV82" i="10"/>
  <c r="AU82" i="10"/>
  <c r="AT82" i="10"/>
  <c r="AS82" i="10"/>
  <c r="AR82" i="10"/>
  <c r="AZ27" i="10"/>
  <c r="AY27" i="10"/>
  <c r="AX27" i="10"/>
  <c r="AW27" i="10"/>
  <c r="AV27" i="10"/>
  <c r="AU27" i="10"/>
  <c r="AT27" i="10"/>
  <c r="AS27" i="10"/>
  <c r="AR27" i="10"/>
  <c r="AZ101" i="10"/>
  <c r="AY101" i="10"/>
  <c r="AX101" i="10"/>
  <c r="AW101" i="10"/>
  <c r="AV101" i="10"/>
  <c r="AU101" i="10"/>
  <c r="AT101" i="10"/>
  <c r="AS101" i="10"/>
  <c r="AR101" i="10"/>
  <c r="AX35" i="10"/>
  <c r="AW35" i="10"/>
  <c r="AV35" i="10"/>
  <c r="AU35" i="10"/>
  <c r="AT35" i="10"/>
  <c r="AS35" i="10"/>
  <c r="AR35" i="10"/>
  <c r="AZ35" i="10"/>
  <c r="AY35" i="10"/>
  <c r="AZ28" i="10"/>
  <c r="AY28" i="10"/>
  <c r="AX28" i="10"/>
  <c r="AW28" i="10"/>
  <c r="AV28" i="10"/>
  <c r="AU28" i="10"/>
  <c r="AT28" i="10"/>
  <c r="AS28" i="10"/>
  <c r="AR28" i="10"/>
  <c r="AZ45" i="10"/>
  <c r="AY45" i="10"/>
  <c r="AX45" i="10"/>
  <c r="AW45" i="10"/>
  <c r="AV45" i="10"/>
  <c r="AU45" i="10"/>
  <c r="AT45" i="10"/>
  <c r="AS45" i="10"/>
  <c r="AR45" i="10"/>
  <c r="AZ38" i="10"/>
  <c r="AY38" i="10"/>
  <c r="AX38" i="10"/>
  <c r="AW38" i="10"/>
  <c r="AV38" i="10"/>
  <c r="AU38" i="10"/>
  <c r="AT38" i="10"/>
  <c r="AS38" i="10"/>
  <c r="AR38" i="10"/>
  <c r="AY80" i="10"/>
  <c r="AX80" i="10"/>
  <c r="AW80" i="10"/>
  <c r="AV80" i="10"/>
  <c r="AU80" i="10"/>
  <c r="AT80" i="10"/>
  <c r="AS80" i="10"/>
  <c r="AR80" i="10"/>
  <c r="AZ80" i="10"/>
  <c r="BP74" i="10"/>
  <c r="BO74" i="10"/>
  <c r="BN74" i="10"/>
  <c r="BM74" i="10"/>
  <c r="BL74" i="10"/>
  <c r="BK74" i="10"/>
  <c r="BJ74" i="10"/>
  <c r="BI74" i="10"/>
  <c r="BQ74" i="10"/>
  <c r="BQ49" i="10"/>
  <c r="BP49" i="10"/>
  <c r="BO49" i="10"/>
  <c r="BN49" i="10"/>
  <c r="BP66" i="10"/>
  <c r="BO66" i="10"/>
  <c r="BN66" i="10"/>
  <c r="BM66" i="10"/>
  <c r="BL66" i="10"/>
  <c r="BK66" i="10"/>
  <c r="BJ66" i="10"/>
  <c r="BI66" i="10"/>
  <c r="BQ66" i="10"/>
  <c r="BQ87" i="10"/>
  <c r="BP87" i="10"/>
  <c r="BN87" i="10"/>
  <c r="BM87" i="10"/>
  <c r="BL87" i="10"/>
  <c r="BK87" i="10"/>
  <c r="BJ87" i="10"/>
  <c r="BI87" i="10"/>
  <c r="BO87" i="10"/>
  <c r="BQ62" i="10"/>
  <c r="BO62" i="10"/>
  <c r="BN62" i="10"/>
  <c r="BM62" i="10"/>
  <c r="BL62" i="10"/>
  <c r="BK62" i="10"/>
  <c r="BJ62" i="10"/>
  <c r="BI62" i="10"/>
  <c r="BP62" i="10"/>
  <c r="BQ36" i="10"/>
  <c r="BP36" i="10"/>
  <c r="BO36" i="10"/>
  <c r="BN36" i="10"/>
  <c r="BM36" i="10"/>
  <c r="BL36" i="10"/>
  <c r="BK36" i="10"/>
  <c r="BJ36" i="10"/>
  <c r="BI36" i="10"/>
  <c r="BQ59" i="10"/>
  <c r="BP59" i="10"/>
  <c r="BO59" i="10"/>
  <c r="BN59" i="10"/>
  <c r="BM59" i="10"/>
  <c r="BL59" i="10"/>
  <c r="BK59" i="10"/>
  <c r="BJ59" i="10"/>
  <c r="BI59" i="10"/>
  <c r="BQ82" i="10"/>
  <c r="BP82" i="10"/>
  <c r="BO82" i="10"/>
  <c r="BN82" i="10"/>
  <c r="BM82" i="10"/>
  <c r="BL82" i="10"/>
  <c r="BK82" i="10"/>
  <c r="BJ82" i="10"/>
  <c r="BI82" i="10"/>
  <c r="BQ37" i="10"/>
  <c r="BP37" i="10"/>
  <c r="BO37" i="10"/>
  <c r="BN37" i="10"/>
  <c r="BM37" i="10"/>
  <c r="BL37" i="10"/>
  <c r="BK37" i="10"/>
  <c r="BJ37" i="10"/>
  <c r="BI37" i="10"/>
  <c r="BQ7" i="10"/>
  <c r="BP7" i="10"/>
  <c r="BO7" i="10"/>
  <c r="BN7" i="10"/>
  <c r="BM7" i="10"/>
  <c r="BL7" i="10"/>
  <c r="BK7" i="10"/>
  <c r="BJ7" i="10"/>
  <c r="BI7" i="10"/>
  <c r="BP68" i="10"/>
  <c r="BQ68" i="10"/>
  <c r="BO68" i="10"/>
  <c r="BN68" i="10"/>
  <c r="BM68" i="10"/>
  <c r="BL68" i="10"/>
  <c r="BK68" i="10"/>
  <c r="BJ68" i="10"/>
  <c r="BI68" i="10"/>
  <c r="BQ10" i="10"/>
  <c r="BP10" i="10"/>
  <c r="BO10" i="10"/>
  <c r="BN10" i="10"/>
  <c r="BM10" i="10"/>
  <c r="BL10" i="10"/>
  <c r="BK10" i="10"/>
  <c r="BJ10" i="10"/>
  <c r="BI10" i="10"/>
  <c r="AZ95" i="10"/>
  <c r="AY95" i="10"/>
  <c r="AX95" i="10"/>
  <c r="AW95" i="10"/>
  <c r="AV95" i="10"/>
  <c r="AU95" i="10"/>
  <c r="AT95" i="10"/>
  <c r="AS95" i="10"/>
  <c r="AR95" i="10"/>
  <c r="AZ191" i="10"/>
  <c r="AY191" i="10"/>
  <c r="AX191" i="10"/>
  <c r="AW191" i="10"/>
  <c r="AV191" i="10"/>
  <c r="AU191" i="10"/>
  <c r="AT191" i="10"/>
  <c r="AS191" i="10"/>
  <c r="AR191" i="10"/>
  <c r="AZ180" i="10"/>
  <c r="AY180" i="10"/>
  <c r="AX180" i="10"/>
  <c r="AW180" i="10"/>
  <c r="AV180" i="10"/>
  <c r="AU180" i="10"/>
  <c r="AT180" i="10"/>
  <c r="AS180" i="10"/>
  <c r="AR180" i="10"/>
  <c r="AZ33" i="10"/>
  <c r="AY33" i="10"/>
  <c r="AX33" i="10"/>
  <c r="AW33" i="10"/>
  <c r="AV33" i="10"/>
  <c r="AU33" i="10"/>
  <c r="AT33" i="10"/>
  <c r="AS33" i="10"/>
  <c r="AR33" i="10"/>
  <c r="AX140" i="10"/>
  <c r="AW140" i="10"/>
  <c r="AV140" i="10"/>
  <c r="AU140" i="10"/>
  <c r="AT140" i="10"/>
  <c r="AS140" i="10"/>
  <c r="AR140" i="10"/>
  <c r="AZ140" i="10"/>
  <c r="AY140" i="10"/>
  <c r="AZ165" i="10"/>
  <c r="AY165" i="10"/>
  <c r="AX165" i="10"/>
  <c r="AW165" i="10"/>
  <c r="AV165" i="10"/>
  <c r="AU165" i="10"/>
  <c r="AT165" i="10"/>
  <c r="AS165" i="10"/>
  <c r="AR165" i="10"/>
  <c r="AZ106" i="10"/>
  <c r="AY106" i="10"/>
  <c r="AX106" i="10"/>
  <c r="AW106" i="10"/>
  <c r="AV106" i="10"/>
  <c r="AU106" i="10"/>
  <c r="AT106" i="10"/>
  <c r="AS106" i="10"/>
  <c r="AR106" i="10"/>
  <c r="AZ134" i="10"/>
  <c r="AY134" i="10"/>
  <c r="AX134" i="10"/>
  <c r="AW134" i="10"/>
  <c r="AV134" i="10"/>
  <c r="AU134" i="10"/>
  <c r="AT134" i="10"/>
  <c r="AS134" i="10"/>
  <c r="AR134" i="10"/>
  <c r="AZ167" i="10"/>
  <c r="AY167" i="10"/>
  <c r="AX167" i="10"/>
  <c r="AW167" i="10"/>
  <c r="AV167" i="10"/>
  <c r="AU167" i="10"/>
  <c r="AT167" i="10"/>
  <c r="AS167" i="10"/>
  <c r="AR167" i="10"/>
  <c r="AY96" i="10"/>
  <c r="AX96" i="10"/>
  <c r="AW96" i="10"/>
  <c r="AV96" i="10"/>
  <c r="AU96" i="10"/>
  <c r="AT96" i="10"/>
  <c r="AS96" i="10"/>
  <c r="AR96" i="10"/>
  <c r="AZ96" i="10"/>
  <c r="AZ120" i="10"/>
  <c r="AY120" i="10"/>
  <c r="AX120" i="10"/>
  <c r="AW120" i="10"/>
  <c r="AV120" i="10"/>
  <c r="AU120" i="10"/>
  <c r="AT120" i="10"/>
  <c r="AS120" i="10"/>
  <c r="AR120" i="10"/>
  <c r="AZ145" i="10"/>
  <c r="AY145" i="10"/>
  <c r="AX145" i="10"/>
  <c r="AW145" i="10"/>
  <c r="AV145" i="10"/>
  <c r="AU145" i="10"/>
  <c r="AT145" i="10"/>
  <c r="AS145" i="10"/>
  <c r="AR145" i="10"/>
  <c r="AZ57" i="10"/>
  <c r="AY57" i="10"/>
  <c r="AX57" i="10"/>
  <c r="AW57" i="10"/>
  <c r="AV57" i="10"/>
  <c r="AU57" i="10"/>
  <c r="AT57" i="10"/>
  <c r="AS57" i="10"/>
  <c r="AR57" i="10"/>
  <c r="AZ67" i="10"/>
  <c r="AY67" i="10"/>
  <c r="AX67" i="10"/>
  <c r="AW67" i="10"/>
  <c r="AV67" i="10"/>
  <c r="AU67" i="10"/>
  <c r="AT67" i="10"/>
  <c r="AS67" i="10"/>
  <c r="AR67" i="10"/>
  <c r="AZ100" i="10"/>
  <c r="AY100" i="10"/>
  <c r="AX100" i="10"/>
  <c r="AW100" i="10"/>
  <c r="AV100" i="10"/>
  <c r="AU100" i="10"/>
  <c r="AT100" i="10"/>
  <c r="AS100" i="10"/>
  <c r="AR100" i="10"/>
  <c r="AZ93" i="10"/>
  <c r="AY93" i="10"/>
  <c r="AX93" i="10"/>
  <c r="AW93" i="10"/>
  <c r="AV93" i="10"/>
  <c r="AU93" i="10"/>
  <c r="AT93" i="10"/>
  <c r="AS93" i="10"/>
  <c r="AR93" i="10"/>
  <c r="AZ84" i="10"/>
  <c r="AY84" i="10"/>
  <c r="AX84" i="10"/>
  <c r="AW84" i="10"/>
  <c r="AV84" i="10"/>
  <c r="AU84" i="10"/>
  <c r="AT84" i="10"/>
  <c r="AS84" i="10"/>
  <c r="AR84" i="10"/>
  <c r="AZ26" i="10"/>
  <c r="AY26" i="10"/>
  <c r="AX26" i="10"/>
  <c r="AW26" i="10"/>
  <c r="AV26" i="10"/>
  <c r="AU26" i="10"/>
  <c r="AT26" i="10"/>
  <c r="AS26" i="10"/>
  <c r="AR26" i="10"/>
  <c r="AZ37" i="10"/>
  <c r="AY37" i="10"/>
  <c r="AX37" i="10"/>
  <c r="AW37" i="10"/>
  <c r="AV37" i="10"/>
  <c r="AU37" i="10"/>
  <c r="AT37" i="10"/>
  <c r="AS37" i="10"/>
  <c r="AR37" i="10"/>
  <c r="AZ30" i="10"/>
  <c r="AY30" i="10"/>
  <c r="AX30" i="10"/>
  <c r="AW30" i="10"/>
  <c r="AV30" i="10"/>
  <c r="AU30" i="10"/>
  <c r="AT30" i="10"/>
  <c r="AS30" i="10"/>
  <c r="AR30" i="10"/>
  <c r="AY72" i="10"/>
  <c r="AX72" i="10"/>
  <c r="AW72" i="10"/>
  <c r="AV72" i="10"/>
  <c r="AU72" i="10"/>
  <c r="AT72" i="10"/>
  <c r="AS72" i="10"/>
  <c r="AR72" i="10"/>
  <c r="AZ72" i="10"/>
  <c r="K19" i="10"/>
  <c r="BQ47" i="10"/>
  <c r="BP47" i="10"/>
  <c r="BO47" i="10"/>
  <c r="BN47" i="10"/>
  <c r="BM47" i="10"/>
  <c r="BL47" i="10"/>
  <c r="BK47" i="10"/>
  <c r="BJ47" i="10"/>
  <c r="BI47" i="10"/>
  <c r="BQ34" i="10"/>
  <c r="BP34" i="10"/>
  <c r="BO34" i="10"/>
  <c r="BN34" i="10"/>
  <c r="BM34" i="10"/>
  <c r="BL34" i="10"/>
  <c r="BK34" i="10"/>
  <c r="BJ34" i="10"/>
  <c r="BI34" i="10"/>
  <c r="BP60" i="10"/>
  <c r="BO60" i="10"/>
  <c r="BN60" i="10"/>
  <c r="BM60" i="10"/>
  <c r="BL60" i="10"/>
  <c r="BK60" i="10"/>
  <c r="BJ60" i="10"/>
  <c r="BI60" i="10"/>
  <c r="BQ60" i="10"/>
  <c r="BQ28" i="10"/>
  <c r="BP28" i="10"/>
  <c r="BO28" i="10"/>
  <c r="BN28" i="10"/>
  <c r="BM28" i="10"/>
  <c r="BL28" i="10"/>
  <c r="BK28" i="10"/>
  <c r="BJ28" i="10"/>
  <c r="BI28" i="10"/>
  <c r="BP46" i="10"/>
  <c r="BO46" i="10"/>
  <c r="BN46" i="10"/>
  <c r="BQ46" i="10"/>
  <c r="BQ22" i="10"/>
  <c r="BP22" i="10"/>
  <c r="BO22" i="10"/>
  <c r="BN22" i="10"/>
  <c r="BM22" i="10"/>
  <c r="BL22" i="10"/>
  <c r="BK22" i="10"/>
  <c r="BJ22" i="10"/>
  <c r="BI22" i="10"/>
  <c r="BQ51" i="10"/>
  <c r="BP51" i="10"/>
  <c r="BO51" i="10"/>
  <c r="BN51" i="10"/>
  <c r="BQ91" i="10"/>
  <c r="BP91" i="10"/>
  <c r="BO91" i="10"/>
  <c r="BN91" i="10"/>
  <c r="BM91" i="10"/>
  <c r="BL91" i="10"/>
  <c r="BK91" i="10"/>
  <c r="BJ91" i="10"/>
  <c r="BI91" i="10"/>
  <c r="BQ90" i="10"/>
  <c r="BP90" i="10"/>
  <c r="BO90" i="10"/>
  <c r="BN90" i="10"/>
  <c r="BM90" i="10"/>
  <c r="BL90" i="10"/>
  <c r="BK90" i="10"/>
  <c r="BJ90" i="10"/>
  <c r="BI90" i="10"/>
  <c r="BO30" i="10"/>
  <c r="BN30" i="10"/>
  <c r="BM30" i="10"/>
  <c r="BL30" i="10"/>
  <c r="BK30" i="10"/>
  <c r="BJ30" i="10"/>
  <c r="BI30" i="10"/>
  <c r="BQ30" i="10"/>
  <c r="BP30" i="10"/>
  <c r="BQ57" i="10"/>
  <c r="BP57" i="10"/>
  <c r="BO57" i="10"/>
  <c r="BN57" i="10"/>
  <c r="BQ4" i="10"/>
  <c r="BP4" i="10"/>
  <c r="BO4" i="10"/>
  <c r="BN4" i="10"/>
  <c r="BM4" i="10"/>
  <c r="BL4" i="10"/>
  <c r="BK4" i="10"/>
  <c r="BJ4" i="10"/>
  <c r="BI4" i="10"/>
  <c r="AZ189" i="10"/>
  <c r="AY189" i="10"/>
  <c r="AX189" i="10"/>
  <c r="AW189" i="10"/>
  <c r="AV189" i="10"/>
  <c r="AU189" i="10"/>
  <c r="AT189" i="10"/>
  <c r="AS189" i="10"/>
  <c r="AR189" i="10"/>
  <c r="AZ183" i="10"/>
  <c r="AY183" i="10"/>
  <c r="AX183" i="10"/>
  <c r="AW183" i="10"/>
  <c r="AV183" i="10"/>
  <c r="AU183" i="10"/>
  <c r="AT183" i="10"/>
  <c r="AS183" i="10"/>
  <c r="AR183" i="10"/>
  <c r="AZ146" i="10"/>
  <c r="AY146" i="10"/>
  <c r="AX146" i="10"/>
  <c r="AW146" i="10"/>
  <c r="AV146" i="10"/>
  <c r="AU146" i="10"/>
  <c r="AT146" i="10"/>
  <c r="AS146" i="10"/>
  <c r="AR146" i="10"/>
  <c r="AZ186" i="10"/>
  <c r="AY186" i="10"/>
  <c r="AX186" i="10"/>
  <c r="AW186" i="10"/>
  <c r="AV186" i="10"/>
  <c r="AU186" i="10"/>
  <c r="AT186" i="10"/>
  <c r="AS186" i="10"/>
  <c r="AR186" i="10"/>
  <c r="AZ132" i="10"/>
  <c r="AY132" i="10"/>
  <c r="AX132" i="10"/>
  <c r="AW132" i="10"/>
  <c r="AV132" i="10"/>
  <c r="AU132" i="10"/>
  <c r="AT132" i="10"/>
  <c r="AS132" i="10"/>
  <c r="AR132" i="10"/>
  <c r="AZ157" i="10"/>
  <c r="AY157" i="10"/>
  <c r="AX157" i="10"/>
  <c r="AW157" i="10"/>
  <c r="AV157" i="10"/>
  <c r="AU157" i="10"/>
  <c r="AT157" i="10"/>
  <c r="AS157" i="10"/>
  <c r="AR157" i="10"/>
  <c r="AZ79" i="10"/>
  <c r="AY79" i="10"/>
  <c r="AX79" i="10"/>
  <c r="AW79" i="10"/>
  <c r="AV79" i="10"/>
  <c r="AU79" i="10"/>
  <c r="AT79" i="10"/>
  <c r="AS79" i="10"/>
  <c r="AR79" i="10"/>
  <c r="AZ126" i="10"/>
  <c r="AY126" i="10"/>
  <c r="AX126" i="10"/>
  <c r="AW126" i="10"/>
  <c r="AV126" i="10"/>
  <c r="AU126" i="10"/>
  <c r="AT126" i="10"/>
  <c r="AS126" i="10"/>
  <c r="AR126" i="10"/>
  <c r="AZ159" i="10"/>
  <c r="AY159" i="10"/>
  <c r="AX159" i="10"/>
  <c r="AW159" i="10"/>
  <c r="AV159" i="10"/>
  <c r="AU159" i="10"/>
  <c r="AT159" i="10"/>
  <c r="AS159" i="10"/>
  <c r="AR159" i="10"/>
  <c r="AZ176" i="10"/>
  <c r="AY176" i="10"/>
  <c r="AX176" i="10"/>
  <c r="AW176" i="10"/>
  <c r="AV176" i="10"/>
  <c r="AU176" i="10"/>
  <c r="AT176" i="10"/>
  <c r="AS176" i="10"/>
  <c r="AR176" i="10"/>
  <c r="AZ112" i="10"/>
  <c r="AY112" i="10"/>
  <c r="AX112" i="10"/>
  <c r="AW112" i="10"/>
  <c r="AV112" i="10"/>
  <c r="AU112" i="10"/>
  <c r="AT112" i="10"/>
  <c r="AS112" i="10"/>
  <c r="AR112" i="10"/>
  <c r="AZ137" i="10"/>
  <c r="AY137" i="10"/>
  <c r="AX137" i="10"/>
  <c r="AW137" i="10"/>
  <c r="AV137" i="10"/>
  <c r="AU137" i="10"/>
  <c r="AT137" i="10"/>
  <c r="AS137" i="10"/>
  <c r="AR137" i="10"/>
  <c r="AZ50" i="10"/>
  <c r="AY50" i="10"/>
  <c r="AX50" i="10"/>
  <c r="AW50" i="10"/>
  <c r="AV50" i="10"/>
  <c r="AU50" i="10"/>
  <c r="AT50" i="10"/>
  <c r="AS50" i="10"/>
  <c r="AR50" i="10"/>
  <c r="AZ99" i="10"/>
  <c r="AY99" i="10"/>
  <c r="AX99" i="10"/>
  <c r="AW99" i="10"/>
  <c r="AV99" i="10"/>
  <c r="AU99" i="10"/>
  <c r="AT99" i="10"/>
  <c r="AS99" i="10"/>
  <c r="AR99" i="10"/>
  <c r="AZ92" i="10"/>
  <c r="AY92" i="10"/>
  <c r="AX92" i="10"/>
  <c r="AW92" i="10"/>
  <c r="AV92" i="10"/>
  <c r="AU92" i="10"/>
  <c r="AT92" i="10"/>
  <c r="AS92" i="10"/>
  <c r="AR92" i="10"/>
  <c r="AZ73" i="10"/>
  <c r="AY73" i="10"/>
  <c r="AX73" i="10"/>
  <c r="AW73" i="10"/>
  <c r="AV73" i="10"/>
  <c r="AU73" i="10"/>
  <c r="AT73" i="10"/>
  <c r="AS73" i="10"/>
  <c r="AR73" i="10"/>
  <c r="AZ76" i="10"/>
  <c r="AY76" i="10"/>
  <c r="AX76" i="10"/>
  <c r="AW76" i="10"/>
  <c r="AV76" i="10"/>
  <c r="AU76" i="10"/>
  <c r="AT76" i="10"/>
  <c r="AS76" i="10"/>
  <c r="AR76" i="10"/>
  <c r="AZ21" i="10"/>
  <c r="AY21" i="10"/>
  <c r="AX21" i="10"/>
  <c r="AW21" i="10"/>
  <c r="AV21" i="10"/>
  <c r="AU21" i="10"/>
  <c r="AT21" i="10"/>
  <c r="AS21" i="10"/>
  <c r="AR21" i="10"/>
  <c r="AZ29" i="10"/>
  <c r="AY29" i="10"/>
  <c r="AX29" i="10"/>
  <c r="AW29" i="10"/>
  <c r="AV29" i="10"/>
  <c r="AU29" i="10"/>
  <c r="AT29" i="10"/>
  <c r="AS29" i="10"/>
  <c r="AR29" i="10"/>
  <c r="AZ63" i="10"/>
  <c r="AY63" i="10"/>
  <c r="AX63" i="10"/>
  <c r="AW63" i="10"/>
  <c r="AV63" i="10"/>
  <c r="AU63" i="10"/>
  <c r="AT63" i="10"/>
  <c r="AS63" i="10"/>
  <c r="AR63" i="10"/>
  <c r="AZ64" i="10"/>
  <c r="AY64" i="10"/>
  <c r="AX64" i="10"/>
  <c r="AW64" i="10"/>
  <c r="AV64" i="10"/>
  <c r="AU64" i="10"/>
  <c r="AT64" i="10"/>
  <c r="AS64" i="10"/>
  <c r="AR64" i="10"/>
  <c r="BP29" i="10"/>
  <c r="BO29" i="10"/>
  <c r="BN29" i="10"/>
  <c r="BM29" i="10"/>
  <c r="BL29" i="10"/>
  <c r="BK29" i="10"/>
  <c r="BJ29" i="10"/>
  <c r="BI29" i="10"/>
  <c r="BQ29" i="10"/>
  <c r="BP20" i="10"/>
  <c r="BO20" i="10"/>
  <c r="BN20" i="10"/>
  <c r="BM20" i="10"/>
  <c r="BL20" i="10"/>
  <c r="BK20" i="10"/>
  <c r="BJ20" i="10"/>
  <c r="BI20" i="10"/>
  <c r="BQ20" i="10"/>
  <c r="BQ41" i="10"/>
  <c r="BP41" i="10"/>
  <c r="BO41" i="10"/>
  <c r="BN41" i="10"/>
  <c r="BM41" i="10"/>
  <c r="BL41" i="10"/>
  <c r="BK41" i="10"/>
  <c r="BJ41" i="10"/>
  <c r="BI41" i="10"/>
  <c r="BQ84" i="10"/>
  <c r="BP84" i="10"/>
  <c r="BO84" i="10"/>
  <c r="BN84" i="10"/>
  <c r="BM84" i="10"/>
  <c r="BL84" i="10"/>
  <c r="BK84" i="10"/>
  <c r="BJ84" i="10"/>
  <c r="BI84" i="10"/>
  <c r="BQ19" i="10"/>
  <c r="BP19" i="10"/>
  <c r="BO19" i="10"/>
  <c r="BN19" i="10"/>
  <c r="BM19" i="10"/>
  <c r="BL19" i="10"/>
  <c r="BK19" i="10"/>
  <c r="BJ19" i="10"/>
  <c r="BI19" i="10"/>
  <c r="BQ38" i="10"/>
  <c r="BP38" i="10"/>
  <c r="BO38" i="10"/>
  <c r="BN38" i="10"/>
  <c r="BM38" i="10"/>
  <c r="BL38" i="10"/>
  <c r="BK38" i="10"/>
  <c r="BJ38" i="10"/>
  <c r="BI38" i="10"/>
  <c r="BQ5" i="10"/>
  <c r="BP5" i="10"/>
  <c r="BO5" i="10"/>
  <c r="BN5" i="10"/>
  <c r="BM5" i="10"/>
  <c r="BL5" i="10"/>
  <c r="BK5" i="10"/>
  <c r="BJ5" i="10"/>
  <c r="BI5" i="10"/>
  <c r="BQ43" i="10"/>
  <c r="BP43" i="10"/>
  <c r="BO43" i="10"/>
  <c r="BN43" i="10"/>
  <c r="BM43" i="10"/>
  <c r="BL43" i="10"/>
  <c r="BK43" i="10"/>
  <c r="BJ43" i="10"/>
  <c r="BI43" i="10"/>
  <c r="BQ50" i="10"/>
  <c r="BP50" i="10"/>
  <c r="BO50" i="10"/>
  <c r="BN50" i="10"/>
  <c r="BP86" i="10"/>
  <c r="BO86" i="10"/>
  <c r="BN86" i="10"/>
  <c r="BM86" i="10"/>
  <c r="BL86" i="10"/>
  <c r="BK86" i="10"/>
  <c r="BJ86" i="10"/>
  <c r="BI86" i="10"/>
  <c r="BQ86" i="10"/>
  <c r="BQ85" i="10"/>
  <c r="BP85" i="10"/>
  <c r="BO85" i="10"/>
  <c r="BN85" i="10"/>
  <c r="BM85" i="10"/>
  <c r="BL85" i="10"/>
  <c r="BK85" i="10"/>
  <c r="BJ85" i="10"/>
  <c r="BI85" i="10"/>
  <c r="BQ64" i="10"/>
  <c r="BP64" i="10"/>
  <c r="BO64" i="10"/>
  <c r="BN64" i="10"/>
  <c r="BM64" i="10"/>
  <c r="BL64" i="10"/>
  <c r="BK64" i="10"/>
  <c r="BJ64" i="10"/>
  <c r="BI64" i="10"/>
  <c r="AY188" i="10"/>
  <c r="AX188" i="10"/>
  <c r="AW188" i="10"/>
  <c r="AV188" i="10"/>
  <c r="AU188" i="10"/>
  <c r="AT188" i="10"/>
  <c r="AS188" i="10"/>
  <c r="AR188" i="10"/>
  <c r="AZ188" i="10"/>
  <c r="AY147" i="10"/>
  <c r="AX147" i="10"/>
  <c r="AW147" i="10"/>
  <c r="AV147" i="10"/>
  <c r="AU147" i="10"/>
  <c r="AT147" i="10"/>
  <c r="AS147" i="10"/>
  <c r="AR147" i="10"/>
  <c r="AZ147" i="10"/>
  <c r="AZ179" i="10"/>
  <c r="AY179" i="10"/>
  <c r="AX179" i="10"/>
  <c r="AW179" i="10"/>
  <c r="AV179" i="10"/>
  <c r="AU179" i="10"/>
  <c r="AT179" i="10"/>
  <c r="AS179" i="10"/>
  <c r="AR179" i="10"/>
  <c r="AZ114" i="10"/>
  <c r="AY114" i="10"/>
  <c r="AX114" i="10"/>
  <c r="AW114" i="10"/>
  <c r="AV114" i="10"/>
  <c r="AU114" i="10"/>
  <c r="AT114" i="10"/>
  <c r="AS114" i="10"/>
  <c r="AR114" i="10"/>
  <c r="AZ154" i="10"/>
  <c r="AY154" i="10"/>
  <c r="AX154" i="10"/>
  <c r="AW154" i="10"/>
  <c r="AV154" i="10"/>
  <c r="AU154" i="10"/>
  <c r="AT154" i="10"/>
  <c r="AS154" i="10"/>
  <c r="AR154" i="10"/>
  <c r="AY124" i="10"/>
  <c r="AX124" i="10"/>
  <c r="AW124" i="10"/>
  <c r="AV124" i="10"/>
  <c r="AU124" i="10"/>
  <c r="AT124" i="10"/>
  <c r="AS124" i="10"/>
  <c r="AR124" i="10"/>
  <c r="AZ124" i="10"/>
  <c r="AZ149" i="10"/>
  <c r="AY149" i="10"/>
  <c r="AX149" i="10"/>
  <c r="AW149" i="10"/>
  <c r="AV149" i="10"/>
  <c r="AU149" i="10"/>
  <c r="AT149" i="10"/>
  <c r="AS149" i="10"/>
  <c r="AR149" i="10"/>
  <c r="AZ182" i="10"/>
  <c r="AY182" i="10"/>
  <c r="AX182" i="10"/>
  <c r="AW182" i="10"/>
  <c r="AV182" i="10"/>
  <c r="AU182" i="10"/>
  <c r="AT182" i="10"/>
  <c r="AS182" i="10"/>
  <c r="AR182" i="10"/>
  <c r="AZ118" i="10"/>
  <c r="AY118" i="10"/>
  <c r="AX118" i="10"/>
  <c r="AW118" i="10"/>
  <c r="AV118" i="10"/>
  <c r="AU118" i="10"/>
  <c r="AT118" i="10"/>
  <c r="AS118" i="10"/>
  <c r="AR118" i="10"/>
  <c r="AZ151" i="10"/>
  <c r="AY151" i="10"/>
  <c r="AX151" i="10"/>
  <c r="AW151" i="10"/>
  <c r="AV151" i="10"/>
  <c r="AU151" i="10"/>
  <c r="AT151" i="10"/>
  <c r="AS151" i="10"/>
  <c r="AR151" i="10"/>
  <c r="AZ168" i="10"/>
  <c r="AY168" i="10"/>
  <c r="AX168" i="10"/>
  <c r="AW168" i="10"/>
  <c r="AV168" i="10"/>
  <c r="AU168" i="10"/>
  <c r="AT168" i="10"/>
  <c r="AS168" i="10"/>
  <c r="AR168" i="10"/>
  <c r="AZ107" i="10"/>
  <c r="AY107" i="10"/>
  <c r="AX107" i="10"/>
  <c r="AW107" i="10"/>
  <c r="AV107" i="10"/>
  <c r="AU107" i="10"/>
  <c r="AT107" i="10"/>
  <c r="AS107" i="10"/>
  <c r="AR107" i="10"/>
  <c r="AZ129" i="10"/>
  <c r="AY129" i="10"/>
  <c r="AX129" i="10"/>
  <c r="AW129" i="10"/>
  <c r="AV129" i="10"/>
  <c r="AU129" i="10"/>
  <c r="AT129" i="10"/>
  <c r="AS129" i="10"/>
  <c r="AR129" i="10"/>
  <c r="AZ43" i="10"/>
  <c r="AY43" i="10"/>
  <c r="AX43" i="10"/>
  <c r="AW43" i="10"/>
  <c r="AV43" i="10"/>
  <c r="AU43" i="10"/>
  <c r="AT43" i="10"/>
  <c r="AS43" i="10"/>
  <c r="AR43" i="10"/>
  <c r="AZ91" i="10"/>
  <c r="AY91" i="10"/>
  <c r="AX91" i="10"/>
  <c r="AW91" i="10"/>
  <c r="AV91" i="10"/>
  <c r="AU91" i="10"/>
  <c r="AT91" i="10"/>
  <c r="AS91" i="10"/>
  <c r="AR91" i="10"/>
  <c r="AZ71" i="10"/>
  <c r="AY71" i="10"/>
  <c r="AX71" i="10"/>
  <c r="AW71" i="10"/>
  <c r="AV71" i="10"/>
  <c r="AU71" i="10"/>
  <c r="AT71" i="10"/>
  <c r="AS71" i="10"/>
  <c r="AR71" i="10"/>
  <c r="AZ102" i="10"/>
  <c r="AY102" i="10"/>
  <c r="AX102" i="10"/>
  <c r="AW102" i="10"/>
  <c r="AV102" i="10"/>
  <c r="AU102" i="10"/>
  <c r="AT102" i="10"/>
  <c r="AS102" i="10"/>
  <c r="AR102" i="10"/>
  <c r="AZ68" i="10"/>
  <c r="AY68" i="10"/>
  <c r="AX68" i="10"/>
  <c r="AW68" i="10"/>
  <c r="AV68" i="10"/>
  <c r="AU68" i="10"/>
  <c r="AT68" i="10"/>
  <c r="AS68" i="10"/>
  <c r="AR68" i="10"/>
  <c r="AZ85" i="10"/>
  <c r="AY85" i="10"/>
  <c r="AX85" i="10"/>
  <c r="AW85" i="10"/>
  <c r="AV85" i="10"/>
  <c r="AU85" i="10"/>
  <c r="AT85" i="10"/>
  <c r="AS85" i="10"/>
  <c r="AR85" i="10"/>
  <c r="AZ78" i="10"/>
  <c r="AY78" i="10"/>
  <c r="AX78" i="10"/>
  <c r="AW78" i="10"/>
  <c r="AV78" i="10"/>
  <c r="AU78" i="10"/>
  <c r="AT78" i="10"/>
  <c r="AS78" i="10"/>
  <c r="AR78" i="10"/>
  <c r="AZ55" i="10"/>
  <c r="AY55" i="10"/>
  <c r="AX55" i="10"/>
  <c r="AW55" i="10"/>
  <c r="AV55" i="10"/>
  <c r="AU55" i="10"/>
  <c r="AT55" i="10"/>
  <c r="AS55" i="10"/>
  <c r="AR55" i="10"/>
  <c r="AZ56" i="10"/>
  <c r="AY56" i="10"/>
  <c r="AX56" i="10"/>
  <c r="AW56" i="10"/>
  <c r="AV56" i="10"/>
  <c r="AU56" i="10"/>
  <c r="AT56" i="10"/>
  <c r="AS56" i="10"/>
  <c r="AR56" i="10"/>
  <c r="BQ39" i="10"/>
  <c r="BP39" i="10"/>
  <c r="BO39" i="10"/>
  <c r="BN39" i="10"/>
  <c r="BM39" i="10"/>
  <c r="BL39" i="10"/>
  <c r="BK39" i="10"/>
  <c r="BJ39" i="10"/>
  <c r="BI39" i="10"/>
  <c r="BQ71" i="10"/>
  <c r="BP71" i="10"/>
  <c r="BO71" i="10"/>
  <c r="BN71" i="10"/>
  <c r="BM71" i="10"/>
  <c r="BL71" i="10"/>
  <c r="BK71" i="10"/>
  <c r="BJ71" i="10"/>
  <c r="BI71" i="10"/>
  <c r="BQ31" i="10"/>
  <c r="BP31" i="10"/>
  <c r="BO31" i="10"/>
  <c r="BN31" i="10"/>
  <c r="BM31" i="10"/>
  <c r="BL31" i="10"/>
  <c r="BK31" i="10"/>
  <c r="BJ31" i="10"/>
  <c r="BI31" i="10"/>
  <c r="BP63" i="10"/>
  <c r="BO63" i="10"/>
  <c r="BN63" i="10"/>
  <c r="BM63" i="10"/>
  <c r="BL63" i="10"/>
  <c r="BK63" i="10"/>
  <c r="BJ63" i="10"/>
  <c r="BI63" i="10"/>
  <c r="BQ63" i="10"/>
  <c r="BQ11" i="10"/>
  <c r="BP11" i="10"/>
  <c r="BO11" i="10"/>
  <c r="BN11" i="10"/>
  <c r="BM11" i="10"/>
  <c r="BL11" i="10"/>
  <c r="BK11" i="10"/>
  <c r="BJ11" i="10"/>
  <c r="BI11" i="10"/>
  <c r="BP33" i="10"/>
  <c r="BO33" i="10"/>
  <c r="BN33" i="10"/>
  <c r="BM33" i="10"/>
  <c r="BL33" i="10"/>
  <c r="BK33" i="10"/>
  <c r="BJ33" i="10"/>
  <c r="BI33" i="10"/>
  <c r="BQ33" i="10"/>
  <c r="BQ65" i="10"/>
  <c r="BP65" i="10"/>
  <c r="BO65" i="10"/>
  <c r="BN65" i="10"/>
  <c r="BM65" i="10"/>
  <c r="BL65" i="10"/>
  <c r="BK65" i="10"/>
  <c r="BJ65" i="10"/>
  <c r="BI65" i="10"/>
  <c r="BQ17" i="10"/>
  <c r="BP17" i="10"/>
  <c r="BO17" i="10"/>
  <c r="BN17" i="10"/>
  <c r="BM17" i="10"/>
  <c r="BL17" i="10"/>
  <c r="BK17" i="10"/>
  <c r="BJ17" i="10"/>
  <c r="BI17" i="10"/>
  <c r="BQ42" i="10"/>
  <c r="BP42" i="10"/>
  <c r="BO42" i="10"/>
  <c r="BN42" i="10"/>
  <c r="BM42" i="10"/>
  <c r="BL42" i="10"/>
  <c r="BK42" i="10"/>
  <c r="BJ42" i="10"/>
  <c r="BI42" i="10"/>
  <c r="BQ25" i="10"/>
  <c r="BP25" i="10"/>
  <c r="BO25" i="10"/>
  <c r="BN25" i="10"/>
  <c r="BM25" i="10"/>
  <c r="BL25" i="10"/>
  <c r="BK25" i="10"/>
  <c r="BJ25" i="10"/>
  <c r="BI25" i="10"/>
  <c r="BQ15" i="10"/>
  <c r="BP15" i="10"/>
  <c r="BO15" i="10"/>
  <c r="BN15" i="10"/>
  <c r="BM15" i="10"/>
  <c r="BL15" i="10"/>
  <c r="BK15" i="10"/>
  <c r="BJ15" i="10"/>
  <c r="BI15" i="10"/>
  <c r="BQ27" i="10"/>
  <c r="BP27" i="10"/>
  <c r="BO27" i="10"/>
  <c r="BN27" i="10"/>
  <c r="BM27" i="10"/>
  <c r="BL27" i="10"/>
  <c r="BK27" i="10"/>
  <c r="BJ27" i="10"/>
  <c r="BI27" i="10"/>
  <c r="AZ139" i="10"/>
  <c r="AY139" i="10"/>
  <c r="AX139" i="10"/>
  <c r="AW139" i="10"/>
  <c r="AV139" i="10"/>
  <c r="AU139" i="10"/>
  <c r="AT139" i="10"/>
  <c r="AS139" i="10"/>
  <c r="AR139" i="10"/>
  <c r="AZ115" i="10"/>
  <c r="AY115" i="10"/>
  <c r="AX115" i="10"/>
  <c r="AW115" i="10"/>
  <c r="AV115" i="10"/>
  <c r="AU115" i="10"/>
  <c r="AT115" i="10"/>
  <c r="AS115" i="10"/>
  <c r="AR115" i="10"/>
  <c r="AY155" i="10"/>
  <c r="AX155" i="10"/>
  <c r="AW155" i="10"/>
  <c r="AV155" i="10"/>
  <c r="AU155" i="10"/>
  <c r="AT155" i="10"/>
  <c r="AS155" i="10"/>
  <c r="AR155" i="10"/>
  <c r="AZ155" i="10"/>
  <c r="AZ105" i="10"/>
  <c r="AY105" i="10"/>
  <c r="AX105" i="10"/>
  <c r="AW105" i="10"/>
  <c r="AV105" i="10"/>
  <c r="AU105" i="10"/>
  <c r="AT105" i="10"/>
  <c r="AS105" i="10"/>
  <c r="AR105" i="10"/>
  <c r="AZ122" i="10"/>
  <c r="AY122" i="10"/>
  <c r="AX122" i="10"/>
  <c r="AW122" i="10"/>
  <c r="AV122" i="10"/>
  <c r="AU122" i="10"/>
  <c r="AT122" i="10"/>
  <c r="AS122" i="10"/>
  <c r="AR122" i="10"/>
  <c r="AZ116" i="10"/>
  <c r="AY116" i="10"/>
  <c r="AX116" i="10"/>
  <c r="AW116" i="10"/>
  <c r="AV116" i="10"/>
  <c r="AU116" i="10"/>
  <c r="AT116" i="10"/>
  <c r="AS116" i="10"/>
  <c r="AR116" i="10"/>
  <c r="AZ141" i="10"/>
  <c r="AY141" i="10"/>
  <c r="AX141" i="10"/>
  <c r="AW141" i="10"/>
  <c r="AV141" i="10"/>
  <c r="AU141" i="10"/>
  <c r="AT141" i="10"/>
  <c r="AS141" i="10"/>
  <c r="AR141" i="10"/>
  <c r="AZ174" i="10"/>
  <c r="AY174" i="10"/>
  <c r="AX174" i="10"/>
  <c r="AW174" i="10"/>
  <c r="AV174" i="10"/>
  <c r="AU174" i="10"/>
  <c r="AT174" i="10"/>
  <c r="AS174" i="10"/>
  <c r="AR174" i="10"/>
  <c r="AZ110" i="10"/>
  <c r="AY110" i="10"/>
  <c r="AX110" i="10"/>
  <c r="AW110" i="10"/>
  <c r="AV110" i="10"/>
  <c r="AU110" i="10"/>
  <c r="AT110" i="10"/>
  <c r="AS110" i="10"/>
  <c r="AR110" i="10"/>
  <c r="AZ143" i="10"/>
  <c r="AY143" i="10"/>
  <c r="AX143" i="10"/>
  <c r="AW143" i="10"/>
  <c r="AV143" i="10"/>
  <c r="AU143" i="10"/>
  <c r="AT143" i="10"/>
  <c r="AS143" i="10"/>
  <c r="AR143" i="10"/>
  <c r="AZ160" i="10"/>
  <c r="AY160" i="10"/>
  <c r="AX160" i="10"/>
  <c r="AW160" i="10"/>
  <c r="AV160" i="10"/>
  <c r="AU160" i="10"/>
  <c r="AT160" i="10"/>
  <c r="AS160" i="10"/>
  <c r="AR160" i="10"/>
  <c r="AZ89" i="10"/>
  <c r="AY89" i="10"/>
  <c r="AX89" i="10"/>
  <c r="AW89" i="10"/>
  <c r="AV89" i="10"/>
  <c r="AU89" i="10"/>
  <c r="AT89" i="10"/>
  <c r="AS89" i="10"/>
  <c r="AR89" i="10"/>
  <c r="AZ121" i="10"/>
  <c r="AY121" i="10"/>
  <c r="AX121" i="10"/>
  <c r="AW121" i="10"/>
  <c r="AV121" i="10"/>
  <c r="AU121" i="10"/>
  <c r="AT121" i="10"/>
  <c r="AS121" i="10"/>
  <c r="AR121" i="10"/>
  <c r="AZ23" i="10"/>
  <c r="AY23" i="10"/>
  <c r="AX23" i="10"/>
  <c r="AW23" i="10"/>
  <c r="AV23" i="10"/>
  <c r="AU23" i="10"/>
  <c r="AT23" i="10"/>
  <c r="AS23" i="10"/>
  <c r="AR23" i="10"/>
  <c r="AZ86" i="10"/>
  <c r="AY86" i="10"/>
  <c r="AX86" i="10"/>
  <c r="AW86" i="10"/>
  <c r="AV86" i="10"/>
  <c r="AU86" i="10"/>
  <c r="AT86" i="10"/>
  <c r="AS86" i="10"/>
  <c r="AR86" i="10"/>
  <c r="AZ65" i="10"/>
  <c r="AY65" i="10"/>
  <c r="AX65" i="10"/>
  <c r="AW65" i="10"/>
  <c r="AV65" i="10"/>
  <c r="AU65" i="10"/>
  <c r="AT65" i="10"/>
  <c r="AS65" i="10"/>
  <c r="AR65" i="10"/>
  <c r="AZ94" i="10"/>
  <c r="AY94" i="10"/>
  <c r="AX94" i="10"/>
  <c r="AW94" i="10"/>
  <c r="AV94" i="10"/>
  <c r="AU94" i="10"/>
  <c r="AT94" i="10"/>
  <c r="AS94" i="10"/>
  <c r="AR94" i="10"/>
  <c r="AZ60" i="10"/>
  <c r="AY60" i="10"/>
  <c r="AX60" i="10"/>
  <c r="AW60" i="10"/>
  <c r="AV60" i="10"/>
  <c r="AU60" i="10"/>
  <c r="AT60" i="10"/>
  <c r="AS60" i="10"/>
  <c r="AR60" i="10"/>
  <c r="AZ77" i="10"/>
  <c r="AX77" i="10"/>
  <c r="AW77" i="10"/>
  <c r="AV77" i="10"/>
  <c r="AU77" i="10"/>
  <c r="AT77" i="10"/>
  <c r="AS77" i="10"/>
  <c r="AR77" i="10"/>
  <c r="AY77" i="10"/>
  <c r="AZ70" i="10"/>
  <c r="AY70" i="10"/>
  <c r="AX70" i="10"/>
  <c r="AW70" i="10"/>
  <c r="AV70" i="10"/>
  <c r="AU70" i="10"/>
  <c r="AT70" i="10"/>
  <c r="AS70" i="10"/>
  <c r="AR70" i="10"/>
  <c r="AZ47" i="10"/>
  <c r="AY47" i="10"/>
  <c r="AX47" i="10"/>
  <c r="AW47" i="10"/>
  <c r="AV47" i="10"/>
  <c r="AU47" i="10"/>
  <c r="AT47" i="10"/>
  <c r="AS47" i="10"/>
  <c r="AR47" i="10"/>
  <c r="AZ48" i="10"/>
  <c r="AY48" i="10"/>
  <c r="AX48" i="10"/>
  <c r="AW48" i="10"/>
  <c r="AV48" i="10"/>
  <c r="AU48" i="10"/>
  <c r="AT48" i="10"/>
  <c r="AS48" i="10"/>
  <c r="AR48" i="10"/>
  <c r="BQ61" i="10"/>
  <c r="BP61" i="10"/>
  <c r="BO61" i="10"/>
  <c r="BN61" i="10"/>
  <c r="BM61" i="10"/>
  <c r="BL61" i="10"/>
  <c r="BK61" i="10"/>
  <c r="BJ61" i="10"/>
  <c r="BI61" i="10"/>
  <c r="BQ81" i="10"/>
  <c r="BP81" i="10"/>
  <c r="BO81" i="10"/>
  <c r="BN81" i="10"/>
  <c r="BM81" i="10"/>
  <c r="BL81" i="10"/>
  <c r="BK81" i="10"/>
  <c r="BJ81" i="10"/>
  <c r="BI81" i="10"/>
  <c r="BP80" i="10"/>
  <c r="BQ80" i="10"/>
  <c r="BO80" i="10"/>
  <c r="BN80" i="10"/>
  <c r="BM80" i="10"/>
  <c r="BL80" i="10"/>
  <c r="BK80" i="10"/>
  <c r="BJ80" i="10"/>
  <c r="BI80" i="10"/>
  <c r="BQ48" i="10"/>
  <c r="BP48" i="10"/>
  <c r="BO48" i="10"/>
  <c r="BN48" i="10"/>
  <c r="BQ96" i="10"/>
  <c r="BP96" i="10"/>
  <c r="BO96" i="10"/>
  <c r="BN96" i="10"/>
  <c r="BM96" i="10"/>
  <c r="BL96" i="10"/>
  <c r="BK96" i="10"/>
  <c r="BJ96" i="10"/>
  <c r="BI96" i="10"/>
  <c r="BQ26" i="10"/>
  <c r="BP26" i="10"/>
  <c r="BO26" i="10"/>
  <c r="BN26" i="10"/>
  <c r="BM26" i="10"/>
  <c r="BL26" i="10"/>
  <c r="BK26" i="10"/>
  <c r="BJ26" i="10"/>
  <c r="BI26" i="10"/>
  <c r="BP83" i="10"/>
  <c r="BO83" i="10"/>
  <c r="BN83" i="10"/>
  <c r="BM83" i="10"/>
  <c r="BL83" i="10"/>
  <c r="BK83" i="10"/>
  <c r="BJ83" i="10"/>
  <c r="BI83" i="10"/>
  <c r="BQ83" i="10"/>
  <c r="BQ12" i="10"/>
  <c r="BP12" i="10"/>
  <c r="BO12" i="10"/>
  <c r="BN12" i="10"/>
  <c r="BM12" i="10"/>
  <c r="BL12" i="10"/>
  <c r="BK12" i="10"/>
  <c r="BJ12" i="10"/>
  <c r="BI12" i="10"/>
  <c r="BQ89" i="10"/>
  <c r="BP89" i="10"/>
  <c r="BO89" i="10"/>
  <c r="BN89" i="10"/>
  <c r="BM89" i="10"/>
  <c r="BL89" i="10"/>
  <c r="BK89" i="10"/>
  <c r="BJ89" i="10"/>
  <c r="BI89" i="10"/>
  <c r="BQ21" i="10"/>
  <c r="BP21" i="10"/>
  <c r="BO21" i="10"/>
  <c r="BN21" i="10"/>
  <c r="BM21" i="10"/>
  <c r="BL21" i="10"/>
  <c r="BK21" i="10"/>
  <c r="BJ21" i="10"/>
  <c r="BI21" i="10"/>
  <c r="BQ9" i="10"/>
  <c r="BO9" i="10"/>
  <c r="BN9" i="10"/>
  <c r="BM9" i="10"/>
  <c r="BL9" i="10"/>
  <c r="BK9" i="10"/>
  <c r="BJ9" i="10"/>
  <c r="BI9" i="10"/>
  <c r="BP9" i="10"/>
  <c r="BQ23" i="10"/>
  <c r="BP23" i="10"/>
  <c r="BO23" i="10"/>
  <c r="BN23" i="10"/>
  <c r="BM23" i="10"/>
  <c r="BL23" i="10"/>
  <c r="BK23" i="10"/>
  <c r="BJ23" i="10"/>
  <c r="BI23" i="10"/>
  <c r="AZ130" i="10"/>
  <c r="AY130" i="10"/>
  <c r="AX130" i="10"/>
  <c r="AW130" i="10"/>
  <c r="AV130" i="10"/>
  <c r="AU130" i="10"/>
  <c r="AT130" i="10"/>
  <c r="AS130" i="10"/>
  <c r="AR130" i="10"/>
  <c r="AZ190" i="10"/>
  <c r="AY190" i="10"/>
  <c r="AX190" i="10"/>
  <c r="AW190" i="10"/>
  <c r="AV190" i="10"/>
  <c r="AU190" i="10"/>
  <c r="AT190" i="10"/>
  <c r="AS190" i="10"/>
  <c r="AR190" i="10"/>
  <c r="AZ123" i="10"/>
  <c r="AY123" i="10"/>
  <c r="AX123" i="10"/>
  <c r="AW123" i="10"/>
  <c r="AV123" i="10"/>
  <c r="AU123" i="10"/>
  <c r="AT123" i="10"/>
  <c r="AS123" i="10"/>
  <c r="AR123" i="10"/>
  <c r="AZ193" i="10"/>
  <c r="AY193" i="10"/>
  <c r="AX193" i="10"/>
  <c r="AW193" i="10"/>
  <c r="AV193" i="10"/>
  <c r="AU193" i="10"/>
  <c r="AT193" i="10"/>
  <c r="AS193" i="10"/>
  <c r="AR193" i="10"/>
  <c r="AX172" i="10"/>
  <c r="AW172" i="10"/>
  <c r="AV172" i="10"/>
  <c r="AU172" i="10"/>
  <c r="AT172" i="10"/>
  <c r="AS172" i="10"/>
  <c r="AR172" i="10"/>
  <c r="AZ172" i="10"/>
  <c r="AY172" i="10"/>
  <c r="AZ75" i="10"/>
  <c r="AY75" i="10"/>
  <c r="AX75" i="10"/>
  <c r="AW75" i="10"/>
  <c r="AV75" i="10"/>
  <c r="AU75" i="10"/>
  <c r="AT75" i="10"/>
  <c r="AS75" i="10"/>
  <c r="AR75" i="10"/>
  <c r="AZ133" i="10"/>
  <c r="AY133" i="10"/>
  <c r="AX133" i="10"/>
  <c r="AW133" i="10"/>
  <c r="AV133" i="10"/>
  <c r="AU133" i="10"/>
  <c r="AT133" i="10"/>
  <c r="AS133" i="10"/>
  <c r="AR133" i="10"/>
  <c r="AZ166" i="10"/>
  <c r="AY166" i="10"/>
  <c r="AX166" i="10"/>
  <c r="AW166" i="10"/>
  <c r="AV166" i="10"/>
  <c r="AU166" i="10"/>
  <c r="AT166" i="10"/>
  <c r="AS166" i="10"/>
  <c r="AR166" i="10"/>
  <c r="AZ103" i="10"/>
  <c r="AY103" i="10"/>
  <c r="AX103" i="10"/>
  <c r="AW103" i="10"/>
  <c r="AV103" i="10"/>
  <c r="AU103" i="10"/>
  <c r="AT103" i="10"/>
  <c r="AS103" i="10"/>
  <c r="AR103" i="10"/>
  <c r="AZ135" i="10"/>
  <c r="AY135" i="10"/>
  <c r="AX135" i="10"/>
  <c r="AW135" i="10"/>
  <c r="AV135" i="10"/>
  <c r="AU135" i="10"/>
  <c r="AT135" i="10"/>
  <c r="AS135" i="10"/>
  <c r="AR135" i="10"/>
  <c r="AZ152" i="10"/>
  <c r="AY152" i="10"/>
  <c r="AX152" i="10"/>
  <c r="AW152" i="10"/>
  <c r="AV152" i="10"/>
  <c r="AU152" i="10"/>
  <c r="AT152" i="10"/>
  <c r="AS152" i="10"/>
  <c r="AR152" i="10"/>
  <c r="AZ177" i="10"/>
  <c r="AY177" i="10"/>
  <c r="AX177" i="10"/>
  <c r="AW177" i="10"/>
  <c r="AV177" i="10"/>
  <c r="AU177" i="10"/>
  <c r="AT177" i="10"/>
  <c r="AS177" i="10"/>
  <c r="AR177" i="10"/>
  <c r="AZ113" i="10"/>
  <c r="AY113" i="10"/>
  <c r="AX113" i="10"/>
  <c r="AW113" i="10"/>
  <c r="AV113" i="10"/>
  <c r="AU113" i="10"/>
  <c r="AT113" i="10"/>
  <c r="AS113" i="10"/>
  <c r="AR113" i="10"/>
  <c r="AZ98" i="10"/>
  <c r="AY98" i="10"/>
  <c r="AX98" i="10"/>
  <c r="AW98" i="10"/>
  <c r="AV98" i="10"/>
  <c r="AU98" i="10"/>
  <c r="AT98" i="10"/>
  <c r="AS98" i="10"/>
  <c r="AR98" i="10"/>
  <c r="AZ83" i="10"/>
  <c r="AY83" i="10"/>
  <c r="AX83" i="10"/>
  <c r="AW83" i="10"/>
  <c r="AV83" i="10"/>
  <c r="AU83" i="10"/>
  <c r="AT83" i="10"/>
  <c r="AS83" i="10"/>
  <c r="AR83" i="10"/>
  <c r="AZ58" i="10"/>
  <c r="AY58" i="10"/>
  <c r="AX58" i="10"/>
  <c r="AW58" i="10"/>
  <c r="AV58" i="10"/>
  <c r="AU58" i="10"/>
  <c r="AT58" i="10"/>
  <c r="AS58" i="10"/>
  <c r="AR58" i="10"/>
  <c r="AZ74" i="10"/>
  <c r="AY74" i="10"/>
  <c r="AX74" i="10"/>
  <c r="AW74" i="10"/>
  <c r="AV74" i="10"/>
  <c r="AU74" i="10"/>
  <c r="AT74" i="10"/>
  <c r="AS74" i="10"/>
  <c r="AR74" i="10"/>
  <c r="AZ52" i="10"/>
  <c r="AY52" i="10"/>
  <c r="AX52" i="10"/>
  <c r="AW52" i="10"/>
  <c r="AV52" i="10"/>
  <c r="AU52" i="10"/>
  <c r="AT52" i="10"/>
  <c r="AS52" i="10"/>
  <c r="AR52" i="10"/>
  <c r="AZ69" i="10"/>
  <c r="AY69" i="10"/>
  <c r="AX69" i="10"/>
  <c r="AW69" i="10"/>
  <c r="AV69" i="10"/>
  <c r="AU69" i="10"/>
  <c r="AT69" i="10"/>
  <c r="AS69" i="10"/>
  <c r="AR69" i="10"/>
  <c r="AZ62" i="10"/>
  <c r="AY62" i="10"/>
  <c r="AX62" i="10"/>
  <c r="AW62" i="10"/>
  <c r="AV62" i="10"/>
  <c r="AU62" i="10"/>
  <c r="AT62" i="10"/>
  <c r="AS62" i="10"/>
  <c r="AR62" i="10"/>
  <c r="AZ39" i="10"/>
  <c r="AY39" i="10"/>
  <c r="AX39" i="10"/>
  <c r="AW39" i="10"/>
  <c r="AV39" i="10"/>
  <c r="AU39" i="10"/>
  <c r="AT39" i="10"/>
  <c r="AS39" i="10"/>
  <c r="AR39" i="10"/>
  <c r="AZ40" i="10"/>
  <c r="AY40" i="10"/>
  <c r="AX40" i="10"/>
  <c r="AW40" i="10"/>
  <c r="AV40" i="10"/>
  <c r="AU40" i="10"/>
  <c r="AT40" i="10"/>
  <c r="AS40" i="10"/>
  <c r="AR40" i="10"/>
  <c r="AO52" i="10"/>
  <c r="AN52" i="10"/>
  <c r="AP52" i="10"/>
  <c r="AQ52" i="10"/>
  <c r="AO160" i="10"/>
  <c r="AP160" i="10"/>
  <c r="AQ160" i="10"/>
  <c r="BH65" i="10"/>
  <c r="BG65" i="10"/>
  <c r="AP177" i="10"/>
  <c r="AO177" i="10"/>
  <c r="AQ177" i="10"/>
  <c r="BG89" i="10"/>
  <c r="BH89" i="10"/>
  <c r="AO77" i="10"/>
  <c r="AP77" i="10"/>
  <c r="AQ77" i="10"/>
  <c r="AP74" i="10"/>
  <c r="AQ74" i="10"/>
  <c r="AO74" i="10"/>
  <c r="AN74" i="10"/>
  <c r="AP172" i="10"/>
  <c r="AO172" i="10"/>
  <c r="AN172" i="10"/>
  <c r="AQ172" i="10"/>
  <c r="BG23" i="10"/>
  <c r="BF23" i="10"/>
  <c r="BD23" i="10"/>
  <c r="BH23" i="10"/>
  <c r="AP65" i="10"/>
  <c r="AQ65" i="10"/>
  <c r="AO65" i="10"/>
  <c r="AN65" i="10"/>
  <c r="BH15" i="10"/>
  <c r="BG15" i="10"/>
  <c r="BF15" i="10"/>
  <c r="BD15" i="10"/>
  <c r="AO68" i="10"/>
  <c r="AP68" i="10"/>
  <c r="AQ68" i="10"/>
  <c r="AP182" i="10"/>
  <c r="AO182" i="10"/>
  <c r="AQ182" i="10"/>
  <c r="BH84" i="10"/>
  <c r="BG84" i="10"/>
  <c r="BF84" i="10"/>
  <c r="BD84" i="10"/>
  <c r="AP73" i="10"/>
  <c r="AO73" i="10"/>
  <c r="AN73" i="10"/>
  <c r="AQ73" i="10"/>
  <c r="AP58" i="10"/>
  <c r="AQ58" i="10"/>
  <c r="AO58" i="10"/>
  <c r="AN58" i="10"/>
  <c r="AO152" i="10"/>
  <c r="AP152" i="10"/>
  <c r="AQ152" i="10"/>
  <c r="AO133" i="10"/>
  <c r="AN133" i="10"/>
  <c r="AP133" i="10"/>
  <c r="AQ133" i="10"/>
  <c r="AO193" i="10"/>
  <c r="AP193" i="10"/>
  <c r="AQ193" i="10"/>
  <c r="AP105" i="10"/>
  <c r="AO105" i="10"/>
  <c r="AQ105" i="10"/>
  <c r="BH11" i="10"/>
  <c r="BG11" i="10"/>
  <c r="BF11" i="10"/>
  <c r="BD11" i="10"/>
  <c r="AP55" i="10"/>
  <c r="AQ55" i="10"/>
  <c r="AO55" i="10"/>
  <c r="AO188" i="10"/>
  <c r="AN188" i="10"/>
  <c r="AP188" i="10"/>
  <c r="AQ188" i="10"/>
  <c r="BG41" i="10"/>
  <c r="BH41" i="10"/>
  <c r="AO92" i="10"/>
  <c r="AP92" i="10"/>
  <c r="AQ92" i="10"/>
  <c r="AP72" i="10"/>
  <c r="AQ72" i="10"/>
  <c r="AO72" i="10"/>
  <c r="AN72" i="10"/>
  <c r="AP57" i="10"/>
  <c r="AQ57" i="10"/>
  <c r="AO57" i="10"/>
  <c r="AN57" i="10"/>
  <c r="AO96" i="10"/>
  <c r="AN96" i="10"/>
  <c r="AP96" i="10"/>
  <c r="AQ96" i="10"/>
  <c r="BG10" i="10"/>
  <c r="BH10" i="10"/>
  <c r="BG37" i="10"/>
  <c r="BH37" i="10"/>
  <c r="BG62" i="10"/>
  <c r="BH62" i="10"/>
  <c r="AP38" i="10"/>
  <c r="AQ38" i="10"/>
  <c r="AO38" i="10"/>
  <c r="AN38" i="10"/>
  <c r="AP82" i="10"/>
  <c r="AQ82" i="10"/>
  <c r="AO82" i="10"/>
  <c r="AO111" i="10"/>
  <c r="AP111" i="10"/>
  <c r="AQ111" i="10"/>
  <c r="BG73" i="10"/>
  <c r="BF73" i="10"/>
  <c r="BD73" i="10"/>
  <c r="BH73" i="10"/>
  <c r="BG56" i="10"/>
  <c r="BF56" i="10"/>
  <c r="BD56" i="10"/>
  <c r="BH56" i="10"/>
  <c r="BG93" i="10"/>
  <c r="BF93" i="10"/>
  <c r="BD93" i="10"/>
  <c r="BH93" i="10"/>
  <c r="BG32" i="10"/>
  <c r="BF32" i="10"/>
  <c r="BD32" i="10"/>
  <c r="BH32" i="10"/>
  <c r="AP31" i="10"/>
  <c r="AQ31" i="10"/>
  <c r="AO31" i="10"/>
  <c r="AN31" i="10"/>
  <c r="AP49" i="10"/>
  <c r="AQ49" i="10"/>
  <c r="AO49" i="10"/>
  <c r="AN49" i="10"/>
  <c r="AP66" i="10"/>
  <c r="AQ66" i="10"/>
  <c r="AO66" i="10"/>
  <c r="BH94" i="10"/>
  <c r="BG94" i="10"/>
  <c r="BF94" i="10"/>
  <c r="BD94" i="10"/>
  <c r="AP83" i="10"/>
  <c r="AO83" i="10"/>
  <c r="AN83" i="10"/>
  <c r="AQ83" i="10"/>
  <c r="BH25" i="10"/>
  <c r="BG25" i="10"/>
  <c r="BH64" i="10"/>
  <c r="BG64" i="10"/>
  <c r="AP63" i="10"/>
  <c r="AQ63" i="10"/>
  <c r="AO63" i="10"/>
  <c r="AP79" i="10"/>
  <c r="AQ79" i="10"/>
  <c r="AO79" i="10"/>
  <c r="AO186" i="10"/>
  <c r="AN186" i="10"/>
  <c r="AP186" i="10"/>
  <c r="AQ186" i="10"/>
  <c r="BG22" i="10"/>
  <c r="BH22" i="10"/>
  <c r="AP30" i="10"/>
  <c r="AQ30" i="10"/>
  <c r="AO30" i="10"/>
  <c r="AO84" i="10"/>
  <c r="AN84" i="10"/>
  <c r="AP84" i="10"/>
  <c r="AQ84" i="10"/>
  <c r="AO145" i="10"/>
  <c r="AP145" i="10"/>
  <c r="AQ145" i="10"/>
  <c r="AO165" i="10"/>
  <c r="AN165" i="10"/>
  <c r="AP165" i="10"/>
  <c r="AQ165" i="10"/>
  <c r="BG68" i="10"/>
  <c r="BH68" i="10"/>
  <c r="AP81" i="10"/>
  <c r="AO81" i="10"/>
  <c r="AN81" i="10"/>
  <c r="AQ81" i="10"/>
  <c r="AO173" i="10"/>
  <c r="AN173" i="10"/>
  <c r="AP173" i="10"/>
  <c r="AQ173" i="10"/>
  <c r="AO162" i="10"/>
  <c r="AP162" i="10"/>
  <c r="AQ162" i="10"/>
  <c r="BG88" i="10"/>
  <c r="BF88" i="10"/>
  <c r="BD88" i="10"/>
  <c r="BH88" i="10"/>
  <c r="AO53" i="10"/>
  <c r="AN53" i="10"/>
  <c r="AP53" i="10"/>
  <c r="AQ53" i="10"/>
  <c r="AP87" i="10"/>
  <c r="AQ87" i="10"/>
  <c r="AO87" i="10"/>
  <c r="AP117" i="10"/>
  <c r="AO117" i="10"/>
  <c r="AQ117" i="10"/>
  <c r="BH76" i="10"/>
  <c r="BG76" i="10"/>
  <c r="BF76" i="10"/>
  <c r="BD76" i="10"/>
  <c r="BG75" i="10"/>
  <c r="BH75" i="10"/>
  <c r="AP54" i="10"/>
  <c r="AQ54" i="10"/>
  <c r="AO54" i="10"/>
  <c r="AN54" i="10"/>
  <c r="AO90" i="10"/>
  <c r="AN90" i="10"/>
  <c r="AP90" i="10"/>
  <c r="AQ90" i="10"/>
  <c r="AO127" i="10"/>
  <c r="AP127" i="10"/>
  <c r="AQ127" i="10"/>
  <c r="AP164" i="10"/>
  <c r="AO164" i="10"/>
  <c r="AQ164" i="10"/>
  <c r="AO187" i="10"/>
  <c r="AP187" i="10"/>
  <c r="AQ187" i="10"/>
  <c r="BG24" i="10"/>
  <c r="BF24" i="10"/>
  <c r="BD24" i="10"/>
  <c r="BH24" i="10"/>
  <c r="BH40" i="10"/>
  <c r="BG40" i="10"/>
  <c r="BG81" i="10"/>
  <c r="BF81" i="10"/>
  <c r="BD81" i="10"/>
  <c r="BH81" i="10"/>
  <c r="AO121" i="10"/>
  <c r="AN121" i="10"/>
  <c r="AP121" i="10"/>
  <c r="AQ121" i="10"/>
  <c r="AP149" i="10"/>
  <c r="AO149" i="10"/>
  <c r="AN149" i="10"/>
  <c r="AQ149" i="10"/>
  <c r="AP47" i="10"/>
  <c r="AQ47" i="10"/>
  <c r="AO47" i="10"/>
  <c r="BG42" i="10"/>
  <c r="BH42" i="10"/>
  <c r="BG63" i="10"/>
  <c r="BH63" i="10"/>
  <c r="AO102" i="10"/>
  <c r="AP102" i="10"/>
  <c r="AQ102" i="10"/>
  <c r="AP43" i="10"/>
  <c r="AO43" i="10"/>
  <c r="AQ43" i="10"/>
  <c r="BG43" i="10"/>
  <c r="BH43" i="10"/>
  <c r="AO29" i="10"/>
  <c r="AP29" i="10"/>
  <c r="AQ29" i="10"/>
  <c r="BG47" i="10"/>
  <c r="BF47" i="10"/>
  <c r="BD47" i="10"/>
  <c r="BH47" i="10"/>
  <c r="AO167" i="10"/>
  <c r="AN167" i="10"/>
  <c r="AP167" i="10"/>
  <c r="AQ167" i="10"/>
  <c r="AP180" i="10"/>
  <c r="AO180" i="10"/>
  <c r="AN180" i="10"/>
  <c r="AQ180" i="10"/>
  <c r="BH82" i="10"/>
  <c r="BG82" i="10"/>
  <c r="AO45" i="10"/>
  <c r="AN45" i="10"/>
  <c r="AP45" i="10"/>
  <c r="AQ45" i="10"/>
  <c r="AP35" i="10"/>
  <c r="AO35" i="10"/>
  <c r="AN35" i="10"/>
  <c r="AQ35" i="10"/>
  <c r="AO153" i="10"/>
  <c r="AN153" i="10"/>
  <c r="AP153" i="10"/>
  <c r="AQ153" i="10"/>
  <c r="BG6" i="10"/>
  <c r="BH6" i="10"/>
  <c r="BH69" i="10"/>
  <c r="BG69" i="10"/>
  <c r="BF69" i="10"/>
  <c r="BD69" i="10"/>
  <c r="AP22" i="10"/>
  <c r="AQ22" i="10"/>
  <c r="AO22" i="10"/>
  <c r="AN22" i="10"/>
  <c r="AO36" i="10"/>
  <c r="AN36" i="10"/>
  <c r="AP36" i="10"/>
  <c r="AQ36" i="10"/>
  <c r="AO119" i="10"/>
  <c r="AP119" i="10"/>
  <c r="AQ119" i="10"/>
  <c r="AP181" i="10"/>
  <c r="AO181" i="10"/>
  <c r="AQ181" i="10"/>
  <c r="AO170" i="10"/>
  <c r="AP170" i="10"/>
  <c r="AQ170" i="10"/>
  <c r="BH79" i="10"/>
  <c r="BG79" i="10"/>
  <c r="BH67" i="10"/>
  <c r="BG67" i="10"/>
  <c r="AP59" i="10"/>
  <c r="AO59" i="10"/>
  <c r="AQ59" i="10"/>
  <c r="AO185" i="10"/>
  <c r="AP185" i="10"/>
  <c r="AQ185" i="10"/>
  <c r="BG83" i="10"/>
  <c r="BF83" i="10"/>
  <c r="BD83" i="10"/>
  <c r="BH83" i="10"/>
  <c r="AO143" i="10"/>
  <c r="AN143" i="10"/>
  <c r="AP143" i="10"/>
  <c r="AQ143" i="10"/>
  <c r="AP62" i="10"/>
  <c r="AQ62" i="10"/>
  <c r="AO62" i="10"/>
  <c r="BG61" i="10"/>
  <c r="BF61" i="10"/>
  <c r="BD61" i="10"/>
  <c r="BH61" i="10"/>
  <c r="AO155" i="10"/>
  <c r="AN155" i="10"/>
  <c r="AP155" i="10"/>
  <c r="AQ155" i="10"/>
  <c r="AP75" i="10"/>
  <c r="AO75" i="10"/>
  <c r="AN75" i="10"/>
  <c r="AQ75" i="10"/>
  <c r="BH9" i="10"/>
  <c r="BG9" i="10"/>
  <c r="AO110" i="10"/>
  <c r="AN110" i="10"/>
  <c r="AP110" i="10"/>
  <c r="AQ110" i="10"/>
  <c r="AO115" i="10"/>
  <c r="AP115" i="10"/>
  <c r="AQ115" i="10"/>
  <c r="BG31" i="10"/>
  <c r="BF31" i="10"/>
  <c r="BD31" i="10"/>
  <c r="BH31" i="10"/>
  <c r="AP71" i="10"/>
  <c r="AQ71" i="10"/>
  <c r="AO71" i="10"/>
  <c r="AO129" i="10"/>
  <c r="AP129" i="10"/>
  <c r="AQ129" i="10"/>
  <c r="AO179" i="10"/>
  <c r="AN179" i="10"/>
  <c r="AP179" i="10"/>
  <c r="AQ179" i="10"/>
  <c r="BH5" i="10"/>
  <c r="BG5" i="10"/>
  <c r="BF5" i="10"/>
  <c r="BD5" i="10"/>
  <c r="AO21" i="10"/>
  <c r="AP21" i="10"/>
  <c r="AQ21" i="10"/>
  <c r="AO99" i="10"/>
  <c r="AN99" i="10"/>
  <c r="AP99" i="10"/>
  <c r="AQ99" i="10"/>
  <c r="AO176" i="10"/>
  <c r="AP176" i="10"/>
  <c r="AQ176" i="10"/>
  <c r="AO146" i="10"/>
  <c r="AN146" i="10"/>
  <c r="AP146" i="10"/>
  <c r="AQ146" i="10"/>
  <c r="BH30" i="10"/>
  <c r="BG30" i="10"/>
  <c r="BF30" i="10"/>
  <c r="BD30" i="10"/>
  <c r="AP37" i="10"/>
  <c r="AO37" i="10"/>
  <c r="AN37" i="10"/>
  <c r="AQ37" i="10"/>
  <c r="AO93" i="10"/>
  <c r="AN93" i="10"/>
  <c r="AP93" i="10"/>
  <c r="AQ93" i="10"/>
  <c r="BG87" i="10"/>
  <c r="BH87" i="10"/>
  <c r="AO101" i="10"/>
  <c r="AP101" i="10"/>
  <c r="AQ101" i="10"/>
  <c r="AO175" i="10"/>
  <c r="AN175" i="10"/>
  <c r="AP175" i="10"/>
  <c r="AQ175" i="10"/>
  <c r="BH72" i="10"/>
  <c r="BG72" i="10"/>
  <c r="BF72" i="10"/>
  <c r="BD72" i="10"/>
  <c r="BH35" i="10"/>
  <c r="BG35" i="10"/>
  <c r="BF35" i="10"/>
  <c r="BD35" i="10"/>
  <c r="BH92" i="10"/>
  <c r="BG92" i="10"/>
  <c r="BF92" i="10"/>
  <c r="BD92" i="10"/>
  <c r="AP97" i="10"/>
  <c r="AO97" i="10"/>
  <c r="AN97" i="10"/>
  <c r="AQ97" i="10"/>
  <c r="AP156" i="10"/>
  <c r="AO156" i="10"/>
  <c r="AQ156" i="10"/>
  <c r="AO158" i="10"/>
  <c r="AP158" i="10"/>
  <c r="AQ158" i="10"/>
  <c r="BG14" i="10"/>
  <c r="BF14" i="10"/>
  <c r="BD14" i="10"/>
  <c r="BH14" i="10"/>
  <c r="BH95" i="10"/>
  <c r="BG95" i="10"/>
  <c r="AO60" i="10"/>
  <c r="AN60" i="10"/>
  <c r="AP60" i="10"/>
  <c r="AQ60" i="10"/>
  <c r="AP86" i="10"/>
  <c r="AQ86" i="10"/>
  <c r="AO86" i="10"/>
  <c r="AN86" i="10"/>
  <c r="AO151" i="10"/>
  <c r="AN151" i="10"/>
  <c r="AP151" i="10"/>
  <c r="AQ151" i="10"/>
  <c r="AO135" i="10"/>
  <c r="AP135" i="10"/>
  <c r="AQ135" i="10"/>
  <c r="AO141" i="10"/>
  <c r="AN141" i="10"/>
  <c r="AP141" i="10"/>
  <c r="AQ141" i="10"/>
  <c r="AO98" i="10"/>
  <c r="AP98" i="10"/>
  <c r="AQ98" i="10"/>
  <c r="AO123" i="10"/>
  <c r="AN123" i="10"/>
  <c r="AP123" i="10"/>
  <c r="AQ123" i="10"/>
  <c r="BG26" i="10"/>
  <c r="BH26" i="10"/>
  <c r="AP116" i="10"/>
  <c r="AO116" i="10"/>
  <c r="AN116" i="10"/>
  <c r="AQ116" i="10"/>
  <c r="BH17" i="10"/>
  <c r="BG17" i="10"/>
  <c r="AP40" i="10"/>
  <c r="AQ40" i="10"/>
  <c r="AO40" i="10"/>
  <c r="AN40" i="10"/>
  <c r="AP69" i="10"/>
  <c r="AO69" i="10"/>
  <c r="AN69" i="10"/>
  <c r="AQ69" i="10"/>
  <c r="AP190" i="10"/>
  <c r="AO190" i="10"/>
  <c r="AQ190" i="10"/>
  <c r="BH96" i="10"/>
  <c r="BG96" i="10"/>
  <c r="BF96" i="10"/>
  <c r="BD96" i="10"/>
  <c r="AP70" i="10"/>
  <c r="AQ70" i="10"/>
  <c r="AO70" i="10"/>
  <c r="AN70" i="10"/>
  <c r="AO94" i="10"/>
  <c r="AN94" i="10"/>
  <c r="AP94" i="10"/>
  <c r="AQ94" i="10"/>
  <c r="AP89" i="10"/>
  <c r="AO89" i="10"/>
  <c r="AN89" i="10"/>
  <c r="AQ89" i="10"/>
  <c r="AO139" i="10"/>
  <c r="AN139" i="10"/>
  <c r="AP139" i="10"/>
  <c r="AQ139" i="10"/>
  <c r="BG71" i="10"/>
  <c r="BH71" i="10"/>
  <c r="AP78" i="10"/>
  <c r="AQ78" i="10"/>
  <c r="AO78" i="10"/>
  <c r="AO107" i="10"/>
  <c r="AN107" i="10"/>
  <c r="AP107" i="10"/>
  <c r="AQ107" i="10"/>
  <c r="BH85" i="10"/>
  <c r="BG85" i="10"/>
  <c r="BF85" i="10"/>
  <c r="BD85" i="10"/>
  <c r="BH38" i="10"/>
  <c r="BG38" i="10"/>
  <c r="BF38" i="10"/>
  <c r="BD38" i="10"/>
  <c r="BG20" i="10"/>
  <c r="BH20" i="10"/>
  <c r="AP50" i="10"/>
  <c r="AQ50" i="10"/>
  <c r="AO50" i="10"/>
  <c r="AO157" i="10"/>
  <c r="AN157" i="10"/>
  <c r="AP157" i="10"/>
  <c r="AQ157" i="10"/>
  <c r="AO183" i="10"/>
  <c r="AP183" i="10"/>
  <c r="AQ183" i="10"/>
  <c r="BG90" i="10"/>
  <c r="BF90" i="10"/>
  <c r="BD90" i="10"/>
  <c r="BH90" i="10"/>
  <c r="BG28" i="10"/>
  <c r="BF28" i="10"/>
  <c r="BD28" i="10"/>
  <c r="BH28" i="10"/>
  <c r="AO191" i="10"/>
  <c r="AN191" i="10"/>
  <c r="AP191" i="10"/>
  <c r="AQ191" i="10"/>
  <c r="BG7" i="10"/>
  <c r="BH7" i="10"/>
  <c r="AP148" i="10"/>
  <c r="AO148" i="10"/>
  <c r="AN148" i="10"/>
  <c r="AQ148" i="10"/>
  <c r="AP42" i="10"/>
  <c r="AQ42" i="10"/>
  <c r="AO42" i="10"/>
  <c r="AO161" i="10"/>
  <c r="AP161" i="10"/>
  <c r="AQ161" i="10"/>
  <c r="AP25" i="10"/>
  <c r="AO25" i="10"/>
  <c r="AQ25" i="10"/>
  <c r="AO61" i="10"/>
  <c r="AP61" i="10"/>
  <c r="AQ61" i="10"/>
  <c r="AP51" i="10"/>
  <c r="AO51" i="10"/>
  <c r="AQ51" i="10"/>
  <c r="AO104" i="10"/>
  <c r="AP104" i="10"/>
  <c r="AQ104" i="10"/>
  <c r="BG2" i="10"/>
  <c r="BF2" i="10"/>
  <c r="BD2" i="10"/>
  <c r="BH2" i="10"/>
  <c r="BG53" i="10"/>
  <c r="BF53" i="10"/>
  <c r="BD53" i="10"/>
  <c r="BH53" i="10"/>
  <c r="BG21" i="10"/>
  <c r="BF21" i="10"/>
  <c r="BD21" i="10"/>
  <c r="BH21" i="10"/>
  <c r="AO122" i="10"/>
  <c r="AN122" i="10"/>
  <c r="AP122" i="10"/>
  <c r="AQ122" i="10"/>
  <c r="AO118" i="10"/>
  <c r="AP118" i="10"/>
  <c r="AQ118" i="10"/>
  <c r="AP124" i="10"/>
  <c r="AO124" i="10"/>
  <c r="AQ124" i="10"/>
  <c r="AO147" i="10"/>
  <c r="AP147" i="10"/>
  <c r="AQ147" i="10"/>
  <c r="BG19" i="10"/>
  <c r="BF19" i="10"/>
  <c r="BD19" i="10"/>
  <c r="BH19" i="10"/>
  <c r="AO137" i="10"/>
  <c r="AN137" i="10"/>
  <c r="AP137" i="10"/>
  <c r="AQ137" i="10"/>
  <c r="AP189" i="10"/>
  <c r="AO189" i="10"/>
  <c r="AN189" i="10"/>
  <c r="AQ189" i="10"/>
  <c r="BG91" i="10"/>
  <c r="BF91" i="10"/>
  <c r="BD91" i="10"/>
  <c r="BH91" i="10"/>
  <c r="AO120" i="10"/>
  <c r="AN120" i="10"/>
  <c r="AP120" i="10"/>
  <c r="AQ120" i="10"/>
  <c r="AO134" i="10"/>
  <c r="AP134" i="10"/>
  <c r="AQ134" i="10"/>
  <c r="AP140" i="10"/>
  <c r="AO140" i="10"/>
  <c r="AQ140" i="10"/>
  <c r="BH59" i="10"/>
  <c r="BG59" i="10"/>
  <c r="BF59" i="10"/>
  <c r="BD59" i="10"/>
  <c r="BG74" i="10"/>
  <c r="BH74" i="10"/>
  <c r="AO131" i="10"/>
  <c r="AP131" i="10"/>
  <c r="AQ131" i="10"/>
  <c r="BG45" i="10"/>
  <c r="BF45" i="10"/>
  <c r="BD45" i="10"/>
  <c r="BH45" i="10"/>
  <c r="BH77" i="10"/>
  <c r="BG77" i="10"/>
  <c r="AP24" i="10"/>
  <c r="AQ24" i="10"/>
  <c r="AO24" i="10"/>
  <c r="AN24" i="10"/>
  <c r="AO163" i="10"/>
  <c r="AP163" i="10"/>
  <c r="AQ163" i="10"/>
  <c r="BH16" i="10"/>
  <c r="BG16" i="10"/>
  <c r="BG70" i="10"/>
  <c r="BF70" i="10"/>
  <c r="BD70" i="10"/>
  <c r="BH70" i="10"/>
  <c r="AP32" i="10"/>
  <c r="AQ32" i="10"/>
  <c r="AO32" i="10"/>
  <c r="AP44" i="10"/>
  <c r="AO44" i="10"/>
  <c r="AN44" i="10"/>
  <c r="AQ44" i="10"/>
  <c r="AP41" i="10"/>
  <c r="AQ41" i="10"/>
  <c r="AO41" i="10"/>
  <c r="AN41" i="10"/>
  <c r="AO169" i="10"/>
  <c r="AP169" i="10"/>
  <c r="AQ169" i="10"/>
  <c r="AO125" i="10"/>
  <c r="AN125" i="10"/>
  <c r="AP125" i="10"/>
  <c r="AQ125" i="10"/>
  <c r="AP23" i="10"/>
  <c r="AQ23" i="10"/>
  <c r="AO23" i="10"/>
  <c r="BG39" i="10"/>
  <c r="BF39" i="10"/>
  <c r="BD39" i="10"/>
  <c r="BH39" i="10"/>
  <c r="AO103" i="10"/>
  <c r="AN103" i="10"/>
  <c r="AP103" i="10"/>
  <c r="AQ103" i="10"/>
  <c r="BG80" i="10"/>
  <c r="BH80" i="10"/>
  <c r="AP56" i="10"/>
  <c r="AQ56" i="10"/>
  <c r="AO56" i="10"/>
  <c r="AN56" i="10"/>
  <c r="AO91" i="10"/>
  <c r="AN91" i="10"/>
  <c r="AP91" i="10"/>
  <c r="AQ91" i="10"/>
  <c r="AO154" i="10"/>
  <c r="AP154" i="10"/>
  <c r="AQ154" i="10"/>
  <c r="AP64" i="10"/>
  <c r="AQ64" i="10"/>
  <c r="AO64" i="10"/>
  <c r="AN64" i="10"/>
  <c r="AO76" i="10"/>
  <c r="AP76" i="10"/>
  <c r="AQ76" i="10"/>
  <c r="AO159" i="10"/>
  <c r="AN159" i="10"/>
  <c r="AP159" i="10"/>
  <c r="AQ159" i="10"/>
  <c r="BH60" i="10"/>
  <c r="BG60" i="10"/>
  <c r="BF60" i="10"/>
  <c r="BD60" i="10"/>
  <c r="AO100" i="10"/>
  <c r="AP100" i="10"/>
  <c r="AQ100" i="10"/>
  <c r="AO106" i="10"/>
  <c r="AN106" i="10"/>
  <c r="AP106" i="10"/>
  <c r="AQ106" i="10"/>
  <c r="AP33" i="10"/>
  <c r="AQ33" i="10"/>
  <c r="AO33" i="10"/>
  <c r="BG36" i="10"/>
  <c r="BF36" i="10"/>
  <c r="BD36" i="10"/>
  <c r="BH36" i="10"/>
  <c r="AO28" i="10"/>
  <c r="AN28" i="10"/>
  <c r="AP28" i="10"/>
  <c r="AQ28" i="10"/>
  <c r="AP27" i="10"/>
  <c r="AO27" i="10"/>
  <c r="AN27" i="10"/>
  <c r="AQ27" i="10"/>
  <c r="AO128" i="10"/>
  <c r="AN128" i="10"/>
  <c r="AP128" i="10"/>
  <c r="AQ128" i="10"/>
  <c r="AO142" i="10"/>
  <c r="AP142" i="10"/>
  <c r="AQ142" i="10"/>
  <c r="AO184" i="10"/>
  <c r="AN184" i="10"/>
  <c r="AP184" i="10"/>
  <c r="AQ184" i="10"/>
  <c r="BH3" i="10"/>
  <c r="BG3" i="10"/>
  <c r="BF3" i="10"/>
  <c r="BD3" i="10"/>
  <c r="AP88" i="10"/>
  <c r="AO88" i="10"/>
  <c r="AN88" i="10"/>
  <c r="AQ88" i="10"/>
  <c r="AO136" i="10"/>
  <c r="AN136" i="10"/>
  <c r="AP136" i="10"/>
  <c r="AQ136" i="10"/>
  <c r="AO150" i="10"/>
  <c r="AP150" i="10"/>
  <c r="AQ150" i="10"/>
  <c r="AO171" i="10"/>
  <c r="AN171" i="10"/>
  <c r="AP171" i="10"/>
  <c r="AQ171" i="10"/>
  <c r="AO144" i="10"/>
  <c r="AP144" i="10"/>
  <c r="AQ144" i="10"/>
  <c r="AP108" i="10"/>
  <c r="AO108" i="10"/>
  <c r="AQ108" i="10"/>
  <c r="AO113" i="10"/>
  <c r="AP113" i="10"/>
  <c r="AQ113" i="10"/>
  <c r="BG27" i="10"/>
  <c r="BF27" i="10"/>
  <c r="BD27" i="10"/>
  <c r="BH27" i="10"/>
  <c r="AP39" i="10"/>
  <c r="AQ39" i="10"/>
  <c r="AO39" i="10"/>
  <c r="AO130" i="10"/>
  <c r="AP130" i="10"/>
  <c r="AQ130" i="10"/>
  <c r="AP48" i="10"/>
  <c r="AQ48" i="10"/>
  <c r="AO48" i="10"/>
  <c r="AN48" i="10"/>
  <c r="AP85" i="10"/>
  <c r="AO85" i="10"/>
  <c r="AN85" i="10"/>
  <c r="AQ85" i="10"/>
  <c r="AO166" i="10"/>
  <c r="AN166" i="10"/>
  <c r="AP166" i="10"/>
  <c r="AQ166" i="10"/>
  <c r="BG12" i="10"/>
  <c r="BH12" i="10"/>
  <c r="AO174" i="10"/>
  <c r="AP174" i="10"/>
  <c r="AQ174" i="10"/>
  <c r="BG33" i="10"/>
  <c r="BF33" i="10"/>
  <c r="BD33" i="10"/>
  <c r="BH33" i="10"/>
  <c r="AO168" i="10"/>
  <c r="AN168" i="10"/>
  <c r="AP168" i="10"/>
  <c r="AQ168" i="10"/>
  <c r="AO114" i="10"/>
  <c r="AP114" i="10"/>
  <c r="AQ114" i="10"/>
  <c r="BG86" i="10"/>
  <c r="BF86" i="10"/>
  <c r="BD86" i="10"/>
  <c r="BH86" i="10"/>
  <c r="BG29" i="10"/>
  <c r="BF29" i="10"/>
  <c r="BD29" i="10"/>
  <c r="BH29" i="10"/>
  <c r="AO112" i="10"/>
  <c r="AN112" i="10"/>
  <c r="AP112" i="10"/>
  <c r="AQ112" i="10"/>
  <c r="AO126" i="10"/>
  <c r="AP126" i="10"/>
  <c r="AQ126" i="10"/>
  <c r="AP132" i="10"/>
  <c r="AO132" i="10"/>
  <c r="AQ132" i="10"/>
  <c r="BG4" i="10"/>
  <c r="BH4" i="10"/>
  <c r="BG34" i="10"/>
  <c r="BH34" i="10"/>
  <c r="AO26" i="10"/>
  <c r="AP26" i="10"/>
  <c r="AQ26" i="10"/>
  <c r="AP67" i="10"/>
  <c r="AO67" i="10"/>
  <c r="AQ67" i="10"/>
  <c r="AO95" i="10"/>
  <c r="AP95" i="10"/>
  <c r="AQ95" i="10"/>
  <c r="BH66" i="10"/>
  <c r="BG66" i="10"/>
  <c r="AP80" i="10"/>
  <c r="AQ80" i="10"/>
  <c r="AO80" i="10"/>
  <c r="AO109" i="10"/>
  <c r="AP109" i="10"/>
  <c r="AQ109" i="10"/>
  <c r="AO138" i="10"/>
  <c r="AN138" i="10"/>
  <c r="AP138" i="10"/>
  <c r="AQ138" i="10"/>
  <c r="BG97" i="10"/>
  <c r="BH97" i="10"/>
  <c r="AP46" i="10"/>
  <c r="AQ46" i="10"/>
  <c r="AO46" i="10"/>
  <c r="AP34" i="10"/>
  <c r="AQ34" i="10"/>
  <c r="AO34" i="10"/>
  <c r="AN34" i="10"/>
  <c r="AO192" i="10"/>
  <c r="AP192" i="10"/>
  <c r="AQ192" i="10"/>
  <c r="BG8" i="10"/>
  <c r="BF8" i="10"/>
  <c r="BD8" i="10"/>
  <c r="BH8" i="10"/>
  <c r="BH78" i="10"/>
  <c r="BG78" i="10"/>
  <c r="AO178" i="10"/>
  <c r="AN178" i="10"/>
  <c r="AP178" i="10"/>
  <c r="AQ178" i="10"/>
  <c r="BG18" i="10"/>
  <c r="BH18" i="10"/>
  <c r="BG13" i="10"/>
  <c r="BH13" i="10"/>
  <c r="AH64" i="9"/>
  <c r="J15" i="10"/>
  <c r="K12" i="10"/>
  <c r="K13" i="10"/>
  <c r="K14" i="10"/>
  <c r="K15" i="10"/>
  <c r="AZ22" i="9"/>
  <c r="AX22" i="9" s="1"/>
  <c r="AZ44" i="9"/>
  <c r="AX44" i="9" s="1"/>
  <c r="AH139" i="9"/>
  <c r="AB139" i="9" s="1"/>
  <c r="AH115" i="9"/>
  <c r="AZ38" i="9"/>
  <c r="AX38" i="9" s="1"/>
  <c r="AH56" i="9"/>
  <c r="AB56" i="9" s="1"/>
  <c r="AZ37" i="9"/>
  <c r="AX37" i="9" s="1"/>
  <c r="AH37" i="9"/>
  <c r="AB37" i="9" s="1"/>
  <c r="AZ33" i="9"/>
  <c r="AX33" i="9" s="1"/>
  <c r="AZ13" i="9"/>
  <c r="AX13" i="9" s="1"/>
  <c r="AH192" i="9"/>
  <c r="BF13" i="10"/>
  <c r="BD13" i="10"/>
  <c r="AN46" i="10"/>
  <c r="AN26" i="10"/>
  <c r="AN144" i="10"/>
  <c r="AN33" i="10"/>
  <c r="AN100" i="10"/>
  <c r="AN76" i="10"/>
  <c r="BF16" i="10"/>
  <c r="BD16" i="10"/>
  <c r="BF77" i="10"/>
  <c r="BD77" i="10"/>
  <c r="BF74" i="10"/>
  <c r="BD74" i="10"/>
  <c r="AN134" i="10"/>
  <c r="AN147" i="10"/>
  <c r="AN61" i="10"/>
  <c r="AN183" i="10"/>
  <c r="BF20" i="10"/>
  <c r="BD20" i="10"/>
  <c r="AN78" i="10"/>
  <c r="AN98" i="10"/>
  <c r="BF95" i="10"/>
  <c r="BD95" i="10"/>
  <c r="AN156" i="10"/>
  <c r="AN101" i="10"/>
  <c r="AN176" i="10"/>
  <c r="AN59" i="10"/>
  <c r="AN170" i="10"/>
  <c r="BF6" i="10"/>
  <c r="BD6" i="10"/>
  <c r="BF43" i="10"/>
  <c r="BD43" i="10"/>
  <c r="BF63" i="10"/>
  <c r="BD63" i="10"/>
  <c r="AN87" i="10"/>
  <c r="AN145" i="10"/>
  <c r="BF22" i="10"/>
  <c r="BD22" i="10"/>
  <c r="BF37" i="10"/>
  <c r="BD37" i="10"/>
  <c r="BF41" i="10"/>
  <c r="BD41" i="10"/>
  <c r="BF65" i="10"/>
  <c r="BD65" i="10"/>
  <c r="AH166" i="10"/>
  <c r="AG166" i="10"/>
  <c r="AH136" i="10"/>
  <c r="AG136" i="10"/>
  <c r="AG184" i="10"/>
  <c r="AH184" i="10"/>
  <c r="AH27" i="10"/>
  <c r="AG27" i="10"/>
  <c r="AH64" i="10"/>
  <c r="AG64" i="10"/>
  <c r="AG91" i="10"/>
  <c r="AH91" i="10"/>
  <c r="AH103" i="10"/>
  <c r="AG103" i="10"/>
  <c r="AH125" i="10"/>
  <c r="AG125" i="10"/>
  <c r="AH44" i="10"/>
  <c r="AG44" i="10"/>
  <c r="AG122" i="10"/>
  <c r="AH122" i="10"/>
  <c r="AH191" i="10"/>
  <c r="AG191" i="10"/>
  <c r="AH89" i="10"/>
  <c r="AG89" i="10"/>
  <c r="AH40" i="10"/>
  <c r="AG40" i="10"/>
  <c r="AH151" i="10"/>
  <c r="AG151" i="10"/>
  <c r="AH110" i="10"/>
  <c r="AG110" i="10"/>
  <c r="AG155" i="10"/>
  <c r="AH155" i="10"/>
  <c r="AH143" i="10"/>
  <c r="AG143" i="10"/>
  <c r="AH36" i="10"/>
  <c r="AG36" i="10"/>
  <c r="AH45" i="10"/>
  <c r="AG45" i="10"/>
  <c r="AH167" i="10"/>
  <c r="AG167" i="10"/>
  <c r="AH31" i="10"/>
  <c r="AG31" i="10"/>
  <c r="AH72" i="10"/>
  <c r="AG72" i="10"/>
  <c r="AH133" i="10"/>
  <c r="AG133" i="10"/>
  <c r="AH73" i="10"/>
  <c r="AG73" i="10"/>
  <c r="BF18" i="10"/>
  <c r="BD18" i="10"/>
  <c r="AN109" i="10"/>
  <c r="AN95" i="10"/>
  <c r="BF34" i="10"/>
  <c r="BD34" i="10"/>
  <c r="AN126" i="10"/>
  <c r="AN130" i="10"/>
  <c r="AN113" i="10"/>
  <c r="AH56" i="10"/>
  <c r="AG56" i="10"/>
  <c r="AN124" i="10"/>
  <c r="AN104" i="10"/>
  <c r="AN25" i="10"/>
  <c r="BF26" i="10"/>
  <c r="BD26" i="10"/>
  <c r="AH86" i="10"/>
  <c r="AG86" i="10"/>
  <c r="BF87" i="10"/>
  <c r="BD87" i="10"/>
  <c r="BF9" i="10"/>
  <c r="BD9" i="10"/>
  <c r="BF67" i="10"/>
  <c r="BD67" i="10"/>
  <c r="AN181" i="10"/>
  <c r="AH22" i="10"/>
  <c r="AG22" i="10"/>
  <c r="BF82" i="10"/>
  <c r="BD82" i="10"/>
  <c r="AN43" i="10"/>
  <c r="BF42" i="10"/>
  <c r="BD42" i="10"/>
  <c r="AN127" i="10"/>
  <c r="BF75" i="10"/>
  <c r="BD75" i="10"/>
  <c r="AN162" i="10"/>
  <c r="BF68" i="10"/>
  <c r="BD68" i="10"/>
  <c r="BF64" i="10"/>
  <c r="BD64" i="10"/>
  <c r="AH38" i="10"/>
  <c r="AG38" i="10"/>
  <c r="BF10" i="10"/>
  <c r="BD10" i="10"/>
  <c r="AN105" i="10"/>
  <c r="AN68" i="10"/>
  <c r="AN77" i="10"/>
  <c r="AN80" i="10"/>
  <c r="AG85" i="10"/>
  <c r="AH85" i="10"/>
  <c r="AN39" i="10"/>
  <c r="AH171" i="10"/>
  <c r="AG171" i="10"/>
  <c r="AH88" i="10"/>
  <c r="AG88" i="10"/>
  <c r="AN32" i="10"/>
  <c r="AH120" i="10"/>
  <c r="AG120" i="10"/>
  <c r="AH137" i="10"/>
  <c r="AG137" i="10"/>
  <c r="AH148" i="10"/>
  <c r="AG148" i="10"/>
  <c r="AH157" i="10"/>
  <c r="AG157" i="10"/>
  <c r="AH141" i="10"/>
  <c r="AG141" i="10"/>
  <c r="AH97" i="10"/>
  <c r="AG97" i="10"/>
  <c r="AG99" i="10"/>
  <c r="AH99" i="10"/>
  <c r="AH179" i="10"/>
  <c r="AG179" i="10"/>
  <c r="AH153" i="10"/>
  <c r="AG153" i="10"/>
  <c r="AN47" i="10"/>
  <c r="AH121" i="10"/>
  <c r="AG121" i="10"/>
  <c r="AH84" i="10"/>
  <c r="AG84" i="10"/>
  <c r="AH186" i="10"/>
  <c r="AG186" i="10"/>
  <c r="AN66" i="10"/>
  <c r="AH188" i="10"/>
  <c r="AG188" i="10"/>
  <c r="AG172" i="10"/>
  <c r="AH172" i="10"/>
  <c r="AN192" i="10"/>
  <c r="BF97" i="10"/>
  <c r="BD97" i="10"/>
  <c r="AN67" i="10"/>
  <c r="BF4" i="10"/>
  <c r="BD4" i="10"/>
  <c r="AN114" i="10"/>
  <c r="AN174" i="10"/>
  <c r="AN108" i="10"/>
  <c r="AN142" i="10"/>
  <c r="AN23" i="10"/>
  <c r="AN169" i="10"/>
  <c r="AN163" i="10"/>
  <c r="AN140" i="10"/>
  <c r="AN51" i="10"/>
  <c r="AN50" i="10"/>
  <c r="BF71" i="10"/>
  <c r="BD71" i="10"/>
  <c r="AN190" i="10"/>
  <c r="BF17" i="10"/>
  <c r="BD17" i="10"/>
  <c r="AN62" i="10"/>
  <c r="BF79" i="10"/>
  <c r="BD79" i="10"/>
  <c r="AN187" i="10"/>
  <c r="AN30" i="10"/>
  <c r="AN79" i="10"/>
  <c r="BF25" i="10"/>
  <c r="BD25" i="10"/>
  <c r="AN55" i="10"/>
  <c r="AN152" i="10"/>
  <c r="BF89" i="10"/>
  <c r="BD89" i="10"/>
  <c r="AN160" i="10"/>
  <c r="AG178" i="10"/>
  <c r="AH178" i="10"/>
  <c r="AH34" i="10"/>
  <c r="AG34" i="10"/>
  <c r="AH112" i="10"/>
  <c r="AG112" i="10"/>
  <c r="AG48" i="10"/>
  <c r="AH48" i="10"/>
  <c r="AH28" i="10"/>
  <c r="AG28" i="10"/>
  <c r="AH106" i="10"/>
  <c r="AG106" i="10"/>
  <c r="AH159" i="10"/>
  <c r="AG159" i="10"/>
  <c r="AH41" i="10"/>
  <c r="AG41" i="10"/>
  <c r="AH24" i="10"/>
  <c r="AG24" i="10"/>
  <c r="AH94" i="10"/>
  <c r="AG94" i="10"/>
  <c r="AH123" i="10"/>
  <c r="AG123" i="10"/>
  <c r="AH175" i="10"/>
  <c r="AG175" i="10"/>
  <c r="AH93" i="10"/>
  <c r="AG93" i="10"/>
  <c r="AH146" i="10"/>
  <c r="AG146" i="10"/>
  <c r="AH75" i="10"/>
  <c r="AG75" i="10"/>
  <c r="AG35" i="10"/>
  <c r="AH35" i="10"/>
  <c r="AH180" i="10"/>
  <c r="AG180" i="10"/>
  <c r="AH90" i="10"/>
  <c r="AG90" i="10"/>
  <c r="AG53" i="10"/>
  <c r="AH53" i="10"/>
  <c r="AH173" i="10"/>
  <c r="AG173" i="10"/>
  <c r="AH165" i="10"/>
  <c r="AG165" i="10"/>
  <c r="AH96" i="10"/>
  <c r="AG96" i="10"/>
  <c r="AH58" i="10"/>
  <c r="AG58" i="10"/>
  <c r="AG65" i="10"/>
  <c r="AH65" i="10"/>
  <c r="AH74" i="10"/>
  <c r="AG74" i="10"/>
  <c r="BF78" i="10"/>
  <c r="BD78" i="10"/>
  <c r="BF66" i="10"/>
  <c r="BD66" i="10"/>
  <c r="AN132" i="10"/>
  <c r="BF12" i="10"/>
  <c r="BD12" i="10"/>
  <c r="AN150" i="10"/>
  <c r="AN154" i="10"/>
  <c r="BF80" i="10"/>
  <c r="BD80" i="10"/>
  <c r="AN131" i="10"/>
  <c r="AN118" i="10"/>
  <c r="AN161" i="10"/>
  <c r="BF7" i="10"/>
  <c r="BD7" i="10"/>
  <c r="AH70" i="10"/>
  <c r="AG70" i="10"/>
  <c r="AN135" i="10"/>
  <c r="AN158" i="10"/>
  <c r="AN21" i="10"/>
  <c r="AN129" i="10"/>
  <c r="AN115" i="10"/>
  <c r="AN185" i="10"/>
  <c r="AN119" i="10"/>
  <c r="AN29" i="10"/>
  <c r="AN102" i="10"/>
  <c r="BF40" i="10"/>
  <c r="BD40" i="10"/>
  <c r="AN164" i="10"/>
  <c r="AG54" i="10"/>
  <c r="AH54" i="10"/>
  <c r="AN117" i="10"/>
  <c r="AH49" i="10"/>
  <c r="AG49" i="10"/>
  <c r="AN111" i="10"/>
  <c r="BF62" i="10"/>
  <c r="BD62" i="10"/>
  <c r="AH57" i="10"/>
  <c r="AG57" i="10"/>
  <c r="AN92" i="10"/>
  <c r="AN193" i="10"/>
  <c r="AN182" i="10"/>
  <c r="AN177" i="10"/>
  <c r="AH138" i="10"/>
  <c r="AG138" i="10"/>
  <c r="AH168" i="10"/>
  <c r="AG168" i="10"/>
  <c r="AH128" i="10"/>
  <c r="AG128" i="10"/>
  <c r="AG189" i="10"/>
  <c r="AH189" i="10"/>
  <c r="AN42" i="10"/>
  <c r="AH107" i="10"/>
  <c r="AG107" i="10"/>
  <c r="AH139" i="10"/>
  <c r="AG139" i="10"/>
  <c r="AG69" i="10"/>
  <c r="AH69" i="10"/>
  <c r="AG116" i="10"/>
  <c r="AH116" i="10"/>
  <c r="AG60" i="10"/>
  <c r="AH60" i="10"/>
  <c r="AH37" i="10"/>
  <c r="AG37" i="10"/>
  <c r="AN71" i="10"/>
  <c r="AH149" i="10"/>
  <c r="AG149" i="10"/>
  <c r="AH81" i="10"/>
  <c r="AG81" i="10"/>
  <c r="AN63" i="10"/>
  <c r="AG83" i="10"/>
  <c r="AH83" i="10"/>
  <c r="AN82" i="10"/>
  <c r="AH52" i="10"/>
  <c r="AG52" i="10"/>
  <c r="AH182" i="10"/>
  <c r="AG182" i="10"/>
  <c r="AM116" i="10"/>
  <c r="AK116" i="10"/>
  <c r="AJ116" i="10"/>
  <c r="AH117" i="10"/>
  <c r="AG117" i="10"/>
  <c r="AH132" i="10"/>
  <c r="AG132" i="10"/>
  <c r="AJ189" i="10"/>
  <c r="AM189" i="10"/>
  <c r="AK189" i="10"/>
  <c r="AH115" i="10"/>
  <c r="AG115" i="10"/>
  <c r="AH161" i="10"/>
  <c r="AG161" i="10"/>
  <c r="AK165" i="10"/>
  <c r="AJ165" i="10"/>
  <c r="AM165" i="10"/>
  <c r="AK180" i="10"/>
  <c r="AJ180" i="10"/>
  <c r="AM180" i="10"/>
  <c r="AJ24" i="10"/>
  <c r="AM24" i="10"/>
  <c r="AK24" i="10"/>
  <c r="AG82" i="10"/>
  <c r="AH82" i="10"/>
  <c r="AH71" i="10"/>
  <c r="AG71" i="10"/>
  <c r="AJ69" i="10"/>
  <c r="AM69" i="10"/>
  <c r="AK69" i="10"/>
  <c r="AK128" i="10"/>
  <c r="AJ128" i="10"/>
  <c r="AM128" i="10"/>
  <c r="AK57" i="10"/>
  <c r="AJ57" i="10"/>
  <c r="AM57" i="10"/>
  <c r="AM54" i="10"/>
  <c r="AK54" i="10"/>
  <c r="AJ54" i="10"/>
  <c r="AG129" i="10"/>
  <c r="AH129" i="10"/>
  <c r="AH118" i="10"/>
  <c r="AG118" i="10"/>
  <c r="AM178" i="10"/>
  <c r="AK178" i="10"/>
  <c r="AJ178" i="10"/>
  <c r="AH79" i="10"/>
  <c r="AG79" i="10"/>
  <c r="AG50" i="10"/>
  <c r="AH50" i="10"/>
  <c r="AH174" i="10"/>
  <c r="AG174" i="10"/>
  <c r="AK179" i="10"/>
  <c r="AJ179" i="10"/>
  <c r="AM179" i="10"/>
  <c r="AJ157" i="10"/>
  <c r="AK157" i="10"/>
  <c r="AM157" i="10"/>
  <c r="AH32" i="10"/>
  <c r="AG32" i="10"/>
  <c r="AH80" i="10"/>
  <c r="AG80" i="10"/>
  <c r="AG130" i="10"/>
  <c r="AH130" i="10"/>
  <c r="AK31" i="10"/>
  <c r="AJ31" i="10"/>
  <c r="AM31" i="10"/>
  <c r="AK143" i="10"/>
  <c r="AJ143" i="10"/>
  <c r="AM143" i="10"/>
  <c r="AJ40" i="10"/>
  <c r="AK40" i="10"/>
  <c r="AM40" i="10"/>
  <c r="AK44" i="10"/>
  <c r="AJ44" i="10"/>
  <c r="AM44" i="10"/>
  <c r="AK64" i="10"/>
  <c r="AJ64" i="10"/>
  <c r="AM64" i="10"/>
  <c r="AK166" i="10"/>
  <c r="AJ166" i="10"/>
  <c r="AM166" i="10"/>
  <c r="AH78" i="10"/>
  <c r="AG78" i="10"/>
  <c r="AH21" i="10"/>
  <c r="AG21" i="10"/>
  <c r="AK173" i="10"/>
  <c r="AJ173" i="10"/>
  <c r="AM173" i="10"/>
  <c r="AJ175" i="10"/>
  <c r="AK175" i="10"/>
  <c r="AM175" i="10"/>
  <c r="AJ41" i="10"/>
  <c r="AK41" i="10"/>
  <c r="AM41" i="10"/>
  <c r="AH30" i="10"/>
  <c r="AG30" i="10"/>
  <c r="AH51" i="10"/>
  <c r="AG51" i="10"/>
  <c r="AH114" i="10"/>
  <c r="AG114" i="10"/>
  <c r="AK84" i="10"/>
  <c r="AJ84" i="10"/>
  <c r="AM84" i="10"/>
  <c r="AM88" i="10"/>
  <c r="AK88" i="10"/>
  <c r="AJ88" i="10"/>
  <c r="AK22" i="10"/>
  <c r="AJ22" i="10"/>
  <c r="AM22" i="10"/>
  <c r="AH126" i="10"/>
  <c r="AG126" i="10"/>
  <c r="AG170" i="10"/>
  <c r="AH170" i="10"/>
  <c r="AG76" i="10"/>
  <c r="AH76" i="10"/>
  <c r="AJ37" i="10"/>
  <c r="AK37" i="10"/>
  <c r="AM37" i="10"/>
  <c r="AH164" i="10"/>
  <c r="AG164" i="10"/>
  <c r="AH158" i="10"/>
  <c r="AG158" i="10"/>
  <c r="AM35" i="10"/>
  <c r="AK35" i="10"/>
  <c r="AJ35" i="10"/>
  <c r="AJ48" i="10"/>
  <c r="AK48" i="10"/>
  <c r="AM48" i="10"/>
  <c r="AH187" i="10"/>
  <c r="AG187" i="10"/>
  <c r="AG140" i="10"/>
  <c r="AH140" i="10"/>
  <c r="AJ148" i="10"/>
  <c r="AK148" i="10"/>
  <c r="AM148" i="10"/>
  <c r="AH25" i="10"/>
  <c r="AG25" i="10"/>
  <c r="AJ73" i="10"/>
  <c r="AK73" i="10"/>
  <c r="AM73" i="10"/>
  <c r="AK167" i="10"/>
  <c r="AJ167" i="10"/>
  <c r="AM167" i="10"/>
  <c r="AJ89" i="10"/>
  <c r="AK89" i="10"/>
  <c r="AM89" i="10"/>
  <c r="AK125" i="10"/>
  <c r="AJ125" i="10"/>
  <c r="AM125" i="10"/>
  <c r="AJ27" i="10"/>
  <c r="AK27" i="10"/>
  <c r="AM27" i="10"/>
  <c r="AG59" i="10"/>
  <c r="AH59" i="10"/>
  <c r="AH183" i="10"/>
  <c r="AG183" i="10"/>
  <c r="AH100" i="10"/>
  <c r="AG100" i="10"/>
  <c r="AH111" i="10"/>
  <c r="AG111" i="10"/>
  <c r="AH154" i="10"/>
  <c r="AG154" i="10"/>
  <c r="AJ75" i="10"/>
  <c r="AK75" i="10"/>
  <c r="AM75" i="10"/>
  <c r="AJ112" i="10"/>
  <c r="AM112" i="10"/>
  <c r="AK112" i="10"/>
  <c r="AG160" i="10"/>
  <c r="AH160" i="10"/>
  <c r="AH163" i="10"/>
  <c r="AG163" i="10"/>
  <c r="AJ172" i="10"/>
  <c r="AM172" i="10"/>
  <c r="AK172" i="10"/>
  <c r="AJ121" i="10"/>
  <c r="AK121" i="10"/>
  <c r="AM121" i="10"/>
  <c r="AJ99" i="10"/>
  <c r="AM99" i="10"/>
  <c r="AK99" i="10"/>
  <c r="AK171" i="10"/>
  <c r="AJ171" i="10"/>
  <c r="AM171" i="10"/>
  <c r="AH77" i="10"/>
  <c r="AG77" i="10"/>
  <c r="AH162" i="10"/>
  <c r="AG162" i="10"/>
  <c r="AH181" i="10"/>
  <c r="AG181" i="10"/>
  <c r="AH104" i="10"/>
  <c r="AG104" i="10"/>
  <c r="AG95" i="10"/>
  <c r="AH95" i="10"/>
  <c r="AM155" i="10"/>
  <c r="AK155" i="10"/>
  <c r="AJ155" i="10"/>
  <c r="AG176" i="10"/>
  <c r="AH176" i="10"/>
  <c r="AH61" i="10"/>
  <c r="AG61" i="10"/>
  <c r="AG33" i="10"/>
  <c r="AH33" i="10"/>
  <c r="AM139" i="10"/>
  <c r="AK139" i="10"/>
  <c r="AJ139" i="10"/>
  <c r="AH131" i="10"/>
  <c r="AG131" i="10"/>
  <c r="AJ83" i="10"/>
  <c r="AM83" i="10"/>
  <c r="AK83" i="10"/>
  <c r="AK168" i="10"/>
  <c r="AJ168" i="10"/>
  <c r="AM168" i="10"/>
  <c r="AJ65" i="10"/>
  <c r="AM65" i="10"/>
  <c r="AK65" i="10"/>
  <c r="AH63" i="10"/>
  <c r="AG63" i="10"/>
  <c r="AJ107" i="10"/>
  <c r="AK107" i="10"/>
  <c r="AM107" i="10"/>
  <c r="AH102" i="10"/>
  <c r="AG102" i="10"/>
  <c r="AH135" i="10"/>
  <c r="AG135" i="10"/>
  <c r="AJ58" i="10"/>
  <c r="AK58" i="10"/>
  <c r="AM58" i="10"/>
  <c r="AJ123" i="10"/>
  <c r="AK123" i="10"/>
  <c r="AM123" i="10"/>
  <c r="AJ159" i="10"/>
  <c r="AM159" i="10"/>
  <c r="AK159" i="10"/>
  <c r="AH67" i="10"/>
  <c r="AG67" i="10"/>
  <c r="AK81" i="10"/>
  <c r="AJ81" i="10"/>
  <c r="AM81" i="10"/>
  <c r="AJ60" i="10"/>
  <c r="AM60" i="10"/>
  <c r="AK60" i="10"/>
  <c r="AK138" i="10"/>
  <c r="AJ138" i="10"/>
  <c r="AM138" i="10"/>
  <c r="AH177" i="10"/>
  <c r="AG177" i="10"/>
  <c r="AK49" i="10"/>
  <c r="AJ49" i="10"/>
  <c r="AM49" i="10"/>
  <c r="AH29" i="10"/>
  <c r="AG29" i="10"/>
  <c r="AJ70" i="10"/>
  <c r="AK70" i="10"/>
  <c r="AM70" i="10"/>
  <c r="AG150" i="10"/>
  <c r="AH150" i="10"/>
  <c r="AM53" i="10"/>
  <c r="AJ53" i="10"/>
  <c r="AK53" i="10"/>
  <c r="AH62" i="10"/>
  <c r="AG62" i="10"/>
  <c r="AH169" i="10"/>
  <c r="AG169" i="10"/>
  <c r="AJ188" i="10"/>
  <c r="AM188" i="10"/>
  <c r="AK188" i="10"/>
  <c r="AK97" i="10"/>
  <c r="AJ97" i="10"/>
  <c r="AM97" i="10"/>
  <c r="AK137" i="10"/>
  <c r="AJ137" i="10"/>
  <c r="AM137" i="10"/>
  <c r="AG68" i="10"/>
  <c r="AH68" i="10"/>
  <c r="AH124" i="10"/>
  <c r="AG124" i="10"/>
  <c r="AH109" i="10"/>
  <c r="AG109" i="10"/>
  <c r="AK133" i="10"/>
  <c r="AJ133" i="10"/>
  <c r="AM133" i="10"/>
  <c r="AJ45" i="10"/>
  <c r="AM45" i="10"/>
  <c r="AK45" i="10"/>
  <c r="AK110" i="10"/>
  <c r="AJ110" i="10"/>
  <c r="AM110" i="10"/>
  <c r="AK191" i="10"/>
  <c r="AJ191" i="10"/>
  <c r="AM191" i="10"/>
  <c r="AK103" i="10"/>
  <c r="AJ103" i="10"/>
  <c r="AM103" i="10"/>
  <c r="AH145" i="10"/>
  <c r="AG145" i="10"/>
  <c r="AH101" i="10"/>
  <c r="AG101" i="10"/>
  <c r="AH147" i="10"/>
  <c r="AG147" i="10"/>
  <c r="AH144" i="10"/>
  <c r="AG144" i="10"/>
  <c r="AJ90" i="10"/>
  <c r="AK90" i="10"/>
  <c r="AM90" i="10"/>
  <c r="AJ146" i="10"/>
  <c r="AK146" i="10"/>
  <c r="AM146" i="10"/>
  <c r="AJ94" i="10"/>
  <c r="AK94" i="10"/>
  <c r="AM94" i="10"/>
  <c r="AJ106" i="10"/>
  <c r="AM106" i="10"/>
  <c r="AK106" i="10"/>
  <c r="AK34" i="10"/>
  <c r="AM34" i="10"/>
  <c r="AJ34" i="10"/>
  <c r="AH152" i="10"/>
  <c r="AG152" i="10"/>
  <c r="AH23" i="10"/>
  <c r="AG23" i="10"/>
  <c r="AH192" i="10"/>
  <c r="AG192" i="10"/>
  <c r="AH47" i="10"/>
  <c r="AG47" i="10"/>
  <c r="AH39" i="10"/>
  <c r="AG39" i="10"/>
  <c r="AG105" i="10"/>
  <c r="AH105" i="10"/>
  <c r="AH127" i="10"/>
  <c r="AG127" i="10"/>
  <c r="AJ56" i="10"/>
  <c r="AM56" i="10"/>
  <c r="AK56" i="10"/>
  <c r="AM184" i="10"/>
  <c r="AK184" i="10"/>
  <c r="AJ184" i="10"/>
  <c r="AH87" i="10"/>
  <c r="AG87" i="10"/>
  <c r="AH156" i="10"/>
  <c r="AG156" i="10"/>
  <c r="AH134" i="10"/>
  <c r="AG134" i="10"/>
  <c r="AG26" i="10"/>
  <c r="AH26" i="10"/>
  <c r="AG42" i="10"/>
  <c r="AH42" i="10"/>
  <c r="AG119" i="10"/>
  <c r="AH119" i="10"/>
  <c r="AK52" i="10"/>
  <c r="AJ52" i="10"/>
  <c r="AM52" i="10"/>
  <c r="AH193" i="10"/>
  <c r="AG193" i="10"/>
  <c r="AH185" i="10"/>
  <c r="AG185" i="10"/>
  <c r="AH55" i="10"/>
  <c r="AG55" i="10"/>
  <c r="AH190" i="10"/>
  <c r="AG190" i="10"/>
  <c r="AH142" i="10"/>
  <c r="AG142" i="10"/>
  <c r="AH66" i="10"/>
  <c r="AG66" i="10"/>
  <c r="AJ153" i="10"/>
  <c r="AK153" i="10"/>
  <c r="AM153" i="10"/>
  <c r="AK141" i="10"/>
  <c r="AJ141" i="10"/>
  <c r="AM141" i="10"/>
  <c r="AJ120" i="10"/>
  <c r="AM120" i="10"/>
  <c r="AK120" i="10"/>
  <c r="AM72" i="10"/>
  <c r="AJ72" i="10"/>
  <c r="AK72" i="10"/>
  <c r="AJ36" i="10"/>
  <c r="AM36" i="10"/>
  <c r="AK36" i="10"/>
  <c r="AK151" i="10"/>
  <c r="AJ151" i="10"/>
  <c r="AM151" i="10"/>
  <c r="AK136" i="10"/>
  <c r="AJ136" i="10"/>
  <c r="AM136" i="10"/>
  <c r="AH46" i="10"/>
  <c r="AG46" i="10"/>
  <c r="AM96" i="10"/>
  <c r="AK96" i="10"/>
  <c r="AJ96" i="10"/>
  <c r="AK149" i="10"/>
  <c r="AJ149" i="10"/>
  <c r="AM149" i="10"/>
  <c r="AH92" i="10"/>
  <c r="AG92" i="10"/>
  <c r="AJ74" i="10"/>
  <c r="AK74" i="10"/>
  <c r="AM74" i="10"/>
  <c r="AK93" i="10"/>
  <c r="AJ93" i="10"/>
  <c r="AM93" i="10"/>
  <c r="AJ28" i="10"/>
  <c r="AM28" i="10"/>
  <c r="AK28" i="10"/>
  <c r="AH108" i="10"/>
  <c r="AG108" i="10"/>
  <c r="AK186" i="10"/>
  <c r="AJ186" i="10"/>
  <c r="AM186" i="10"/>
  <c r="AM85" i="10"/>
  <c r="AK85" i="10"/>
  <c r="AJ85" i="10"/>
  <c r="AJ38" i="10"/>
  <c r="AM38" i="10"/>
  <c r="AK38" i="10"/>
  <c r="AH43" i="10"/>
  <c r="AG43" i="10"/>
  <c r="AJ86" i="10"/>
  <c r="AM86" i="10"/>
  <c r="AK86" i="10"/>
  <c r="AG113" i="10"/>
  <c r="AH113" i="10"/>
  <c r="AJ122" i="10"/>
  <c r="AM122" i="10"/>
  <c r="AK122" i="10"/>
  <c r="AM91" i="10"/>
  <c r="AK91" i="10"/>
  <c r="AJ91" i="10"/>
  <c r="AH98" i="10"/>
  <c r="AG98" i="10"/>
  <c r="AM42" i="10"/>
  <c r="AK42" i="10"/>
  <c r="AJ42" i="10"/>
  <c r="AM39" i="10"/>
  <c r="AJ39" i="10"/>
  <c r="AK39" i="10"/>
  <c r="AJ142" i="10"/>
  <c r="AK142" i="10"/>
  <c r="AM142" i="10"/>
  <c r="AK145" i="10"/>
  <c r="AJ145" i="10"/>
  <c r="AM145" i="10"/>
  <c r="AM63" i="10"/>
  <c r="AJ63" i="10"/>
  <c r="AK63" i="10"/>
  <c r="AJ61" i="10"/>
  <c r="AK61" i="10"/>
  <c r="AM61" i="10"/>
  <c r="AJ126" i="10"/>
  <c r="AM126" i="10"/>
  <c r="AK126" i="10"/>
  <c r="AJ78" i="10"/>
  <c r="AK78" i="10"/>
  <c r="AM78" i="10"/>
  <c r="AK80" i="10"/>
  <c r="AJ80" i="10"/>
  <c r="AM80" i="10"/>
  <c r="AJ79" i="10"/>
  <c r="AK79" i="10"/>
  <c r="AM79" i="10"/>
  <c r="AJ82" i="10"/>
  <c r="AK82" i="10"/>
  <c r="AM82" i="10"/>
  <c r="AK108" i="10"/>
  <c r="AJ108" i="10"/>
  <c r="AM108" i="10"/>
  <c r="AJ113" i="10"/>
  <c r="AK113" i="10"/>
  <c r="AM113" i="10"/>
  <c r="AJ92" i="10"/>
  <c r="AK92" i="10"/>
  <c r="AM92" i="10"/>
  <c r="AJ47" i="10"/>
  <c r="AK47" i="10"/>
  <c r="AM47" i="10"/>
  <c r="AJ23" i="10"/>
  <c r="AM23" i="10"/>
  <c r="AK23" i="10"/>
  <c r="AM102" i="10"/>
  <c r="AK102" i="10"/>
  <c r="AJ102" i="10"/>
  <c r="AJ162" i="10"/>
  <c r="AK162" i="10"/>
  <c r="AM162" i="10"/>
  <c r="AJ154" i="10"/>
  <c r="AM154" i="10"/>
  <c r="AK154" i="10"/>
  <c r="AJ183" i="10"/>
  <c r="AM183" i="10"/>
  <c r="AK183" i="10"/>
  <c r="AJ164" i="10"/>
  <c r="AK164" i="10"/>
  <c r="AM164" i="10"/>
  <c r="AK118" i="10"/>
  <c r="AJ118" i="10"/>
  <c r="AM118" i="10"/>
  <c r="AK144" i="10"/>
  <c r="AJ144" i="10"/>
  <c r="AM144" i="10"/>
  <c r="AK68" i="10"/>
  <c r="AJ68" i="10"/>
  <c r="AM68" i="10"/>
  <c r="AM150" i="10"/>
  <c r="AK150" i="10"/>
  <c r="AJ150" i="10"/>
  <c r="AJ67" i="10"/>
  <c r="AM67" i="10"/>
  <c r="AK67" i="10"/>
  <c r="AK21" i="10"/>
  <c r="AJ21" i="10"/>
  <c r="AM21" i="10"/>
  <c r="AK32" i="10"/>
  <c r="AJ32" i="10"/>
  <c r="AM32" i="10"/>
  <c r="AK161" i="10"/>
  <c r="AJ161" i="10"/>
  <c r="AM161" i="10"/>
  <c r="AM26" i="10"/>
  <c r="AK26" i="10"/>
  <c r="AJ26" i="10"/>
  <c r="AK152" i="10"/>
  <c r="AJ152" i="10"/>
  <c r="AM152" i="10"/>
  <c r="AJ177" i="10"/>
  <c r="AK177" i="10"/>
  <c r="AM177" i="10"/>
  <c r="AM176" i="10"/>
  <c r="AK176" i="10"/>
  <c r="AJ176" i="10"/>
  <c r="AJ77" i="10"/>
  <c r="AM77" i="10"/>
  <c r="AK77" i="10"/>
  <c r="AK163" i="10"/>
  <c r="AJ163" i="10"/>
  <c r="AM163" i="10"/>
  <c r="AK111" i="10"/>
  <c r="AJ111" i="10"/>
  <c r="AM111" i="10"/>
  <c r="AK76" i="10"/>
  <c r="AJ76" i="10"/>
  <c r="AM76" i="10"/>
  <c r="AK114" i="10"/>
  <c r="AJ114" i="10"/>
  <c r="AM114" i="10"/>
  <c r="AM132" i="10"/>
  <c r="AK132" i="10"/>
  <c r="AJ132" i="10"/>
  <c r="AJ66" i="10"/>
  <c r="AM66" i="10"/>
  <c r="AK66" i="10"/>
  <c r="AK190" i="10"/>
  <c r="AJ190" i="10"/>
  <c r="AM190" i="10"/>
  <c r="AJ105" i="10"/>
  <c r="AM105" i="10"/>
  <c r="AK105" i="10"/>
  <c r="AJ134" i="10"/>
  <c r="AK134" i="10"/>
  <c r="AM134" i="10"/>
  <c r="AK55" i="10"/>
  <c r="AJ55" i="10"/>
  <c r="AM55" i="10"/>
  <c r="AK185" i="10"/>
  <c r="AJ185" i="10"/>
  <c r="AM185" i="10"/>
  <c r="AK119" i="10"/>
  <c r="AM119" i="10"/>
  <c r="AJ119" i="10"/>
  <c r="AJ147" i="10"/>
  <c r="AK147" i="10"/>
  <c r="AM147" i="10"/>
  <c r="AK169" i="10"/>
  <c r="AJ169" i="10"/>
  <c r="AM169" i="10"/>
  <c r="AJ95" i="10"/>
  <c r="AK95" i="10"/>
  <c r="AM95" i="10"/>
  <c r="AK59" i="10"/>
  <c r="AM59" i="10"/>
  <c r="AJ59" i="10"/>
  <c r="AJ25" i="10"/>
  <c r="AK25" i="10"/>
  <c r="AM25" i="10"/>
  <c r="AJ140" i="10"/>
  <c r="AM140" i="10"/>
  <c r="AK140" i="10"/>
  <c r="AK174" i="10"/>
  <c r="AJ174" i="10"/>
  <c r="AM174" i="10"/>
  <c r="AM129" i="10"/>
  <c r="AK129" i="10"/>
  <c r="AJ129" i="10"/>
  <c r="AJ115" i="10"/>
  <c r="AM115" i="10"/>
  <c r="AK115" i="10"/>
  <c r="AK43" i="10"/>
  <c r="AJ43" i="10"/>
  <c r="AM43" i="10"/>
  <c r="AK46" i="10"/>
  <c r="AJ46" i="10"/>
  <c r="AM46" i="10"/>
  <c r="AK156" i="10"/>
  <c r="AJ156" i="10"/>
  <c r="AM156" i="10"/>
  <c r="AK109" i="10"/>
  <c r="AJ109" i="10"/>
  <c r="AM109" i="10"/>
  <c r="AJ104" i="10"/>
  <c r="AK104" i="10"/>
  <c r="AM104" i="10"/>
  <c r="AJ187" i="10"/>
  <c r="AK187" i="10"/>
  <c r="AM187" i="10"/>
  <c r="AJ170" i="10"/>
  <c r="AK170" i="10"/>
  <c r="AM170" i="10"/>
  <c r="AJ51" i="10"/>
  <c r="AK51" i="10"/>
  <c r="AM51" i="10"/>
  <c r="AM130" i="10"/>
  <c r="AK130" i="10"/>
  <c r="AJ130" i="10"/>
  <c r="AK71" i="10"/>
  <c r="AJ71" i="10"/>
  <c r="AM71" i="10"/>
  <c r="AJ117" i="10"/>
  <c r="AK117" i="10"/>
  <c r="AM117" i="10"/>
  <c r="AJ193" i="10"/>
  <c r="AK193" i="10"/>
  <c r="AM193" i="10"/>
  <c r="AJ101" i="10"/>
  <c r="AK101" i="10"/>
  <c r="AM101" i="10"/>
  <c r="AJ62" i="10"/>
  <c r="AK62" i="10"/>
  <c r="AM62" i="10"/>
  <c r="AJ29" i="10"/>
  <c r="AK29" i="10"/>
  <c r="AM29" i="10"/>
  <c r="AM160" i="10"/>
  <c r="AK160" i="10"/>
  <c r="AJ160" i="10"/>
  <c r="AK182" i="10"/>
  <c r="AJ182" i="10"/>
  <c r="AM182" i="10"/>
  <c r="AJ98" i="10"/>
  <c r="AK98" i="10"/>
  <c r="AM98" i="10"/>
  <c r="AJ87" i="10"/>
  <c r="AK87" i="10"/>
  <c r="AM87" i="10"/>
  <c r="AK127" i="10"/>
  <c r="AJ127" i="10"/>
  <c r="AM127" i="10"/>
  <c r="AM192" i="10"/>
  <c r="AK192" i="10"/>
  <c r="AJ192" i="10"/>
  <c r="AK124" i="10"/>
  <c r="AJ124" i="10"/>
  <c r="AM124" i="10"/>
  <c r="AK135" i="10"/>
  <c r="AJ135" i="10"/>
  <c r="AM135" i="10"/>
  <c r="AK131" i="10"/>
  <c r="AJ131" i="10"/>
  <c r="AM131" i="10"/>
  <c r="AK33" i="10"/>
  <c r="AM33" i="10"/>
  <c r="AJ33" i="10"/>
  <c r="AJ181" i="10"/>
  <c r="AK181" i="10"/>
  <c r="AM181" i="10"/>
  <c r="AJ100" i="10"/>
  <c r="AK100" i="10"/>
  <c r="AM100" i="10"/>
  <c r="AK158" i="10"/>
  <c r="AJ158" i="10"/>
  <c r="AM158" i="10"/>
  <c r="AK30" i="10"/>
  <c r="AJ30" i="10"/>
  <c r="AM30" i="10"/>
  <c r="AK50" i="10"/>
  <c r="AJ50" i="10"/>
  <c r="AM50" i="10"/>
  <c r="AI11" i="10"/>
  <c r="AK19" i="10"/>
  <c r="K201" i="9"/>
  <c r="Z194" i="9"/>
  <c r="G194" i="9"/>
  <c r="K194" i="9" s="1"/>
  <c r="AU194" i="9"/>
  <c r="AT194" i="9" s="1"/>
  <c r="AS194" i="9" s="1"/>
  <c r="AR194" i="9" s="1"/>
  <c r="AQ194" i="9" s="1"/>
  <c r="AP194" i="9" s="1"/>
  <c r="AO194" i="9" s="1"/>
  <c r="AN194" i="9" s="1"/>
  <c r="AM194" i="9" s="1"/>
  <c r="AL194" i="9" s="1"/>
  <c r="AU201" i="9"/>
  <c r="AT201" i="9" s="1"/>
  <c r="AS201" i="9" s="1"/>
  <c r="C12" i="7"/>
  <c r="I18" i="10"/>
  <c r="K18" i="10"/>
  <c r="C11" i="6"/>
  <c r="C12" i="6"/>
  <c r="J18" i="10"/>
  <c r="C11" i="7"/>
  <c r="H18" i="10"/>
  <c r="C12" i="10"/>
  <c r="C11" i="10"/>
  <c r="G218" i="4" l="1"/>
  <c r="K218" i="4" s="1"/>
  <c r="P218" i="4"/>
  <c r="R218" i="4" s="1"/>
  <c r="T218" i="4" s="1"/>
  <c r="G217" i="4"/>
  <c r="K217" i="4" s="1"/>
  <c r="P217" i="4"/>
  <c r="G208" i="9"/>
  <c r="P208" i="9"/>
  <c r="AU208" i="9"/>
  <c r="Z208" i="9"/>
  <c r="Z207" i="9"/>
  <c r="G207" i="9"/>
  <c r="P207" i="9"/>
  <c r="R207" i="9" s="1"/>
  <c r="T207" i="9" s="1"/>
  <c r="AU207" i="9"/>
  <c r="F5" i="9"/>
  <c r="F5" i="4"/>
  <c r="D13" i="5"/>
  <c r="C13" i="5"/>
  <c r="M13" i="5"/>
  <c r="J13" i="5"/>
  <c r="W26" i="4"/>
  <c r="V27" i="4"/>
  <c r="AW99" i="9"/>
  <c r="AY98" i="9"/>
  <c r="BL98" i="9"/>
  <c r="BK98" i="9" s="1"/>
  <c r="BJ98" i="9" s="1"/>
  <c r="BI98" i="9" s="1"/>
  <c r="BH98" i="9" s="1"/>
  <c r="BG98" i="9" s="1"/>
  <c r="BF98" i="9" s="1"/>
  <c r="BE98" i="9" s="1"/>
  <c r="BD98" i="9" s="1"/>
  <c r="BC98" i="9" s="1"/>
  <c r="W19" i="4"/>
  <c r="P24" i="9"/>
  <c r="P170" i="9"/>
  <c r="P123" i="6"/>
  <c r="S123" i="6" s="1"/>
  <c r="U123" i="6" s="1"/>
  <c r="P60" i="7"/>
  <c r="S60" i="7" s="1"/>
  <c r="U60" i="7" s="1"/>
  <c r="P154" i="10"/>
  <c r="R154" i="10" s="1"/>
  <c r="P102" i="10"/>
  <c r="R102" i="10" s="1"/>
  <c r="P80" i="7"/>
  <c r="S80" i="7" s="1"/>
  <c r="U80" i="7" s="1"/>
  <c r="P73" i="7"/>
  <c r="S73" i="7" s="1"/>
  <c r="U73" i="7" s="1"/>
  <c r="P110" i="7"/>
  <c r="S110" i="7" s="1"/>
  <c r="U110" i="7" s="1"/>
  <c r="P91" i="7"/>
  <c r="S91" i="7" s="1"/>
  <c r="U91" i="7" s="1"/>
  <c r="P94" i="7"/>
  <c r="S94" i="7" s="1"/>
  <c r="U94" i="7" s="1"/>
  <c r="P66" i="7"/>
  <c r="S66" i="7" s="1"/>
  <c r="U66" i="7" s="1"/>
  <c r="P69" i="7"/>
  <c r="S69" i="7" s="1"/>
  <c r="U69" i="7" s="1"/>
  <c r="P100" i="7"/>
  <c r="S100" i="7" s="1"/>
  <c r="U100" i="7" s="1"/>
  <c r="P112" i="7"/>
  <c r="S112" i="7" s="1"/>
  <c r="U112" i="7" s="1"/>
  <c r="P52" i="7"/>
  <c r="S52" i="7" s="1"/>
  <c r="U52" i="7" s="1"/>
  <c r="P101" i="7"/>
  <c r="S101" i="7" s="1"/>
  <c r="U101" i="7" s="1"/>
  <c r="P63" i="7"/>
  <c r="S63" i="7" s="1"/>
  <c r="U63" i="7" s="1"/>
  <c r="P77" i="7"/>
  <c r="S77" i="7" s="1"/>
  <c r="U77" i="7" s="1"/>
  <c r="P79" i="7"/>
  <c r="S79" i="7" s="1"/>
  <c r="U79" i="7" s="1"/>
  <c r="L21" i="5"/>
  <c r="P78" i="7"/>
  <c r="S78" i="7" s="1"/>
  <c r="U78" i="7" s="1"/>
  <c r="P121" i="7"/>
  <c r="S121" i="7" s="1"/>
  <c r="U121" i="7" s="1"/>
  <c r="P65" i="7"/>
  <c r="S65" i="7" s="1"/>
  <c r="U65" i="7" s="1"/>
  <c r="P113" i="7"/>
  <c r="S113" i="7" s="1"/>
  <c r="U113" i="7" s="1"/>
  <c r="P72" i="7"/>
  <c r="S72" i="7" s="1"/>
  <c r="U72" i="7" s="1"/>
  <c r="P99" i="7"/>
  <c r="S99" i="7" s="1"/>
  <c r="U99" i="7" s="1"/>
  <c r="P102" i="7"/>
  <c r="S102" i="7" s="1"/>
  <c r="U102" i="7" s="1"/>
  <c r="P59" i="7"/>
  <c r="S59" i="7" s="1"/>
  <c r="U59" i="7" s="1"/>
  <c r="P83" i="7"/>
  <c r="S83" i="7" s="1"/>
  <c r="U83" i="7" s="1"/>
  <c r="P61" i="7"/>
  <c r="S61" i="7" s="1"/>
  <c r="U61" i="7" s="1"/>
  <c r="D15" i="7"/>
  <c r="C19" i="7" s="1"/>
  <c r="I21" i="5"/>
  <c r="P58" i="7"/>
  <c r="S58" i="7" s="1"/>
  <c r="U58" i="7" s="1"/>
  <c r="P64" i="7"/>
  <c r="S64" i="7" s="1"/>
  <c r="U64" i="7" s="1"/>
  <c r="P93" i="7"/>
  <c r="S93" i="7" s="1"/>
  <c r="U93" i="7" s="1"/>
  <c r="P109" i="7"/>
  <c r="S109" i="7" s="1"/>
  <c r="U109" i="7" s="1"/>
  <c r="P75" i="7"/>
  <c r="S75" i="7" s="1"/>
  <c r="U75" i="7" s="1"/>
  <c r="P116" i="7"/>
  <c r="S116" i="7" s="1"/>
  <c r="U116" i="7" s="1"/>
  <c r="P118" i="7"/>
  <c r="S118" i="7" s="1"/>
  <c r="U118" i="7" s="1"/>
  <c r="P125" i="7"/>
  <c r="S125" i="7" s="1"/>
  <c r="U125" i="7" s="1"/>
  <c r="P62" i="7"/>
  <c r="S62" i="7" s="1"/>
  <c r="U62" i="7" s="1"/>
  <c r="P55" i="7"/>
  <c r="S55" i="7" s="1"/>
  <c r="U55" i="7" s="1"/>
  <c r="W16" i="9"/>
  <c r="P55" i="9"/>
  <c r="AC55" i="9" s="1"/>
  <c r="P131" i="9"/>
  <c r="R131" i="9" s="1"/>
  <c r="T131" i="9" s="1"/>
  <c r="J21" i="5"/>
  <c r="P56" i="7"/>
  <c r="S56" i="7" s="1"/>
  <c r="U56" i="7" s="1"/>
  <c r="P117" i="7"/>
  <c r="S117" i="7" s="1"/>
  <c r="U117" i="7" s="1"/>
  <c r="P89" i="7"/>
  <c r="S89" i="7" s="1"/>
  <c r="U89" i="7" s="1"/>
  <c r="P108" i="7"/>
  <c r="S108" i="7" s="1"/>
  <c r="U108" i="7" s="1"/>
  <c r="P67" i="7"/>
  <c r="S67" i="7" s="1"/>
  <c r="U67" i="7" s="1"/>
  <c r="P89" i="10"/>
  <c r="AI89" i="10" s="1"/>
  <c r="P82" i="7"/>
  <c r="S82" i="7" s="1"/>
  <c r="U82" i="7" s="1"/>
  <c r="P90" i="7"/>
  <c r="S90" i="7" s="1"/>
  <c r="U90" i="7" s="1"/>
  <c r="P57" i="7"/>
  <c r="S57" i="7" s="1"/>
  <c r="U57" i="7" s="1"/>
  <c r="P50" i="7"/>
  <c r="S50" i="7" s="1"/>
  <c r="U50" i="7" s="1"/>
  <c r="P47" i="7"/>
  <c r="S47" i="7" s="1"/>
  <c r="U47" i="7" s="1"/>
  <c r="P86" i="7"/>
  <c r="S86" i="7" s="1"/>
  <c r="U86" i="7" s="1"/>
  <c r="P106" i="7"/>
  <c r="S106" i="7" s="1"/>
  <c r="U106" i="7" s="1"/>
  <c r="P51" i="7"/>
  <c r="S51" i="7" s="1"/>
  <c r="U51" i="7" s="1"/>
  <c r="P104" i="7"/>
  <c r="S104" i="7" s="1"/>
  <c r="U104" i="7" s="1"/>
  <c r="P70" i="7"/>
  <c r="S70" i="7" s="1"/>
  <c r="U70" i="7" s="1"/>
  <c r="P68" i="7"/>
  <c r="S68" i="7" s="1"/>
  <c r="U68" i="7" s="1"/>
  <c r="P71" i="7"/>
  <c r="S71" i="7" s="1"/>
  <c r="U71" i="7" s="1"/>
  <c r="P124" i="7"/>
  <c r="S124" i="7" s="1"/>
  <c r="U124" i="7" s="1"/>
  <c r="P92" i="7"/>
  <c r="S92" i="7" s="1"/>
  <c r="U92" i="7" s="1"/>
  <c r="P53" i="7"/>
  <c r="S53" i="7" s="1"/>
  <c r="U53" i="7" s="1"/>
  <c r="P88" i="7"/>
  <c r="S88" i="7" s="1"/>
  <c r="U88" i="7" s="1"/>
  <c r="P123" i="7"/>
  <c r="S123" i="7" s="1"/>
  <c r="U123" i="7" s="1"/>
  <c r="P81" i="7"/>
  <c r="S81" i="7" s="1"/>
  <c r="U81" i="7" s="1"/>
  <c r="P115" i="7"/>
  <c r="S115" i="7" s="1"/>
  <c r="U115" i="7" s="1"/>
  <c r="P120" i="7"/>
  <c r="S120" i="7" s="1"/>
  <c r="U120" i="7" s="1"/>
  <c r="P111" i="7"/>
  <c r="S111" i="7" s="1"/>
  <c r="U111" i="7" s="1"/>
  <c r="P95" i="7"/>
  <c r="S95" i="7" s="1"/>
  <c r="U95" i="7" s="1"/>
  <c r="P98" i="7"/>
  <c r="S98" i="7" s="1"/>
  <c r="U98" i="7" s="1"/>
  <c r="P54" i="7"/>
  <c r="S54" i="7" s="1"/>
  <c r="U54" i="7" s="1"/>
  <c r="P105" i="7"/>
  <c r="S105" i="7" s="1"/>
  <c r="U105" i="7" s="1"/>
  <c r="P76" i="7"/>
  <c r="S76" i="7" s="1"/>
  <c r="U76" i="7" s="1"/>
  <c r="P74" i="7"/>
  <c r="S74" i="7" s="1"/>
  <c r="U74" i="7" s="1"/>
  <c r="P119" i="7"/>
  <c r="S119" i="7" s="1"/>
  <c r="U119" i="7" s="1"/>
  <c r="P84" i="7"/>
  <c r="S84" i="7" s="1"/>
  <c r="U84" i="7" s="1"/>
  <c r="P115" i="9"/>
  <c r="AC115" i="9" s="1"/>
  <c r="P111" i="9"/>
  <c r="W26" i="9"/>
  <c r="P87" i="7"/>
  <c r="S87" i="7" s="1"/>
  <c r="U87" i="7" s="1"/>
  <c r="P83" i="10"/>
  <c r="AI83" i="10" s="1"/>
  <c r="P33" i="10"/>
  <c r="R33" i="10" s="1"/>
  <c r="P96" i="7"/>
  <c r="S96" i="7" s="1"/>
  <c r="U96" i="7" s="1"/>
  <c r="P122" i="7"/>
  <c r="S122" i="7" s="1"/>
  <c r="U122" i="7" s="1"/>
  <c r="P103" i="7"/>
  <c r="S103" i="7" s="1"/>
  <c r="U103" i="7" s="1"/>
  <c r="K21" i="5"/>
  <c r="P164" i="9"/>
  <c r="AF164" i="9" s="1"/>
  <c r="P66" i="9"/>
  <c r="AC66" i="9" s="1"/>
  <c r="G216" i="4"/>
  <c r="K216" i="4" s="1"/>
  <c r="P216" i="4"/>
  <c r="G215" i="4"/>
  <c r="K215" i="4" s="1"/>
  <c r="P215" i="4"/>
  <c r="R215" i="4" s="1"/>
  <c r="T215" i="4" s="1"/>
  <c r="K206" i="9"/>
  <c r="Z205" i="9"/>
  <c r="G205" i="9"/>
  <c r="P205" i="9"/>
  <c r="AU205" i="9"/>
  <c r="AU206" i="9"/>
  <c r="P206" i="9"/>
  <c r="R206" i="9" s="1"/>
  <c r="T206" i="9" s="1"/>
  <c r="Z206" i="9"/>
  <c r="P108" i="10"/>
  <c r="AI108" i="10" s="1"/>
  <c r="E86" i="8"/>
  <c r="E134" i="8"/>
  <c r="E19" i="8"/>
  <c r="F138" i="4"/>
  <c r="E50" i="8"/>
  <c r="E113" i="8"/>
  <c r="E107" i="8"/>
  <c r="E96" i="8"/>
  <c r="E22" i="8"/>
  <c r="E45" i="8"/>
  <c r="E38" i="8"/>
  <c r="E90" i="8"/>
  <c r="E75" i="8"/>
  <c r="E73" i="8"/>
  <c r="E65" i="8"/>
  <c r="G210" i="4"/>
  <c r="K210" i="4" s="1"/>
  <c r="P210" i="4"/>
  <c r="AK103" i="9"/>
  <c r="AJ103" i="9"/>
  <c r="AI103" i="9"/>
  <c r="G81" i="9"/>
  <c r="K81" i="9" s="1"/>
  <c r="AU81" i="9"/>
  <c r="AT81" i="9" s="1"/>
  <c r="AS81" i="9" s="1"/>
  <c r="AR81" i="9" s="1"/>
  <c r="AQ81" i="9" s="1"/>
  <c r="AP81" i="9" s="1"/>
  <c r="AO81" i="9" s="1"/>
  <c r="AN81" i="9" s="1"/>
  <c r="AM81" i="9" s="1"/>
  <c r="AL81" i="9" s="1"/>
  <c r="Z21" i="9"/>
  <c r="AU21" i="9"/>
  <c r="G21" i="9"/>
  <c r="K21" i="9" s="1"/>
  <c r="AI161" i="9"/>
  <c r="AK161" i="9"/>
  <c r="AJ109" i="9"/>
  <c r="AK109" i="9"/>
  <c r="AJ107" i="9"/>
  <c r="AK107" i="9"/>
  <c r="AI36" i="9"/>
  <c r="AJ36" i="9"/>
  <c r="AK36" i="9"/>
  <c r="AK179" i="9"/>
  <c r="AI179" i="9"/>
  <c r="AH179" i="9" s="1"/>
  <c r="AA179" i="9" s="1"/>
  <c r="AI171" i="9"/>
  <c r="AJ171" i="9"/>
  <c r="AK171" i="9"/>
  <c r="AI33" i="9"/>
  <c r="AH33" i="9" s="1"/>
  <c r="AA33" i="9" s="1"/>
  <c r="AK33" i="9"/>
  <c r="AI174" i="9"/>
  <c r="AJ174" i="9"/>
  <c r="AK174" i="9"/>
  <c r="AT153" i="9"/>
  <c r="AS153" i="9"/>
  <c r="AR153" i="9" s="1"/>
  <c r="AQ153" i="9" s="1"/>
  <c r="AP153" i="9" s="1"/>
  <c r="AO153" i="9" s="1"/>
  <c r="AN153" i="9" s="1"/>
  <c r="AM153" i="9" s="1"/>
  <c r="AL153" i="9" s="1"/>
  <c r="AS126" i="9"/>
  <c r="AR126" i="9" s="1"/>
  <c r="AQ126" i="9" s="1"/>
  <c r="AP126" i="9" s="1"/>
  <c r="AO126" i="9" s="1"/>
  <c r="AN126" i="9" s="1"/>
  <c r="AM126" i="9" s="1"/>
  <c r="AL126" i="9" s="1"/>
  <c r="AT39" i="9"/>
  <c r="AS39" i="9" s="1"/>
  <c r="AR39" i="9" s="1"/>
  <c r="AQ39" i="9" s="1"/>
  <c r="AP39" i="9" s="1"/>
  <c r="AO39" i="9" s="1"/>
  <c r="AN39" i="9" s="1"/>
  <c r="AM39" i="9" s="1"/>
  <c r="AL39" i="9" s="1"/>
  <c r="AT51" i="9"/>
  <c r="AS51" i="9" s="1"/>
  <c r="AR51" i="9" s="1"/>
  <c r="AQ51" i="9" s="1"/>
  <c r="AP51" i="9" s="1"/>
  <c r="AO51" i="9" s="1"/>
  <c r="AN51" i="9" s="1"/>
  <c r="AM51" i="9" s="1"/>
  <c r="AL51" i="9" s="1"/>
  <c r="Z114" i="9"/>
  <c r="G114" i="9"/>
  <c r="K114" i="9" s="1"/>
  <c r="AU114" i="9"/>
  <c r="AT114" i="9" s="1"/>
  <c r="AS114" i="9" s="1"/>
  <c r="AR114" i="9" s="1"/>
  <c r="AQ114" i="9" s="1"/>
  <c r="AP114" i="9" s="1"/>
  <c r="AO114" i="9" s="1"/>
  <c r="AN114" i="9" s="1"/>
  <c r="AM114" i="9" s="1"/>
  <c r="AL114" i="9" s="1"/>
  <c r="Z61" i="9"/>
  <c r="AU61" i="9"/>
  <c r="AT61" i="9" s="1"/>
  <c r="Z48" i="9"/>
  <c r="G48" i="9"/>
  <c r="I48" i="9" s="1"/>
  <c r="AU48" i="9"/>
  <c r="AT48" i="9" s="1"/>
  <c r="AS48" i="9" s="1"/>
  <c r="AR48" i="9" s="1"/>
  <c r="AQ48" i="9" s="1"/>
  <c r="AP48" i="9" s="1"/>
  <c r="AO48" i="9" s="1"/>
  <c r="AN48" i="9" s="1"/>
  <c r="AM48" i="9" s="1"/>
  <c r="AL48" i="9" s="1"/>
  <c r="AJ48" i="9" s="1"/>
  <c r="Z43" i="9"/>
  <c r="AU43" i="9"/>
  <c r="G137" i="9"/>
  <c r="AU137" i="9"/>
  <c r="Z137" i="9"/>
  <c r="AA121" i="9"/>
  <c r="AI62" i="9"/>
  <c r="AJ62" i="9"/>
  <c r="AK62" i="9"/>
  <c r="AK49" i="9"/>
  <c r="AJ49" i="9"/>
  <c r="AH187" i="9"/>
  <c r="AH74" i="9"/>
  <c r="AS105" i="9"/>
  <c r="AR105" i="9" s="1"/>
  <c r="AQ105" i="9" s="1"/>
  <c r="AP105" i="9" s="1"/>
  <c r="AO105" i="9" s="1"/>
  <c r="AN105" i="9" s="1"/>
  <c r="AM105" i="9" s="1"/>
  <c r="AL105" i="9" s="1"/>
  <c r="AI105" i="9" s="1"/>
  <c r="G53" i="9"/>
  <c r="K53" i="9" s="1"/>
  <c r="AU53" i="9"/>
  <c r="AT53" i="9" s="1"/>
  <c r="AS53" i="9" s="1"/>
  <c r="AR53" i="9" s="1"/>
  <c r="AQ53" i="9" s="1"/>
  <c r="AP53" i="9" s="1"/>
  <c r="AO53" i="9" s="1"/>
  <c r="AN53" i="9" s="1"/>
  <c r="AM53" i="9" s="1"/>
  <c r="AL53" i="9" s="1"/>
  <c r="AT35" i="9"/>
  <c r="AS35" i="9" s="1"/>
  <c r="AR35" i="9" s="1"/>
  <c r="AQ35" i="9" s="1"/>
  <c r="AP35" i="9" s="1"/>
  <c r="AO35" i="9" s="1"/>
  <c r="AN35" i="9" s="1"/>
  <c r="AM35" i="9" s="1"/>
  <c r="AL35" i="9" s="1"/>
  <c r="Z28" i="9"/>
  <c r="AU28" i="9"/>
  <c r="Z23" i="9"/>
  <c r="AU23" i="9"/>
  <c r="AT23" i="9" s="1"/>
  <c r="AS23" i="9" s="1"/>
  <c r="AR23" i="9" s="1"/>
  <c r="AQ23" i="9" s="1"/>
  <c r="AP23" i="9" s="1"/>
  <c r="AO23" i="9" s="1"/>
  <c r="AN23" i="9" s="1"/>
  <c r="AM23" i="9" s="1"/>
  <c r="AL23" i="9" s="1"/>
  <c r="P23" i="9"/>
  <c r="AB33" i="9"/>
  <c r="J33" i="9"/>
  <c r="AI176" i="9"/>
  <c r="AK176" i="9"/>
  <c r="AT141" i="9"/>
  <c r="AS141" i="9" s="1"/>
  <c r="AR141" i="9" s="1"/>
  <c r="AQ141" i="9" s="1"/>
  <c r="AP141" i="9" s="1"/>
  <c r="AO141" i="9" s="1"/>
  <c r="AN141" i="9" s="1"/>
  <c r="AM141" i="9" s="1"/>
  <c r="AL141" i="9" s="1"/>
  <c r="AT77" i="9"/>
  <c r="AS77" i="9" s="1"/>
  <c r="AR77" i="9"/>
  <c r="AQ77" i="9" s="1"/>
  <c r="AP77" i="9" s="1"/>
  <c r="AO77" i="9" s="1"/>
  <c r="AN77" i="9" s="1"/>
  <c r="AM77" i="9" s="1"/>
  <c r="AL77" i="9" s="1"/>
  <c r="AJ154" i="9"/>
  <c r="AI154" i="9"/>
  <c r="AS89" i="9"/>
  <c r="AR89" i="9" s="1"/>
  <c r="AQ89" i="9" s="1"/>
  <c r="AP89" i="9" s="1"/>
  <c r="AO89" i="9" s="1"/>
  <c r="AN89" i="9" s="1"/>
  <c r="AM89" i="9" s="1"/>
  <c r="AL89" i="9" s="1"/>
  <c r="AK89" i="9" s="1"/>
  <c r="AJ71" i="9"/>
  <c r="AH71" i="9" s="1"/>
  <c r="AI71" i="9"/>
  <c r="G163" i="9"/>
  <c r="J163" i="9" s="1"/>
  <c r="AU163" i="9"/>
  <c r="AT163" i="9" s="1"/>
  <c r="AS163" i="9" s="1"/>
  <c r="AR163" i="9" s="1"/>
  <c r="AQ163" i="9" s="1"/>
  <c r="AP163" i="9" s="1"/>
  <c r="AO163" i="9" s="1"/>
  <c r="AN163" i="9" s="1"/>
  <c r="AM163" i="9" s="1"/>
  <c r="AL163" i="9" s="1"/>
  <c r="AT147" i="9"/>
  <c r="AS147" i="9" s="1"/>
  <c r="AR147" i="9"/>
  <c r="AQ147" i="9" s="1"/>
  <c r="AP147" i="9" s="1"/>
  <c r="AO147" i="9" s="1"/>
  <c r="AN147" i="9" s="1"/>
  <c r="AM147" i="9" s="1"/>
  <c r="AL147" i="9" s="1"/>
  <c r="Z125" i="9"/>
  <c r="AU125" i="9"/>
  <c r="AJ117" i="9"/>
  <c r="AH117" i="9" s="1"/>
  <c r="AA117" i="9" s="1"/>
  <c r="AI117" i="9"/>
  <c r="AK117" i="9"/>
  <c r="AK95" i="9"/>
  <c r="AI95" i="9"/>
  <c r="AJ95" i="9"/>
  <c r="AH95" i="9" s="1"/>
  <c r="Z195" i="9"/>
  <c r="AU195" i="9"/>
  <c r="AT195" i="9" s="1"/>
  <c r="G195" i="9"/>
  <c r="K195" i="9" s="1"/>
  <c r="AI82" i="9"/>
  <c r="AJ82" i="9"/>
  <c r="AK82" i="9"/>
  <c r="AI26" i="9"/>
  <c r="AJ26" i="9"/>
  <c r="AK26" i="9"/>
  <c r="AJ111" i="9"/>
  <c r="AI111" i="9"/>
  <c r="AH111" i="9" s="1"/>
  <c r="AK111" i="9"/>
  <c r="AT164" i="9"/>
  <c r="AS164" i="9" s="1"/>
  <c r="AR164" i="9" s="1"/>
  <c r="AQ164" i="9" s="1"/>
  <c r="AP164" i="9" s="1"/>
  <c r="AO164" i="9" s="1"/>
  <c r="AN164" i="9" s="1"/>
  <c r="AM164" i="9" s="1"/>
  <c r="AL164" i="9" s="1"/>
  <c r="P99" i="9"/>
  <c r="Z81" i="9"/>
  <c r="AJ184" i="9"/>
  <c r="AI184" i="9"/>
  <c r="AH184" i="9" s="1"/>
  <c r="AK184" i="9"/>
  <c r="G80" i="9"/>
  <c r="K80" i="9" s="1"/>
  <c r="Z80" i="9"/>
  <c r="AU80" i="9"/>
  <c r="AI129" i="9"/>
  <c r="AJ129" i="9"/>
  <c r="AK129" i="9"/>
  <c r="AJ96" i="9"/>
  <c r="AI96" i="9"/>
  <c r="AK96" i="9"/>
  <c r="AH107" i="9"/>
  <c r="AK177" i="9"/>
  <c r="AJ177" i="9"/>
  <c r="AI152" i="9"/>
  <c r="AH152" i="9" s="1"/>
  <c r="AJ152" i="9"/>
  <c r="AS156" i="9"/>
  <c r="AR156" i="9" s="1"/>
  <c r="AQ156" i="9" s="1"/>
  <c r="AP156" i="9" s="1"/>
  <c r="AO156" i="9" s="1"/>
  <c r="AN156" i="9" s="1"/>
  <c r="AM156" i="9" s="1"/>
  <c r="AL156" i="9" s="1"/>
  <c r="AK156" i="9" s="1"/>
  <c r="AJ76" i="9"/>
  <c r="AI76" i="9"/>
  <c r="AK76" i="9"/>
  <c r="AT29" i="9"/>
  <c r="AS29" i="9"/>
  <c r="AR29" i="9" s="1"/>
  <c r="AQ29" i="9" s="1"/>
  <c r="AP29" i="9" s="1"/>
  <c r="AO29" i="9" s="1"/>
  <c r="AN29" i="9" s="1"/>
  <c r="AM29" i="9" s="1"/>
  <c r="AL29" i="9" s="1"/>
  <c r="AJ29" i="9" s="1"/>
  <c r="AK170" i="9"/>
  <c r="AI170" i="9"/>
  <c r="AJ170" i="9"/>
  <c r="AI166" i="9"/>
  <c r="AH166" i="9" s="1"/>
  <c r="AJ166" i="9"/>
  <c r="AK166" i="9"/>
  <c r="G142" i="9"/>
  <c r="K142" i="9" s="1"/>
  <c r="AU142" i="9"/>
  <c r="AT142" i="9" s="1"/>
  <c r="AS142" i="9" s="1"/>
  <c r="AR142" i="9" s="1"/>
  <c r="AQ142" i="9" s="1"/>
  <c r="AP142" i="9" s="1"/>
  <c r="AO142" i="9" s="1"/>
  <c r="AN142" i="9" s="1"/>
  <c r="AM142" i="9" s="1"/>
  <c r="AL142" i="9" s="1"/>
  <c r="G116" i="9"/>
  <c r="J116" i="9" s="1"/>
  <c r="AU116" i="9"/>
  <c r="AT116" i="9" s="1"/>
  <c r="AS116" i="9" s="1"/>
  <c r="AR116" i="9" s="1"/>
  <c r="AQ116" i="9" s="1"/>
  <c r="AP116" i="9" s="1"/>
  <c r="AO116" i="9" s="1"/>
  <c r="AN116" i="9" s="1"/>
  <c r="AM116" i="9" s="1"/>
  <c r="AL116" i="9" s="1"/>
  <c r="AJ116" i="9" s="1"/>
  <c r="Z116" i="9"/>
  <c r="AJ75" i="9"/>
  <c r="AH75" i="9" s="1"/>
  <c r="AA75" i="9" s="1"/>
  <c r="AK75" i="9"/>
  <c r="G27" i="9"/>
  <c r="AU27" i="9"/>
  <c r="AT27" i="9" s="1"/>
  <c r="AS27" i="9" s="1"/>
  <c r="AR27" i="9" s="1"/>
  <c r="AQ27" i="9" s="1"/>
  <c r="AP27" i="9" s="1"/>
  <c r="AO27" i="9" s="1"/>
  <c r="AN27" i="9" s="1"/>
  <c r="AM27" i="9" s="1"/>
  <c r="AL27" i="9" s="1"/>
  <c r="AT99" i="9"/>
  <c r="AS99" i="9" s="1"/>
  <c r="AR99" i="9" s="1"/>
  <c r="AQ99" i="9"/>
  <c r="AP99" i="9" s="1"/>
  <c r="AO99" i="9" s="1"/>
  <c r="AN99" i="9" s="1"/>
  <c r="AM99" i="9" s="1"/>
  <c r="AL99" i="9" s="1"/>
  <c r="AK172" i="9"/>
  <c r="AI172" i="9"/>
  <c r="AT165" i="9"/>
  <c r="AS165" i="9" s="1"/>
  <c r="AR165" i="9" s="1"/>
  <c r="AQ165" i="9" s="1"/>
  <c r="AP165" i="9" s="1"/>
  <c r="AO165" i="9" s="1"/>
  <c r="AN165" i="9" s="1"/>
  <c r="AM165" i="9" s="1"/>
  <c r="AL165" i="9" s="1"/>
  <c r="AK104" i="9"/>
  <c r="AI104" i="9"/>
  <c r="AH104" i="9" s="1"/>
  <c r="G29" i="9"/>
  <c r="K29" i="9" s="1"/>
  <c r="Z29" i="9"/>
  <c r="G41" i="9"/>
  <c r="J41" i="9" s="1"/>
  <c r="AU41" i="9"/>
  <c r="AT41" i="9" s="1"/>
  <c r="AS41" i="9" s="1"/>
  <c r="AR41" i="9" s="1"/>
  <c r="AQ41" i="9" s="1"/>
  <c r="AP41" i="9" s="1"/>
  <c r="AO41" i="9" s="1"/>
  <c r="AN41" i="9" s="1"/>
  <c r="AM41" i="9" s="1"/>
  <c r="AL41" i="9" s="1"/>
  <c r="AT173" i="9"/>
  <c r="AS173" i="9" s="1"/>
  <c r="AR173" i="9" s="1"/>
  <c r="AQ173" i="9" s="1"/>
  <c r="AP173" i="9" s="1"/>
  <c r="AO173" i="9" s="1"/>
  <c r="AN173" i="9" s="1"/>
  <c r="AM173" i="9" s="1"/>
  <c r="AL173" i="9" s="1"/>
  <c r="AI132" i="9"/>
  <c r="AJ132" i="9"/>
  <c r="AK132" i="9"/>
  <c r="AI30" i="9"/>
  <c r="AJ30" i="9"/>
  <c r="AK30" i="9"/>
  <c r="G134" i="9"/>
  <c r="AU134" i="9"/>
  <c r="Z119" i="9"/>
  <c r="AU119" i="9"/>
  <c r="P31" i="9"/>
  <c r="R31" i="9" s="1"/>
  <c r="T31" i="9" s="1"/>
  <c r="AU31" i="9"/>
  <c r="G31" i="9"/>
  <c r="Z31" i="9"/>
  <c r="AJ187" i="9"/>
  <c r="AK100" i="9"/>
  <c r="AK69" i="9"/>
  <c r="AS85" i="9"/>
  <c r="AR85" i="9" s="1"/>
  <c r="AQ85" i="9" s="1"/>
  <c r="AP85" i="9" s="1"/>
  <c r="AO85" i="9" s="1"/>
  <c r="AN85" i="9" s="1"/>
  <c r="AM85" i="9" s="1"/>
  <c r="AL85" i="9" s="1"/>
  <c r="AS168" i="9"/>
  <c r="AR168" i="9" s="1"/>
  <c r="AQ168" i="9" s="1"/>
  <c r="AP168" i="9" s="1"/>
  <c r="AO168" i="9" s="1"/>
  <c r="AN168" i="9" s="1"/>
  <c r="AM168" i="9" s="1"/>
  <c r="AL168" i="9" s="1"/>
  <c r="AU151" i="9"/>
  <c r="AT151" i="9" s="1"/>
  <c r="AS151" i="9" s="1"/>
  <c r="AR151" i="9" s="1"/>
  <c r="AQ151" i="9" s="1"/>
  <c r="AP151" i="9" s="1"/>
  <c r="AO151" i="9" s="1"/>
  <c r="AN151" i="9" s="1"/>
  <c r="AM151" i="9" s="1"/>
  <c r="AL151" i="9" s="1"/>
  <c r="AU130" i="9"/>
  <c r="AU55" i="9"/>
  <c r="AU38" i="9"/>
  <c r="AT38" i="9" s="1"/>
  <c r="AS38" i="9" s="1"/>
  <c r="AR38" i="9" s="1"/>
  <c r="AQ38" i="9" s="1"/>
  <c r="AP38" i="9" s="1"/>
  <c r="AO38" i="9" s="1"/>
  <c r="AN38" i="9" s="1"/>
  <c r="AM38" i="9" s="1"/>
  <c r="AL38" i="9" s="1"/>
  <c r="AI38" i="9" s="1"/>
  <c r="G55" i="9"/>
  <c r="J55" i="9" s="1"/>
  <c r="AB64" i="9"/>
  <c r="AJ69" i="9"/>
  <c r="AH69" i="9" s="1"/>
  <c r="AK68" i="9"/>
  <c r="AU180" i="9"/>
  <c r="AT180" i="9" s="1"/>
  <c r="AS180" i="9" s="1"/>
  <c r="AR180" i="9" s="1"/>
  <c r="AQ180" i="9" s="1"/>
  <c r="AP180" i="9" s="1"/>
  <c r="AO180" i="9" s="1"/>
  <c r="AN180" i="9" s="1"/>
  <c r="AM180" i="9" s="1"/>
  <c r="AL180" i="9" s="1"/>
  <c r="AJ68" i="9"/>
  <c r="AH68" i="9" s="1"/>
  <c r="AK167" i="9"/>
  <c r="AU22" i="9"/>
  <c r="AT22" i="9" s="1"/>
  <c r="AS22" i="9" s="1"/>
  <c r="AR22" i="9" s="1"/>
  <c r="AQ22" i="9" s="1"/>
  <c r="AP22" i="9" s="1"/>
  <c r="AO22" i="9" s="1"/>
  <c r="AN22" i="9" s="1"/>
  <c r="AM22" i="9" s="1"/>
  <c r="AL22" i="9" s="1"/>
  <c r="P122" i="9"/>
  <c r="G177" i="9"/>
  <c r="K177" i="9" s="1"/>
  <c r="Z145" i="9"/>
  <c r="AH59" i="9"/>
  <c r="AB59" i="9" s="1"/>
  <c r="AH72" i="9"/>
  <c r="AK74" i="9"/>
  <c r="AJ167" i="9"/>
  <c r="AH167" i="9" s="1"/>
  <c r="AI158" i="9"/>
  <c r="AH158" i="9" s="1"/>
  <c r="AS122" i="9"/>
  <c r="AR122" i="9" s="1"/>
  <c r="AQ122" i="9" s="1"/>
  <c r="AP122" i="9" s="1"/>
  <c r="AO122" i="9" s="1"/>
  <c r="AN122" i="9" s="1"/>
  <c r="AM122" i="9" s="1"/>
  <c r="AL122" i="9" s="1"/>
  <c r="G151" i="9"/>
  <c r="K151" i="9" s="1"/>
  <c r="G122" i="9"/>
  <c r="J122" i="9" s="1"/>
  <c r="G164" i="9"/>
  <c r="G115" i="9"/>
  <c r="AB115" i="9" s="1"/>
  <c r="AJ113" i="9"/>
  <c r="AH113" i="9" s="1"/>
  <c r="AB113" i="9" s="1"/>
  <c r="AU60" i="9"/>
  <c r="Z91" i="9"/>
  <c r="Z165" i="9"/>
  <c r="P171" i="9"/>
  <c r="AI113" i="9"/>
  <c r="AJ146" i="9"/>
  <c r="AS145" i="9"/>
  <c r="AR145" i="9" s="1"/>
  <c r="AQ145" i="9" s="1"/>
  <c r="AP145" i="9" s="1"/>
  <c r="AO145" i="9" s="1"/>
  <c r="AN145" i="9" s="1"/>
  <c r="AM145" i="9" s="1"/>
  <c r="AL145" i="9" s="1"/>
  <c r="G154" i="9"/>
  <c r="Z200" i="9"/>
  <c r="G200" i="9"/>
  <c r="P200" i="9"/>
  <c r="AU200" i="9"/>
  <c r="P201" i="9"/>
  <c r="R201" i="9" s="1"/>
  <c r="T201" i="9" s="1"/>
  <c r="P93" i="10"/>
  <c r="AL93" i="10" s="1"/>
  <c r="P22" i="9"/>
  <c r="R22" i="9" s="1"/>
  <c r="T22" i="9" s="1"/>
  <c r="W3" i="9"/>
  <c r="W21" i="9"/>
  <c r="P113" i="9"/>
  <c r="P105" i="9"/>
  <c r="P152" i="9"/>
  <c r="P156" i="9"/>
  <c r="R156" i="9" s="1"/>
  <c r="T156" i="9" s="1"/>
  <c r="P117" i="9"/>
  <c r="R117" i="9" s="1"/>
  <c r="T117" i="9" s="1"/>
  <c r="P149" i="10"/>
  <c r="AL149" i="10" s="1"/>
  <c r="P67" i="10"/>
  <c r="AL67" i="10" s="1"/>
  <c r="W24" i="9"/>
  <c r="W20" i="9"/>
  <c r="P72" i="9"/>
  <c r="P80" i="9"/>
  <c r="P154" i="9"/>
  <c r="R154" i="9" s="1"/>
  <c r="T154" i="9" s="1"/>
  <c r="P53" i="9"/>
  <c r="AF53" i="9" s="1"/>
  <c r="P189" i="10"/>
  <c r="P144" i="10"/>
  <c r="AL144" i="10" s="1"/>
  <c r="P109" i="10"/>
  <c r="P90" i="10"/>
  <c r="P26" i="9"/>
  <c r="P52" i="9"/>
  <c r="W13" i="9"/>
  <c r="P56" i="9"/>
  <c r="P97" i="9"/>
  <c r="AF97" i="9" s="1"/>
  <c r="P48" i="9"/>
  <c r="P116" i="9"/>
  <c r="R116" i="9" s="1"/>
  <c r="T116" i="9" s="1"/>
  <c r="P166" i="9"/>
  <c r="P158" i="9"/>
  <c r="P141" i="9"/>
  <c r="P96" i="9"/>
  <c r="P184" i="10"/>
  <c r="AI184" i="10" s="1"/>
  <c r="P138" i="10"/>
  <c r="AI138" i="10" s="1"/>
  <c r="P194" i="9"/>
  <c r="R194" i="9" s="1"/>
  <c r="T194" i="9" s="1"/>
  <c r="W7" i="9"/>
  <c r="W11" i="9"/>
  <c r="P32" i="9"/>
  <c r="P40" i="9"/>
  <c r="AF40" i="9" s="1"/>
  <c r="P44" i="9"/>
  <c r="AC44" i="9" s="1"/>
  <c r="W12" i="9"/>
  <c r="P86" i="9"/>
  <c r="P46" i="9"/>
  <c r="AF46" i="9" s="1"/>
  <c r="P81" i="9"/>
  <c r="R81" i="9" s="1"/>
  <c r="T81" i="9" s="1"/>
  <c r="P107" i="9"/>
  <c r="P35" i="9"/>
  <c r="P102" i="9"/>
  <c r="R102" i="9" s="1"/>
  <c r="T102" i="9" s="1"/>
  <c r="P176" i="10"/>
  <c r="P131" i="10"/>
  <c r="R131" i="10" s="1"/>
  <c r="W14" i="9"/>
  <c r="W10" i="9"/>
  <c r="W15" i="9"/>
  <c r="W2" i="9"/>
  <c r="P38" i="9"/>
  <c r="P39" i="9"/>
  <c r="R39" i="9" s="1"/>
  <c r="T39" i="9" s="1"/>
  <c r="P36" i="9"/>
  <c r="W5" i="9"/>
  <c r="P83" i="9"/>
  <c r="R83" i="9" s="1"/>
  <c r="T83" i="9" s="1"/>
  <c r="P82" i="9"/>
  <c r="AC82" i="9" s="1"/>
  <c r="P110" i="9"/>
  <c r="P129" i="9"/>
  <c r="P168" i="9"/>
  <c r="R168" i="9" s="1"/>
  <c r="T168" i="9" s="1"/>
  <c r="P190" i="9"/>
  <c r="P172" i="9"/>
  <c r="P171" i="10"/>
  <c r="R171" i="10" s="1"/>
  <c r="P125" i="10"/>
  <c r="R125" i="10" s="1"/>
  <c r="W13" i="4"/>
  <c r="P21" i="9"/>
  <c r="W19" i="9"/>
  <c r="W6" i="9"/>
  <c r="P136" i="10"/>
  <c r="R136" i="10" s="1"/>
  <c r="P30" i="9"/>
  <c r="W17" i="9"/>
  <c r="P49" i="9"/>
  <c r="AC49" i="9" s="1"/>
  <c r="P91" i="9"/>
  <c r="P84" i="9"/>
  <c r="R84" i="9" s="1"/>
  <c r="T84" i="9" s="1"/>
  <c r="P71" i="9"/>
  <c r="P139" i="9"/>
  <c r="P76" i="9"/>
  <c r="AF76" i="9" s="1"/>
  <c r="P174" i="9"/>
  <c r="P137" i="9"/>
  <c r="R137" i="9" s="1"/>
  <c r="T137" i="9" s="1"/>
  <c r="P74" i="9"/>
  <c r="R74" i="9" s="1"/>
  <c r="T74" i="9" s="1"/>
  <c r="P178" i="9"/>
  <c r="R178" i="9" s="1"/>
  <c r="T178" i="9" s="1"/>
  <c r="P101" i="9"/>
  <c r="AC101" i="9" s="1"/>
  <c r="P48" i="10"/>
  <c r="P116" i="10"/>
  <c r="AI116" i="10" s="1"/>
  <c r="W23" i="9"/>
  <c r="W9" i="9"/>
  <c r="W25" i="9"/>
  <c r="P64" i="9"/>
  <c r="P33" i="9"/>
  <c r="P98" i="9"/>
  <c r="AC98" i="9" s="1"/>
  <c r="P114" i="9"/>
  <c r="P185" i="9"/>
  <c r="P160" i="10"/>
  <c r="P114" i="10"/>
  <c r="P55" i="6"/>
  <c r="S55" i="6" s="1"/>
  <c r="U55" i="6" s="1"/>
  <c r="E69" i="8"/>
  <c r="E63" i="8"/>
  <c r="E55" i="8"/>
  <c r="E48" i="8"/>
  <c r="E40" i="8"/>
  <c r="E32" i="8"/>
  <c r="F130" i="4"/>
  <c r="P130" i="4" s="1"/>
  <c r="R26" i="4"/>
  <c r="F24" i="4"/>
  <c r="G24" i="4" s="1"/>
  <c r="K24" i="4" s="1"/>
  <c r="E105" i="8"/>
  <c r="E132" i="8"/>
  <c r="E77" i="8"/>
  <c r="E114" i="8"/>
  <c r="E60" i="8"/>
  <c r="P93" i="4"/>
  <c r="E52" i="8"/>
  <c r="E116" i="8"/>
  <c r="E80" i="8"/>
  <c r="Z204" i="9"/>
  <c r="G204" i="9"/>
  <c r="P204" i="9"/>
  <c r="AU204" i="9"/>
  <c r="G214" i="4"/>
  <c r="K214" i="4" s="1"/>
  <c r="P214" i="4"/>
  <c r="P52" i="6"/>
  <c r="S52" i="6" s="1"/>
  <c r="U52" i="6" s="1"/>
  <c r="P53" i="6"/>
  <c r="S53" i="6" s="1"/>
  <c r="U53" i="6" s="1"/>
  <c r="P89" i="6"/>
  <c r="S89" i="6" s="1"/>
  <c r="U89" i="6" s="1"/>
  <c r="P119" i="6"/>
  <c r="S119" i="6" s="1"/>
  <c r="U119" i="6" s="1"/>
  <c r="P114" i="6"/>
  <c r="S114" i="6" s="1"/>
  <c r="U114" i="6" s="1"/>
  <c r="P97" i="6"/>
  <c r="S97" i="6" s="1"/>
  <c r="U97" i="6" s="1"/>
  <c r="P73" i="6"/>
  <c r="S73" i="6" s="1"/>
  <c r="U73" i="6" s="1"/>
  <c r="P84" i="6"/>
  <c r="S84" i="6" s="1"/>
  <c r="U84" i="6" s="1"/>
  <c r="P48" i="6"/>
  <c r="S48" i="6" s="1"/>
  <c r="U48" i="6" s="1"/>
  <c r="P93" i="6"/>
  <c r="S93" i="6" s="1"/>
  <c r="U93" i="6" s="1"/>
  <c r="P81" i="6"/>
  <c r="S81" i="6" s="1"/>
  <c r="U81" i="6" s="1"/>
  <c r="P70" i="6"/>
  <c r="S70" i="6" s="1"/>
  <c r="U70" i="6" s="1"/>
  <c r="P88" i="6"/>
  <c r="S88" i="6" s="1"/>
  <c r="U88" i="6" s="1"/>
  <c r="R88" i="9"/>
  <c r="T88" i="9" s="1"/>
  <c r="P62" i="6"/>
  <c r="S62" i="6" s="1"/>
  <c r="U62" i="6" s="1"/>
  <c r="P116" i="6"/>
  <c r="S116" i="6" s="1"/>
  <c r="U116" i="6" s="1"/>
  <c r="P85" i="6"/>
  <c r="S85" i="6" s="1"/>
  <c r="U85" i="6" s="1"/>
  <c r="P78" i="6"/>
  <c r="S78" i="6" s="1"/>
  <c r="U78" i="6" s="1"/>
  <c r="P102" i="6"/>
  <c r="S102" i="6" s="1"/>
  <c r="U102" i="6" s="1"/>
  <c r="P122" i="6"/>
  <c r="S122" i="6" s="1"/>
  <c r="U122" i="6" s="1"/>
  <c r="P98" i="6"/>
  <c r="S98" i="6" s="1"/>
  <c r="U98" i="6" s="1"/>
  <c r="P113" i="6"/>
  <c r="S113" i="6" s="1"/>
  <c r="U113" i="6" s="1"/>
  <c r="P58" i="6"/>
  <c r="S58" i="6" s="1"/>
  <c r="U58" i="6" s="1"/>
  <c r="P112" i="6"/>
  <c r="S112" i="6" s="1"/>
  <c r="U112" i="6" s="1"/>
  <c r="P108" i="6"/>
  <c r="S108" i="6" s="1"/>
  <c r="U108" i="6" s="1"/>
  <c r="P117" i="6"/>
  <c r="S117" i="6" s="1"/>
  <c r="U117" i="6" s="1"/>
  <c r="P77" i="6"/>
  <c r="S77" i="6" s="1"/>
  <c r="U77" i="6" s="1"/>
  <c r="P96" i="6"/>
  <c r="S96" i="6" s="1"/>
  <c r="U96" i="6" s="1"/>
  <c r="P118" i="6"/>
  <c r="S118" i="6" s="1"/>
  <c r="U118" i="6" s="1"/>
  <c r="P90" i="6"/>
  <c r="S90" i="6" s="1"/>
  <c r="U90" i="6" s="1"/>
  <c r="P95" i="6"/>
  <c r="S95" i="6" s="1"/>
  <c r="U95" i="6" s="1"/>
  <c r="P100" i="6"/>
  <c r="S100" i="6" s="1"/>
  <c r="U100" i="6" s="1"/>
  <c r="P68" i="6"/>
  <c r="S68" i="6" s="1"/>
  <c r="U68" i="6" s="1"/>
  <c r="P69" i="6"/>
  <c r="S69" i="6" s="1"/>
  <c r="U69" i="6" s="1"/>
  <c r="P64" i="6"/>
  <c r="S64" i="6" s="1"/>
  <c r="U64" i="6" s="1"/>
  <c r="P104" i="6"/>
  <c r="S104" i="6" s="1"/>
  <c r="U104" i="6" s="1"/>
  <c r="P65" i="6"/>
  <c r="S65" i="6" s="1"/>
  <c r="U65" i="6" s="1"/>
  <c r="P121" i="6"/>
  <c r="S121" i="6" s="1"/>
  <c r="U121" i="6" s="1"/>
  <c r="P109" i="6"/>
  <c r="S109" i="6" s="1"/>
  <c r="U109" i="6" s="1"/>
  <c r="P61" i="6"/>
  <c r="S61" i="6" s="1"/>
  <c r="U61" i="6" s="1"/>
  <c r="P103" i="6"/>
  <c r="S103" i="6" s="1"/>
  <c r="U103" i="6" s="1"/>
  <c r="P67" i="6"/>
  <c r="S67" i="6" s="1"/>
  <c r="U67" i="6" s="1"/>
  <c r="P86" i="6"/>
  <c r="S86" i="6" s="1"/>
  <c r="U86" i="6" s="1"/>
  <c r="P111" i="6"/>
  <c r="S111" i="6" s="1"/>
  <c r="U111" i="6" s="1"/>
  <c r="P79" i="6"/>
  <c r="S79" i="6" s="1"/>
  <c r="U79" i="6" s="1"/>
  <c r="P82" i="6"/>
  <c r="S82" i="6" s="1"/>
  <c r="U82" i="6" s="1"/>
  <c r="BB28" i="9"/>
  <c r="BA28" i="9"/>
  <c r="AZ28" i="9" s="1"/>
  <c r="AX28" i="9" s="1"/>
  <c r="BA7" i="9"/>
  <c r="BB7" i="9"/>
  <c r="BB16" i="9"/>
  <c r="BA16" i="9"/>
  <c r="AZ16" i="9" s="1"/>
  <c r="AX16" i="9" s="1"/>
  <c r="BA52" i="9"/>
  <c r="BB52" i="9"/>
  <c r="BA60" i="9"/>
  <c r="BB60" i="9"/>
  <c r="BA68" i="9"/>
  <c r="BB68" i="9"/>
  <c r="BB78" i="9"/>
  <c r="BA78" i="9"/>
  <c r="BA58" i="9"/>
  <c r="AZ58" i="9" s="1"/>
  <c r="AX58" i="9" s="1"/>
  <c r="BB58" i="9"/>
  <c r="BB8" i="9"/>
  <c r="BA8" i="9"/>
  <c r="AI98" i="9"/>
  <c r="AK98" i="9"/>
  <c r="AI182" i="9"/>
  <c r="AH182" i="9" s="1"/>
  <c r="AJ182" i="9"/>
  <c r="AK182" i="9"/>
  <c r="BA36" i="9"/>
  <c r="BB36" i="9"/>
  <c r="BA35" i="9"/>
  <c r="AZ35" i="9" s="1"/>
  <c r="AX35" i="9" s="1"/>
  <c r="BB35" i="9"/>
  <c r="BA30" i="9"/>
  <c r="AZ30" i="9" s="1"/>
  <c r="AX30" i="9" s="1"/>
  <c r="BB30" i="9"/>
  <c r="AD33" i="9"/>
  <c r="AE33" i="9"/>
  <c r="BB25" i="9"/>
  <c r="BA25" i="9"/>
  <c r="BB63" i="9"/>
  <c r="BA63" i="9"/>
  <c r="BA6" i="9"/>
  <c r="AZ6" i="9" s="1"/>
  <c r="AX6" i="9" s="1"/>
  <c r="BB6" i="9"/>
  <c r="AJ131" i="9"/>
  <c r="AI131" i="9"/>
  <c r="AK131" i="9"/>
  <c r="BA9" i="9"/>
  <c r="BB9" i="9"/>
  <c r="BB53" i="9"/>
  <c r="BA53" i="9"/>
  <c r="AZ53" i="9" s="1"/>
  <c r="AX53" i="9" s="1"/>
  <c r="AS195" i="9"/>
  <c r="AR195" i="9" s="1"/>
  <c r="AQ195" i="9" s="1"/>
  <c r="AP195" i="9" s="1"/>
  <c r="AH132" i="9"/>
  <c r="AK88" i="9"/>
  <c r="AH148" i="9"/>
  <c r="AK93" i="9"/>
  <c r="AJ176" i="9"/>
  <c r="AH176" i="9" s="1"/>
  <c r="AB176" i="9" s="1"/>
  <c r="AJ128" i="9"/>
  <c r="AH128" i="9" s="1"/>
  <c r="AJ185" i="9"/>
  <c r="AH185" i="9" s="1"/>
  <c r="AI89" i="9"/>
  <c r="AJ93" i="9"/>
  <c r="AH93" i="9" s="1"/>
  <c r="AI88" i="9"/>
  <c r="AH88" i="9" s="1"/>
  <c r="AK64" i="9"/>
  <c r="BA19" i="9"/>
  <c r="AZ19" i="9" s="1"/>
  <c r="AX19" i="9" s="1"/>
  <c r="AJ156" i="9"/>
  <c r="AK70" i="9"/>
  <c r="AA37" i="9"/>
  <c r="AE37" i="9" s="1"/>
  <c r="AA56" i="9"/>
  <c r="AI70" i="9"/>
  <c r="AH70" i="9" s="1"/>
  <c r="AA70" i="9" s="1"/>
  <c r="AI73" i="9"/>
  <c r="AJ147" i="9"/>
  <c r="AK46" i="9"/>
  <c r="AH103" i="9"/>
  <c r="AH30" i="9"/>
  <c r="AH49" i="9"/>
  <c r="AK23" i="9"/>
  <c r="AT178" i="9"/>
  <c r="AS178" i="9" s="1"/>
  <c r="AR178" i="9" s="1"/>
  <c r="AQ178" i="9" s="1"/>
  <c r="AP178" i="9" s="1"/>
  <c r="AO178" i="9" s="1"/>
  <c r="AN178" i="9" s="1"/>
  <c r="AM178" i="9" s="1"/>
  <c r="AL178" i="9" s="1"/>
  <c r="AT97" i="9"/>
  <c r="AS97" i="9" s="1"/>
  <c r="AR97" i="9" s="1"/>
  <c r="AQ97" i="9" s="1"/>
  <c r="AP97" i="9" s="1"/>
  <c r="AO97" i="9" s="1"/>
  <c r="AN97" i="9" s="1"/>
  <c r="AM97" i="9" s="1"/>
  <c r="AL97" i="9" s="1"/>
  <c r="AR32" i="9"/>
  <c r="AQ32" i="9" s="1"/>
  <c r="AP32" i="9" s="1"/>
  <c r="AO32" i="9" s="1"/>
  <c r="AN32" i="9" s="1"/>
  <c r="AM32" i="9" s="1"/>
  <c r="AL32" i="9" s="1"/>
  <c r="G160" i="9"/>
  <c r="P160" i="9"/>
  <c r="AC160" i="9" s="1"/>
  <c r="Z160" i="9"/>
  <c r="AA160" i="9" s="1"/>
  <c r="P128" i="9"/>
  <c r="AF128" i="9" s="1"/>
  <c r="G128" i="9"/>
  <c r="P79" i="9"/>
  <c r="AF79" i="9" s="1"/>
  <c r="Z79" i="9"/>
  <c r="P62" i="9"/>
  <c r="R62" i="9" s="1"/>
  <c r="T62" i="9" s="1"/>
  <c r="G62" i="9"/>
  <c r="G60" i="9"/>
  <c r="P60" i="9"/>
  <c r="Z167" i="9"/>
  <c r="G167" i="9"/>
  <c r="P167" i="9"/>
  <c r="G148" i="9"/>
  <c r="P148" i="9"/>
  <c r="Z117" i="9"/>
  <c r="G117" i="9"/>
  <c r="AB117" i="9" s="1"/>
  <c r="BK47" i="9"/>
  <c r="BJ47" i="9"/>
  <c r="BI47" i="9" s="1"/>
  <c r="BH47" i="9" s="1"/>
  <c r="BG47" i="9" s="1"/>
  <c r="BF47" i="9" s="1"/>
  <c r="BE47" i="9" s="1"/>
  <c r="BD47" i="9" s="1"/>
  <c r="BC47" i="9" s="1"/>
  <c r="P45" i="9"/>
  <c r="R45" i="9" s="1"/>
  <c r="T45" i="9" s="1"/>
  <c r="Z27" i="9"/>
  <c r="P27" i="9"/>
  <c r="AC27" i="9" s="1"/>
  <c r="Z148" i="9"/>
  <c r="P87" i="9"/>
  <c r="R87" i="9" s="1"/>
  <c r="T87" i="9" s="1"/>
  <c r="Z87" i="9"/>
  <c r="G87" i="9"/>
  <c r="J87" i="9" s="1"/>
  <c r="BK80" i="9"/>
  <c r="BJ80" i="9" s="1"/>
  <c r="BI80" i="9" s="1"/>
  <c r="BH80" i="9" s="1"/>
  <c r="BG80" i="9" s="1"/>
  <c r="BF80" i="9" s="1"/>
  <c r="BE80" i="9" s="1"/>
  <c r="BD80" i="9" s="1"/>
  <c r="BC80" i="9" s="1"/>
  <c r="G69" i="9"/>
  <c r="P69" i="9"/>
  <c r="Z69" i="9"/>
  <c r="Z35" i="9"/>
  <c r="G35" i="9"/>
  <c r="BL39" i="9"/>
  <c r="BL49" i="9"/>
  <c r="BL65" i="9"/>
  <c r="BL67" i="9"/>
  <c r="BL74" i="9"/>
  <c r="BL90" i="9"/>
  <c r="BL93" i="9"/>
  <c r="BL62" i="9"/>
  <c r="BL26" i="9"/>
  <c r="BL17" i="9"/>
  <c r="BL11" i="9"/>
  <c r="BL41" i="9"/>
  <c r="BL92" i="9"/>
  <c r="BL95" i="9"/>
  <c r="BL96" i="9"/>
  <c r="BL70" i="9"/>
  <c r="BL29" i="9"/>
  <c r="BL21" i="9"/>
  <c r="BL15" i="9"/>
  <c r="BL5" i="9"/>
  <c r="BL27" i="9"/>
  <c r="BL69" i="9"/>
  <c r="BL79" i="9"/>
  <c r="BL85" i="9"/>
  <c r="BL87" i="9"/>
  <c r="BL71" i="9"/>
  <c r="BL82" i="9"/>
  <c r="BL18" i="9"/>
  <c r="BL81" i="9"/>
  <c r="BL43" i="9"/>
  <c r="BL31" i="9"/>
  <c r="BL42" i="9"/>
  <c r="BL14" i="9"/>
  <c r="BL24" i="9"/>
  <c r="BL40" i="9"/>
  <c r="BL48" i="9"/>
  <c r="BL64" i="9"/>
  <c r="BL73" i="9"/>
  <c r="BL77" i="9"/>
  <c r="BL89" i="9"/>
  <c r="BL91" i="9"/>
  <c r="BL94" i="9"/>
  <c r="BL32" i="9"/>
  <c r="BL2" i="9"/>
  <c r="BL51" i="9"/>
  <c r="BL34" i="9"/>
  <c r="BL50" i="9"/>
  <c r="BL57" i="9"/>
  <c r="BL23" i="9"/>
  <c r="BL84" i="9"/>
  <c r="BL97" i="9"/>
  <c r="BL66" i="9"/>
  <c r="BL4" i="9"/>
  <c r="BL20" i="9"/>
  <c r="BL61" i="9"/>
  <c r="BL76" i="9"/>
  <c r="BL88" i="9"/>
  <c r="BL59" i="9"/>
  <c r="Z101" i="9"/>
  <c r="Z187" i="9"/>
  <c r="AA187" i="9" s="1"/>
  <c r="P187" i="9"/>
  <c r="P78" i="9"/>
  <c r="R78" i="9" s="1"/>
  <c r="T78" i="9" s="1"/>
  <c r="G78" i="9"/>
  <c r="G24" i="9"/>
  <c r="R24" i="9" s="1"/>
  <c r="T24" i="9" s="1"/>
  <c r="Z24" i="9"/>
  <c r="AA24" i="9" s="1"/>
  <c r="AN181" i="9"/>
  <c r="AM181" i="9" s="1"/>
  <c r="AL181" i="9" s="1"/>
  <c r="Z126" i="9"/>
  <c r="G126" i="9"/>
  <c r="G109" i="9"/>
  <c r="Z109" i="9"/>
  <c r="BK86" i="9"/>
  <c r="BJ86" i="9"/>
  <c r="BI86" i="9" s="1"/>
  <c r="BH86" i="9" s="1"/>
  <c r="BG86" i="9" s="1"/>
  <c r="BF86" i="9" s="1"/>
  <c r="BE86" i="9" s="1"/>
  <c r="BD86" i="9" s="1"/>
  <c r="BC86" i="9" s="1"/>
  <c r="Z84" i="9"/>
  <c r="G84" i="9"/>
  <c r="G182" i="9"/>
  <c r="Z182" i="9"/>
  <c r="AA182" i="9" s="1"/>
  <c r="AD182" i="9" s="1"/>
  <c r="P182" i="9"/>
  <c r="P176" i="9"/>
  <c r="R176" i="9" s="1"/>
  <c r="T176" i="9" s="1"/>
  <c r="G176" i="9"/>
  <c r="P169" i="9"/>
  <c r="Z169" i="9"/>
  <c r="BK75" i="9"/>
  <c r="BJ75" i="9" s="1"/>
  <c r="BI75" i="9" s="1"/>
  <c r="BH75" i="9" s="1"/>
  <c r="BG75" i="9" s="1"/>
  <c r="BF75" i="9" s="1"/>
  <c r="BE75" i="9" s="1"/>
  <c r="BD75" i="9" s="1"/>
  <c r="BC75" i="9" s="1"/>
  <c r="P68" i="9"/>
  <c r="R68" i="9" s="1"/>
  <c r="T68" i="9" s="1"/>
  <c r="Z68" i="9"/>
  <c r="AA68" i="9" s="1"/>
  <c r="G68" i="9"/>
  <c r="G185" i="9"/>
  <c r="G132" i="9"/>
  <c r="P132" i="9"/>
  <c r="AC132" i="9" s="1"/>
  <c r="Z132" i="9"/>
  <c r="P93" i="9"/>
  <c r="Z93" i="9"/>
  <c r="G93" i="9"/>
  <c r="BK83" i="9"/>
  <c r="BJ83" i="9"/>
  <c r="BI83" i="9" s="1"/>
  <c r="BH83" i="9" s="1"/>
  <c r="BG83" i="9" s="1"/>
  <c r="BF83" i="9" s="1"/>
  <c r="BE83" i="9" s="1"/>
  <c r="BD83" i="9" s="1"/>
  <c r="BC83" i="9" s="1"/>
  <c r="BK55" i="9"/>
  <c r="BI55" i="9"/>
  <c r="BH55" i="9" s="1"/>
  <c r="BG55" i="9" s="1"/>
  <c r="BF55" i="9" s="1"/>
  <c r="BE55" i="9" s="1"/>
  <c r="BD55" i="9" s="1"/>
  <c r="BC55" i="9" s="1"/>
  <c r="BJ55" i="9"/>
  <c r="Z153" i="9"/>
  <c r="G153" i="9"/>
  <c r="P153" i="9"/>
  <c r="R153" i="9" s="1"/>
  <c r="T153" i="9" s="1"/>
  <c r="G104" i="9"/>
  <c r="P104" i="9"/>
  <c r="R104" i="9" s="1"/>
  <c r="T104" i="9" s="1"/>
  <c r="G95" i="9"/>
  <c r="Z95" i="9"/>
  <c r="AA95" i="9" s="1"/>
  <c r="P95" i="9"/>
  <c r="R95" i="9" s="1"/>
  <c r="T95" i="9" s="1"/>
  <c r="P75" i="9"/>
  <c r="Z75" i="9"/>
  <c r="BK72" i="9"/>
  <c r="BJ72" i="9" s="1"/>
  <c r="BI72" i="9" s="1"/>
  <c r="BH72" i="9" s="1"/>
  <c r="BG72" i="9" s="1"/>
  <c r="BF72" i="9" s="1"/>
  <c r="BE72" i="9" s="1"/>
  <c r="BD72" i="9" s="1"/>
  <c r="BC72" i="9" s="1"/>
  <c r="Z41" i="9"/>
  <c r="P41" i="9"/>
  <c r="R41" i="9" s="1"/>
  <c r="T41" i="9" s="1"/>
  <c r="Z36" i="9"/>
  <c r="G36" i="9"/>
  <c r="P125" i="9"/>
  <c r="P51" i="9"/>
  <c r="G125" i="9"/>
  <c r="P89" i="9"/>
  <c r="P61" i="9"/>
  <c r="Z102" i="9"/>
  <c r="Z139" i="9"/>
  <c r="AA139" i="9" s="1"/>
  <c r="Z77" i="9"/>
  <c r="G61" i="9"/>
  <c r="G23" i="9"/>
  <c r="P179" i="9"/>
  <c r="R179" i="9" s="1"/>
  <c r="T179" i="9" s="1"/>
  <c r="P38" i="10"/>
  <c r="P91" i="10"/>
  <c r="P68" i="10"/>
  <c r="P70" i="10"/>
  <c r="P94" i="10"/>
  <c r="P97" i="10"/>
  <c r="P66" i="10"/>
  <c r="P103" i="10"/>
  <c r="P104" i="10"/>
  <c r="P107" i="10"/>
  <c r="P117" i="10"/>
  <c r="P52" i="10"/>
  <c r="P126" i="10"/>
  <c r="P139" i="10"/>
  <c r="P145" i="10"/>
  <c r="P155" i="10"/>
  <c r="P161" i="10"/>
  <c r="P165" i="10"/>
  <c r="P44" i="10"/>
  <c r="R44" i="10" s="1"/>
  <c r="P177" i="10"/>
  <c r="R177" i="10" s="1"/>
  <c r="P182" i="10"/>
  <c r="R182" i="10" s="1"/>
  <c r="P185" i="10"/>
  <c r="P190" i="10"/>
  <c r="P192" i="10"/>
  <c r="AI192" i="10" s="1"/>
  <c r="P72" i="10"/>
  <c r="P37" i="10"/>
  <c r="P105" i="10"/>
  <c r="P53" i="10"/>
  <c r="P29" i="10"/>
  <c r="P36" i="10"/>
  <c r="P30" i="10"/>
  <c r="P23" i="10"/>
  <c r="P106" i="10"/>
  <c r="P110" i="10"/>
  <c r="P57" i="10"/>
  <c r="P122" i="10"/>
  <c r="P132" i="10"/>
  <c r="P140" i="10"/>
  <c r="P150" i="10"/>
  <c r="P156" i="10"/>
  <c r="P22" i="10"/>
  <c r="P172" i="10"/>
  <c r="P178" i="10"/>
  <c r="P183" i="10"/>
  <c r="P130" i="10"/>
  <c r="P41" i="10"/>
  <c r="P111" i="10"/>
  <c r="P63" i="10"/>
  <c r="P27" i="10"/>
  <c r="P43" i="10"/>
  <c r="P77" i="10"/>
  <c r="P81" i="10"/>
  <c r="P65" i="10"/>
  <c r="P79" i="10"/>
  <c r="P71" i="10"/>
  <c r="P115" i="10"/>
  <c r="P118" i="10"/>
  <c r="P123" i="10"/>
  <c r="P127" i="10"/>
  <c r="P133" i="10"/>
  <c r="P141" i="10"/>
  <c r="P146" i="10"/>
  <c r="P151" i="10"/>
  <c r="P166" i="10"/>
  <c r="P168" i="10"/>
  <c r="P173" i="10"/>
  <c r="P179" i="10"/>
  <c r="P191" i="10"/>
  <c r="R191" i="10" s="1"/>
  <c r="P88" i="10"/>
  <c r="P60" i="10"/>
  <c r="P47" i="10"/>
  <c r="D16" i="10"/>
  <c r="D19" i="10" s="1"/>
  <c r="P73" i="10"/>
  <c r="P61" i="10"/>
  <c r="P98" i="10"/>
  <c r="P112" i="10"/>
  <c r="P58" i="10"/>
  <c r="P119" i="10"/>
  <c r="P134" i="10"/>
  <c r="P142" i="10"/>
  <c r="P152" i="10"/>
  <c r="P157" i="10"/>
  <c r="P162" i="10"/>
  <c r="P167" i="10"/>
  <c r="P174" i="10"/>
  <c r="P186" i="10"/>
  <c r="P193" i="10"/>
  <c r="P35" i="10"/>
  <c r="P85" i="10"/>
  <c r="P25" i="10"/>
  <c r="P26" i="10"/>
  <c r="P28" i="10"/>
  <c r="P32" i="10"/>
  <c r="P40" i="10"/>
  <c r="P74" i="10"/>
  <c r="P76" i="10"/>
  <c r="P95" i="10"/>
  <c r="P55" i="10"/>
  <c r="P120" i="10"/>
  <c r="P51" i="10"/>
  <c r="AL51" i="10" s="1"/>
  <c r="P128" i="10"/>
  <c r="P135" i="10"/>
  <c r="P147" i="10"/>
  <c r="R147" i="10" s="1"/>
  <c r="P153" i="10"/>
  <c r="P158" i="10"/>
  <c r="P187" i="10"/>
  <c r="P80" i="10"/>
  <c r="P62" i="10"/>
  <c r="P87" i="10"/>
  <c r="P24" i="10"/>
  <c r="P64" i="10"/>
  <c r="P84" i="10"/>
  <c r="P69" i="10"/>
  <c r="P101" i="10"/>
  <c r="AL101" i="10" s="1"/>
  <c r="P56" i="10"/>
  <c r="P113" i="10"/>
  <c r="R113" i="10" s="1"/>
  <c r="P50" i="10"/>
  <c r="P143" i="10"/>
  <c r="P148" i="10"/>
  <c r="P49" i="10"/>
  <c r="P163" i="10"/>
  <c r="P46" i="10"/>
  <c r="P169" i="10"/>
  <c r="R169" i="10" s="1"/>
  <c r="P175" i="10"/>
  <c r="P180" i="10"/>
  <c r="R180" i="10" s="1"/>
  <c r="P21" i="10"/>
  <c r="P82" i="10"/>
  <c r="P34" i="10"/>
  <c r="AL34" i="10" s="1"/>
  <c r="P78" i="10"/>
  <c r="P86" i="10"/>
  <c r="P31" i="10"/>
  <c r="P42" i="10"/>
  <c r="P45" i="10"/>
  <c r="P75" i="10"/>
  <c r="AI75" i="10" s="1"/>
  <c r="P96" i="10"/>
  <c r="P99" i="10"/>
  <c r="P100" i="10"/>
  <c r="P59" i="10"/>
  <c r="P54" i="10"/>
  <c r="P121" i="10"/>
  <c r="P124" i="10"/>
  <c r="P129" i="10"/>
  <c r="P137" i="10"/>
  <c r="P159" i="10"/>
  <c r="AI159" i="10" s="1"/>
  <c r="P164" i="10"/>
  <c r="P170" i="10"/>
  <c r="P181" i="10"/>
  <c r="AI181" i="10" s="1"/>
  <c r="P188" i="10"/>
  <c r="D15" i="10"/>
  <c r="C19" i="10" s="1"/>
  <c r="P92" i="10"/>
  <c r="AI92" i="10" s="1"/>
  <c r="P39" i="10"/>
  <c r="P149" i="4"/>
  <c r="R149" i="4" s="1"/>
  <c r="T149" i="4" s="1"/>
  <c r="W6" i="4"/>
  <c r="W14" i="4"/>
  <c r="W20" i="4"/>
  <c r="W7" i="4"/>
  <c r="W15" i="4"/>
  <c r="W21" i="4"/>
  <c r="W8" i="4"/>
  <c r="W22" i="4"/>
  <c r="W9" i="4"/>
  <c r="W16" i="4"/>
  <c r="W23" i="4"/>
  <c r="W2" i="4"/>
  <c r="W10" i="4"/>
  <c r="W24" i="4"/>
  <c r="W3" i="4"/>
  <c r="W11" i="4"/>
  <c r="W17" i="4"/>
  <c r="W25" i="4"/>
  <c r="P127" i="4"/>
  <c r="R127" i="4" s="1"/>
  <c r="T127" i="4" s="1"/>
  <c r="P169" i="4"/>
  <c r="R169" i="4" s="1"/>
  <c r="T169" i="4" s="1"/>
  <c r="W4" i="4"/>
  <c r="W12" i="4"/>
  <c r="W18" i="4"/>
  <c r="P199" i="4"/>
  <c r="AF101" i="9"/>
  <c r="P191" i="4"/>
  <c r="P180" i="4"/>
  <c r="P107" i="4"/>
  <c r="P96" i="4"/>
  <c r="R96" i="4" s="1"/>
  <c r="T96" i="4" s="1"/>
  <c r="P75" i="4"/>
  <c r="P65" i="4"/>
  <c r="P58" i="4"/>
  <c r="H21" i="5"/>
  <c r="P28" i="9"/>
  <c r="W22" i="9"/>
  <c r="W18" i="9"/>
  <c r="P137" i="4"/>
  <c r="P92" i="4"/>
  <c r="P71" i="4"/>
  <c r="P61" i="4"/>
  <c r="P179" i="4"/>
  <c r="P109" i="4"/>
  <c r="R109" i="4" s="1"/>
  <c r="T109" i="4" s="1"/>
  <c r="P106" i="4"/>
  <c r="P102" i="4"/>
  <c r="P98" i="4"/>
  <c r="P54" i="4"/>
  <c r="P34" i="9"/>
  <c r="P99" i="6"/>
  <c r="S99" i="6" s="1"/>
  <c r="U99" i="6" s="1"/>
  <c r="P201" i="4"/>
  <c r="P193" i="4"/>
  <c r="P165" i="4"/>
  <c r="P129" i="4"/>
  <c r="P77" i="4"/>
  <c r="P70" i="4"/>
  <c r="P67" i="4"/>
  <c r="P60" i="4"/>
  <c r="P178" i="4"/>
  <c r="P119" i="4"/>
  <c r="R119" i="4" s="1"/>
  <c r="T119" i="4" s="1"/>
  <c r="P101" i="4"/>
  <c r="P97" i="4"/>
  <c r="P91" i="4"/>
  <c r="R91" i="4" s="1"/>
  <c r="T91" i="4" s="1"/>
  <c r="P63" i="4"/>
  <c r="P185" i="4"/>
  <c r="P94" i="4"/>
  <c r="P76" i="4"/>
  <c r="P73" i="4"/>
  <c r="R73" i="4" s="1"/>
  <c r="T73" i="4" s="1"/>
  <c r="P66" i="4"/>
  <c r="P56" i="4"/>
  <c r="R56" i="4" s="1"/>
  <c r="T56" i="4" s="1"/>
  <c r="R82" i="9"/>
  <c r="T82" i="9" s="1"/>
  <c r="P37" i="9"/>
  <c r="R37" i="9" s="1"/>
  <c r="T37" i="9" s="1"/>
  <c r="P206" i="4"/>
  <c r="P181" i="4"/>
  <c r="P160" i="4"/>
  <c r="P157" i="4"/>
  <c r="P138" i="4"/>
  <c r="P115" i="4"/>
  <c r="P108" i="4"/>
  <c r="R108" i="4" s="1"/>
  <c r="T108" i="4" s="1"/>
  <c r="P104" i="4"/>
  <c r="P100" i="4"/>
  <c r="P79" i="4"/>
  <c r="P69" i="4"/>
  <c r="P72" i="4"/>
  <c r="R72" i="4" s="1"/>
  <c r="T72" i="4" s="1"/>
  <c r="G72" i="4"/>
  <c r="K72" i="4" s="1"/>
  <c r="P62" i="4"/>
  <c r="G62" i="4"/>
  <c r="I62" i="4" s="1"/>
  <c r="G52" i="4"/>
  <c r="J52" i="4" s="1"/>
  <c r="P52" i="4"/>
  <c r="R45" i="4"/>
  <c r="T45" i="4" s="1"/>
  <c r="J45" i="4"/>
  <c r="G212" i="4"/>
  <c r="K212" i="4" s="1"/>
  <c r="P212" i="4"/>
  <c r="P78" i="4"/>
  <c r="G78" i="4"/>
  <c r="K78" i="4" s="1"/>
  <c r="P68" i="4"/>
  <c r="G68" i="4"/>
  <c r="J68" i="4" s="1"/>
  <c r="G51" i="4"/>
  <c r="J51" i="4" s="1"/>
  <c r="P51" i="4"/>
  <c r="G152" i="4"/>
  <c r="K152" i="4" s="1"/>
  <c r="P152" i="4"/>
  <c r="G89" i="4"/>
  <c r="J89" i="4" s="1"/>
  <c r="P89" i="4"/>
  <c r="G183" i="4"/>
  <c r="K183" i="4" s="1"/>
  <c r="P183" i="4"/>
  <c r="G81" i="4"/>
  <c r="K81" i="4" s="1"/>
  <c r="P81" i="4"/>
  <c r="R81" i="4" s="1"/>
  <c r="P64" i="4"/>
  <c r="R64" i="4" s="1"/>
  <c r="T64" i="4" s="1"/>
  <c r="G64" i="4"/>
  <c r="J64" i="4" s="1"/>
  <c r="P27" i="4"/>
  <c r="R27" i="4" s="1"/>
  <c r="T27" i="4" s="1"/>
  <c r="G27" i="4"/>
  <c r="K27" i="4" s="1"/>
  <c r="G197" i="4"/>
  <c r="K197" i="4" s="1"/>
  <c r="P197" i="4"/>
  <c r="P57" i="4"/>
  <c r="G57" i="4"/>
  <c r="J57" i="4" s="1"/>
  <c r="P55" i="4"/>
  <c r="G55" i="4"/>
  <c r="J55" i="4" s="1"/>
  <c r="P161" i="4"/>
  <c r="G161" i="4"/>
  <c r="K161" i="4" s="1"/>
  <c r="P147" i="4"/>
  <c r="G147" i="4"/>
  <c r="K147" i="4" s="1"/>
  <c r="G84" i="4"/>
  <c r="J84" i="4" s="1"/>
  <c r="P84" i="4"/>
  <c r="P80" i="4"/>
  <c r="R80" i="4" s="1"/>
  <c r="T80" i="4" s="1"/>
  <c r="G80" i="4"/>
  <c r="K80" i="4" s="1"/>
  <c r="P53" i="4"/>
  <c r="G53" i="4"/>
  <c r="K53" i="4" s="1"/>
  <c r="G170" i="4"/>
  <c r="I170" i="4" s="1"/>
  <c r="P170" i="4"/>
  <c r="P153" i="4"/>
  <c r="R153" i="4" s="1"/>
  <c r="T153" i="4" s="1"/>
  <c r="G153" i="4"/>
  <c r="K153" i="4" s="1"/>
  <c r="G135" i="4"/>
  <c r="K135" i="4" s="1"/>
  <c r="P135" i="4"/>
  <c r="P111" i="4"/>
  <c r="G111" i="4"/>
  <c r="K111" i="4" s="1"/>
  <c r="P59" i="4"/>
  <c r="G59" i="4"/>
  <c r="J59" i="4" s="1"/>
  <c r="E123" i="8"/>
  <c r="E61" i="8"/>
  <c r="G185" i="4"/>
  <c r="K185" i="4" s="1"/>
  <c r="P168" i="4"/>
  <c r="R168" i="4" s="1"/>
  <c r="T168" i="4" s="1"/>
  <c r="G160" i="4"/>
  <c r="K160" i="4" s="1"/>
  <c r="P158" i="4"/>
  <c r="R158" i="4" s="1"/>
  <c r="T158" i="4" s="1"/>
  <c r="F155" i="4"/>
  <c r="P155" i="4" s="1"/>
  <c r="F150" i="4"/>
  <c r="F143" i="4"/>
  <c r="F123" i="4"/>
  <c r="G123" i="4" s="1"/>
  <c r="K123" i="4" s="1"/>
  <c r="F112" i="4"/>
  <c r="G112" i="4" s="1"/>
  <c r="K112" i="4" s="1"/>
  <c r="G76" i="4"/>
  <c r="J76" i="4" s="1"/>
  <c r="F74" i="4"/>
  <c r="G60" i="4"/>
  <c r="J60" i="4" s="1"/>
  <c r="G58" i="4"/>
  <c r="J58" i="4" s="1"/>
  <c r="G56" i="4"/>
  <c r="J56" i="4" s="1"/>
  <c r="G54" i="4"/>
  <c r="J54" i="4" s="1"/>
  <c r="P177" i="4"/>
  <c r="R177" i="4" s="1"/>
  <c r="T177" i="4" s="1"/>
  <c r="G109" i="4"/>
  <c r="J109" i="4" s="1"/>
  <c r="G104" i="4"/>
  <c r="K104" i="4" s="1"/>
  <c r="G101" i="4"/>
  <c r="G92" i="4"/>
  <c r="K92" i="4" s="1"/>
  <c r="P50" i="4"/>
  <c r="R50" i="4" s="1"/>
  <c r="T50" i="4" s="1"/>
  <c r="I48" i="4"/>
  <c r="E110" i="8"/>
  <c r="E84" i="8"/>
  <c r="P211" i="4"/>
  <c r="R211" i="4" s="1"/>
  <c r="T211" i="4" s="1"/>
  <c r="P189" i="4"/>
  <c r="R189" i="4" s="1"/>
  <c r="T189" i="4" s="1"/>
  <c r="P167" i="4"/>
  <c r="R167" i="4" s="1"/>
  <c r="T167" i="4" s="1"/>
  <c r="P116" i="4"/>
  <c r="R116" i="4" s="1"/>
  <c r="T116" i="4" s="1"/>
  <c r="G106" i="4"/>
  <c r="G66" i="4"/>
  <c r="J66" i="4" s="1"/>
  <c r="E127" i="8"/>
  <c r="E131" i="8"/>
  <c r="P159" i="4"/>
  <c r="R159" i="4" s="1"/>
  <c r="T159" i="4" s="1"/>
  <c r="G93" i="4"/>
  <c r="K93" i="4" s="1"/>
  <c r="G70" i="4"/>
  <c r="J70" i="4" s="1"/>
  <c r="G178" i="4"/>
  <c r="K178" i="4" s="1"/>
  <c r="P146" i="4"/>
  <c r="R146" i="4" s="1"/>
  <c r="T146" i="4" s="1"/>
  <c r="P132" i="4"/>
  <c r="R132" i="4" s="1"/>
  <c r="T132" i="4" s="1"/>
  <c r="P121" i="4"/>
  <c r="R121" i="4" s="1"/>
  <c r="T121" i="4" s="1"/>
  <c r="P176" i="4"/>
  <c r="R176" i="4" s="1"/>
  <c r="T176" i="4" s="1"/>
  <c r="G100" i="4"/>
  <c r="K100" i="4" s="1"/>
  <c r="G97" i="4"/>
  <c r="J97" i="4" s="1"/>
  <c r="P200" i="4"/>
  <c r="G200" i="4"/>
  <c r="K200" i="4" s="1"/>
  <c r="G162" i="4"/>
  <c r="K162" i="4" s="1"/>
  <c r="P162" i="4"/>
  <c r="G205" i="4"/>
  <c r="K205" i="4" s="1"/>
  <c r="P205" i="4"/>
  <c r="G203" i="4"/>
  <c r="K203" i="4" s="1"/>
  <c r="P203" i="4"/>
  <c r="G190" i="4"/>
  <c r="K190" i="4" s="1"/>
  <c r="P190" i="4"/>
  <c r="G187" i="4"/>
  <c r="I187" i="4" s="1"/>
  <c r="P187" i="4"/>
  <c r="P172" i="4"/>
  <c r="R172" i="4" s="1"/>
  <c r="T172" i="4" s="1"/>
  <c r="G172" i="4"/>
  <c r="K172" i="4" s="1"/>
  <c r="G131" i="4"/>
  <c r="K131" i="4" s="1"/>
  <c r="P131" i="4"/>
  <c r="R131" i="4" s="1"/>
  <c r="T131" i="4" s="1"/>
  <c r="G139" i="4"/>
  <c r="K139" i="4" s="1"/>
  <c r="P139" i="4"/>
  <c r="R139" i="4" s="1"/>
  <c r="T139" i="4" s="1"/>
  <c r="G209" i="4"/>
  <c r="K209" i="4" s="1"/>
  <c r="P209" i="4"/>
  <c r="G202" i="4"/>
  <c r="K202" i="4" s="1"/>
  <c r="P202" i="4"/>
  <c r="G196" i="4"/>
  <c r="K196" i="4" s="1"/>
  <c r="P196" i="4"/>
  <c r="G186" i="4"/>
  <c r="K186" i="4" s="1"/>
  <c r="P186" i="4"/>
  <c r="R186" i="4" s="1"/>
  <c r="T186" i="4" s="1"/>
  <c r="G182" i="4"/>
  <c r="K182" i="4" s="1"/>
  <c r="P182" i="4"/>
  <c r="G175" i="4"/>
  <c r="K175" i="4" s="1"/>
  <c r="P175" i="4"/>
  <c r="G171" i="4"/>
  <c r="K171" i="4" s="1"/>
  <c r="P171" i="4"/>
  <c r="R171" i="4" s="1"/>
  <c r="T171" i="4" s="1"/>
  <c r="G154" i="4"/>
  <c r="K154" i="4" s="1"/>
  <c r="P154" i="4"/>
  <c r="P192" i="4"/>
  <c r="G192" i="4"/>
  <c r="K192" i="4" s="1"/>
  <c r="P164" i="4"/>
  <c r="G164" i="4"/>
  <c r="K164" i="4" s="1"/>
  <c r="G213" i="4"/>
  <c r="K213" i="4" s="1"/>
  <c r="P213" i="4"/>
  <c r="G208" i="4"/>
  <c r="K208" i="4" s="1"/>
  <c r="P208" i="4"/>
  <c r="G198" i="4"/>
  <c r="K198" i="4" s="1"/>
  <c r="P198" i="4"/>
  <c r="G195" i="4"/>
  <c r="K195" i="4" s="1"/>
  <c r="P195" i="4"/>
  <c r="G174" i="4"/>
  <c r="K174" i="4" s="1"/>
  <c r="P174" i="4"/>
  <c r="P163" i="4"/>
  <c r="G163" i="4"/>
  <c r="K163" i="4" s="1"/>
  <c r="G156" i="4"/>
  <c r="K156" i="4" s="1"/>
  <c r="P156" i="4"/>
  <c r="G113" i="4"/>
  <c r="K113" i="4" s="1"/>
  <c r="P113" i="4"/>
  <c r="G207" i="4"/>
  <c r="K207" i="4" s="1"/>
  <c r="P207" i="4"/>
  <c r="G204" i="4"/>
  <c r="K204" i="4" s="1"/>
  <c r="P204" i="4"/>
  <c r="G194" i="4"/>
  <c r="K194" i="4" s="1"/>
  <c r="P194" i="4"/>
  <c r="G188" i="4"/>
  <c r="K188" i="4" s="1"/>
  <c r="P188" i="4"/>
  <c r="P173" i="4"/>
  <c r="G173" i="4"/>
  <c r="K173" i="4" s="1"/>
  <c r="G166" i="4"/>
  <c r="K166" i="4" s="1"/>
  <c r="P166" i="4"/>
  <c r="G148" i="4"/>
  <c r="K148" i="4" s="1"/>
  <c r="P148" i="4"/>
  <c r="P118" i="4"/>
  <c r="R118" i="4" s="1"/>
  <c r="T118" i="4" s="1"/>
  <c r="G118" i="4"/>
  <c r="K118" i="4" s="1"/>
  <c r="E135" i="8"/>
  <c r="G201" i="4"/>
  <c r="K201" i="4" s="1"/>
  <c r="G193" i="4"/>
  <c r="K193" i="4" s="1"/>
  <c r="G157" i="4"/>
  <c r="K157" i="4" s="1"/>
  <c r="G137" i="4"/>
  <c r="K137" i="4" s="1"/>
  <c r="P124" i="4"/>
  <c r="R124" i="4" s="1"/>
  <c r="T124" i="4" s="1"/>
  <c r="G122" i="4"/>
  <c r="K122" i="4" s="1"/>
  <c r="P122" i="4"/>
  <c r="R43" i="4"/>
  <c r="T43" i="4" s="1"/>
  <c r="J43" i="4"/>
  <c r="E91" i="8"/>
  <c r="G206" i="4"/>
  <c r="K206" i="4" s="1"/>
  <c r="G199" i="4"/>
  <c r="K199" i="4" s="1"/>
  <c r="G191" i="4"/>
  <c r="K191" i="4" s="1"/>
  <c r="G181" i="4"/>
  <c r="K181" i="4" s="1"/>
  <c r="G180" i="4"/>
  <c r="K180" i="4" s="1"/>
  <c r="G179" i="4"/>
  <c r="K179" i="4" s="1"/>
  <c r="P140" i="4"/>
  <c r="R140" i="4" s="1"/>
  <c r="T140" i="4" s="1"/>
  <c r="G138" i="4"/>
  <c r="J119" i="4"/>
  <c r="G117" i="4"/>
  <c r="K117" i="4" s="1"/>
  <c r="P117" i="4"/>
  <c r="P105" i="4"/>
  <c r="G105" i="4"/>
  <c r="J105" i="4" s="1"/>
  <c r="P103" i="4"/>
  <c r="G103" i="4"/>
  <c r="K103" i="4" s="1"/>
  <c r="P99" i="4"/>
  <c r="G99" i="4"/>
  <c r="K99" i="4" s="1"/>
  <c r="P95" i="4"/>
  <c r="G95" i="4"/>
  <c r="K95" i="4" s="1"/>
  <c r="G82" i="4"/>
  <c r="K82" i="4" s="1"/>
  <c r="P82" i="4"/>
  <c r="R82" i="4" s="1"/>
  <c r="T82" i="4" s="1"/>
  <c r="E85" i="8"/>
  <c r="G150" i="4"/>
  <c r="K150" i="4" s="1"/>
  <c r="P150" i="4"/>
  <c r="P184" i="4"/>
  <c r="R184" i="4" s="1"/>
  <c r="T184" i="4" s="1"/>
  <c r="U165" i="4"/>
  <c r="G155" i="4"/>
  <c r="P144" i="4"/>
  <c r="G144" i="4"/>
  <c r="K144" i="4" s="1"/>
  <c r="P128" i="4"/>
  <c r="G128" i="4"/>
  <c r="K128" i="4" s="1"/>
  <c r="R115" i="4"/>
  <c r="T115" i="4" s="1"/>
  <c r="G102" i="4"/>
  <c r="K102" i="4" s="1"/>
  <c r="G98" i="4"/>
  <c r="J98" i="4" s="1"/>
  <c r="G86" i="4"/>
  <c r="K86" i="4" s="1"/>
  <c r="P86" i="4"/>
  <c r="R86" i="4" s="1"/>
  <c r="T86" i="4" s="1"/>
  <c r="P151" i="4"/>
  <c r="R151" i="4" s="1"/>
  <c r="T151" i="4" s="1"/>
  <c r="P145" i="4"/>
  <c r="R145" i="4" s="1"/>
  <c r="P136" i="4"/>
  <c r="G136" i="4"/>
  <c r="K136" i="4" s="1"/>
  <c r="P126" i="4"/>
  <c r="R126" i="4" s="1"/>
  <c r="T126" i="4" s="1"/>
  <c r="R94" i="4"/>
  <c r="T94" i="4" s="1"/>
  <c r="E102" i="8"/>
  <c r="P134" i="4"/>
  <c r="R134" i="4" s="1"/>
  <c r="T134" i="4" s="1"/>
  <c r="P120" i="4"/>
  <c r="R120" i="4" s="1"/>
  <c r="T120" i="4" s="1"/>
  <c r="P114" i="4"/>
  <c r="R114" i="4" s="1"/>
  <c r="T114" i="4" s="1"/>
  <c r="P90" i="4"/>
  <c r="G90" i="4"/>
  <c r="K90" i="4" s="1"/>
  <c r="R49" i="4"/>
  <c r="T49" i="4" s="1"/>
  <c r="I49" i="4"/>
  <c r="E81" i="8"/>
  <c r="E13" i="8"/>
  <c r="P142" i="4"/>
  <c r="R142" i="4" s="1"/>
  <c r="T142" i="4" s="1"/>
  <c r="G129" i="4"/>
  <c r="K129" i="4" s="1"/>
  <c r="P110" i="4"/>
  <c r="G110" i="4"/>
  <c r="K110" i="4" s="1"/>
  <c r="G85" i="4"/>
  <c r="J85" i="4" s="1"/>
  <c r="P85" i="4"/>
  <c r="P83" i="4"/>
  <c r="G83" i="4"/>
  <c r="U83" i="4" s="1"/>
  <c r="P141" i="4"/>
  <c r="R141" i="4" s="1"/>
  <c r="T141" i="4" s="1"/>
  <c r="P133" i="4"/>
  <c r="R133" i="4" s="1"/>
  <c r="T133" i="4" s="1"/>
  <c r="P125" i="4"/>
  <c r="R125" i="4" s="1"/>
  <c r="T125" i="4" s="1"/>
  <c r="R58" i="4"/>
  <c r="T58" i="4" s="1"/>
  <c r="G107" i="4"/>
  <c r="P87" i="4"/>
  <c r="R87" i="4" s="1"/>
  <c r="T87" i="4" s="1"/>
  <c r="G33" i="4"/>
  <c r="J33" i="4" s="1"/>
  <c r="P33" i="4"/>
  <c r="R33" i="4" s="1"/>
  <c r="J28" i="4"/>
  <c r="R28" i="4"/>
  <c r="T28" i="4" s="1"/>
  <c r="G79" i="4"/>
  <c r="K79" i="4" s="1"/>
  <c r="G77" i="4"/>
  <c r="J77" i="4" s="1"/>
  <c r="G75" i="4"/>
  <c r="J75" i="4" s="1"/>
  <c r="G73" i="4"/>
  <c r="J73" i="4" s="1"/>
  <c r="G71" i="4"/>
  <c r="K71" i="4" s="1"/>
  <c r="G69" i="4"/>
  <c r="K69" i="4" s="1"/>
  <c r="G67" i="4"/>
  <c r="J67" i="4" s="1"/>
  <c r="G65" i="4"/>
  <c r="J65" i="4" s="1"/>
  <c r="G63" i="4"/>
  <c r="J63" i="4" s="1"/>
  <c r="G61" i="4"/>
  <c r="J61" i="4" s="1"/>
  <c r="R44" i="4"/>
  <c r="T44" i="4" s="1"/>
  <c r="G35" i="4"/>
  <c r="J35" i="4" s="1"/>
  <c r="P35" i="4"/>
  <c r="I47" i="4"/>
  <c r="R47" i="4"/>
  <c r="T47" i="4" s="1"/>
  <c r="P88" i="4"/>
  <c r="R88" i="4" s="1"/>
  <c r="T88" i="4" s="1"/>
  <c r="R37" i="4"/>
  <c r="T37" i="4" s="1"/>
  <c r="J37" i="4"/>
  <c r="J25" i="4"/>
  <c r="R25" i="4"/>
  <c r="T25" i="4" s="1"/>
  <c r="AI194" i="9"/>
  <c r="AH194" i="9" s="1"/>
  <c r="AK194" i="9"/>
  <c r="AJ194" i="9"/>
  <c r="AE179" i="9"/>
  <c r="AD179" i="9"/>
  <c r="AO195" i="9"/>
  <c r="AN195" i="9" s="1"/>
  <c r="AM195" i="9" s="1"/>
  <c r="AL195" i="9" s="1"/>
  <c r="AD37" i="9"/>
  <c r="AB95" i="9"/>
  <c r="AB179" i="9"/>
  <c r="AJ105" i="9"/>
  <c r="AH105" i="9" s="1"/>
  <c r="AK45" i="9"/>
  <c r="AI45" i="9"/>
  <c r="AH45" i="9" s="1"/>
  <c r="AJ45" i="9"/>
  <c r="AK48" i="9"/>
  <c r="AI48" i="9"/>
  <c r="AH48" i="9" s="1"/>
  <c r="AJ41" i="9"/>
  <c r="AI41" i="9"/>
  <c r="AK41" i="9"/>
  <c r="AJ91" i="9"/>
  <c r="AK91" i="9"/>
  <c r="AI91" i="9"/>
  <c r="AI106" i="9"/>
  <c r="AK106" i="9"/>
  <c r="AJ106" i="9"/>
  <c r="AK34" i="9"/>
  <c r="AJ34" i="9"/>
  <c r="AI116" i="9"/>
  <c r="AH116" i="9" s="1"/>
  <c r="AK116" i="9"/>
  <c r="AK186" i="9"/>
  <c r="AI186" i="9"/>
  <c r="AA64" i="9"/>
  <c r="AI149" i="9"/>
  <c r="AH149" i="9" s="1"/>
  <c r="AA149" i="9" s="1"/>
  <c r="AK149" i="9"/>
  <c r="AK118" i="9"/>
  <c r="AJ118" i="9"/>
  <c r="AH118" i="9" s="1"/>
  <c r="AJ186" i="9"/>
  <c r="AI40" i="9"/>
  <c r="AJ40" i="9"/>
  <c r="AK40" i="9"/>
  <c r="AK66" i="9"/>
  <c r="AJ66" i="9"/>
  <c r="AI66" i="9"/>
  <c r="AH66" i="9" s="1"/>
  <c r="AK29" i="9"/>
  <c r="AI29" i="9"/>
  <c r="AH29" i="9" s="1"/>
  <c r="AR201" i="9"/>
  <c r="AQ201" i="9" s="1"/>
  <c r="AP201" i="9" s="1"/>
  <c r="AO201" i="9" s="1"/>
  <c r="AN201" i="9" s="1"/>
  <c r="AM201" i="9" s="1"/>
  <c r="AL201" i="9" s="1"/>
  <c r="AK84" i="9"/>
  <c r="AJ84" i="9"/>
  <c r="AI84" i="9"/>
  <c r="AH84" i="9" s="1"/>
  <c r="AJ86" i="9"/>
  <c r="AH86" i="9" s="1"/>
  <c r="AK86" i="9"/>
  <c r="AK102" i="9"/>
  <c r="AJ102" i="9"/>
  <c r="AH102" i="9" s="1"/>
  <c r="AJ162" i="9"/>
  <c r="AK162" i="9"/>
  <c r="AK105" i="9"/>
  <c r="AI34" i="9"/>
  <c r="AI162" i="9"/>
  <c r="AH162" i="9" s="1"/>
  <c r="AJ83" i="9"/>
  <c r="AI83" i="9"/>
  <c r="AK151" i="9"/>
  <c r="AJ151" i="9"/>
  <c r="AI151" i="9"/>
  <c r="AH151" i="9" s="1"/>
  <c r="AJ99" i="9"/>
  <c r="AK99" i="9"/>
  <c r="AU189" i="9"/>
  <c r="G189" i="9"/>
  <c r="P189" i="9"/>
  <c r="Z189" i="9"/>
  <c r="G159" i="9"/>
  <c r="Z159" i="9"/>
  <c r="P159" i="9"/>
  <c r="AU159" i="9"/>
  <c r="P127" i="9"/>
  <c r="Z127" i="9"/>
  <c r="AU127" i="9"/>
  <c r="G127" i="9"/>
  <c r="P108" i="9"/>
  <c r="AC108" i="9" s="1"/>
  <c r="Z108" i="9"/>
  <c r="AU108" i="9"/>
  <c r="G108" i="9"/>
  <c r="Z54" i="9"/>
  <c r="G54" i="9"/>
  <c r="P54" i="9"/>
  <c r="AU54" i="9"/>
  <c r="P197" i="9"/>
  <c r="AC197" i="9" s="1"/>
  <c r="Z197" i="9"/>
  <c r="G197" i="9"/>
  <c r="K197" i="9" s="1"/>
  <c r="AJ172" i="9"/>
  <c r="AH172" i="9" s="1"/>
  <c r="AH79" i="9"/>
  <c r="AI169" i="9"/>
  <c r="AH169" i="9" s="1"/>
  <c r="AA169" i="9" s="1"/>
  <c r="AJ98" i="9"/>
  <c r="AH98" i="9" s="1"/>
  <c r="AJ46" i="9"/>
  <c r="AH46" i="9" s="1"/>
  <c r="AJ161" i="9"/>
  <c r="AH161" i="9" s="1"/>
  <c r="AB161" i="9" s="1"/>
  <c r="AH100" i="9"/>
  <c r="AA100" i="9" s="1"/>
  <c r="AI99" i="9"/>
  <c r="AJ89" i="9"/>
  <c r="AH89" i="9" s="1"/>
  <c r="AI112" i="9"/>
  <c r="AJ112" i="9"/>
  <c r="AI53" i="9"/>
  <c r="AJ53" i="9"/>
  <c r="AI177" i="9"/>
  <c r="AH177" i="9" s="1"/>
  <c r="AB177" i="9" s="1"/>
  <c r="AI63" i="9"/>
  <c r="AH63" i="9" s="1"/>
  <c r="AI146" i="9"/>
  <c r="AH146" i="9" s="1"/>
  <c r="AJ73" i="9"/>
  <c r="AH73" i="9" s="1"/>
  <c r="AK53" i="9"/>
  <c r="AI156" i="9"/>
  <c r="AH156" i="9" s="1"/>
  <c r="AH26" i="9"/>
  <c r="AK101" i="9"/>
  <c r="AJ101" i="9"/>
  <c r="AH101" i="9" s="1"/>
  <c r="AJ52" i="9"/>
  <c r="AI52" i="9"/>
  <c r="AJ57" i="9"/>
  <c r="AH57" i="9" s="1"/>
  <c r="AA57" i="9" s="1"/>
  <c r="AK57" i="9"/>
  <c r="AI87" i="9"/>
  <c r="AJ87" i="9"/>
  <c r="AH109" i="9"/>
  <c r="AJ175" i="9"/>
  <c r="AH175" i="9" s="1"/>
  <c r="AK87" i="9"/>
  <c r="AK158" i="9"/>
  <c r="AK52" i="9"/>
  <c r="J164" i="9"/>
  <c r="G155" i="9"/>
  <c r="P155" i="9"/>
  <c r="AU155" i="9"/>
  <c r="Z155" i="9"/>
  <c r="G135" i="9"/>
  <c r="P135" i="9"/>
  <c r="Z135" i="9"/>
  <c r="AU135" i="9"/>
  <c r="Z120" i="9"/>
  <c r="P120" i="9"/>
  <c r="AU120" i="9"/>
  <c r="G120" i="9"/>
  <c r="AU92" i="9"/>
  <c r="P92" i="9"/>
  <c r="Z92" i="9"/>
  <c r="G92" i="9"/>
  <c r="Z58" i="9"/>
  <c r="P58" i="9"/>
  <c r="AU58" i="9"/>
  <c r="G58" i="9"/>
  <c r="G193" i="9"/>
  <c r="P193" i="9"/>
  <c r="Z193" i="9"/>
  <c r="AU193" i="9"/>
  <c r="G183" i="9"/>
  <c r="P183" i="9"/>
  <c r="AU183" i="9"/>
  <c r="Z183" i="9"/>
  <c r="Z177" i="9"/>
  <c r="AA177" i="9" s="1"/>
  <c r="P177" i="9"/>
  <c r="J165" i="9"/>
  <c r="Z136" i="9"/>
  <c r="AU136" i="9"/>
  <c r="P136" i="9"/>
  <c r="G136" i="9"/>
  <c r="K115" i="9"/>
  <c r="P203" i="9"/>
  <c r="G203" i="9"/>
  <c r="K203" i="9" s="1"/>
  <c r="Z203" i="9"/>
  <c r="P188" i="9"/>
  <c r="Z188" i="9"/>
  <c r="G188" i="9"/>
  <c r="AU188" i="9"/>
  <c r="G173" i="9"/>
  <c r="P173" i="9"/>
  <c r="Z173" i="9"/>
  <c r="P138" i="9"/>
  <c r="G138" i="9"/>
  <c r="AU138" i="9"/>
  <c r="Z138" i="9"/>
  <c r="P70" i="9"/>
  <c r="G70" i="9"/>
  <c r="G67" i="9"/>
  <c r="AU67" i="9"/>
  <c r="P67" i="9"/>
  <c r="R67" i="9" s="1"/>
  <c r="T67" i="9" s="1"/>
  <c r="Z67" i="9"/>
  <c r="P65" i="9"/>
  <c r="Z65" i="9"/>
  <c r="AU65" i="9"/>
  <c r="Z63" i="9"/>
  <c r="G63" i="9"/>
  <c r="P63" i="9"/>
  <c r="Z191" i="9"/>
  <c r="G191" i="9"/>
  <c r="AU191" i="9"/>
  <c r="P191" i="9"/>
  <c r="P144" i="9"/>
  <c r="R144" i="9" s="1"/>
  <c r="T144" i="9" s="1"/>
  <c r="G144" i="9"/>
  <c r="Z144" i="9"/>
  <c r="AU144" i="9"/>
  <c r="Z123" i="9"/>
  <c r="G123" i="9"/>
  <c r="AU123" i="9"/>
  <c r="P123" i="9"/>
  <c r="G110" i="9"/>
  <c r="AU110" i="9"/>
  <c r="Z110" i="9"/>
  <c r="P100" i="9"/>
  <c r="G100" i="9"/>
  <c r="Z47" i="9"/>
  <c r="G47" i="9"/>
  <c r="P47" i="9"/>
  <c r="AU47" i="9"/>
  <c r="Z157" i="9"/>
  <c r="AU157" i="9"/>
  <c r="G157" i="9"/>
  <c r="P157" i="9"/>
  <c r="G150" i="9"/>
  <c r="Z150" i="9"/>
  <c r="P150" i="9"/>
  <c r="AU150" i="9"/>
  <c r="Z140" i="9"/>
  <c r="P140" i="9"/>
  <c r="AU140" i="9"/>
  <c r="G140" i="9"/>
  <c r="K128" i="9"/>
  <c r="G106" i="9"/>
  <c r="P106" i="9"/>
  <c r="Z106" i="9"/>
  <c r="K78" i="9"/>
  <c r="Z25" i="9"/>
  <c r="G25" i="9"/>
  <c r="AU25" i="9"/>
  <c r="P25" i="9"/>
  <c r="G143" i="9"/>
  <c r="Z143" i="9"/>
  <c r="P143" i="9"/>
  <c r="AU143" i="9"/>
  <c r="K109" i="9"/>
  <c r="P42" i="9"/>
  <c r="AU42" i="9"/>
  <c r="G42" i="9"/>
  <c r="Z42" i="9"/>
  <c r="P149" i="9"/>
  <c r="G149" i="9"/>
  <c r="AU133" i="9"/>
  <c r="P133" i="9"/>
  <c r="Z133" i="9"/>
  <c r="G133" i="9"/>
  <c r="Z112" i="9"/>
  <c r="P112" i="9"/>
  <c r="G112" i="9"/>
  <c r="P94" i="9"/>
  <c r="G94" i="9"/>
  <c r="AU94" i="9"/>
  <c r="P73" i="9"/>
  <c r="G73" i="9"/>
  <c r="Z73" i="9"/>
  <c r="AA73" i="9" s="1"/>
  <c r="P50" i="9"/>
  <c r="Z50" i="9"/>
  <c r="AU50" i="9"/>
  <c r="G50" i="9"/>
  <c r="Q18" i="9"/>
  <c r="R33" i="9"/>
  <c r="T33" i="9" s="1"/>
  <c r="P186" i="9"/>
  <c r="G186" i="9"/>
  <c r="Z180" i="9"/>
  <c r="P180" i="9"/>
  <c r="G169" i="9"/>
  <c r="Z146" i="9"/>
  <c r="G146" i="9"/>
  <c r="P146" i="9"/>
  <c r="P124" i="9"/>
  <c r="G124" i="9"/>
  <c r="G118" i="9"/>
  <c r="P118" i="9"/>
  <c r="R118" i="9" s="1"/>
  <c r="T118" i="9" s="1"/>
  <c r="Z118" i="9"/>
  <c r="G86" i="9"/>
  <c r="Z86" i="9"/>
  <c r="Z52" i="9"/>
  <c r="G52" i="9"/>
  <c r="Z30" i="9"/>
  <c r="G30" i="9"/>
  <c r="Z185" i="9"/>
  <c r="G171" i="9"/>
  <c r="G166" i="9"/>
  <c r="AC166" i="9" s="1"/>
  <c r="Z166" i="9"/>
  <c r="Z164" i="9"/>
  <c r="Z162" i="9"/>
  <c r="AA162" i="9" s="1"/>
  <c r="G162" i="9"/>
  <c r="P162" i="9"/>
  <c r="P151" i="9"/>
  <c r="P130" i="9"/>
  <c r="AF130" i="9" s="1"/>
  <c r="G103" i="9"/>
  <c r="P103" i="9"/>
  <c r="Z103" i="9"/>
  <c r="AA103" i="9" s="1"/>
  <c r="Z78" i="9"/>
  <c r="AA78" i="9" s="1"/>
  <c r="Z44" i="9"/>
  <c r="AA44" i="9" s="1"/>
  <c r="G44" i="9"/>
  <c r="AU196" i="9"/>
  <c r="G196" i="9"/>
  <c r="K145" i="9"/>
  <c r="P142" i="9"/>
  <c r="Z142" i="9"/>
  <c r="G190" i="9"/>
  <c r="Z190" i="9"/>
  <c r="AA190" i="9" s="1"/>
  <c r="G187" i="9"/>
  <c r="P165" i="9"/>
  <c r="R165" i="9" s="1"/>
  <c r="T165" i="9" s="1"/>
  <c r="Z161" i="9"/>
  <c r="P161" i="9"/>
  <c r="Z134" i="9"/>
  <c r="P134" i="9"/>
  <c r="Z111" i="9"/>
  <c r="G111" i="9"/>
  <c r="G57" i="9"/>
  <c r="P57" i="9"/>
  <c r="G51" i="9"/>
  <c r="AC51" i="9" s="1"/>
  <c r="G181" i="9"/>
  <c r="P181" i="9"/>
  <c r="Z158" i="9"/>
  <c r="AA158" i="9" s="1"/>
  <c r="G158" i="9"/>
  <c r="G119" i="9"/>
  <c r="P119" i="9"/>
  <c r="Z99" i="9"/>
  <c r="G99" i="9"/>
  <c r="Z96" i="9"/>
  <c r="G96" i="9"/>
  <c r="G85" i="9"/>
  <c r="P85" i="9"/>
  <c r="Z85" i="9"/>
  <c r="Z59" i="9"/>
  <c r="AA59" i="9" s="1"/>
  <c r="P59" i="9"/>
  <c r="P184" i="9"/>
  <c r="G184" i="9"/>
  <c r="Z184" i="9"/>
  <c r="AA184" i="9" s="1"/>
  <c r="Z170" i="9"/>
  <c r="G170" i="9"/>
  <c r="G147" i="9"/>
  <c r="Z147" i="9"/>
  <c r="P147" i="9"/>
  <c r="G141" i="9"/>
  <c r="Z141" i="9"/>
  <c r="Z104" i="9"/>
  <c r="AA104" i="9" s="1"/>
  <c r="Z90" i="9"/>
  <c r="AA90" i="9" s="1"/>
  <c r="G90" i="9"/>
  <c r="P90" i="9"/>
  <c r="G198" i="9"/>
  <c r="K198" i="9" s="1"/>
  <c r="AU198" i="9"/>
  <c r="P198" i="9"/>
  <c r="Z192" i="9"/>
  <c r="AA192" i="9" s="1"/>
  <c r="P192" i="9"/>
  <c r="R192" i="9" s="1"/>
  <c r="T192" i="9" s="1"/>
  <c r="G192" i="9"/>
  <c r="G175" i="9"/>
  <c r="P175" i="9"/>
  <c r="Z175" i="9"/>
  <c r="AA175" i="9" s="1"/>
  <c r="P163" i="9"/>
  <c r="R163" i="9" s="1"/>
  <c r="T163" i="9" s="1"/>
  <c r="Z163" i="9"/>
  <c r="P121" i="9"/>
  <c r="G121" i="9"/>
  <c r="Z115" i="9"/>
  <c r="AA115" i="9" s="1"/>
  <c r="Z107" i="9"/>
  <c r="AA107" i="9" s="1"/>
  <c r="G107" i="9"/>
  <c r="Z176" i="9"/>
  <c r="P145" i="9"/>
  <c r="P109" i="9"/>
  <c r="AC109" i="9" s="1"/>
  <c r="Z53" i="9"/>
  <c r="P43" i="9"/>
  <c r="P29" i="9"/>
  <c r="Z201" i="9"/>
  <c r="P126" i="9"/>
  <c r="P77" i="9"/>
  <c r="G75" i="9"/>
  <c r="G43" i="9"/>
  <c r="K202" i="9"/>
  <c r="Z199" i="9"/>
  <c r="G199" i="9"/>
  <c r="P199" i="9"/>
  <c r="R199" i="9" s="1"/>
  <c r="T199" i="9" s="1"/>
  <c r="AU199" i="9"/>
  <c r="D16" i="9"/>
  <c r="D19" i="9" s="1"/>
  <c r="D15" i="9"/>
  <c r="C19" i="9" s="1"/>
  <c r="AT198" i="9"/>
  <c r="AS198" i="9" s="1"/>
  <c r="AR198" i="9" s="1"/>
  <c r="AQ198" i="9" s="1"/>
  <c r="AP198" i="9" s="1"/>
  <c r="AO198" i="9" s="1"/>
  <c r="AN198" i="9" s="1"/>
  <c r="AM198" i="9" s="1"/>
  <c r="AL198" i="9" s="1"/>
  <c r="Z202" i="9"/>
  <c r="AU202" i="9"/>
  <c r="P202" i="9"/>
  <c r="R202" i="9" s="1"/>
  <c r="T202" i="9" s="1"/>
  <c r="AU203" i="9"/>
  <c r="AU197" i="9"/>
  <c r="C16" i="10"/>
  <c r="D18" i="10" s="1"/>
  <c r="K17" i="10"/>
  <c r="C15" i="6"/>
  <c r="O147" i="10"/>
  <c r="O123" i="10"/>
  <c r="O156" i="10"/>
  <c r="O132" i="10"/>
  <c r="O185" i="10"/>
  <c r="O165" i="10"/>
  <c r="O187" i="10"/>
  <c r="O135" i="10"/>
  <c r="O32" i="10"/>
  <c r="O160" i="10"/>
  <c r="O171" i="10"/>
  <c r="O184" i="10"/>
  <c r="O44" i="10"/>
  <c r="O51" i="10"/>
  <c r="O176" i="10"/>
  <c r="O151" i="10"/>
  <c r="O127" i="10"/>
  <c r="O131" i="10"/>
  <c r="O155" i="10"/>
  <c r="O48" i="10"/>
  <c r="O180" i="10"/>
  <c r="O98" i="10"/>
  <c r="O126" i="10"/>
  <c r="O122" i="10"/>
  <c r="O174" i="10"/>
  <c r="O130" i="10"/>
  <c r="O21" i="10"/>
  <c r="O158" i="10"/>
  <c r="O134" i="10"/>
  <c r="O36" i="10"/>
  <c r="O46" i="10"/>
  <c r="O179" i="10"/>
  <c r="O192" i="10"/>
  <c r="O124" i="10"/>
  <c r="O143" i="10"/>
  <c r="O50" i="10"/>
  <c r="O182" i="10"/>
  <c r="O138" i="10"/>
  <c r="O191" i="10"/>
  <c r="O166" i="10"/>
  <c r="O128" i="10"/>
  <c r="O49" i="10"/>
  <c r="O177" i="10"/>
  <c r="O190" i="10"/>
  <c r="O52" i="10"/>
  <c r="O142" i="10"/>
  <c r="O152" i="10"/>
  <c r="O144" i="10"/>
  <c r="O116" i="10"/>
  <c r="O149" i="10"/>
  <c r="O125" i="10"/>
  <c r="O178" i="10"/>
  <c r="O153" i="10"/>
  <c r="O175" i="10"/>
  <c r="O118" i="10"/>
  <c r="O139" i="10"/>
  <c r="O148" i="10"/>
  <c r="O161" i="10"/>
  <c r="O172" i="10"/>
  <c r="O164" i="10"/>
  <c r="O145" i="10"/>
  <c r="O157" i="10"/>
  <c r="O183" i="10"/>
  <c r="O136" i="10"/>
  <c r="O168" i="10"/>
  <c r="O173" i="10"/>
  <c r="O120" i="10"/>
  <c r="O103" i="10"/>
  <c r="O154" i="10"/>
  <c r="O119" i="10"/>
  <c r="O186" i="10"/>
  <c r="O159" i="10"/>
  <c r="O163" i="10"/>
  <c r="O162" i="10"/>
  <c r="O140" i="10"/>
  <c r="O167" i="10"/>
  <c r="O22" i="10"/>
  <c r="O114" i="10"/>
  <c r="O189" i="10"/>
  <c r="O115" i="10"/>
  <c r="O133" i="10"/>
  <c r="O141" i="10"/>
  <c r="O129" i="10"/>
  <c r="O170" i="10"/>
  <c r="O146" i="10"/>
  <c r="O169" i="10"/>
  <c r="O89" i="10"/>
  <c r="O193" i="10"/>
  <c r="O121" i="10"/>
  <c r="O188" i="10"/>
  <c r="C15" i="10"/>
  <c r="O181" i="10"/>
  <c r="O137" i="10"/>
  <c r="O150" i="10"/>
  <c r="O124" i="7"/>
  <c r="C15" i="7"/>
  <c r="O125" i="7"/>
  <c r="J17" i="10"/>
  <c r="C16" i="6"/>
  <c r="D18" i="6" s="1"/>
  <c r="I17" i="10"/>
  <c r="C16" i="7"/>
  <c r="D18" i="7" s="1"/>
  <c r="AI90" i="10"/>
  <c r="AL90" i="10"/>
  <c r="R90" i="10"/>
  <c r="R108" i="9"/>
  <c r="T108" i="9" s="1"/>
  <c r="R49" i="9"/>
  <c r="T49" i="9" s="1"/>
  <c r="L13" i="5"/>
  <c r="F13" i="5"/>
  <c r="Q13" i="5"/>
  <c r="G13" i="5"/>
  <c r="H13" i="5"/>
  <c r="I13" i="5"/>
  <c r="K13" i="5"/>
  <c r="O13" i="5"/>
  <c r="B15" i="5"/>
  <c r="P13" i="5"/>
  <c r="E13" i="5"/>
  <c r="P114" i="7"/>
  <c r="S114" i="7" s="1"/>
  <c r="U114" i="7" s="1"/>
  <c r="P85" i="7"/>
  <c r="S85" i="7" s="1"/>
  <c r="U85" i="7" s="1"/>
  <c r="P107" i="7"/>
  <c r="S107" i="7" s="1"/>
  <c r="U107" i="7" s="1"/>
  <c r="P49" i="7"/>
  <c r="S49" i="7" s="1"/>
  <c r="U49" i="7" s="1"/>
  <c r="AF88" i="9"/>
  <c r="AL193" i="10"/>
  <c r="AL190" i="10"/>
  <c r="P59" i="6"/>
  <c r="S59" i="6" s="1"/>
  <c r="U59" i="6" s="1"/>
  <c r="P97" i="7"/>
  <c r="S97" i="7" s="1"/>
  <c r="U97" i="7" s="1"/>
  <c r="P91" i="6"/>
  <c r="S91" i="6" s="1"/>
  <c r="U91" i="6" s="1"/>
  <c r="P51" i="6"/>
  <c r="S51" i="6" s="1"/>
  <c r="U51" i="6" s="1"/>
  <c r="P196" i="9"/>
  <c r="W8" i="9"/>
  <c r="AL147" i="10"/>
  <c r="P107" i="6"/>
  <c r="S107" i="6" s="1"/>
  <c r="U107" i="6" s="1"/>
  <c r="P66" i="6"/>
  <c r="S66" i="6" s="1"/>
  <c r="U66" i="6" s="1"/>
  <c r="R51" i="9"/>
  <c r="T51" i="9" s="1"/>
  <c r="W4" i="9"/>
  <c r="AI147" i="10"/>
  <c r="P105" i="6"/>
  <c r="S105" i="6" s="1"/>
  <c r="U105" i="6" s="1"/>
  <c r="P57" i="6"/>
  <c r="S57" i="6" s="1"/>
  <c r="U57" i="6" s="1"/>
  <c r="P48" i="7"/>
  <c r="S48" i="7" s="1"/>
  <c r="U48" i="7" s="1"/>
  <c r="P195" i="9"/>
  <c r="P87" i="6"/>
  <c r="S87" i="6" s="1"/>
  <c r="U87" i="6" s="1"/>
  <c r="P54" i="6"/>
  <c r="S54" i="6" s="1"/>
  <c r="U54" i="6" s="1"/>
  <c r="P94" i="6"/>
  <c r="S94" i="6" s="1"/>
  <c r="U94" i="6" s="1"/>
  <c r="C12" i="4"/>
  <c r="I18" i="5"/>
  <c r="C18" i="5"/>
  <c r="C11" i="9"/>
  <c r="J18" i="5"/>
  <c r="H18" i="5"/>
  <c r="D18" i="5"/>
  <c r="L18" i="5"/>
  <c r="G18" i="5"/>
  <c r="C11" i="4"/>
  <c r="C12" i="9"/>
  <c r="F18" i="5"/>
  <c r="K18" i="5"/>
  <c r="O217" i="4" l="1"/>
  <c r="O218" i="4"/>
  <c r="R217" i="4"/>
  <c r="T217" i="4" s="1"/>
  <c r="O208" i="9"/>
  <c r="O207" i="9"/>
  <c r="AT207" i="9"/>
  <c r="AS207" i="9" s="1"/>
  <c r="AR207" i="9" s="1"/>
  <c r="AQ207" i="9" s="1"/>
  <c r="AP207" i="9" s="1"/>
  <c r="AO207" i="9" s="1"/>
  <c r="AN207" i="9" s="1"/>
  <c r="AM207" i="9" s="1"/>
  <c r="AL207" i="9" s="1"/>
  <c r="AT208" i="9"/>
  <c r="AS208" i="9" s="1"/>
  <c r="AR208" i="9" s="1"/>
  <c r="AQ208" i="9" s="1"/>
  <c r="AP208" i="9" s="1"/>
  <c r="AO208" i="9" s="1"/>
  <c r="AN208" i="9" s="1"/>
  <c r="AM208" i="9" s="1"/>
  <c r="AL208" i="9" s="1"/>
  <c r="K207" i="9"/>
  <c r="AC207" i="9"/>
  <c r="AF207" i="9"/>
  <c r="R208" i="9"/>
  <c r="T208" i="9" s="1"/>
  <c r="K208" i="9"/>
  <c r="AC208" i="9"/>
  <c r="AF208" i="9"/>
  <c r="AL136" i="10"/>
  <c r="R115" i="9"/>
  <c r="T115" i="9" s="1"/>
  <c r="AF115" i="9"/>
  <c r="AF82" i="9"/>
  <c r="AL184" i="10"/>
  <c r="R184" i="10"/>
  <c r="AI131" i="10"/>
  <c r="AC131" i="9"/>
  <c r="AF131" i="9"/>
  <c r="R89" i="10"/>
  <c r="AI154" i="10"/>
  <c r="R66" i="9"/>
  <c r="T66" i="9" s="1"/>
  <c r="AF66" i="9"/>
  <c r="AL102" i="10"/>
  <c r="AL154" i="10"/>
  <c r="AL177" i="10"/>
  <c r="R98" i="9"/>
  <c r="T98" i="9" s="1"/>
  <c r="AI102" i="10"/>
  <c r="W27" i="4"/>
  <c r="V28" i="4"/>
  <c r="AW100" i="9"/>
  <c r="AY99" i="9"/>
  <c r="BL99" i="9"/>
  <c r="BK99" i="9" s="1"/>
  <c r="BJ99" i="9" s="1"/>
  <c r="BI99" i="9" s="1"/>
  <c r="BH99" i="9" s="1"/>
  <c r="BG99" i="9" s="1"/>
  <c r="BF99" i="9" s="1"/>
  <c r="BE99" i="9" s="1"/>
  <c r="BD99" i="9" s="1"/>
  <c r="BC99" i="9" s="1"/>
  <c r="BB99" i="9" s="1"/>
  <c r="BA99" i="9"/>
  <c r="BA98" i="9"/>
  <c r="BB98" i="9"/>
  <c r="AI93" i="10"/>
  <c r="AF44" i="9"/>
  <c r="R116" i="10"/>
  <c r="R44" i="9"/>
  <c r="T44" i="9" s="1"/>
  <c r="AI44" i="10"/>
  <c r="AL116" i="10"/>
  <c r="AL44" i="10"/>
  <c r="R144" i="10"/>
  <c r="AI177" i="10"/>
  <c r="AL191" i="10"/>
  <c r="AI191" i="10"/>
  <c r="AF201" i="9"/>
  <c r="AL33" i="10"/>
  <c r="AC130" i="9"/>
  <c r="AI33" i="10"/>
  <c r="R101" i="9"/>
  <c r="T101" i="9" s="1"/>
  <c r="AL83" i="10"/>
  <c r="AC201" i="9"/>
  <c r="R83" i="10"/>
  <c r="AF98" i="9"/>
  <c r="AF206" i="9"/>
  <c r="R164" i="9"/>
  <c r="T164" i="9" s="1"/>
  <c r="AF41" i="9"/>
  <c r="R27" i="9"/>
  <c r="T27" i="9" s="1"/>
  <c r="AF49" i="9"/>
  <c r="AC41" i="9"/>
  <c r="AF27" i="9"/>
  <c r="AC164" i="9"/>
  <c r="AF116" i="9"/>
  <c r="R55" i="9"/>
  <c r="T55" i="9" s="1"/>
  <c r="R108" i="10"/>
  <c r="AL89" i="10"/>
  <c r="AC116" i="9"/>
  <c r="AF55" i="9"/>
  <c r="AL108" i="10"/>
  <c r="O215" i="4"/>
  <c r="O216" i="4"/>
  <c r="R216" i="4"/>
  <c r="T216" i="4" s="1"/>
  <c r="O206" i="9"/>
  <c r="O205" i="9"/>
  <c r="K205" i="9"/>
  <c r="AC205" i="9"/>
  <c r="AF205" i="9"/>
  <c r="AT206" i="9"/>
  <c r="AS206" i="9" s="1"/>
  <c r="AR206" i="9" s="1"/>
  <c r="AQ206" i="9" s="1"/>
  <c r="AP206" i="9" s="1"/>
  <c r="AO206" i="9" s="1"/>
  <c r="AN206" i="9" s="1"/>
  <c r="AM206" i="9" s="1"/>
  <c r="AL206" i="9" s="1"/>
  <c r="AC206" i="9"/>
  <c r="AS205" i="9"/>
  <c r="AR205" i="9" s="1"/>
  <c r="AQ205" i="9" s="1"/>
  <c r="AP205" i="9" s="1"/>
  <c r="AO205" i="9" s="1"/>
  <c r="AN205" i="9" s="1"/>
  <c r="AM205" i="9" s="1"/>
  <c r="AL205" i="9" s="1"/>
  <c r="AT205" i="9"/>
  <c r="R205" i="9"/>
  <c r="T205" i="9" s="1"/>
  <c r="R203" i="4"/>
  <c r="T203" i="4" s="1"/>
  <c r="R214" i="4"/>
  <c r="T214" i="4" s="1"/>
  <c r="AI136" i="10"/>
  <c r="R149" i="10"/>
  <c r="R76" i="9"/>
  <c r="T76" i="9" s="1"/>
  <c r="AI149" i="10"/>
  <c r="R93" i="10"/>
  <c r="AC95" i="9"/>
  <c r="R157" i="9"/>
  <c r="T157" i="9" s="1"/>
  <c r="R192" i="10"/>
  <c r="R125" i="9"/>
  <c r="T125" i="9" s="1"/>
  <c r="R53" i="9"/>
  <c r="T53" i="9" s="1"/>
  <c r="AI34" i="10"/>
  <c r="AL131" i="10"/>
  <c r="AC53" i="9"/>
  <c r="R159" i="10"/>
  <c r="AL92" i="10"/>
  <c r="R90" i="4"/>
  <c r="T90" i="4" s="1"/>
  <c r="R170" i="4"/>
  <c r="T170" i="4" s="1"/>
  <c r="R197" i="4"/>
  <c r="T197" i="4" s="1"/>
  <c r="R52" i="4"/>
  <c r="T52" i="4" s="1"/>
  <c r="G130" i="4"/>
  <c r="K130" i="4" s="1"/>
  <c r="R70" i="4"/>
  <c r="T70" i="4" s="1"/>
  <c r="R62" i="4"/>
  <c r="T62" i="4" s="1"/>
  <c r="R161" i="4"/>
  <c r="T161" i="4" s="1"/>
  <c r="R144" i="4"/>
  <c r="T144" i="4" s="1"/>
  <c r="R78" i="4"/>
  <c r="T78" i="4" s="1"/>
  <c r="R210" i="4"/>
  <c r="T210" i="4" s="1"/>
  <c r="O210" i="4"/>
  <c r="AK51" i="9"/>
  <c r="AI51" i="9"/>
  <c r="AH51" i="9" s="1"/>
  <c r="AA51" i="9" s="1"/>
  <c r="AJ51" i="9"/>
  <c r="AK173" i="9"/>
  <c r="AI173" i="9"/>
  <c r="AJ173" i="9"/>
  <c r="AK39" i="9"/>
  <c r="AI39" i="9"/>
  <c r="AH39" i="9" s="1"/>
  <c r="AA39" i="9" s="1"/>
  <c r="AJ39" i="9"/>
  <c r="AI165" i="9"/>
  <c r="AH165" i="9" s="1"/>
  <c r="AB165" i="9" s="1"/>
  <c r="AJ165" i="9"/>
  <c r="AK165" i="9"/>
  <c r="AJ153" i="9"/>
  <c r="AK153" i="9"/>
  <c r="AI153" i="9"/>
  <c r="AJ164" i="9"/>
  <c r="AK164" i="9"/>
  <c r="AI164" i="9"/>
  <c r="AK141" i="9"/>
  <c r="AJ141" i="9"/>
  <c r="AI141" i="9"/>
  <c r="AH141" i="9" s="1"/>
  <c r="AA141" i="9" s="1"/>
  <c r="AJ35" i="9"/>
  <c r="AK35" i="9"/>
  <c r="AI35" i="9"/>
  <c r="R160" i="9"/>
  <c r="T160" i="9" s="1"/>
  <c r="AA167" i="9"/>
  <c r="AS61" i="9"/>
  <c r="AR61" i="9" s="1"/>
  <c r="AQ61" i="9" s="1"/>
  <c r="AP61" i="9" s="1"/>
  <c r="AO61" i="9" s="1"/>
  <c r="AN61" i="9" s="1"/>
  <c r="AM61" i="9" s="1"/>
  <c r="AL61" i="9" s="1"/>
  <c r="AC21" i="9"/>
  <c r="R21" i="9"/>
  <c r="T21" i="9" s="1"/>
  <c r="AI145" i="9"/>
  <c r="AJ145" i="9"/>
  <c r="AK145" i="9"/>
  <c r="AT55" i="9"/>
  <c r="AS55" i="9" s="1"/>
  <c r="AR55" i="9" s="1"/>
  <c r="AQ55" i="9" s="1"/>
  <c r="AP55" i="9" s="1"/>
  <c r="AO55" i="9" s="1"/>
  <c r="AN55" i="9" s="1"/>
  <c r="AM55" i="9" s="1"/>
  <c r="AL55" i="9" s="1"/>
  <c r="AH96" i="9"/>
  <c r="AA96" i="9" s="1"/>
  <c r="AT125" i="9"/>
  <c r="AS125" i="9"/>
  <c r="AR125" i="9" s="1"/>
  <c r="AQ125" i="9" s="1"/>
  <c r="AP125" i="9" s="1"/>
  <c r="AO125" i="9" s="1"/>
  <c r="AN125" i="9" s="1"/>
  <c r="AM125" i="9" s="1"/>
  <c r="AL125" i="9" s="1"/>
  <c r="AT137" i="9"/>
  <c r="AS137" i="9" s="1"/>
  <c r="AR137" i="9" s="1"/>
  <c r="AQ137" i="9" s="1"/>
  <c r="AP137" i="9" s="1"/>
  <c r="AO137" i="9" s="1"/>
  <c r="AN137" i="9" s="1"/>
  <c r="AM137" i="9" s="1"/>
  <c r="AL137" i="9" s="1"/>
  <c r="AI126" i="9"/>
  <c r="AH126" i="9" s="1"/>
  <c r="AA126" i="9" s="1"/>
  <c r="AJ126" i="9"/>
  <c r="AK126" i="9"/>
  <c r="AH36" i="9"/>
  <c r="AA36" i="9" s="1"/>
  <c r="AT21" i="9"/>
  <c r="AS21" i="9"/>
  <c r="AR21" i="9" s="1"/>
  <c r="AQ21" i="9" s="1"/>
  <c r="AP21" i="9" s="1"/>
  <c r="AO21" i="9" s="1"/>
  <c r="AN21" i="9" s="1"/>
  <c r="AM21" i="9" s="1"/>
  <c r="AL21" i="9" s="1"/>
  <c r="K134" i="9"/>
  <c r="AA30" i="9"/>
  <c r="R127" i="9"/>
  <c r="T127" i="9" s="1"/>
  <c r="R128" i="9"/>
  <c r="T128" i="9" s="1"/>
  <c r="AA113" i="9"/>
  <c r="AF21" i="9"/>
  <c r="AF31" i="9"/>
  <c r="AA72" i="9"/>
  <c r="AB72" i="9"/>
  <c r="AT130" i="9"/>
  <c r="AS130" i="9"/>
  <c r="AR130" i="9" s="1"/>
  <c r="AQ130" i="9" s="1"/>
  <c r="AP130" i="9" s="1"/>
  <c r="AO130" i="9" s="1"/>
  <c r="AN130" i="9" s="1"/>
  <c r="AM130" i="9" s="1"/>
  <c r="AL130" i="9" s="1"/>
  <c r="J31" i="9"/>
  <c r="AC31" i="9"/>
  <c r="AH170" i="9"/>
  <c r="AH154" i="9"/>
  <c r="K137" i="9"/>
  <c r="AI114" i="9"/>
  <c r="AH114" i="9" s="1"/>
  <c r="AB114" i="9" s="1"/>
  <c r="AK114" i="9"/>
  <c r="AJ114" i="9"/>
  <c r="AI180" i="9"/>
  <c r="AH180" i="9" s="1"/>
  <c r="AB180" i="9" s="1"/>
  <c r="AJ180" i="9"/>
  <c r="AK180" i="9"/>
  <c r="AT31" i="9"/>
  <c r="AS31" i="9" s="1"/>
  <c r="AR31" i="9" s="1"/>
  <c r="AQ31" i="9" s="1"/>
  <c r="AP31" i="9" s="1"/>
  <c r="AO31" i="9" s="1"/>
  <c r="AN31" i="9" s="1"/>
  <c r="AM31" i="9" s="1"/>
  <c r="AL31" i="9" s="1"/>
  <c r="AB152" i="9"/>
  <c r="AA152" i="9"/>
  <c r="AK147" i="9"/>
  <c r="AI147" i="9"/>
  <c r="AH147" i="9" s="1"/>
  <c r="AT43" i="9"/>
  <c r="AS43" i="9"/>
  <c r="AR43" i="9"/>
  <c r="AQ43" i="9" s="1"/>
  <c r="AP43" i="9" s="1"/>
  <c r="AO43" i="9" s="1"/>
  <c r="AN43" i="9" s="1"/>
  <c r="AM43" i="9" s="1"/>
  <c r="AL43" i="9" s="1"/>
  <c r="AI81" i="9"/>
  <c r="AJ81" i="9"/>
  <c r="AK81" i="9"/>
  <c r="AA52" i="9"/>
  <c r="AE52" i="9" s="1"/>
  <c r="AJ168" i="9"/>
  <c r="AI168" i="9"/>
  <c r="AK168" i="9"/>
  <c r="AI142" i="9"/>
  <c r="AJ142" i="9"/>
  <c r="AK142" i="9"/>
  <c r="AH129" i="9"/>
  <c r="AI77" i="9"/>
  <c r="AJ77" i="9"/>
  <c r="AK77" i="9"/>
  <c r="AH171" i="9"/>
  <c r="AA171" i="9" s="1"/>
  <c r="K154" i="9"/>
  <c r="AO28" i="9"/>
  <c r="AN28" i="9" s="1"/>
  <c r="AM28" i="9" s="1"/>
  <c r="AL28" i="9" s="1"/>
  <c r="AT28" i="9"/>
  <c r="AS28" i="9" s="1"/>
  <c r="AR28" i="9" s="1"/>
  <c r="AQ28" i="9" s="1"/>
  <c r="AP28" i="9"/>
  <c r="AA166" i="9"/>
  <c r="R79" i="9"/>
  <c r="T79" i="9" s="1"/>
  <c r="AH52" i="9"/>
  <c r="AF122" i="9"/>
  <c r="AI85" i="9"/>
  <c r="AH85" i="9" s="1"/>
  <c r="AA85" i="9" s="1"/>
  <c r="AJ85" i="9"/>
  <c r="AK85" i="9"/>
  <c r="AT119" i="9"/>
  <c r="AS119" i="9" s="1"/>
  <c r="AR119" i="9" s="1"/>
  <c r="AQ119" i="9" s="1"/>
  <c r="AP119" i="9" s="1"/>
  <c r="AO119" i="9" s="1"/>
  <c r="AN119" i="9" s="1"/>
  <c r="AM119" i="9" s="1"/>
  <c r="AL119" i="9" s="1"/>
  <c r="AK27" i="9"/>
  <c r="AI27" i="9"/>
  <c r="AH27" i="9" s="1"/>
  <c r="AB27" i="9" s="1"/>
  <c r="AJ27" i="9"/>
  <c r="AR80" i="9"/>
  <c r="AQ80" i="9" s="1"/>
  <c r="AP80" i="9" s="1"/>
  <c r="AO80" i="9" s="1"/>
  <c r="AN80" i="9" s="1"/>
  <c r="AM80" i="9" s="1"/>
  <c r="AL80" i="9" s="1"/>
  <c r="AT80" i="9"/>
  <c r="AS80" i="9"/>
  <c r="AI163" i="9"/>
  <c r="AH163" i="9" s="1"/>
  <c r="AB163" i="9" s="1"/>
  <c r="AJ163" i="9"/>
  <c r="AK163" i="9"/>
  <c r="AH62" i="9"/>
  <c r="AA62" i="9" s="1"/>
  <c r="AD62" i="9" s="1"/>
  <c r="AJ38" i="9"/>
  <c r="AH38" i="9" s="1"/>
  <c r="AF108" i="9"/>
  <c r="AA69" i="9"/>
  <c r="AJ122" i="9"/>
  <c r="AI122" i="9"/>
  <c r="AH122" i="9" s="1"/>
  <c r="AK122" i="9"/>
  <c r="AC122" i="9"/>
  <c r="R122" i="9"/>
  <c r="T122" i="9" s="1"/>
  <c r="K27" i="9"/>
  <c r="AI23" i="9"/>
  <c r="AJ23" i="9"/>
  <c r="AA146" i="9"/>
  <c r="AA170" i="9"/>
  <c r="R85" i="9"/>
  <c r="T85" i="9" s="1"/>
  <c r="AC157" i="9"/>
  <c r="R138" i="9"/>
  <c r="T138" i="9" s="1"/>
  <c r="AK38" i="9"/>
  <c r="R182" i="9"/>
  <c r="T182" i="9" s="1"/>
  <c r="AC76" i="9"/>
  <c r="AT60" i="9"/>
  <c r="AS60" i="9"/>
  <c r="AR60" i="9" s="1"/>
  <c r="AQ60" i="9" s="1"/>
  <c r="AP60" i="9" s="1"/>
  <c r="AO60" i="9" s="1"/>
  <c r="AN60" i="9" s="1"/>
  <c r="AM60" i="9" s="1"/>
  <c r="AL60" i="9" s="1"/>
  <c r="AJ22" i="9"/>
  <c r="AK22" i="9"/>
  <c r="AI22" i="9"/>
  <c r="AT134" i="9"/>
  <c r="AS134" i="9"/>
  <c r="AR134" i="9" s="1"/>
  <c r="AQ134" i="9" s="1"/>
  <c r="AP134" i="9" s="1"/>
  <c r="AO134" i="9" s="1"/>
  <c r="AN134" i="9" s="1"/>
  <c r="AM134" i="9" s="1"/>
  <c r="AL134" i="9" s="1"/>
  <c r="AH76" i="9"/>
  <c r="AH82" i="9"/>
  <c r="AA74" i="9"/>
  <c r="AB74" i="9"/>
  <c r="AH174" i="9"/>
  <c r="O200" i="9"/>
  <c r="AT200" i="9"/>
  <c r="AS200" i="9" s="1"/>
  <c r="AR200" i="9" s="1"/>
  <c r="AQ200" i="9" s="1"/>
  <c r="AP200" i="9" s="1"/>
  <c r="AO200" i="9" s="1"/>
  <c r="AN200" i="9" s="1"/>
  <c r="AM200" i="9" s="1"/>
  <c r="AL200" i="9" s="1"/>
  <c r="R200" i="9"/>
  <c r="T200" i="9" s="1"/>
  <c r="K200" i="9"/>
  <c r="AC200" i="9"/>
  <c r="AF200" i="9"/>
  <c r="AF194" i="9"/>
  <c r="AC194" i="9"/>
  <c r="R174" i="9"/>
  <c r="T174" i="9" s="1"/>
  <c r="AF174" i="9"/>
  <c r="AC172" i="9"/>
  <c r="AF172" i="9"/>
  <c r="R172" i="9"/>
  <c r="T172" i="9" s="1"/>
  <c r="R97" i="9"/>
  <c r="T97" i="9" s="1"/>
  <c r="AC97" i="9"/>
  <c r="R189" i="10"/>
  <c r="AL189" i="10"/>
  <c r="AC113" i="9"/>
  <c r="R113" i="9"/>
  <c r="T113" i="9" s="1"/>
  <c r="AF113" i="9"/>
  <c r="R92" i="10"/>
  <c r="AC79" i="9"/>
  <c r="R46" i="9"/>
  <c r="T46" i="9" s="1"/>
  <c r="AF83" i="9"/>
  <c r="AL160" i="10"/>
  <c r="R160" i="10"/>
  <c r="AI160" i="10"/>
  <c r="R56" i="9"/>
  <c r="T56" i="9" s="1"/>
  <c r="AC56" i="9"/>
  <c r="AF56" i="9"/>
  <c r="R114" i="10"/>
  <c r="AI114" i="10"/>
  <c r="AL114" i="10"/>
  <c r="AC179" i="9"/>
  <c r="R86" i="9"/>
  <c r="T86" i="9" s="1"/>
  <c r="AC58" i="9"/>
  <c r="AI144" i="10"/>
  <c r="AI125" i="10"/>
  <c r="R139" i="9"/>
  <c r="T139" i="9" s="1"/>
  <c r="AC139" i="9"/>
  <c r="AF139" i="9"/>
  <c r="AC168" i="9"/>
  <c r="AF168" i="9"/>
  <c r="AC39" i="9"/>
  <c r="AF39" i="9"/>
  <c r="AI176" i="10"/>
  <c r="R176" i="10"/>
  <c r="AL176" i="10"/>
  <c r="AC154" i="9"/>
  <c r="AF154" i="9"/>
  <c r="AF137" i="9"/>
  <c r="AC137" i="9"/>
  <c r="R67" i="10"/>
  <c r="AI67" i="10"/>
  <c r="AI171" i="10"/>
  <c r="AF114" i="9"/>
  <c r="AC114" i="9"/>
  <c r="R114" i="9"/>
  <c r="T114" i="9" s="1"/>
  <c r="AL48" i="10"/>
  <c r="R48" i="10"/>
  <c r="AI48" i="10"/>
  <c r="R71" i="9"/>
  <c r="T71" i="9" s="1"/>
  <c r="AF71" i="9"/>
  <c r="AC71" i="9"/>
  <c r="R129" i="9"/>
  <c r="T129" i="9" s="1"/>
  <c r="AC129" i="9"/>
  <c r="AF129" i="9"/>
  <c r="R38" i="9"/>
  <c r="T38" i="9" s="1"/>
  <c r="AC38" i="9"/>
  <c r="AF38" i="9"/>
  <c r="AC102" i="9"/>
  <c r="AF102" i="9"/>
  <c r="AF80" i="9"/>
  <c r="R80" i="9"/>
  <c r="T80" i="9" s="1"/>
  <c r="AC80" i="9"/>
  <c r="AF22" i="9"/>
  <c r="AC22" i="9"/>
  <c r="R130" i="9"/>
  <c r="T130" i="9" s="1"/>
  <c r="AF157" i="9"/>
  <c r="AC45" i="9"/>
  <c r="AL171" i="10"/>
  <c r="AC83" i="9"/>
  <c r="AC46" i="9"/>
  <c r="R32" i="9"/>
  <c r="T32" i="9" s="1"/>
  <c r="AF32" i="9"/>
  <c r="AC32" i="9"/>
  <c r="R26" i="9"/>
  <c r="T26" i="9" s="1"/>
  <c r="AC26" i="9"/>
  <c r="AF26" i="9"/>
  <c r="AF72" i="9"/>
  <c r="AC72" i="9"/>
  <c r="R72" i="9"/>
  <c r="T72" i="9" s="1"/>
  <c r="AC156" i="9"/>
  <c r="AF156" i="9"/>
  <c r="AC105" i="9"/>
  <c r="AF105" i="9"/>
  <c r="R105" i="9"/>
  <c r="T105" i="9" s="1"/>
  <c r="R138" i="10"/>
  <c r="AF30" i="9"/>
  <c r="AF45" i="9"/>
  <c r="AC40" i="9"/>
  <c r="AL125" i="10"/>
  <c r="AC174" i="9"/>
  <c r="AF33" i="9"/>
  <c r="AC33" i="9"/>
  <c r="AC178" i="9"/>
  <c r="AF178" i="9"/>
  <c r="AC91" i="9"/>
  <c r="R91" i="9"/>
  <c r="T91" i="9" s="1"/>
  <c r="AF91" i="9"/>
  <c r="AF152" i="9"/>
  <c r="R152" i="9"/>
  <c r="T152" i="9" s="1"/>
  <c r="AC152" i="9"/>
  <c r="R48" i="9"/>
  <c r="T48" i="9" s="1"/>
  <c r="AF48" i="9"/>
  <c r="AC48" i="9"/>
  <c r="R101" i="10"/>
  <c r="AL138" i="10"/>
  <c r="R40" i="9"/>
  <c r="T40" i="9" s="1"/>
  <c r="AI189" i="10"/>
  <c r="R64" i="9"/>
  <c r="T64" i="9" s="1"/>
  <c r="AC64" i="9"/>
  <c r="AF64" i="9"/>
  <c r="AF74" i="9"/>
  <c r="AC74" i="9"/>
  <c r="AF81" i="9"/>
  <c r="AC81" i="9"/>
  <c r="AI109" i="10"/>
  <c r="R109" i="10"/>
  <c r="AL109" i="10"/>
  <c r="R98" i="4"/>
  <c r="T98" i="4" s="1"/>
  <c r="R95" i="4"/>
  <c r="T95" i="4" s="1"/>
  <c r="R198" i="4"/>
  <c r="T198" i="4" s="1"/>
  <c r="R84" i="4"/>
  <c r="T84" i="4" s="1"/>
  <c r="R51" i="4"/>
  <c r="T51" i="4" s="1"/>
  <c r="R76" i="4"/>
  <c r="T76" i="4" s="1"/>
  <c r="R178" i="4"/>
  <c r="T178" i="4" s="1"/>
  <c r="R60" i="4"/>
  <c r="T60" i="4" s="1"/>
  <c r="R85" i="4"/>
  <c r="T85" i="4" s="1"/>
  <c r="R67" i="4"/>
  <c r="T67" i="4" s="1"/>
  <c r="R147" i="4"/>
  <c r="T147" i="4" s="1"/>
  <c r="R68" i="4"/>
  <c r="T68" i="4" s="1"/>
  <c r="R54" i="4"/>
  <c r="T54" i="4" s="1"/>
  <c r="R103" i="4"/>
  <c r="T103" i="4" s="1"/>
  <c r="R111" i="4"/>
  <c r="T111" i="4" s="1"/>
  <c r="R53" i="4"/>
  <c r="T53" i="4" s="1"/>
  <c r="R135" i="4"/>
  <c r="T135" i="4" s="1"/>
  <c r="R152" i="4"/>
  <c r="T152" i="4" s="1"/>
  <c r="R212" i="4"/>
  <c r="T212" i="4" s="1"/>
  <c r="O204" i="9"/>
  <c r="AT204" i="9"/>
  <c r="AS204" i="9" s="1"/>
  <c r="AR204" i="9" s="1"/>
  <c r="AQ204" i="9" s="1"/>
  <c r="AP204" i="9" s="1"/>
  <c r="AO204" i="9" s="1"/>
  <c r="AN204" i="9" s="1"/>
  <c r="AM204" i="9" s="1"/>
  <c r="AL204" i="9" s="1"/>
  <c r="R204" i="9"/>
  <c r="T204" i="9" s="1"/>
  <c r="K204" i="9"/>
  <c r="AF204" i="9"/>
  <c r="AC204" i="9"/>
  <c r="O214" i="4"/>
  <c r="AF132" i="9"/>
  <c r="AF87" i="9"/>
  <c r="AF160" i="9"/>
  <c r="AC87" i="9"/>
  <c r="R132" i="9"/>
  <c r="T132" i="9" s="1"/>
  <c r="AI101" i="10"/>
  <c r="R165" i="4"/>
  <c r="T165" i="4" s="1"/>
  <c r="AD95" i="9"/>
  <c r="AE95" i="9"/>
  <c r="BB83" i="9"/>
  <c r="BA83" i="9"/>
  <c r="BA72" i="9"/>
  <c r="BB72" i="9"/>
  <c r="BB47" i="9"/>
  <c r="BA47" i="9"/>
  <c r="BB80" i="9"/>
  <c r="BA80" i="9"/>
  <c r="AZ80" i="9" s="1"/>
  <c r="AX80" i="9" s="1"/>
  <c r="BB75" i="9"/>
  <c r="BA75" i="9"/>
  <c r="BA55" i="9"/>
  <c r="BB55" i="9"/>
  <c r="BB86" i="9"/>
  <c r="BA86" i="9"/>
  <c r="AA185" i="9"/>
  <c r="R185" i="9"/>
  <c r="T185" i="9" s="1"/>
  <c r="AC185" i="9"/>
  <c r="AF185" i="9"/>
  <c r="K185" i="9"/>
  <c r="AB185" i="9"/>
  <c r="K84" i="9"/>
  <c r="AC84" i="9"/>
  <c r="AF84" i="9"/>
  <c r="AC78" i="9"/>
  <c r="AB78" i="9"/>
  <c r="BK76" i="9"/>
  <c r="BJ76" i="9" s="1"/>
  <c r="BI76" i="9" s="1"/>
  <c r="BH76" i="9" s="1"/>
  <c r="BG76" i="9" s="1"/>
  <c r="BF76" i="9" s="1"/>
  <c r="BE76" i="9" s="1"/>
  <c r="BD76" i="9" s="1"/>
  <c r="BC76" i="9" s="1"/>
  <c r="BK57" i="9"/>
  <c r="BJ57" i="9" s="1"/>
  <c r="BI57" i="9" s="1"/>
  <c r="BH57" i="9" s="1"/>
  <c r="BG57" i="9" s="1"/>
  <c r="BF57" i="9" s="1"/>
  <c r="BE57" i="9" s="1"/>
  <c r="BD57" i="9" s="1"/>
  <c r="BC57" i="9" s="1"/>
  <c r="BK89" i="9"/>
  <c r="BJ89" i="9" s="1"/>
  <c r="BI89" i="9" s="1"/>
  <c r="BH89" i="9" s="1"/>
  <c r="BG89" i="9" s="1"/>
  <c r="BF89" i="9" s="1"/>
  <c r="BE89" i="9" s="1"/>
  <c r="BD89" i="9" s="1"/>
  <c r="BC89" i="9" s="1"/>
  <c r="BK42" i="9"/>
  <c r="BJ42" i="9" s="1"/>
  <c r="BI42" i="9" s="1"/>
  <c r="BH42" i="9" s="1"/>
  <c r="BG42" i="9" s="1"/>
  <c r="BF42" i="9" s="1"/>
  <c r="BE42" i="9" s="1"/>
  <c r="BD42" i="9" s="1"/>
  <c r="BC42" i="9" s="1"/>
  <c r="BK85" i="9"/>
  <c r="BJ85" i="9"/>
  <c r="BI85" i="9"/>
  <c r="BH85" i="9" s="1"/>
  <c r="BG85" i="9" s="1"/>
  <c r="BF85" i="9" s="1"/>
  <c r="BE85" i="9" s="1"/>
  <c r="BD85" i="9" s="1"/>
  <c r="BC85" i="9" s="1"/>
  <c r="BK70" i="9"/>
  <c r="BJ70" i="9" s="1"/>
  <c r="BI70" i="9" s="1"/>
  <c r="BH70" i="9" s="1"/>
  <c r="BG70" i="9" s="1"/>
  <c r="BF70" i="9" s="1"/>
  <c r="BE70" i="9" s="1"/>
  <c r="BD70" i="9" s="1"/>
  <c r="BC70" i="9" s="1"/>
  <c r="BK62" i="9"/>
  <c r="BJ62" i="9"/>
  <c r="BI62" i="9" s="1"/>
  <c r="BH62" i="9" s="1"/>
  <c r="BG62" i="9" s="1"/>
  <c r="BF62" i="9" s="1"/>
  <c r="BE62" i="9" s="1"/>
  <c r="BD62" i="9" s="1"/>
  <c r="BC62" i="9" s="1"/>
  <c r="J35" i="9"/>
  <c r="AC35" i="9"/>
  <c r="AF35" i="9"/>
  <c r="R35" i="9"/>
  <c r="T35" i="9" s="1"/>
  <c r="AF148" i="9"/>
  <c r="J148" i="9"/>
  <c r="AC148" i="9"/>
  <c r="AB148" i="9"/>
  <c r="AI32" i="9"/>
  <c r="AJ32" i="9"/>
  <c r="AH32" i="9" s="1"/>
  <c r="AK32" i="9"/>
  <c r="AA161" i="9"/>
  <c r="R162" i="9"/>
  <c r="T162" i="9" s="1"/>
  <c r="AF78" i="9"/>
  <c r="R100" i="9"/>
  <c r="T100" i="9" s="1"/>
  <c r="R63" i="9"/>
  <c r="T63" i="9" s="1"/>
  <c r="R183" i="9"/>
  <c r="T183" i="9" s="1"/>
  <c r="R155" i="9"/>
  <c r="T155" i="9" s="1"/>
  <c r="R61" i="9"/>
  <c r="T61" i="9" s="1"/>
  <c r="J95" i="9"/>
  <c r="AF95" i="9"/>
  <c r="J68" i="9"/>
  <c r="AE68" i="9"/>
  <c r="AD68" i="9"/>
  <c r="AB68" i="9"/>
  <c r="AC68" i="9"/>
  <c r="AF68" i="9"/>
  <c r="K176" i="9"/>
  <c r="AC176" i="9"/>
  <c r="AF176" i="9"/>
  <c r="BK61" i="9"/>
  <c r="BJ61" i="9" s="1"/>
  <c r="BI61" i="9" s="1"/>
  <c r="BH61" i="9" s="1"/>
  <c r="BG61" i="9" s="1"/>
  <c r="BF61" i="9" s="1"/>
  <c r="BE61" i="9" s="1"/>
  <c r="BD61" i="9" s="1"/>
  <c r="BC61" i="9" s="1"/>
  <c r="BK50" i="9"/>
  <c r="BJ50" i="9" s="1"/>
  <c r="BI50" i="9" s="1"/>
  <c r="BH50" i="9" s="1"/>
  <c r="BG50" i="9" s="1"/>
  <c r="BF50" i="9" s="1"/>
  <c r="BE50" i="9" s="1"/>
  <c r="BD50" i="9" s="1"/>
  <c r="BC50" i="9" s="1"/>
  <c r="BK77" i="9"/>
  <c r="BJ77" i="9" s="1"/>
  <c r="BI77" i="9" s="1"/>
  <c r="BH77" i="9" s="1"/>
  <c r="BG77" i="9" s="1"/>
  <c r="BF77" i="9" s="1"/>
  <c r="BE77" i="9" s="1"/>
  <c r="BD77" i="9" s="1"/>
  <c r="BC77" i="9" s="1"/>
  <c r="BK31" i="9"/>
  <c r="BJ31" i="9"/>
  <c r="BI31" i="9" s="1"/>
  <c r="BH31" i="9" s="1"/>
  <c r="BG31" i="9" s="1"/>
  <c r="BF31" i="9" s="1"/>
  <c r="BE31" i="9" s="1"/>
  <c r="BD31" i="9" s="1"/>
  <c r="BC31" i="9" s="1"/>
  <c r="BK79" i="9"/>
  <c r="BJ79" i="9"/>
  <c r="BI79" i="9" s="1"/>
  <c r="BH79" i="9" s="1"/>
  <c r="BG79" i="9" s="1"/>
  <c r="BF79" i="9" s="1"/>
  <c r="BE79" i="9" s="1"/>
  <c r="BD79" i="9" s="1"/>
  <c r="BC79" i="9" s="1"/>
  <c r="BK96" i="9"/>
  <c r="BJ96" i="9" s="1"/>
  <c r="BI96" i="9" s="1"/>
  <c r="BH96" i="9" s="1"/>
  <c r="BG96" i="9" s="1"/>
  <c r="BF96" i="9" s="1"/>
  <c r="BE96" i="9" s="1"/>
  <c r="BD96" i="9" s="1"/>
  <c r="BC96" i="9" s="1"/>
  <c r="BK93" i="9"/>
  <c r="BJ93" i="9" s="1"/>
  <c r="BI93" i="9" s="1"/>
  <c r="BH93" i="9" s="1"/>
  <c r="BG93" i="9" s="1"/>
  <c r="BF93" i="9" s="1"/>
  <c r="BE93" i="9" s="1"/>
  <c r="BD93" i="9" s="1"/>
  <c r="BC93" i="9" s="1"/>
  <c r="R167" i="9"/>
  <c r="T167" i="9" s="1"/>
  <c r="AA49" i="9"/>
  <c r="AB49" i="9"/>
  <c r="AZ78" i="9"/>
  <c r="AX78" i="9" s="1"/>
  <c r="AZ68" i="9"/>
  <c r="AX68" i="9" s="1"/>
  <c r="R140" i="9"/>
  <c r="T140" i="9" s="1"/>
  <c r="AF89" i="9"/>
  <c r="AC89" i="9"/>
  <c r="R89" i="9"/>
  <c r="T89" i="9" s="1"/>
  <c r="R93" i="9"/>
  <c r="T93" i="9" s="1"/>
  <c r="K93" i="9"/>
  <c r="AF93" i="9"/>
  <c r="AC93" i="9"/>
  <c r="AB93" i="9"/>
  <c r="AB126" i="9"/>
  <c r="K126" i="9"/>
  <c r="BK20" i="9"/>
  <c r="BJ20" i="9" s="1"/>
  <c r="BI20" i="9" s="1"/>
  <c r="BH20" i="9" s="1"/>
  <c r="BG20" i="9" s="1"/>
  <c r="BF20" i="9" s="1"/>
  <c r="BE20" i="9" s="1"/>
  <c r="BD20" i="9" s="1"/>
  <c r="BC20" i="9" s="1"/>
  <c r="BK34" i="9"/>
  <c r="BJ34" i="9" s="1"/>
  <c r="BI34" i="9" s="1"/>
  <c r="BH34" i="9" s="1"/>
  <c r="BG34" i="9" s="1"/>
  <c r="BF34" i="9" s="1"/>
  <c r="BE34" i="9" s="1"/>
  <c r="BD34" i="9" s="1"/>
  <c r="BC34" i="9" s="1"/>
  <c r="BK73" i="9"/>
  <c r="BJ73" i="9" s="1"/>
  <c r="BI73" i="9" s="1"/>
  <c r="BH73" i="9" s="1"/>
  <c r="BG73" i="9" s="1"/>
  <c r="BF73" i="9" s="1"/>
  <c r="BE73" i="9" s="1"/>
  <c r="BD73" i="9" s="1"/>
  <c r="BC73" i="9" s="1"/>
  <c r="BK43" i="9"/>
  <c r="BJ43" i="9" s="1"/>
  <c r="BI43" i="9" s="1"/>
  <c r="BH43" i="9" s="1"/>
  <c r="BG43" i="9" s="1"/>
  <c r="BF43" i="9" s="1"/>
  <c r="BE43" i="9" s="1"/>
  <c r="BD43" i="9" s="1"/>
  <c r="BC43" i="9" s="1"/>
  <c r="BK69" i="9"/>
  <c r="BJ69" i="9" s="1"/>
  <c r="BI69" i="9" s="1"/>
  <c r="BH69" i="9" s="1"/>
  <c r="BG69" i="9" s="1"/>
  <c r="BF69" i="9" s="1"/>
  <c r="BE69" i="9" s="1"/>
  <c r="BD69" i="9" s="1"/>
  <c r="BC69" i="9" s="1"/>
  <c r="BK95" i="9"/>
  <c r="BJ95" i="9" s="1"/>
  <c r="BI95" i="9" s="1"/>
  <c r="BH95" i="9" s="1"/>
  <c r="BG95" i="9" s="1"/>
  <c r="BF95" i="9" s="1"/>
  <c r="BE95" i="9" s="1"/>
  <c r="BD95" i="9" s="1"/>
  <c r="BC95" i="9" s="1"/>
  <c r="BK90" i="9"/>
  <c r="BJ90" i="9"/>
  <c r="BI90" i="9" s="1"/>
  <c r="BH90" i="9" s="1"/>
  <c r="BG90" i="9" s="1"/>
  <c r="BF90" i="9" s="1"/>
  <c r="BE90" i="9" s="1"/>
  <c r="BD90" i="9" s="1"/>
  <c r="BC90" i="9" s="1"/>
  <c r="AF167" i="9"/>
  <c r="K167" i="9"/>
  <c r="AC167" i="9"/>
  <c r="AE167" i="9"/>
  <c r="AB167" i="9"/>
  <c r="AD167" i="9"/>
  <c r="AA148" i="9"/>
  <c r="AD148" i="9" s="1"/>
  <c r="AE113" i="9"/>
  <c r="AD113" i="9"/>
  <c r="R121" i="9"/>
  <c r="T121" i="9" s="1"/>
  <c r="AA63" i="9"/>
  <c r="R203" i="9"/>
  <c r="T203" i="9" s="1"/>
  <c r="AH87" i="9"/>
  <c r="AH34" i="9"/>
  <c r="AH40" i="9"/>
  <c r="K23" i="9"/>
  <c r="AC23" i="9"/>
  <c r="R23" i="9"/>
  <c r="T23" i="9" s="1"/>
  <c r="AF23" i="9"/>
  <c r="K125" i="9"/>
  <c r="AF125" i="9"/>
  <c r="AC125" i="9"/>
  <c r="J104" i="9"/>
  <c r="AC104" i="9"/>
  <c r="AF104" i="9"/>
  <c r="AA93" i="9"/>
  <c r="AE93" i="9" s="1"/>
  <c r="BK4" i="9"/>
  <c r="BJ4" i="9"/>
  <c r="BI4" i="9" s="1"/>
  <c r="BH4" i="9" s="1"/>
  <c r="BG4" i="9" s="1"/>
  <c r="BF4" i="9" s="1"/>
  <c r="BE4" i="9" s="1"/>
  <c r="BD4" i="9" s="1"/>
  <c r="BC4" i="9" s="1"/>
  <c r="BK51" i="9"/>
  <c r="BJ51" i="9"/>
  <c r="BI51" i="9" s="1"/>
  <c r="BH51" i="9" s="1"/>
  <c r="BG51" i="9" s="1"/>
  <c r="BF51" i="9" s="1"/>
  <c r="BE51" i="9" s="1"/>
  <c r="BD51" i="9" s="1"/>
  <c r="BC51" i="9" s="1"/>
  <c r="BK64" i="9"/>
  <c r="BJ64" i="9" s="1"/>
  <c r="BI64" i="9" s="1"/>
  <c r="BH64" i="9" s="1"/>
  <c r="BG64" i="9" s="1"/>
  <c r="BF64" i="9" s="1"/>
  <c r="BE64" i="9" s="1"/>
  <c r="BD64" i="9" s="1"/>
  <c r="BC64" i="9" s="1"/>
  <c r="BK81" i="9"/>
  <c r="BJ81" i="9"/>
  <c r="BI81" i="9" s="1"/>
  <c r="BH81" i="9" s="1"/>
  <c r="BG81" i="9" s="1"/>
  <c r="BF81" i="9" s="1"/>
  <c r="BE81" i="9" s="1"/>
  <c r="BD81" i="9" s="1"/>
  <c r="BC81" i="9" s="1"/>
  <c r="BK27" i="9"/>
  <c r="BJ27" i="9" s="1"/>
  <c r="BI27" i="9" s="1"/>
  <c r="BH27" i="9" s="1"/>
  <c r="BG27" i="9" s="1"/>
  <c r="BF27" i="9" s="1"/>
  <c r="BE27" i="9" s="1"/>
  <c r="BD27" i="9" s="1"/>
  <c r="BC27" i="9" s="1"/>
  <c r="BK92" i="9"/>
  <c r="BJ92" i="9"/>
  <c r="BI92" i="9"/>
  <c r="BH92" i="9" s="1"/>
  <c r="BG92" i="9" s="1"/>
  <c r="BF92" i="9" s="1"/>
  <c r="BE92" i="9" s="1"/>
  <c r="BD92" i="9" s="1"/>
  <c r="BC92" i="9" s="1"/>
  <c r="BK74" i="9"/>
  <c r="BJ74" i="9"/>
  <c r="BI74" i="9" s="1"/>
  <c r="BH74" i="9" s="1"/>
  <c r="BG74" i="9" s="1"/>
  <c r="BF74" i="9" s="1"/>
  <c r="BE74" i="9" s="1"/>
  <c r="BD74" i="9" s="1"/>
  <c r="BC74" i="9" s="1"/>
  <c r="R69" i="9"/>
  <c r="T69" i="9" s="1"/>
  <c r="AC128" i="9"/>
  <c r="AK61" i="9"/>
  <c r="AJ61" i="9"/>
  <c r="AI61" i="9"/>
  <c r="AZ9" i="9"/>
  <c r="AX9" i="9" s="1"/>
  <c r="AZ63" i="9"/>
  <c r="AX63" i="9" s="1"/>
  <c r="AZ8" i="9"/>
  <c r="AX8" i="9" s="1"/>
  <c r="AZ60" i="9"/>
  <c r="AX60" i="9" s="1"/>
  <c r="AC61" i="9"/>
  <c r="AF61" i="9"/>
  <c r="J61" i="9"/>
  <c r="BK66" i="9"/>
  <c r="BJ66" i="9"/>
  <c r="BI66" i="9" s="1"/>
  <c r="BH66" i="9" s="1"/>
  <c r="BG66" i="9" s="1"/>
  <c r="BF66" i="9" s="1"/>
  <c r="BE66" i="9" s="1"/>
  <c r="BD66" i="9" s="1"/>
  <c r="BC66" i="9" s="1"/>
  <c r="BJ2" i="9"/>
  <c r="BI2" i="9" s="1"/>
  <c r="BH2" i="9" s="1"/>
  <c r="BG2" i="9" s="1"/>
  <c r="BF2" i="9" s="1"/>
  <c r="BE2" i="9" s="1"/>
  <c r="BD2" i="9" s="1"/>
  <c r="BC2" i="9" s="1"/>
  <c r="BK2" i="9"/>
  <c r="BK48" i="9"/>
  <c r="BJ48" i="9" s="1"/>
  <c r="BI48" i="9" s="1"/>
  <c r="BH48" i="9" s="1"/>
  <c r="BG48" i="9" s="1"/>
  <c r="BF48" i="9" s="1"/>
  <c r="BE48" i="9" s="1"/>
  <c r="BD48" i="9" s="1"/>
  <c r="BC48" i="9" s="1"/>
  <c r="BJ18" i="9"/>
  <c r="BI18" i="9" s="1"/>
  <c r="BH18" i="9" s="1"/>
  <c r="BG18" i="9" s="1"/>
  <c r="BF18" i="9" s="1"/>
  <c r="BE18" i="9" s="1"/>
  <c r="BD18" i="9" s="1"/>
  <c r="BC18" i="9" s="1"/>
  <c r="BK18" i="9"/>
  <c r="BK5" i="9"/>
  <c r="BJ5" i="9"/>
  <c r="BI5" i="9" s="1"/>
  <c r="BH5" i="9" s="1"/>
  <c r="BG5" i="9" s="1"/>
  <c r="BF5" i="9" s="1"/>
  <c r="BE5" i="9" s="1"/>
  <c r="BD5" i="9" s="1"/>
  <c r="BC5" i="9" s="1"/>
  <c r="BK41" i="9"/>
  <c r="BJ41" i="9" s="1"/>
  <c r="BI41" i="9" s="1"/>
  <c r="BH41" i="9" s="1"/>
  <c r="BG41" i="9" s="1"/>
  <c r="BF41" i="9" s="1"/>
  <c r="BE41" i="9" s="1"/>
  <c r="BD41" i="9" s="1"/>
  <c r="BC41" i="9" s="1"/>
  <c r="BK67" i="9"/>
  <c r="BJ67" i="9" s="1"/>
  <c r="BI67" i="9" s="1"/>
  <c r="BH67" i="9" s="1"/>
  <c r="BG67" i="9" s="1"/>
  <c r="BF67" i="9" s="1"/>
  <c r="BE67" i="9" s="1"/>
  <c r="BD67" i="9" s="1"/>
  <c r="BC67" i="9" s="1"/>
  <c r="AC69" i="9"/>
  <c r="K69" i="9"/>
  <c r="AF69" i="9"/>
  <c r="AE69" i="9"/>
  <c r="AD69" i="9"/>
  <c r="AI97" i="9"/>
  <c r="AH97" i="9" s="1"/>
  <c r="AJ97" i="9"/>
  <c r="AK97" i="9"/>
  <c r="AD56" i="9"/>
  <c r="AE56" i="9"/>
  <c r="AA111" i="9"/>
  <c r="AF179" i="9"/>
  <c r="AA86" i="9"/>
  <c r="R150" i="9"/>
  <c r="T150" i="9" s="1"/>
  <c r="R47" i="9"/>
  <c r="T47" i="9" s="1"/>
  <c r="R123" i="9"/>
  <c r="T123" i="9" s="1"/>
  <c r="R191" i="9"/>
  <c r="T191" i="9" s="1"/>
  <c r="AC92" i="9"/>
  <c r="R135" i="9"/>
  <c r="T135" i="9" s="1"/>
  <c r="AH41" i="9"/>
  <c r="AA41" i="9" s="1"/>
  <c r="K153" i="9"/>
  <c r="AC153" i="9"/>
  <c r="AF153" i="9"/>
  <c r="AA132" i="9"/>
  <c r="K182" i="9"/>
  <c r="AC182" i="9"/>
  <c r="AB182" i="9"/>
  <c r="AE182" i="9"/>
  <c r="AF182" i="9"/>
  <c r="AI181" i="9"/>
  <c r="AJ181" i="9"/>
  <c r="AK181" i="9"/>
  <c r="BK97" i="9"/>
  <c r="BJ97" i="9" s="1"/>
  <c r="BI97" i="9" s="1"/>
  <c r="BH97" i="9" s="1"/>
  <c r="BG97" i="9" s="1"/>
  <c r="BF97" i="9" s="1"/>
  <c r="BE97" i="9" s="1"/>
  <c r="BD97" i="9" s="1"/>
  <c r="BC97" i="9" s="1"/>
  <c r="BI32" i="9"/>
  <c r="BH32" i="9" s="1"/>
  <c r="BG32" i="9" s="1"/>
  <c r="BF32" i="9" s="1"/>
  <c r="BE32" i="9" s="1"/>
  <c r="BD32" i="9" s="1"/>
  <c r="BC32" i="9" s="1"/>
  <c r="BK32" i="9"/>
  <c r="BJ32" i="9"/>
  <c r="BK40" i="9"/>
  <c r="BJ40" i="9" s="1"/>
  <c r="BI40" i="9" s="1"/>
  <c r="BH40" i="9" s="1"/>
  <c r="BG40" i="9" s="1"/>
  <c r="BF40" i="9" s="1"/>
  <c r="BE40" i="9" s="1"/>
  <c r="BD40" i="9" s="1"/>
  <c r="BC40" i="9" s="1"/>
  <c r="BK82" i="9"/>
  <c r="BJ82" i="9"/>
  <c r="BI82" i="9"/>
  <c r="BH82" i="9" s="1"/>
  <c r="BG82" i="9" s="1"/>
  <c r="BF82" i="9" s="1"/>
  <c r="BE82" i="9" s="1"/>
  <c r="BD82" i="9" s="1"/>
  <c r="BC82" i="9" s="1"/>
  <c r="BK15" i="9"/>
  <c r="BJ15" i="9"/>
  <c r="BI15" i="9" s="1"/>
  <c r="BH15" i="9" s="1"/>
  <c r="BG15" i="9" s="1"/>
  <c r="BF15" i="9" s="1"/>
  <c r="BE15" i="9" s="1"/>
  <c r="BD15" i="9" s="1"/>
  <c r="BC15" i="9" s="1"/>
  <c r="BJ11" i="9"/>
  <c r="BI11" i="9" s="1"/>
  <c r="BH11" i="9" s="1"/>
  <c r="BG11" i="9" s="1"/>
  <c r="BF11" i="9" s="1"/>
  <c r="BE11" i="9" s="1"/>
  <c r="BD11" i="9" s="1"/>
  <c r="BC11" i="9" s="1"/>
  <c r="BK11" i="9"/>
  <c r="BK65" i="9"/>
  <c r="BJ65" i="9"/>
  <c r="BI65" i="9" s="1"/>
  <c r="BH65" i="9" s="1"/>
  <c r="BG65" i="9" s="1"/>
  <c r="BF65" i="9" s="1"/>
  <c r="BE65" i="9" s="1"/>
  <c r="BD65" i="9" s="1"/>
  <c r="BC65" i="9" s="1"/>
  <c r="AC117" i="9"/>
  <c r="K117" i="9"/>
  <c r="AF117" i="9"/>
  <c r="R60" i="9"/>
  <c r="T60" i="9" s="1"/>
  <c r="AB88" i="9"/>
  <c r="AA88" i="9"/>
  <c r="AH131" i="9"/>
  <c r="AZ25" i="9"/>
  <c r="AX25" i="9" s="1"/>
  <c r="AZ36" i="9"/>
  <c r="AX36" i="9" s="1"/>
  <c r="AZ52" i="9"/>
  <c r="AX52" i="9" s="1"/>
  <c r="AZ7" i="9"/>
  <c r="AX7" i="9" s="1"/>
  <c r="AE139" i="9"/>
  <c r="AD139" i="9"/>
  <c r="BJ59" i="9"/>
  <c r="BI59" i="9"/>
  <c r="BH59" i="9" s="1"/>
  <c r="BG59" i="9" s="1"/>
  <c r="BF59" i="9" s="1"/>
  <c r="BE59" i="9" s="1"/>
  <c r="BD59" i="9" s="1"/>
  <c r="BC59" i="9" s="1"/>
  <c r="BK59" i="9"/>
  <c r="BK84" i="9"/>
  <c r="BJ84" i="9" s="1"/>
  <c r="BI84" i="9" s="1"/>
  <c r="BH84" i="9" s="1"/>
  <c r="BG84" i="9" s="1"/>
  <c r="BF84" i="9" s="1"/>
  <c r="BE84" i="9" s="1"/>
  <c r="BD84" i="9" s="1"/>
  <c r="BC84" i="9" s="1"/>
  <c r="BK94" i="9"/>
  <c r="BJ94" i="9"/>
  <c r="BI94" i="9" s="1"/>
  <c r="BH94" i="9" s="1"/>
  <c r="BG94" i="9" s="1"/>
  <c r="BF94" i="9" s="1"/>
  <c r="BE94" i="9" s="1"/>
  <c r="BD94" i="9" s="1"/>
  <c r="BC94" i="9" s="1"/>
  <c r="BK24" i="9"/>
  <c r="BJ24" i="9" s="1"/>
  <c r="BI24" i="9" s="1"/>
  <c r="BH24" i="9" s="1"/>
  <c r="BG24" i="9" s="1"/>
  <c r="BF24" i="9" s="1"/>
  <c r="BE24" i="9" s="1"/>
  <c r="BD24" i="9" s="1"/>
  <c r="BC24" i="9" s="1"/>
  <c r="BJ71" i="9"/>
  <c r="BI71" i="9"/>
  <c r="BH71" i="9"/>
  <c r="BG71" i="9" s="1"/>
  <c r="BF71" i="9" s="1"/>
  <c r="BE71" i="9" s="1"/>
  <c r="BD71" i="9" s="1"/>
  <c r="BC71" i="9" s="1"/>
  <c r="BK71" i="9"/>
  <c r="BK21" i="9"/>
  <c r="BJ21" i="9" s="1"/>
  <c r="BI21" i="9" s="1"/>
  <c r="BH21" i="9" s="1"/>
  <c r="BG21" i="9" s="1"/>
  <c r="BF21" i="9" s="1"/>
  <c r="BE21" i="9" s="1"/>
  <c r="BD21" i="9" s="1"/>
  <c r="BC21" i="9" s="1"/>
  <c r="BK17" i="9"/>
  <c r="BJ17" i="9"/>
  <c r="BI17" i="9" s="1"/>
  <c r="BH17" i="9" s="1"/>
  <c r="BG17" i="9" s="1"/>
  <c r="BF17" i="9" s="1"/>
  <c r="BE17" i="9" s="1"/>
  <c r="BD17" i="9" s="1"/>
  <c r="BC17" i="9" s="1"/>
  <c r="BK49" i="9"/>
  <c r="BJ49" i="9"/>
  <c r="BI49" i="9" s="1"/>
  <c r="BH49" i="9" s="1"/>
  <c r="BG49" i="9" s="1"/>
  <c r="BF49" i="9" s="1"/>
  <c r="BE49" i="9" s="1"/>
  <c r="BD49" i="9" s="1"/>
  <c r="BC49" i="9" s="1"/>
  <c r="J60" i="9"/>
  <c r="AC60" i="9"/>
  <c r="AF60" i="9"/>
  <c r="AI178" i="9"/>
  <c r="AJ178" i="9"/>
  <c r="AK178" i="9"/>
  <c r="AB122" i="9"/>
  <c r="AA122" i="9"/>
  <c r="AB69" i="9"/>
  <c r="AA176" i="9"/>
  <c r="AD176" i="9" s="1"/>
  <c r="AH83" i="9"/>
  <c r="AB83" i="9" s="1"/>
  <c r="R36" i="9"/>
  <c r="T36" i="9" s="1"/>
  <c r="AC36" i="9"/>
  <c r="J36" i="9"/>
  <c r="AB36" i="9"/>
  <c r="K132" i="9"/>
  <c r="AD132" i="9"/>
  <c r="AE132" i="9"/>
  <c r="AB132" i="9"/>
  <c r="AF36" i="9"/>
  <c r="K24" i="9"/>
  <c r="AF24" i="9"/>
  <c r="AC24" i="9"/>
  <c r="AD24" i="9"/>
  <c r="AB24" i="9"/>
  <c r="AE24" i="9"/>
  <c r="BK88" i="9"/>
  <c r="BJ88" i="9" s="1"/>
  <c r="BI88" i="9" s="1"/>
  <c r="BH88" i="9" s="1"/>
  <c r="BG88" i="9" s="1"/>
  <c r="BF88" i="9" s="1"/>
  <c r="BE88" i="9" s="1"/>
  <c r="BD88" i="9" s="1"/>
  <c r="BC88" i="9" s="1"/>
  <c r="BK23" i="9"/>
  <c r="BJ23" i="9" s="1"/>
  <c r="BI23" i="9" s="1"/>
  <c r="BH23" i="9" s="1"/>
  <c r="BG23" i="9" s="1"/>
  <c r="BF23" i="9" s="1"/>
  <c r="BE23" i="9" s="1"/>
  <c r="BD23" i="9" s="1"/>
  <c r="BC23" i="9" s="1"/>
  <c r="BK91" i="9"/>
  <c r="BJ91" i="9" s="1"/>
  <c r="BI91" i="9" s="1"/>
  <c r="BH91" i="9" s="1"/>
  <c r="BG91" i="9" s="1"/>
  <c r="BF91" i="9" s="1"/>
  <c r="BE91" i="9" s="1"/>
  <c r="BD91" i="9" s="1"/>
  <c r="BC91" i="9" s="1"/>
  <c r="BJ14" i="9"/>
  <c r="BI14" i="9" s="1"/>
  <c r="BH14" i="9" s="1"/>
  <c r="BG14" i="9" s="1"/>
  <c r="BF14" i="9" s="1"/>
  <c r="BE14" i="9" s="1"/>
  <c r="BD14" i="9" s="1"/>
  <c r="BC14" i="9" s="1"/>
  <c r="BK14" i="9"/>
  <c r="BK87" i="9"/>
  <c r="BJ87" i="9"/>
  <c r="BI87" i="9" s="1"/>
  <c r="BH87" i="9" s="1"/>
  <c r="BG87" i="9" s="1"/>
  <c r="BF87" i="9" s="1"/>
  <c r="BE87" i="9" s="1"/>
  <c r="BD87" i="9" s="1"/>
  <c r="BC87" i="9" s="1"/>
  <c r="BK29" i="9"/>
  <c r="BJ29" i="9" s="1"/>
  <c r="BI29" i="9" s="1"/>
  <c r="BH29" i="9" s="1"/>
  <c r="BG29" i="9" s="1"/>
  <c r="BF29" i="9" s="1"/>
  <c r="BE29" i="9" s="1"/>
  <c r="BD29" i="9" s="1"/>
  <c r="BC29" i="9" s="1"/>
  <c r="BI26" i="9"/>
  <c r="BH26" i="9" s="1"/>
  <c r="BG26" i="9" s="1"/>
  <c r="BF26" i="9" s="1"/>
  <c r="BE26" i="9" s="1"/>
  <c r="BD26" i="9" s="1"/>
  <c r="BC26" i="9" s="1"/>
  <c r="BK26" i="9"/>
  <c r="BJ26" i="9"/>
  <c r="BK39" i="9"/>
  <c r="BJ39" i="9" s="1"/>
  <c r="BI39" i="9" s="1"/>
  <c r="BH39" i="9" s="1"/>
  <c r="BG39" i="9" s="1"/>
  <c r="BF39" i="9" s="1"/>
  <c r="BE39" i="9" s="1"/>
  <c r="BD39" i="9" s="1"/>
  <c r="BC39" i="9" s="1"/>
  <c r="R148" i="9"/>
  <c r="T148" i="9" s="1"/>
  <c r="AF62" i="9"/>
  <c r="I62" i="9"/>
  <c r="AC62" i="9"/>
  <c r="K160" i="9"/>
  <c r="AB160" i="9"/>
  <c r="AE160" i="9"/>
  <c r="AD160" i="9"/>
  <c r="AB104" i="9"/>
  <c r="AB128" i="9"/>
  <c r="AA128" i="9"/>
  <c r="AE128" i="9" s="1"/>
  <c r="AI100" i="10"/>
  <c r="AL100" i="10"/>
  <c r="R100" i="10"/>
  <c r="R85" i="10"/>
  <c r="AI85" i="10"/>
  <c r="AL85" i="10"/>
  <c r="AI27" i="10"/>
  <c r="R27" i="10"/>
  <c r="AL38" i="10"/>
  <c r="AI38" i="10"/>
  <c r="R38" i="10"/>
  <c r="R99" i="10"/>
  <c r="AI99" i="10"/>
  <c r="AL99" i="10"/>
  <c r="AL49" i="10"/>
  <c r="AI49" i="10"/>
  <c r="R49" i="10"/>
  <c r="AI84" i="10"/>
  <c r="R84" i="10"/>
  <c r="AL84" i="10"/>
  <c r="R153" i="10"/>
  <c r="AI153" i="10"/>
  <c r="AL153" i="10"/>
  <c r="AL76" i="10"/>
  <c r="AI76" i="10"/>
  <c r="R76" i="10"/>
  <c r="R35" i="10"/>
  <c r="AI35" i="10"/>
  <c r="AL35" i="10"/>
  <c r="R142" i="10"/>
  <c r="AI142" i="10"/>
  <c r="AL142" i="10"/>
  <c r="AL166" i="10"/>
  <c r="AI166" i="10"/>
  <c r="R166" i="10"/>
  <c r="R115" i="10"/>
  <c r="AI115" i="10"/>
  <c r="AL115" i="10"/>
  <c r="R63" i="10"/>
  <c r="AL63" i="10"/>
  <c r="AI63" i="10"/>
  <c r="R156" i="10"/>
  <c r="AL156" i="10"/>
  <c r="R23" i="10"/>
  <c r="AI23" i="10"/>
  <c r="AL23" i="10"/>
  <c r="AL155" i="10"/>
  <c r="R155" i="10"/>
  <c r="AI155" i="10"/>
  <c r="AI103" i="10"/>
  <c r="AL103" i="10"/>
  <c r="R103" i="10"/>
  <c r="R106" i="4"/>
  <c r="AL39" i="10"/>
  <c r="AI39" i="10"/>
  <c r="R39" i="10"/>
  <c r="AI137" i="10"/>
  <c r="AL137" i="10"/>
  <c r="R137" i="10"/>
  <c r="R96" i="10"/>
  <c r="AL96" i="10"/>
  <c r="AI96" i="10"/>
  <c r="R82" i="10"/>
  <c r="AL82" i="10"/>
  <c r="AI82" i="10"/>
  <c r="AL148" i="10"/>
  <c r="R148" i="10"/>
  <c r="AI148" i="10"/>
  <c r="R64" i="10"/>
  <c r="AI64" i="10"/>
  <c r="AL64" i="10"/>
  <c r="AI74" i="10"/>
  <c r="R74" i="10"/>
  <c r="AL74" i="10"/>
  <c r="AI193" i="10"/>
  <c r="R193" i="10"/>
  <c r="AI134" i="10"/>
  <c r="R134" i="10"/>
  <c r="AL134" i="10"/>
  <c r="AL47" i="10"/>
  <c r="AI47" i="10"/>
  <c r="R47" i="10"/>
  <c r="AI151" i="10"/>
  <c r="AL151" i="10"/>
  <c r="R151" i="10"/>
  <c r="AI71" i="10"/>
  <c r="AL71" i="10"/>
  <c r="R71" i="10"/>
  <c r="R111" i="10"/>
  <c r="AI111" i="10"/>
  <c r="AL111" i="10"/>
  <c r="AI150" i="10"/>
  <c r="R150" i="10"/>
  <c r="AL150" i="10"/>
  <c r="R30" i="10"/>
  <c r="AI30" i="10"/>
  <c r="AL30" i="10"/>
  <c r="AI190" i="10"/>
  <c r="R190" i="10"/>
  <c r="AI145" i="10"/>
  <c r="AL145" i="10"/>
  <c r="R145" i="10"/>
  <c r="AL66" i="10"/>
  <c r="AI66" i="10"/>
  <c r="R66" i="10"/>
  <c r="AI158" i="10"/>
  <c r="R158" i="10"/>
  <c r="AL168" i="10"/>
  <c r="AI168" i="10"/>
  <c r="R168" i="10"/>
  <c r="AL104" i="10"/>
  <c r="AI104" i="10"/>
  <c r="R104" i="10"/>
  <c r="AI129" i="10"/>
  <c r="AL129" i="10"/>
  <c r="R129" i="10"/>
  <c r="AL75" i="10"/>
  <c r="R75" i="10"/>
  <c r="R21" i="10"/>
  <c r="AL21" i="10"/>
  <c r="AI21" i="10"/>
  <c r="R143" i="10"/>
  <c r="AL143" i="10"/>
  <c r="AI143" i="10"/>
  <c r="R24" i="10"/>
  <c r="AL24" i="10"/>
  <c r="AI24" i="10"/>
  <c r="AL135" i="10"/>
  <c r="AI135" i="10"/>
  <c r="R135" i="10"/>
  <c r="R40" i="10"/>
  <c r="AI40" i="10"/>
  <c r="AL40" i="10"/>
  <c r="AL186" i="10"/>
  <c r="AI186" i="10"/>
  <c r="R186" i="10"/>
  <c r="R119" i="10"/>
  <c r="AL119" i="10"/>
  <c r="AI119" i="10"/>
  <c r="R60" i="10"/>
  <c r="AI60" i="10"/>
  <c r="AL60" i="10"/>
  <c r="R146" i="10"/>
  <c r="AL146" i="10"/>
  <c r="AI146" i="10"/>
  <c r="AL79" i="10"/>
  <c r="AI79" i="10"/>
  <c r="R79" i="10"/>
  <c r="R41" i="10"/>
  <c r="AI41" i="10"/>
  <c r="AL41" i="10"/>
  <c r="R140" i="10"/>
  <c r="AI140" i="10"/>
  <c r="AL140" i="10"/>
  <c r="R36" i="10"/>
  <c r="AI36" i="10"/>
  <c r="AL36" i="10"/>
  <c r="AI185" i="10"/>
  <c r="AL185" i="10"/>
  <c r="R185" i="10"/>
  <c r="AL139" i="10"/>
  <c r="R139" i="10"/>
  <c r="AI139" i="10"/>
  <c r="AI97" i="10"/>
  <c r="R97" i="10"/>
  <c r="AL97" i="10"/>
  <c r="AL78" i="10"/>
  <c r="R78" i="10"/>
  <c r="AI78" i="10"/>
  <c r="AL152" i="10"/>
  <c r="R152" i="10"/>
  <c r="AI152" i="10"/>
  <c r="AI106" i="10"/>
  <c r="R106" i="10"/>
  <c r="AL106" i="10"/>
  <c r="R124" i="10"/>
  <c r="AL124" i="10"/>
  <c r="AI124" i="10"/>
  <c r="AL45" i="10"/>
  <c r="AI45" i="10"/>
  <c r="R45" i="10"/>
  <c r="AL180" i="10"/>
  <c r="AI180" i="10"/>
  <c r="R50" i="10"/>
  <c r="AL50" i="10"/>
  <c r="AI50" i="10"/>
  <c r="AI87" i="10"/>
  <c r="AL87" i="10"/>
  <c r="R87" i="10"/>
  <c r="AI128" i="10"/>
  <c r="AL128" i="10"/>
  <c r="R128" i="10"/>
  <c r="AL32" i="10"/>
  <c r="R32" i="10"/>
  <c r="AI32" i="10"/>
  <c r="R174" i="10"/>
  <c r="AL174" i="10"/>
  <c r="AI174" i="10"/>
  <c r="R58" i="10"/>
  <c r="AL58" i="10"/>
  <c r="AI58" i="10"/>
  <c r="AL88" i="10"/>
  <c r="AI88" i="10"/>
  <c r="R88" i="10"/>
  <c r="AI141" i="10"/>
  <c r="AL141" i="10"/>
  <c r="R141" i="10"/>
  <c r="R65" i="10"/>
  <c r="AI65" i="10"/>
  <c r="AL65" i="10"/>
  <c r="R130" i="10"/>
  <c r="AI130" i="10"/>
  <c r="AL130" i="10"/>
  <c r="AL132" i="10"/>
  <c r="AI132" i="10"/>
  <c r="R132" i="10"/>
  <c r="R29" i="10"/>
  <c r="AI29" i="10"/>
  <c r="AL29" i="10"/>
  <c r="AL182" i="10"/>
  <c r="AI182" i="10"/>
  <c r="AI126" i="10"/>
  <c r="AL126" i="10"/>
  <c r="R126" i="10"/>
  <c r="R94" i="10"/>
  <c r="AL94" i="10"/>
  <c r="AI94" i="10"/>
  <c r="R163" i="10"/>
  <c r="AI163" i="10"/>
  <c r="AL163" i="10"/>
  <c r="AI118" i="10"/>
  <c r="R118" i="10"/>
  <c r="AL118" i="10"/>
  <c r="R161" i="10"/>
  <c r="AL161" i="10"/>
  <c r="AI161" i="10"/>
  <c r="R34" i="10"/>
  <c r="R92" i="9"/>
  <c r="T92" i="9" s="1"/>
  <c r="AL192" i="10"/>
  <c r="AF198" i="9"/>
  <c r="AF37" i="9"/>
  <c r="AC37" i="9"/>
  <c r="AC28" i="9"/>
  <c r="AF28" i="9"/>
  <c r="R188" i="10"/>
  <c r="AL188" i="10"/>
  <c r="AI188" i="10"/>
  <c r="AI121" i="10"/>
  <c r="AL121" i="10"/>
  <c r="R121" i="10"/>
  <c r="R42" i="10"/>
  <c r="AL42" i="10"/>
  <c r="AI42" i="10"/>
  <c r="AL175" i="10"/>
  <c r="R175" i="10"/>
  <c r="AI175" i="10"/>
  <c r="AL113" i="10"/>
  <c r="AI113" i="10"/>
  <c r="AL62" i="10"/>
  <c r="R62" i="10"/>
  <c r="AI62" i="10"/>
  <c r="AI51" i="10"/>
  <c r="R51" i="10"/>
  <c r="AI28" i="10"/>
  <c r="AL28" i="10"/>
  <c r="R28" i="10"/>
  <c r="R167" i="10"/>
  <c r="AL167" i="10"/>
  <c r="AI167" i="10"/>
  <c r="AI112" i="10"/>
  <c r="AL112" i="10"/>
  <c r="R112" i="10"/>
  <c r="AL133" i="10"/>
  <c r="R133" i="10"/>
  <c r="AI133" i="10"/>
  <c r="AI81" i="10"/>
  <c r="AL81" i="10"/>
  <c r="R81" i="10"/>
  <c r="AI183" i="10"/>
  <c r="AL183" i="10"/>
  <c r="R183" i="10"/>
  <c r="AL122" i="10"/>
  <c r="R122" i="10"/>
  <c r="AI122" i="10"/>
  <c r="R53" i="10"/>
  <c r="AL53" i="10"/>
  <c r="AI53" i="10"/>
  <c r="AI52" i="10"/>
  <c r="R52" i="10"/>
  <c r="AL52" i="10"/>
  <c r="R70" i="10"/>
  <c r="AI70" i="10"/>
  <c r="AL70" i="10"/>
  <c r="AL164" i="10"/>
  <c r="AI164" i="10"/>
  <c r="R164" i="10"/>
  <c r="AL95" i="10"/>
  <c r="R95" i="10"/>
  <c r="AI95" i="10"/>
  <c r="AL22" i="10"/>
  <c r="AI22" i="10"/>
  <c r="R22" i="10"/>
  <c r="E14" i="6"/>
  <c r="AL27" i="10"/>
  <c r="AI156" i="10"/>
  <c r="R34" i="9"/>
  <c r="T34" i="9" s="1"/>
  <c r="AF34" i="9"/>
  <c r="AC34" i="9"/>
  <c r="R181" i="10"/>
  <c r="AL181" i="10"/>
  <c r="AL54" i="10"/>
  <c r="AI54" i="10"/>
  <c r="R54" i="10"/>
  <c r="AL31" i="10"/>
  <c r="R31" i="10"/>
  <c r="AI31" i="10"/>
  <c r="AL169" i="10"/>
  <c r="AI169" i="10"/>
  <c r="AI56" i="10"/>
  <c r="AL56" i="10"/>
  <c r="R56" i="10"/>
  <c r="AI80" i="10"/>
  <c r="AL80" i="10"/>
  <c r="R80" i="10"/>
  <c r="AI120" i="10"/>
  <c r="R120" i="10"/>
  <c r="AL120" i="10"/>
  <c r="AL26" i="10"/>
  <c r="AI26" i="10"/>
  <c r="R26" i="10"/>
  <c r="AI162" i="10"/>
  <c r="AL162" i="10"/>
  <c r="R162" i="10"/>
  <c r="AI98" i="10"/>
  <c r="R98" i="10"/>
  <c r="AL98" i="10"/>
  <c r="AL179" i="10"/>
  <c r="AI179" i="10"/>
  <c r="R179" i="10"/>
  <c r="R127" i="10"/>
  <c r="AI127" i="10"/>
  <c r="AL127" i="10"/>
  <c r="R77" i="10"/>
  <c r="AI77" i="10"/>
  <c r="AL77" i="10"/>
  <c r="AL178" i="10"/>
  <c r="R178" i="10"/>
  <c r="AI178" i="10"/>
  <c r="AL57" i="10"/>
  <c r="R57" i="10"/>
  <c r="AI57" i="10"/>
  <c r="AI105" i="10"/>
  <c r="AL105" i="10"/>
  <c r="R105" i="10"/>
  <c r="AL117" i="10"/>
  <c r="R117" i="10"/>
  <c r="AI117" i="10"/>
  <c r="AL68" i="10"/>
  <c r="R68" i="10"/>
  <c r="AI68" i="10"/>
  <c r="R69" i="10"/>
  <c r="AL69" i="10"/>
  <c r="AI69" i="10"/>
  <c r="AI73" i="10"/>
  <c r="R73" i="10"/>
  <c r="AL73" i="10"/>
  <c r="AL72" i="10"/>
  <c r="AI72" i="10"/>
  <c r="R72" i="10"/>
  <c r="AL158" i="10"/>
  <c r="AL159" i="10"/>
  <c r="R28" i="9"/>
  <c r="T28" i="9" s="1"/>
  <c r="R170" i="10"/>
  <c r="AI170" i="10"/>
  <c r="AL170" i="10"/>
  <c r="AL59" i="10"/>
  <c r="AI59" i="10"/>
  <c r="R59" i="10"/>
  <c r="AL86" i="10"/>
  <c r="R86" i="10"/>
  <c r="AI86" i="10"/>
  <c r="AL46" i="10"/>
  <c r="R46" i="10"/>
  <c r="AI46" i="10"/>
  <c r="AL187" i="10"/>
  <c r="R187" i="10"/>
  <c r="AI187" i="10"/>
  <c r="AL55" i="10"/>
  <c r="AI55" i="10"/>
  <c r="R55" i="10"/>
  <c r="AL25" i="10"/>
  <c r="R25" i="10"/>
  <c r="AI25" i="10"/>
  <c r="AL157" i="10"/>
  <c r="R157" i="10"/>
  <c r="AI157" i="10"/>
  <c r="AI61" i="10"/>
  <c r="AL61" i="10"/>
  <c r="R61" i="10"/>
  <c r="AL173" i="10"/>
  <c r="R173" i="10"/>
  <c r="AI173" i="10"/>
  <c r="AL123" i="10"/>
  <c r="AI123" i="10"/>
  <c r="R123" i="10"/>
  <c r="AI43" i="10"/>
  <c r="R43" i="10"/>
  <c r="AL43" i="10"/>
  <c r="AI172" i="10"/>
  <c r="AL172" i="10"/>
  <c r="R172" i="10"/>
  <c r="AL110" i="10"/>
  <c r="R110" i="10"/>
  <c r="AI110" i="10"/>
  <c r="R37" i="10"/>
  <c r="AL37" i="10"/>
  <c r="AI37" i="10"/>
  <c r="R165" i="10"/>
  <c r="AL165" i="10"/>
  <c r="AI165" i="10"/>
  <c r="AI107" i="10"/>
  <c r="AL107" i="10"/>
  <c r="R107" i="10"/>
  <c r="R91" i="10"/>
  <c r="AL91" i="10"/>
  <c r="AI91" i="10"/>
  <c r="D16" i="4"/>
  <c r="D19" i="4" s="1"/>
  <c r="R183" i="4"/>
  <c r="T183" i="4" s="1"/>
  <c r="R69" i="4"/>
  <c r="T69" i="4" s="1"/>
  <c r="R102" i="4"/>
  <c r="T102" i="4" s="1"/>
  <c r="R157" i="4"/>
  <c r="T157" i="4" s="1"/>
  <c r="G143" i="4"/>
  <c r="K143" i="4" s="1"/>
  <c r="P143" i="4"/>
  <c r="R185" i="4"/>
  <c r="T185" i="4" s="1"/>
  <c r="R89" i="4"/>
  <c r="T89" i="4" s="1"/>
  <c r="K106" i="4"/>
  <c r="R59" i="4"/>
  <c r="T59" i="4" s="1"/>
  <c r="R92" i="4"/>
  <c r="T92" i="4" s="1"/>
  <c r="R105" i="4"/>
  <c r="T105" i="4" s="1"/>
  <c r="R175" i="4"/>
  <c r="T175" i="4" s="1"/>
  <c r="K101" i="4"/>
  <c r="R101" i="4"/>
  <c r="T101" i="4" s="1"/>
  <c r="R100" i="4"/>
  <c r="T100" i="4" s="1"/>
  <c r="R160" i="4"/>
  <c r="T160" i="4" s="1"/>
  <c r="R55" i="4"/>
  <c r="T55" i="4" s="1"/>
  <c r="R66" i="4"/>
  <c r="T66" i="4" s="1"/>
  <c r="P123" i="4"/>
  <c r="R123" i="4" s="1"/>
  <c r="T123" i="4" s="1"/>
  <c r="P74" i="4"/>
  <c r="G74" i="4"/>
  <c r="J74" i="4" s="1"/>
  <c r="R104" i="4"/>
  <c r="D15" i="4"/>
  <c r="C19" i="4" s="1"/>
  <c r="P112" i="4"/>
  <c r="R112" i="4" s="1"/>
  <c r="T112" i="4" s="1"/>
  <c r="R207" i="4"/>
  <c r="T207" i="4" s="1"/>
  <c r="R187" i="4"/>
  <c r="T187" i="4" s="1"/>
  <c r="R97" i="4"/>
  <c r="T97" i="4" s="1"/>
  <c r="R57" i="4"/>
  <c r="T57" i="4" s="1"/>
  <c r="R93" i="4"/>
  <c r="T93" i="4" s="1"/>
  <c r="O104" i="4"/>
  <c r="O106" i="4"/>
  <c r="O110" i="4"/>
  <c r="O119" i="4"/>
  <c r="O27" i="4"/>
  <c r="O112" i="4"/>
  <c r="O120" i="4"/>
  <c r="O35" i="4"/>
  <c r="O33" i="4"/>
  <c r="O116" i="4"/>
  <c r="O113" i="4"/>
  <c r="O129" i="4"/>
  <c r="O137" i="4"/>
  <c r="O145" i="4"/>
  <c r="O146" i="4"/>
  <c r="O154" i="4"/>
  <c r="O118" i="4"/>
  <c r="O122" i="4"/>
  <c r="O130" i="4"/>
  <c r="O138" i="4"/>
  <c r="O90" i="4"/>
  <c r="O117" i="4"/>
  <c r="O123" i="4"/>
  <c r="O131" i="4"/>
  <c r="O139" i="4"/>
  <c r="O148" i="4"/>
  <c r="O156" i="4"/>
  <c r="O164" i="4"/>
  <c r="O173" i="4"/>
  <c r="O181" i="4"/>
  <c r="O81" i="4"/>
  <c r="O84" i="4"/>
  <c r="O121" i="4"/>
  <c r="O124" i="4"/>
  <c r="O132" i="4"/>
  <c r="O140" i="4"/>
  <c r="O149" i="4"/>
  <c r="O157" i="4"/>
  <c r="O166" i="4"/>
  <c r="O174" i="4"/>
  <c r="O182" i="4"/>
  <c r="O126" i="4"/>
  <c r="O134" i="4"/>
  <c r="O142" i="4"/>
  <c r="O151" i="4"/>
  <c r="O114" i="4"/>
  <c r="O152" i="4"/>
  <c r="O153" i="4"/>
  <c r="O175" i="4"/>
  <c r="O177" i="4"/>
  <c r="O178" i="4"/>
  <c r="O192" i="4"/>
  <c r="O200" i="4"/>
  <c r="O193" i="4"/>
  <c r="O201" i="4"/>
  <c r="O135" i="4"/>
  <c r="O162" i="4"/>
  <c r="O163" i="4"/>
  <c r="O184" i="4"/>
  <c r="O194" i="4"/>
  <c r="O202" i="4"/>
  <c r="O207" i="4"/>
  <c r="O143" i="4"/>
  <c r="O190" i="4"/>
  <c r="O205" i="4"/>
  <c r="O213" i="4"/>
  <c r="O141" i="4"/>
  <c r="O183" i="4"/>
  <c r="O185" i="4"/>
  <c r="O186" i="4"/>
  <c r="O187" i="4"/>
  <c r="O195" i="4"/>
  <c r="O203" i="4"/>
  <c r="O208" i="4"/>
  <c r="O133" i="4"/>
  <c r="O136" i="4"/>
  <c r="O155" i="4"/>
  <c r="O159" i="4"/>
  <c r="O160" i="4"/>
  <c r="O161" i="4"/>
  <c r="O168" i="4"/>
  <c r="O171" i="4"/>
  <c r="O172" i="4"/>
  <c r="O188" i="4"/>
  <c r="O196" i="4"/>
  <c r="O204" i="4"/>
  <c r="O209" i="4"/>
  <c r="O115" i="4"/>
  <c r="O125" i="4"/>
  <c r="O128" i="4"/>
  <c r="O144" i="4"/>
  <c r="O147" i="4"/>
  <c r="O150" i="4"/>
  <c r="O167" i="4"/>
  <c r="O169" i="4"/>
  <c r="O170" i="4"/>
  <c r="O189" i="4"/>
  <c r="O197" i="4"/>
  <c r="O211" i="4"/>
  <c r="O212" i="4"/>
  <c r="O158" i="4"/>
  <c r="O198" i="4"/>
  <c r="O127" i="4"/>
  <c r="O165" i="4"/>
  <c r="O176" i="4"/>
  <c r="O179" i="4"/>
  <c r="O180" i="4"/>
  <c r="O191" i="4"/>
  <c r="O199" i="4"/>
  <c r="O206" i="4"/>
  <c r="R71" i="4"/>
  <c r="T71" i="4" s="1"/>
  <c r="R150" i="4"/>
  <c r="T150" i="4" s="1"/>
  <c r="R117" i="4"/>
  <c r="T117" i="4" s="1"/>
  <c r="R122" i="4"/>
  <c r="T122" i="4" s="1"/>
  <c r="R204" i="4"/>
  <c r="T204" i="4" s="1"/>
  <c r="R195" i="4"/>
  <c r="T195" i="4" s="1"/>
  <c r="R154" i="4"/>
  <c r="T154" i="4" s="1"/>
  <c r="R205" i="4"/>
  <c r="T205" i="4" s="1"/>
  <c r="R75" i="4"/>
  <c r="T75" i="4" s="1"/>
  <c r="R128" i="4"/>
  <c r="T128" i="4" s="1"/>
  <c r="R99" i="4"/>
  <c r="T99" i="4" s="1"/>
  <c r="R173" i="4"/>
  <c r="T173" i="4" s="1"/>
  <c r="R163" i="4"/>
  <c r="T163" i="4" s="1"/>
  <c r="R61" i="4"/>
  <c r="T61" i="4" s="1"/>
  <c r="R77" i="4"/>
  <c r="T77" i="4" s="1"/>
  <c r="R83" i="4"/>
  <c r="T83" i="4" s="1"/>
  <c r="K138" i="4"/>
  <c r="R138" i="4"/>
  <c r="T138" i="4" s="1"/>
  <c r="R129" i="4"/>
  <c r="T129" i="4" s="1"/>
  <c r="R188" i="4"/>
  <c r="T188" i="4" s="1"/>
  <c r="R191" i="4"/>
  <c r="T191" i="4" s="1"/>
  <c r="R164" i="4"/>
  <c r="T164" i="4" s="1"/>
  <c r="R196" i="4"/>
  <c r="T196" i="4" s="1"/>
  <c r="R199" i="4"/>
  <c r="T199" i="4" s="1"/>
  <c r="R190" i="4"/>
  <c r="T190" i="4" s="1"/>
  <c r="R162" i="4"/>
  <c r="T162" i="4" s="1"/>
  <c r="R63" i="4"/>
  <c r="T63" i="4" s="1"/>
  <c r="R79" i="4"/>
  <c r="T79" i="4" s="1"/>
  <c r="R206" i="4"/>
  <c r="T206" i="4" s="1"/>
  <c r="R201" i="4"/>
  <c r="T201" i="4" s="1"/>
  <c r="R65" i="4"/>
  <c r="T65" i="4" s="1"/>
  <c r="R35" i="4"/>
  <c r="K155" i="4"/>
  <c r="R155" i="4"/>
  <c r="T155" i="4" s="1"/>
  <c r="R137" i="4"/>
  <c r="T137" i="4" s="1"/>
  <c r="R148" i="4"/>
  <c r="T148" i="4" s="1"/>
  <c r="R194" i="4"/>
  <c r="T194" i="4" s="1"/>
  <c r="R113" i="4"/>
  <c r="T113" i="4" s="1"/>
  <c r="R174" i="4"/>
  <c r="T174" i="4" s="1"/>
  <c r="R208" i="4"/>
  <c r="T208" i="4" s="1"/>
  <c r="R192" i="4"/>
  <c r="T192" i="4" s="1"/>
  <c r="R202" i="4"/>
  <c r="T202" i="4" s="1"/>
  <c r="R193" i="4"/>
  <c r="T193" i="4" s="1"/>
  <c r="R180" i="4"/>
  <c r="T180" i="4" s="1"/>
  <c r="R179" i="4"/>
  <c r="T179" i="4" s="1"/>
  <c r="J107" i="4"/>
  <c r="R107" i="4"/>
  <c r="T107" i="4" s="1"/>
  <c r="R110" i="4"/>
  <c r="T110" i="4" s="1"/>
  <c r="R136" i="4"/>
  <c r="T136" i="4" s="1"/>
  <c r="R166" i="4"/>
  <c r="T166" i="4" s="1"/>
  <c r="R156" i="4"/>
  <c r="T156" i="4" s="1"/>
  <c r="R181" i="4"/>
  <c r="T181" i="4" s="1"/>
  <c r="R213" i="4"/>
  <c r="T213" i="4" s="1"/>
  <c r="R182" i="4"/>
  <c r="T182" i="4" s="1"/>
  <c r="R209" i="4"/>
  <c r="T209" i="4" s="1"/>
  <c r="R200" i="4"/>
  <c r="T200" i="4" s="1"/>
  <c r="C16" i="4"/>
  <c r="D18" i="4" s="1"/>
  <c r="C15" i="4"/>
  <c r="AB46" i="9"/>
  <c r="AA46" i="9"/>
  <c r="AB102" i="9"/>
  <c r="AA102" i="9"/>
  <c r="AJ201" i="9"/>
  <c r="AK201" i="9"/>
  <c r="AI201" i="9"/>
  <c r="AF43" i="9"/>
  <c r="R43" i="9"/>
  <c r="T43" i="9" s="1"/>
  <c r="K121" i="9"/>
  <c r="AC121" i="9"/>
  <c r="AF121" i="9"/>
  <c r="AD121" i="9"/>
  <c r="AE121" i="9"/>
  <c r="AB121" i="9"/>
  <c r="AF90" i="9"/>
  <c r="AC90" i="9"/>
  <c r="K90" i="9"/>
  <c r="AB90" i="9"/>
  <c r="AE90" i="9"/>
  <c r="AD90" i="9"/>
  <c r="K170" i="9"/>
  <c r="AF170" i="9"/>
  <c r="AC170" i="9"/>
  <c r="AD170" i="9"/>
  <c r="AE170" i="9"/>
  <c r="AB170" i="9"/>
  <c r="AE59" i="9"/>
  <c r="AD59" i="9"/>
  <c r="AF119" i="9"/>
  <c r="R119" i="9"/>
  <c r="T119" i="9" s="1"/>
  <c r="AF57" i="9"/>
  <c r="R57" i="9"/>
  <c r="T57" i="9" s="1"/>
  <c r="K196" i="9"/>
  <c r="AC171" i="9"/>
  <c r="K171" i="9"/>
  <c r="AD171" i="9"/>
  <c r="AB171" i="9"/>
  <c r="AE171" i="9"/>
  <c r="AF171" i="9"/>
  <c r="AA118" i="9"/>
  <c r="AD118" i="9" s="1"/>
  <c r="K169" i="9"/>
  <c r="AC169" i="9"/>
  <c r="R169" i="9"/>
  <c r="T169" i="9" s="1"/>
  <c r="AF169" i="9"/>
  <c r="AB169" i="9"/>
  <c r="AE169" i="9"/>
  <c r="AD169" i="9"/>
  <c r="S18" i="9"/>
  <c r="Q19" i="9"/>
  <c r="AT94" i="9"/>
  <c r="AS94" i="9" s="1"/>
  <c r="AR94" i="9" s="1"/>
  <c r="AQ94" i="9" s="1"/>
  <c r="AP94" i="9" s="1"/>
  <c r="AO94" i="9" s="1"/>
  <c r="AN94" i="9" s="1"/>
  <c r="AM94" i="9" s="1"/>
  <c r="AL94" i="9" s="1"/>
  <c r="R133" i="9"/>
  <c r="T133" i="9" s="1"/>
  <c r="R42" i="9"/>
  <c r="T42" i="9" s="1"/>
  <c r="R25" i="9"/>
  <c r="T25" i="9" s="1"/>
  <c r="R106" i="9"/>
  <c r="T106" i="9" s="1"/>
  <c r="AT150" i="9"/>
  <c r="AS150" i="9" s="1"/>
  <c r="AR150" i="9" s="1"/>
  <c r="AQ150" i="9" s="1"/>
  <c r="AP150" i="9" s="1"/>
  <c r="AO150" i="9" s="1"/>
  <c r="AN150" i="9" s="1"/>
  <c r="AM150" i="9" s="1"/>
  <c r="AL150" i="9" s="1"/>
  <c r="AT110" i="9"/>
  <c r="AS110" i="9" s="1"/>
  <c r="AR110" i="9" s="1"/>
  <c r="AQ110" i="9" s="1"/>
  <c r="AP110" i="9" s="1"/>
  <c r="AO110" i="9" s="1"/>
  <c r="AN110" i="9" s="1"/>
  <c r="AM110" i="9" s="1"/>
  <c r="AL110" i="9" s="1"/>
  <c r="AF144" i="9"/>
  <c r="K144" i="9"/>
  <c r="AC144" i="9"/>
  <c r="J63" i="9"/>
  <c r="AC63" i="9"/>
  <c r="AF63" i="9"/>
  <c r="AB63" i="9"/>
  <c r="AE63" i="9"/>
  <c r="AD63" i="9"/>
  <c r="AC67" i="9"/>
  <c r="AF67" i="9"/>
  <c r="J67" i="9"/>
  <c r="R173" i="9"/>
  <c r="T173" i="9" s="1"/>
  <c r="AT136" i="9"/>
  <c r="AS136" i="9" s="1"/>
  <c r="AR136" i="9" s="1"/>
  <c r="AQ136" i="9" s="1"/>
  <c r="AP136" i="9" s="1"/>
  <c r="AO136" i="9" s="1"/>
  <c r="AN136" i="9" s="1"/>
  <c r="AM136" i="9" s="1"/>
  <c r="AL136" i="9" s="1"/>
  <c r="AT183" i="9"/>
  <c r="AS183" i="9" s="1"/>
  <c r="AR183" i="9" s="1"/>
  <c r="AQ183" i="9" s="1"/>
  <c r="AP183" i="9" s="1"/>
  <c r="AO183" i="9" s="1"/>
  <c r="AN183" i="9" s="1"/>
  <c r="AM183" i="9" s="1"/>
  <c r="AL183" i="9" s="1"/>
  <c r="AT92" i="9"/>
  <c r="AS92" i="9" s="1"/>
  <c r="AR92" i="9" s="1"/>
  <c r="AQ92" i="9" s="1"/>
  <c r="AP92" i="9" s="1"/>
  <c r="AO92" i="9" s="1"/>
  <c r="AN92" i="9" s="1"/>
  <c r="AM92" i="9" s="1"/>
  <c r="AL92" i="9" s="1"/>
  <c r="AC135" i="9"/>
  <c r="K135" i="9"/>
  <c r="AF135" i="9"/>
  <c r="AB26" i="9"/>
  <c r="AA26" i="9"/>
  <c r="AH99" i="9"/>
  <c r="AB99" i="9" s="1"/>
  <c r="AA172" i="9"/>
  <c r="AB172" i="9"/>
  <c r="AT127" i="9"/>
  <c r="AS127" i="9" s="1"/>
  <c r="AR127" i="9" s="1"/>
  <c r="AQ127" i="9" s="1"/>
  <c r="AP127" i="9" s="1"/>
  <c r="AO127" i="9" s="1"/>
  <c r="AN127" i="9" s="1"/>
  <c r="AM127" i="9" s="1"/>
  <c r="AL127" i="9" s="1"/>
  <c r="R189" i="9"/>
  <c r="T189" i="9" s="1"/>
  <c r="AD117" i="9"/>
  <c r="AE117" i="9"/>
  <c r="AA48" i="9"/>
  <c r="AB48" i="9"/>
  <c r="AB105" i="9"/>
  <c r="AA105" i="9"/>
  <c r="R151" i="9"/>
  <c r="T151" i="9" s="1"/>
  <c r="AC151" i="9"/>
  <c r="AF151" i="9"/>
  <c r="AT133" i="9"/>
  <c r="AS133" i="9"/>
  <c r="AR133" i="9" s="1"/>
  <c r="AQ133" i="9" s="1"/>
  <c r="AP133" i="9" s="1"/>
  <c r="AO133" i="9" s="1"/>
  <c r="AN133" i="9" s="1"/>
  <c r="AM133" i="9" s="1"/>
  <c r="AL133" i="9" s="1"/>
  <c r="AB66" i="9"/>
  <c r="AA66" i="9"/>
  <c r="AE64" i="9"/>
  <c r="AD64" i="9"/>
  <c r="K119" i="9"/>
  <c r="AC119" i="9"/>
  <c r="R142" i="9"/>
  <c r="T142" i="9" s="1"/>
  <c r="AF142" i="9"/>
  <c r="AC142" i="9"/>
  <c r="AE185" i="9"/>
  <c r="AD185" i="9"/>
  <c r="AC50" i="9"/>
  <c r="AF50" i="9"/>
  <c r="J50" i="9"/>
  <c r="AF110" i="9"/>
  <c r="K110" i="9"/>
  <c r="AC110" i="9"/>
  <c r="R110" i="9"/>
  <c r="T110" i="9" s="1"/>
  <c r="AF70" i="9"/>
  <c r="J70" i="9"/>
  <c r="AB70" i="9"/>
  <c r="AE70" i="9"/>
  <c r="AD70" i="9"/>
  <c r="AC70" i="9"/>
  <c r="K120" i="9"/>
  <c r="AC120" i="9"/>
  <c r="AF120" i="9"/>
  <c r="AA71" i="9"/>
  <c r="AB71" i="9"/>
  <c r="AF197" i="9"/>
  <c r="J43" i="9"/>
  <c r="AC43" i="9"/>
  <c r="AF109" i="9"/>
  <c r="R109" i="9"/>
  <c r="T109" i="9" s="1"/>
  <c r="AD104" i="9"/>
  <c r="AE104" i="9"/>
  <c r="AC111" i="9"/>
  <c r="K111" i="9"/>
  <c r="AF111" i="9"/>
  <c r="R111" i="9"/>
  <c r="T111" i="9" s="1"/>
  <c r="AB111" i="9"/>
  <c r="AD111" i="9"/>
  <c r="AE111" i="9"/>
  <c r="J44" i="9"/>
  <c r="AB44" i="9"/>
  <c r="AD44" i="9"/>
  <c r="AE44" i="9"/>
  <c r="R30" i="9"/>
  <c r="T30" i="9" s="1"/>
  <c r="J30" i="9"/>
  <c r="AC30" i="9"/>
  <c r="AB30" i="9"/>
  <c r="AE30" i="9"/>
  <c r="AD30" i="9"/>
  <c r="K118" i="9"/>
  <c r="AF118" i="9"/>
  <c r="AB118" i="9"/>
  <c r="AE118" i="9"/>
  <c r="AT50" i="9"/>
  <c r="AS50" i="9" s="1"/>
  <c r="AR50" i="9" s="1"/>
  <c r="AQ50" i="9" s="1"/>
  <c r="AP50" i="9" s="1"/>
  <c r="AO50" i="9" s="1"/>
  <c r="AN50" i="9" s="1"/>
  <c r="AM50" i="9" s="1"/>
  <c r="AL50" i="9" s="1"/>
  <c r="R94" i="9"/>
  <c r="T94" i="9" s="1"/>
  <c r="K149" i="9"/>
  <c r="AF149" i="9"/>
  <c r="AB149" i="9"/>
  <c r="AD149" i="9"/>
  <c r="AE149" i="9"/>
  <c r="AC149" i="9"/>
  <c r="AF25" i="9"/>
  <c r="J25" i="9"/>
  <c r="AC25" i="9"/>
  <c r="AT65" i="9"/>
  <c r="AS65" i="9" s="1"/>
  <c r="AR65" i="9" s="1"/>
  <c r="AQ65" i="9" s="1"/>
  <c r="AP65" i="9" s="1"/>
  <c r="AO65" i="9" s="1"/>
  <c r="AN65" i="9" s="1"/>
  <c r="AM65" i="9" s="1"/>
  <c r="AL65" i="9" s="1"/>
  <c r="R70" i="9"/>
  <c r="T70" i="9" s="1"/>
  <c r="AT188" i="9"/>
  <c r="AS188" i="9" s="1"/>
  <c r="AR188" i="9" s="1"/>
  <c r="AQ188" i="9" s="1"/>
  <c r="AP188" i="9" s="1"/>
  <c r="AO188" i="9" s="1"/>
  <c r="AN188" i="9" s="1"/>
  <c r="AM188" i="9" s="1"/>
  <c r="AL188" i="9" s="1"/>
  <c r="I183" i="9"/>
  <c r="AC183" i="9"/>
  <c r="AF183" i="9"/>
  <c r="AT58" i="9"/>
  <c r="AS58" i="9" s="1"/>
  <c r="AR58" i="9" s="1"/>
  <c r="AQ58" i="9" s="1"/>
  <c r="AP58" i="9" s="1"/>
  <c r="AO58" i="9" s="1"/>
  <c r="AN58" i="9" s="1"/>
  <c r="AM58" i="9" s="1"/>
  <c r="AL58" i="9" s="1"/>
  <c r="AS120" i="9"/>
  <c r="AR120" i="9" s="1"/>
  <c r="AQ120" i="9" s="1"/>
  <c r="AP120" i="9" s="1"/>
  <c r="AO120" i="9" s="1"/>
  <c r="AN120" i="9" s="1"/>
  <c r="AM120" i="9" s="1"/>
  <c r="AL120" i="9" s="1"/>
  <c r="AT120" i="9"/>
  <c r="AT155" i="9"/>
  <c r="AS155" i="9" s="1"/>
  <c r="AR155" i="9" s="1"/>
  <c r="AQ155" i="9" s="1"/>
  <c r="AP155" i="9" s="1"/>
  <c r="AO155" i="9" s="1"/>
  <c r="AN155" i="9" s="1"/>
  <c r="AM155" i="9" s="1"/>
  <c r="AL155" i="9" s="1"/>
  <c r="AH53" i="9"/>
  <c r="AB53" i="9" s="1"/>
  <c r="AT189" i="9"/>
  <c r="AS189" i="9" s="1"/>
  <c r="AR189" i="9" s="1"/>
  <c r="AQ189" i="9" s="1"/>
  <c r="AP189" i="9" s="1"/>
  <c r="AO189" i="9" s="1"/>
  <c r="AN189" i="9" s="1"/>
  <c r="AM189" i="9" s="1"/>
  <c r="AL189" i="9" s="1"/>
  <c r="J57" i="9"/>
  <c r="AC57" i="9"/>
  <c r="AB57" i="9"/>
  <c r="AD57" i="9"/>
  <c r="AE57" i="9"/>
  <c r="R58" i="9"/>
  <c r="T58" i="9" s="1"/>
  <c r="J75" i="9"/>
  <c r="AC75" i="9"/>
  <c r="AF75" i="9"/>
  <c r="R75" i="9"/>
  <c r="T75" i="9" s="1"/>
  <c r="AB75" i="9"/>
  <c r="AE75" i="9"/>
  <c r="AD75" i="9"/>
  <c r="R145" i="9"/>
  <c r="T145" i="9" s="1"/>
  <c r="AF145" i="9"/>
  <c r="AC163" i="9"/>
  <c r="AF163" i="9"/>
  <c r="K184" i="9"/>
  <c r="AF184" i="9"/>
  <c r="AC184" i="9"/>
  <c r="AE184" i="9"/>
  <c r="AB184" i="9"/>
  <c r="AD184" i="9"/>
  <c r="K85" i="9"/>
  <c r="AF85" i="9"/>
  <c r="AC85" i="9"/>
  <c r="AB85" i="9"/>
  <c r="AF158" i="9"/>
  <c r="K158" i="9"/>
  <c r="AC158" i="9"/>
  <c r="AB158" i="9"/>
  <c r="AD158" i="9"/>
  <c r="AE158" i="9"/>
  <c r="K190" i="9"/>
  <c r="AF190" i="9"/>
  <c r="AC190" i="9"/>
  <c r="AE190" i="9"/>
  <c r="AD190" i="9"/>
  <c r="AB190" i="9"/>
  <c r="AC145" i="9"/>
  <c r="AC162" i="9"/>
  <c r="K162" i="9"/>
  <c r="AF162" i="9"/>
  <c r="AD162" i="9"/>
  <c r="AB162" i="9"/>
  <c r="AE162" i="9"/>
  <c r="AF124" i="9"/>
  <c r="K124" i="9"/>
  <c r="AC124" i="9"/>
  <c r="AE124" i="9"/>
  <c r="AB124" i="9"/>
  <c r="AD124" i="9"/>
  <c r="AF186" i="9"/>
  <c r="K186" i="9"/>
  <c r="AC186" i="9"/>
  <c r="AF112" i="9"/>
  <c r="K112" i="9"/>
  <c r="AC112" i="9"/>
  <c r="R149" i="9"/>
  <c r="T149" i="9" s="1"/>
  <c r="AT143" i="9"/>
  <c r="AS143" i="9" s="1"/>
  <c r="AR143" i="9" s="1"/>
  <c r="AQ143" i="9" s="1"/>
  <c r="AP143" i="9" s="1"/>
  <c r="AO143" i="9" s="1"/>
  <c r="AN143" i="9" s="1"/>
  <c r="AM143" i="9" s="1"/>
  <c r="AL143" i="9" s="1"/>
  <c r="AF150" i="9"/>
  <c r="K150" i="9"/>
  <c r="AC150" i="9"/>
  <c r="AF47" i="9"/>
  <c r="I47" i="9"/>
  <c r="AC47" i="9"/>
  <c r="AT123" i="9"/>
  <c r="AS123" i="9" s="1"/>
  <c r="AR123" i="9" s="1"/>
  <c r="AQ123" i="9" s="1"/>
  <c r="AP123" i="9" s="1"/>
  <c r="AO123" i="9" s="1"/>
  <c r="AN123" i="9" s="1"/>
  <c r="AM123" i="9" s="1"/>
  <c r="AL123" i="9" s="1"/>
  <c r="AT191" i="9"/>
  <c r="AS191" i="9" s="1"/>
  <c r="AR191" i="9" s="1"/>
  <c r="AQ191" i="9" s="1"/>
  <c r="AP191" i="9" s="1"/>
  <c r="AO191" i="9" s="1"/>
  <c r="AN191" i="9" s="1"/>
  <c r="AM191" i="9" s="1"/>
  <c r="AL191" i="9" s="1"/>
  <c r="K188" i="9"/>
  <c r="AC188" i="9"/>
  <c r="AF188" i="9"/>
  <c r="AF165" i="9"/>
  <c r="AT193" i="9"/>
  <c r="AS193" i="9" s="1"/>
  <c r="AR193" i="9" s="1"/>
  <c r="AQ193" i="9" s="1"/>
  <c r="AP193" i="9" s="1"/>
  <c r="AO193" i="9" s="1"/>
  <c r="AN193" i="9" s="1"/>
  <c r="AM193" i="9" s="1"/>
  <c r="AL193" i="9" s="1"/>
  <c r="R120" i="9"/>
  <c r="T120" i="9" s="1"/>
  <c r="AB38" i="9"/>
  <c r="AA38" i="9"/>
  <c r="AB109" i="9"/>
  <c r="AA109" i="9"/>
  <c r="R197" i="9"/>
  <c r="T197" i="9" s="1"/>
  <c r="K108" i="9"/>
  <c r="AT159" i="9"/>
  <c r="AS159" i="9" s="1"/>
  <c r="AR159" i="9" s="1"/>
  <c r="AQ159" i="9" s="1"/>
  <c r="AP159" i="9" s="1"/>
  <c r="AO159" i="9" s="1"/>
  <c r="AN159" i="9" s="1"/>
  <c r="AM159" i="9" s="1"/>
  <c r="AL159" i="9" s="1"/>
  <c r="AH186" i="9"/>
  <c r="AA186" i="9" s="1"/>
  <c r="AD186" i="9" s="1"/>
  <c r="AH106" i="9"/>
  <c r="AB106" i="9" s="1"/>
  <c r="AB41" i="9"/>
  <c r="K187" i="9"/>
  <c r="AC187" i="9"/>
  <c r="AD187" i="9"/>
  <c r="AE187" i="9"/>
  <c r="AB187" i="9"/>
  <c r="R180" i="9"/>
  <c r="T180" i="9" s="1"/>
  <c r="AC180" i="9"/>
  <c r="AF180" i="9"/>
  <c r="J106" i="9"/>
  <c r="AC106" i="9"/>
  <c r="AF106" i="9"/>
  <c r="K173" i="9"/>
  <c r="AF173" i="9"/>
  <c r="AC173" i="9"/>
  <c r="AC118" i="9"/>
  <c r="AF58" i="9"/>
  <c r="AC77" i="9"/>
  <c r="AF77" i="9"/>
  <c r="R77" i="9"/>
  <c r="T77" i="9" s="1"/>
  <c r="AE176" i="9"/>
  <c r="R198" i="9"/>
  <c r="T198" i="9" s="1"/>
  <c r="AF141" i="9"/>
  <c r="K141" i="9"/>
  <c r="AC141" i="9"/>
  <c r="AB141" i="9"/>
  <c r="R184" i="9"/>
  <c r="T184" i="9" s="1"/>
  <c r="AF96" i="9"/>
  <c r="AC96" i="9"/>
  <c r="K96" i="9"/>
  <c r="R96" i="9"/>
  <c r="T96" i="9" s="1"/>
  <c r="AB96" i="9"/>
  <c r="R134" i="9"/>
  <c r="T134" i="9" s="1"/>
  <c r="AC134" i="9"/>
  <c r="AF134" i="9"/>
  <c r="R158" i="9"/>
  <c r="T158" i="9" s="1"/>
  <c r="AD78" i="9"/>
  <c r="AE78" i="9"/>
  <c r="J52" i="9"/>
  <c r="AF52" i="9"/>
  <c r="R52" i="9"/>
  <c r="T52" i="9" s="1"/>
  <c r="AC52" i="9"/>
  <c r="AB52" i="9"/>
  <c r="R124" i="9"/>
  <c r="T124" i="9" s="1"/>
  <c r="R186" i="9"/>
  <c r="T186" i="9" s="1"/>
  <c r="R50" i="9"/>
  <c r="T50" i="9" s="1"/>
  <c r="R112" i="9"/>
  <c r="T112" i="9" s="1"/>
  <c r="R171" i="9"/>
  <c r="T171" i="9" s="1"/>
  <c r="R143" i="9"/>
  <c r="T143" i="9" s="1"/>
  <c r="AC140" i="9"/>
  <c r="AF140" i="9"/>
  <c r="K140" i="9"/>
  <c r="AF123" i="9"/>
  <c r="AC123" i="9"/>
  <c r="K123" i="9"/>
  <c r="AF191" i="9"/>
  <c r="AC191" i="9"/>
  <c r="K191" i="9"/>
  <c r="AC65" i="9"/>
  <c r="AF65" i="9"/>
  <c r="R65" i="9"/>
  <c r="T65" i="9" s="1"/>
  <c r="AT138" i="9"/>
  <c r="AS138" i="9" s="1"/>
  <c r="AR138" i="9" s="1"/>
  <c r="AQ138" i="9" s="1"/>
  <c r="AP138" i="9" s="1"/>
  <c r="AO138" i="9" s="1"/>
  <c r="AN138" i="9" s="1"/>
  <c r="AM138" i="9" s="1"/>
  <c r="AL138" i="9" s="1"/>
  <c r="AC165" i="9"/>
  <c r="AF155" i="9"/>
  <c r="AC155" i="9"/>
  <c r="K155" i="9"/>
  <c r="AH112" i="9"/>
  <c r="AB112" i="9" s="1"/>
  <c r="AB98" i="9"/>
  <c r="AA98" i="9"/>
  <c r="AT54" i="9"/>
  <c r="AS54" i="9"/>
  <c r="AR54" i="9" s="1"/>
  <c r="AQ54" i="9" s="1"/>
  <c r="AP54" i="9" s="1"/>
  <c r="AO54" i="9" s="1"/>
  <c r="AN54" i="9" s="1"/>
  <c r="AM54" i="9" s="1"/>
  <c r="AL54" i="9" s="1"/>
  <c r="AS108" i="9"/>
  <c r="AR108" i="9" s="1"/>
  <c r="AQ108" i="9" s="1"/>
  <c r="AP108" i="9" s="1"/>
  <c r="AO108" i="9" s="1"/>
  <c r="AN108" i="9" s="1"/>
  <c r="AM108" i="9" s="1"/>
  <c r="AL108" i="9" s="1"/>
  <c r="AT108" i="9"/>
  <c r="R159" i="9"/>
  <c r="T159" i="9" s="1"/>
  <c r="AF203" i="9"/>
  <c r="AC198" i="9"/>
  <c r="AC126" i="9"/>
  <c r="AF126" i="9"/>
  <c r="R126" i="9"/>
  <c r="T126" i="9" s="1"/>
  <c r="AC107" i="9"/>
  <c r="AF107" i="9"/>
  <c r="R107" i="9"/>
  <c r="T107" i="9" s="1"/>
  <c r="K107" i="9"/>
  <c r="AD107" i="9"/>
  <c r="AE107" i="9"/>
  <c r="AB107" i="9"/>
  <c r="R175" i="9"/>
  <c r="T175" i="9" s="1"/>
  <c r="R147" i="9"/>
  <c r="T147" i="9" s="1"/>
  <c r="R181" i="9"/>
  <c r="T181" i="9" s="1"/>
  <c r="R146" i="9"/>
  <c r="T146" i="9" s="1"/>
  <c r="R141" i="9"/>
  <c r="T141" i="9" s="1"/>
  <c r="AT140" i="9"/>
  <c r="AS140" i="9" s="1"/>
  <c r="AR140" i="9" s="1"/>
  <c r="AQ140" i="9" s="1"/>
  <c r="AP140" i="9" s="1"/>
  <c r="AO140" i="9" s="1"/>
  <c r="AN140" i="9" s="1"/>
  <c r="AM140" i="9" s="1"/>
  <c r="AL140" i="9" s="1"/>
  <c r="K157" i="9"/>
  <c r="K100" i="9"/>
  <c r="AF100" i="9"/>
  <c r="AC100" i="9"/>
  <c r="AB100" i="9"/>
  <c r="AE100" i="9"/>
  <c r="AD100" i="9"/>
  <c r="K138" i="9"/>
  <c r="AC138" i="9"/>
  <c r="AF138" i="9"/>
  <c r="R188" i="9"/>
  <c r="T188" i="9" s="1"/>
  <c r="R177" i="9"/>
  <c r="T177" i="9" s="1"/>
  <c r="AC177" i="9"/>
  <c r="AF177" i="9"/>
  <c r="R193" i="9"/>
  <c r="T193" i="9" s="1"/>
  <c r="AF92" i="9"/>
  <c r="K92" i="9"/>
  <c r="AT135" i="9"/>
  <c r="AS135" i="9"/>
  <c r="AR135" i="9" s="1"/>
  <c r="AQ135" i="9" s="1"/>
  <c r="AP135" i="9" s="1"/>
  <c r="AO135" i="9" s="1"/>
  <c r="AN135" i="9" s="1"/>
  <c r="AM135" i="9" s="1"/>
  <c r="AL135" i="9" s="1"/>
  <c r="AB87" i="9"/>
  <c r="AA87" i="9"/>
  <c r="AH35" i="9"/>
  <c r="AB89" i="9"/>
  <c r="AA89" i="9"/>
  <c r="AF54" i="9"/>
  <c r="R54" i="9"/>
  <c r="T54" i="9" s="1"/>
  <c r="AA114" i="9"/>
  <c r="AB45" i="9"/>
  <c r="AA45" i="9"/>
  <c r="AK195" i="9"/>
  <c r="AI195" i="9"/>
  <c r="AJ195" i="9"/>
  <c r="AT196" i="9"/>
  <c r="AS196" i="9" s="1"/>
  <c r="AR196" i="9" s="1"/>
  <c r="AQ196" i="9" s="1"/>
  <c r="AP196" i="9" s="1"/>
  <c r="AO196" i="9" s="1"/>
  <c r="AN196" i="9" s="1"/>
  <c r="AM196" i="9" s="1"/>
  <c r="AL196" i="9" s="1"/>
  <c r="J94" i="9"/>
  <c r="AC94" i="9"/>
  <c r="AF94" i="9"/>
  <c r="AT25" i="9"/>
  <c r="AS25" i="9" s="1"/>
  <c r="AR25" i="9" s="1"/>
  <c r="AQ25" i="9" s="1"/>
  <c r="AP25" i="9" s="1"/>
  <c r="AO25" i="9" s="1"/>
  <c r="AN25" i="9" s="1"/>
  <c r="AM25" i="9" s="1"/>
  <c r="AL25" i="9" s="1"/>
  <c r="AT47" i="9"/>
  <c r="AS47" i="9" s="1"/>
  <c r="AR47" i="9" s="1"/>
  <c r="AQ47" i="9" s="1"/>
  <c r="AP47" i="9" s="1"/>
  <c r="AO47" i="9" s="1"/>
  <c r="AN47" i="9" s="1"/>
  <c r="AM47" i="9" s="1"/>
  <c r="AL47" i="9" s="1"/>
  <c r="J58" i="9"/>
  <c r="AA156" i="9"/>
  <c r="AB156" i="9"/>
  <c r="AF189" i="9"/>
  <c r="AC189" i="9"/>
  <c r="K189" i="9"/>
  <c r="AB84" i="9"/>
  <c r="AA84" i="9"/>
  <c r="AF175" i="9"/>
  <c r="K175" i="9"/>
  <c r="AC175" i="9"/>
  <c r="AB175" i="9"/>
  <c r="AE175" i="9"/>
  <c r="AD175" i="9"/>
  <c r="K99" i="9"/>
  <c r="AC99" i="9"/>
  <c r="AF99" i="9"/>
  <c r="R99" i="9"/>
  <c r="T99" i="9" s="1"/>
  <c r="AC181" i="9"/>
  <c r="AF181" i="9"/>
  <c r="K181" i="9"/>
  <c r="R161" i="9"/>
  <c r="T161" i="9" s="1"/>
  <c r="AC161" i="9"/>
  <c r="AF161" i="9"/>
  <c r="AF103" i="9"/>
  <c r="R103" i="9"/>
  <c r="T103" i="9" s="1"/>
  <c r="AC146" i="9"/>
  <c r="K146" i="9"/>
  <c r="AF146" i="9"/>
  <c r="AB146" i="9"/>
  <c r="AD146" i="9"/>
  <c r="AE146" i="9"/>
  <c r="J73" i="9"/>
  <c r="AF73" i="9"/>
  <c r="AC73" i="9"/>
  <c r="AE73" i="9"/>
  <c r="AD73" i="9"/>
  <c r="AB73" i="9"/>
  <c r="K133" i="9"/>
  <c r="AC133" i="9"/>
  <c r="AF133" i="9"/>
  <c r="AC42" i="9"/>
  <c r="J42" i="9"/>
  <c r="AF42" i="9"/>
  <c r="K143" i="9"/>
  <c r="AF143" i="9"/>
  <c r="AC143" i="9"/>
  <c r="AT157" i="9"/>
  <c r="AS157" i="9" s="1"/>
  <c r="AR157" i="9" s="1"/>
  <c r="AQ157" i="9" s="1"/>
  <c r="AP157" i="9" s="1"/>
  <c r="AO157" i="9" s="1"/>
  <c r="AN157" i="9" s="1"/>
  <c r="AM157" i="9" s="1"/>
  <c r="AL157" i="9" s="1"/>
  <c r="AT144" i="9"/>
  <c r="AS144" i="9" s="1"/>
  <c r="AR144" i="9" s="1"/>
  <c r="AQ144" i="9" s="1"/>
  <c r="AP144" i="9" s="1"/>
  <c r="AO144" i="9" s="1"/>
  <c r="AN144" i="9" s="1"/>
  <c r="AM144" i="9" s="1"/>
  <c r="AL144" i="9" s="1"/>
  <c r="R190" i="9"/>
  <c r="T190" i="9" s="1"/>
  <c r="K136" i="9"/>
  <c r="AF136" i="9"/>
  <c r="AC136" i="9"/>
  <c r="AD177" i="9"/>
  <c r="AE177" i="9"/>
  <c r="K193" i="9"/>
  <c r="AF193" i="9"/>
  <c r="AC193" i="9"/>
  <c r="AA101" i="9"/>
  <c r="AB101" i="9"/>
  <c r="J54" i="9"/>
  <c r="AC54" i="9"/>
  <c r="AC159" i="9"/>
  <c r="K159" i="9"/>
  <c r="AF159" i="9"/>
  <c r="AA34" i="9"/>
  <c r="AB34" i="9"/>
  <c r="AA40" i="9"/>
  <c r="AB40" i="9"/>
  <c r="AB116" i="9"/>
  <c r="AA116" i="9"/>
  <c r="R187" i="9"/>
  <c r="T187" i="9" s="1"/>
  <c r="AC203" i="9"/>
  <c r="R29" i="9"/>
  <c r="T29" i="9" s="1"/>
  <c r="AF29" i="9"/>
  <c r="AC29" i="9"/>
  <c r="AE115" i="9"/>
  <c r="AD115" i="9"/>
  <c r="K192" i="9"/>
  <c r="AC192" i="9"/>
  <c r="AF192" i="9"/>
  <c r="AB192" i="9"/>
  <c r="AD192" i="9"/>
  <c r="AE192" i="9"/>
  <c r="R90" i="9"/>
  <c r="T90" i="9" s="1"/>
  <c r="K147" i="9"/>
  <c r="AC147" i="9"/>
  <c r="AF147" i="9"/>
  <c r="AC59" i="9"/>
  <c r="R59" i="9"/>
  <c r="T59" i="9" s="1"/>
  <c r="AF59" i="9"/>
  <c r="J51" i="9"/>
  <c r="AE51" i="9"/>
  <c r="AB51" i="9"/>
  <c r="AD51" i="9"/>
  <c r="AF51" i="9"/>
  <c r="AD161" i="9"/>
  <c r="AE161" i="9"/>
  <c r="AF187" i="9"/>
  <c r="AC103" i="9"/>
  <c r="K103" i="9"/>
  <c r="AB103" i="9"/>
  <c r="AE103" i="9"/>
  <c r="AD103" i="9"/>
  <c r="I166" i="9"/>
  <c r="R166" i="9"/>
  <c r="T166" i="9" s="1"/>
  <c r="AE166" i="9"/>
  <c r="AF166" i="9"/>
  <c r="AD166" i="9"/>
  <c r="AB166" i="9"/>
  <c r="K86" i="9"/>
  <c r="AF86" i="9"/>
  <c r="AC86" i="9"/>
  <c r="AD86" i="9"/>
  <c r="AE86" i="9"/>
  <c r="AB86" i="9"/>
  <c r="R73" i="9"/>
  <c r="T73" i="9" s="1"/>
  <c r="AT42" i="9"/>
  <c r="AS42" i="9" s="1"/>
  <c r="AR42" i="9" s="1"/>
  <c r="AQ42" i="9" s="1"/>
  <c r="AP42" i="9" s="1"/>
  <c r="AO42" i="9" s="1"/>
  <c r="AN42" i="9" s="1"/>
  <c r="AM42" i="9" s="1"/>
  <c r="AL42" i="9" s="1"/>
  <c r="AA106" i="9"/>
  <c r="AD106" i="9" s="1"/>
  <c r="AT67" i="9"/>
  <c r="AS67" i="9" s="1"/>
  <c r="AR67" i="9" s="1"/>
  <c r="AQ67" i="9" s="1"/>
  <c r="AP67" i="9" s="1"/>
  <c r="AO67" i="9" s="1"/>
  <c r="AN67" i="9" s="1"/>
  <c r="AM67" i="9" s="1"/>
  <c r="AL67" i="9" s="1"/>
  <c r="R136" i="9"/>
  <c r="T136" i="9" s="1"/>
  <c r="R170" i="9"/>
  <c r="T170" i="9" s="1"/>
  <c r="AB79" i="9"/>
  <c r="AA79" i="9"/>
  <c r="K127" i="9"/>
  <c r="AC127" i="9"/>
  <c r="AF127" i="9"/>
  <c r="AA151" i="9"/>
  <c r="AB151" i="9"/>
  <c r="AA29" i="9"/>
  <c r="AB29" i="9"/>
  <c r="AH91" i="9"/>
  <c r="AB194" i="9"/>
  <c r="AA194" i="9"/>
  <c r="C16" i="9"/>
  <c r="D18" i="9" s="1"/>
  <c r="O197" i="9"/>
  <c r="O203" i="9"/>
  <c r="O202" i="9"/>
  <c r="O199" i="9"/>
  <c r="O198" i="9"/>
  <c r="O187" i="9"/>
  <c r="O189" i="9"/>
  <c r="O138" i="9"/>
  <c r="O132" i="9"/>
  <c r="O176" i="9"/>
  <c r="O183" i="9"/>
  <c r="O88" i="9"/>
  <c r="C15" i="9"/>
  <c r="O180" i="9"/>
  <c r="O130" i="9"/>
  <c r="O192" i="9"/>
  <c r="O121" i="9"/>
  <c r="O35" i="9"/>
  <c r="O143" i="9"/>
  <c r="O186" i="9"/>
  <c r="O160" i="9"/>
  <c r="O161" i="9"/>
  <c r="O140" i="9"/>
  <c r="O172" i="9"/>
  <c r="O195" i="9"/>
  <c r="O122" i="9"/>
  <c r="O175" i="9"/>
  <c r="O163" i="9"/>
  <c r="O81" i="9"/>
  <c r="O133" i="9"/>
  <c r="O157" i="9"/>
  <c r="O136" i="9"/>
  <c r="O151" i="9"/>
  <c r="O152" i="9"/>
  <c r="O156" i="9"/>
  <c r="O113" i="9"/>
  <c r="O135" i="9"/>
  <c r="O119" i="9"/>
  <c r="O134" i="9"/>
  <c r="O149" i="9"/>
  <c r="O128" i="9"/>
  <c r="O103" i="9"/>
  <c r="O185" i="9"/>
  <c r="O144" i="9"/>
  <c r="O168" i="9"/>
  <c r="O184" i="9"/>
  <c r="O33" i="9"/>
  <c r="O193" i="9"/>
  <c r="O125" i="9"/>
  <c r="O109" i="9"/>
  <c r="O101" i="9"/>
  <c r="O148" i="9"/>
  <c r="O188" i="9"/>
  <c r="O126" i="9"/>
  <c r="O153" i="9"/>
  <c r="O129" i="9"/>
  <c r="O190" i="9"/>
  <c r="O123" i="9"/>
  <c r="O127" i="9"/>
  <c r="O191" i="9"/>
  <c r="O179" i="9"/>
  <c r="O146" i="9"/>
  <c r="O158" i="9"/>
  <c r="O181" i="9"/>
  <c r="O194" i="9"/>
  <c r="O196" i="9"/>
  <c r="O165" i="9"/>
  <c r="O167" i="9"/>
  <c r="O171" i="9"/>
  <c r="O115" i="9"/>
  <c r="O131" i="9"/>
  <c r="O124" i="9"/>
  <c r="O164" i="9"/>
  <c r="O147" i="9"/>
  <c r="O118" i="9"/>
  <c r="O174" i="9"/>
  <c r="O201" i="9"/>
  <c r="O182" i="9"/>
  <c r="O141" i="9"/>
  <c r="O170" i="9"/>
  <c r="O137" i="9"/>
  <c r="O114" i="9"/>
  <c r="O178" i="9"/>
  <c r="O139" i="9"/>
  <c r="O142" i="9"/>
  <c r="O111" i="9"/>
  <c r="O177" i="9"/>
  <c r="O112" i="9"/>
  <c r="O27" i="9"/>
  <c r="O117" i="9"/>
  <c r="O155" i="9"/>
  <c r="O169" i="9"/>
  <c r="O145" i="9"/>
  <c r="O150" i="9"/>
  <c r="O107" i="9"/>
  <c r="O159" i="9"/>
  <c r="O162" i="9"/>
  <c r="O110" i="9"/>
  <c r="O173" i="9"/>
  <c r="O116" i="9"/>
  <c r="O120" i="9"/>
  <c r="O154" i="9"/>
  <c r="O166" i="9"/>
  <c r="AI198" i="9"/>
  <c r="AJ198" i="9"/>
  <c r="AK198" i="9"/>
  <c r="AT203" i="9"/>
  <c r="AS203" i="9"/>
  <c r="AR203" i="9" s="1"/>
  <c r="AQ203" i="9" s="1"/>
  <c r="AP203" i="9" s="1"/>
  <c r="AO203" i="9" s="1"/>
  <c r="AN203" i="9" s="1"/>
  <c r="AM203" i="9" s="1"/>
  <c r="AL203" i="9" s="1"/>
  <c r="AT199" i="9"/>
  <c r="AS199" i="9" s="1"/>
  <c r="AR199" i="9" s="1"/>
  <c r="AQ199" i="9" s="1"/>
  <c r="AP199" i="9" s="1"/>
  <c r="AO199" i="9" s="1"/>
  <c r="AN199" i="9" s="1"/>
  <c r="AM199" i="9" s="1"/>
  <c r="AL199" i="9" s="1"/>
  <c r="AF202" i="9"/>
  <c r="AT202" i="9"/>
  <c r="AS202" i="9" s="1"/>
  <c r="AR202" i="9" s="1"/>
  <c r="AQ202" i="9" s="1"/>
  <c r="AP202" i="9" s="1"/>
  <c r="AO202" i="9" s="1"/>
  <c r="AN202" i="9" s="1"/>
  <c r="AM202" i="9" s="1"/>
  <c r="AL202" i="9" s="1"/>
  <c r="AF199" i="9"/>
  <c r="K199" i="9"/>
  <c r="AC199" i="9"/>
  <c r="AC202" i="9"/>
  <c r="AT197" i="9"/>
  <c r="AS197" i="9" s="1"/>
  <c r="AR197" i="9" s="1"/>
  <c r="AQ197" i="9" s="1"/>
  <c r="AP197" i="9" s="1"/>
  <c r="AO197" i="9" s="1"/>
  <c r="AN197" i="9" s="1"/>
  <c r="AM197" i="9" s="1"/>
  <c r="AL197" i="9" s="1"/>
  <c r="O2" i="5"/>
  <c r="O3" i="5"/>
  <c r="O5" i="5"/>
  <c r="O1" i="5"/>
  <c r="O4" i="5"/>
  <c r="O6" i="5"/>
  <c r="R196" i="9"/>
  <c r="T196" i="9" s="1"/>
  <c r="AF196" i="9"/>
  <c r="AC196" i="9"/>
  <c r="C18" i="10"/>
  <c r="F18" i="10"/>
  <c r="F19" i="10" s="1"/>
  <c r="R195" i="9"/>
  <c r="T195" i="9" s="1"/>
  <c r="AF195" i="9"/>
  <c r="AC195" i="9"/>
  <c r="C18" i="7"/>
  <c r="F18" i="7"/>
  <c r="F19" i="7" s="1"/>
  <c r="C18" i="6"/>
  <c r="F18" i="6"/>
  <c r="F19" i="6" s="1"/>
  <c r="E14" i="7"/>
  <c r="E18" i="5"/>
  <c r="AJ208" i="9" l="1"/>
  <c r="AK208" i="9"/>
  <c r="AI208" i="9"/>
  <c r="AI207" i="9"/>
  <c r="AJ207" i="9"/>
  <c r="AK207" i="9"/>
  <c r="C18" i="9"/>
  <c r="F6" i="9"/>
  <c r="F8" i="9" s="1"/>
  <c r="F6" i="4"/>
  <c r="F8" i="4" s="1"/>
  <c r="W28" i="4"/>
  <c r="V29" i="4"/>
  <c r="AY100" i="9"/>
  <c r="BL100" i="9"/>
  <c r="BK100" i="9" s="1"/>
  <c r="BJ100" i="9" s="1"/>
  <c r="BI100" i="9" s="1"/>
  <c r="BH100" i="9" s="1"/>
  <c r="BG100" i="9" s="1"/>
  <c r="BF100" i="9" s="1"/>
  <c r="BE100" i="9" s="1"/>
  <c r="BD100" i="9" s="1"/>
  <c r="BC100" i="9" s="1"/>
  <c r="AW101" i="9"/>
  <c r="AZ98" i="9"/>
  <c r="AX98" i="9" s="1"/>
  <c r="AZ99" i="9"/>
  <c r="AX99" i="9" s="1"/>
  <c r="AI205" i="9"/>
  <c r="AH205" i="9" s="1"/>
  <c r="AJ205" i="9"/>
  <c r="AK205" i="9"/>
  <c r="AJ206" i="9"/>
  <c r="AK206" i="9"/>
  <c r="AI206" i="9"/>
  <c r="AH206" i="9" s="1"/>
  <c r="R130" i="4"/>
  <c r="T130" i="4" s="1"/>
  <c r="AB147" i="9"/>
  <c r="AA147" i="9"/>
  <c r="AE126" i="9"/>
  <c r="AD126" i="9"/>
  <c r="AK137" i="9"/>
  <c r="AI137" i="9"/>
  <c r="AH137" i="9" s="1"/>
  <c r="AJ137" i="9"/>
  <c r="AD141" i="9"/>
  <c r="AE141" i="9"/>
  <c r="AK119" i="9"/>
  <c r="AJ119" i="9"/>
  <c r="AI119" i="9"/>
  <c r="AK31" i="9"/>
  <c r="AI31" i="9"/>
  <c r="AJ31" i="9"/>
  <c r="AE96" i="9"/>
  <c r="AD96" i="9"/>
  <c r="AE85" i="9"/>
  <c r="AD85" i="9"/>
  <c r="AD36" i="9"/>
  <c r="AE36" i="9"/>
  <c r="AK55" i="9"/>
  <c r="AJ55" i="9"/>
  <c r="AI55" i="9"/>
  <c r="AH55" i="9" s="1"/>
  <c r="AE74" i="9"/>
  <c r="AD74" i="9"/>
  <c r="AK28" i="9"/>
  <c r="AI28" i="9"/>
  <c r="AJ28" i="9"/>
  <c r="AB129" i="9"/>
  <c r="AA129" i="9"/>
  <c r="AI43" i="9"/>
  <c r="AH43" i="9" s="1"/>
  <c r="AJ43" i="9"/>
  <c r="AK43" i="9"/>
  <c r="AJ130" i="9"/>
  <c r="AK130" i="9"/>
  <c r="AI130" i="9"/>
  <c r="AH130" i="9" s="1"/>
  <c r="AA99" i="9"/>
  <c r="AD99" i="9" s="1"/>
  <c r="AE62" i="9"/>
  <c r="AB82" i="9"/>
  <c r="AA82" i="9"/>
  <c r="AH153" i="9"/>
  <c r="AD93" i="9"/>
  <c r="AI60" i="9"/>
  <c r="AK60" i="9"/>
  <c r="AJ60" i="9"/>
  <c r="AB39" i="9"/>
  <c r="AB62" i="9"/>
  <c r="AB76" i="9"/>
  <c r="AA76" i="9"/>
  <c r="AH142" i="9"/>
  <c r="AH173" i="9"/>
  <c r="AI134" i="9"/>
  <c r="AJ134" i="9"/>
  <c r="AK134" i="9"/>
  <c r="AA27" i="9"/>
  <c r="AE72" i="9"/>
  <c r="AD72" i="9"/>
  <c r="AB154" i="9"/>
  <c r="AA154" i="9"/>
  <c r="AD52" i="9"/>
  <c r="AA83" i="9"/>
  <c r="AH22" i="9"/>
  <c r="AH23" i="9"/>
  <c r="AH168" i="9"/>
  <c r="AD152" i="9"/>
  <c r="AE152" i="9"/>
  <c r="AA163" i="9"/>
  <c r="AH145" i="9"/>
  <c r="AA180" i="9"/>
  <c r="AA174" i="9"/>
  <c r="AB174" i="9"/>
  <c r="AI80" i="9"/>
  <c r="AH80" i="9" s="1"/>
  <c r="AK80" i="9"/>
  <c r="AJ80" i="9"/>
  <c r="AJ21" i="9"/>
  <c r="AK21" i="9"/>
  <c r="AI21" i="9"/>
  <c r="AH21" i="9" s="1"/>
  <c r="AJ125" i="9"/>
  <c r="AI125" i="9"/>
  <c r="AH125" i="9" s="1"/>
  <c r="AK125" i="9"/>
  <c r="AH164" i="9"/>
  <c r="AA165" i="9"/>
  <c r="AH77" i="9"/>
  <c r="AH81" i="9"/>
  <c r="AI200" i="9"/>
  <c r="AJ200" i="9"/>
  <c r="AK200" i="9"/>
  <c r="R143" i="4"/>
  <c r="T143" i="4" s="1"/>
  <c r="AI204" i="9"/>
  <c r="AJ204" i="9"/>
  <c r="AK204" i="9"/>
  <c r="BB29" i="9"/>
  <c r="BA29" i="9"/>
  <c r="BA17" i="9"/>
  <c r="AZ17" i="9" s="1"/>
  <c r="AX17" i="9" s="1"/>
  <c r="BB17" i="9"/>
  <c r="BB94" i="9"/>
  <c r="BA94" i="9"/>
  <c r="BB97" i="9"/>
  <c r="BA97" i="9"/>
  <c r="BA41" i="9"/>
  <c r="AZ41" i="9" s="1"/>
  <c r="AX41" i="9" s="1"/>
  <c r="BB41" i="9"/>
  <c r="BA66" i="9"/>
  <c r="AZ66" i="9" s="1"/>
  <c r="AX66" i="9" s="1"/>
  <c r="BB66" i="9"/>
  <c r="BB74" i="9"/>
  <c r="BA74" i="9"/>
  <c r="BB64" i="9"/>
  <c r="BA64" i="9"/>
  <c r="BB69" i="9"/>
  <c r="BA69" i="9"/>
  <c r="BB31" i="9"/>
  <c r="BA31" i="9"/>
  <c r="BA87" i="9"/>
  <c r="AZ87" i="9" s="1"/>
  <c r="AX87" i="9" s="1"/>
  <c r="BB87" i="9"/>
  <c r="BB82" i="9"/>
  <c r="BA82" i="9"/>
  <c r="BB5" i="9"/>
  <c r="BA5" i="9"/>
  <c r="BA51" i="9"/>
  <c r="AZ51" i="9" s="1"/>
  <c r="AX51" i="9" s="1"/>
  <c r="BB51" i="9"/>
  <c r="BA43" i="9"/>
  <c r="AZ43" i="9" s="1"/>
  <c r="AX43" i="9" s="1"/>
  <c r="BB43" i="9"/>
  <c r="BA42" i="9"/>
  <c r="AZ42" i="9" s="1"/>
  <c r="AX42" i="9" s="1"/>
  <c r="BB42" i="9"/>
  <c r="BA21" i="9"/>
  <c r="AZ21" i="9" s="1"/>
  <c r="AX21" i="9" s="1"/>
  <c r="BB21" i="9"/>
  <c r="BB84" i="9"/>
  <c r="BA84" i="9"/>
  <c r="BA92" i="9"/>
  <c r="AZ92" i="9" s="1"/>
  <c r="AX92" i="9" s="1"/>
  <c r="BB92" i="9"/>
  <c r="BB73" i="9"/>
  <c r="BA73" i="9"/>
  <c r="BB77" i="9"/>
  <c r="BA77" i="9"/>
  <c r="BB89" i="9"/>
  <c r="BA89" i="9"/>
  <c r="BA65" i="9"/>
  <c r="AZ65" i="9" s="1"/>
  <c r="AX65" i="9" s="1"/>
  <c r="BB65" i="9"/>
  <c r="BB4" i="9"/>
  <c r="BA4" i="9"/>
  <c r="BB34" i="9"/>
  <c r="BA34" i="9"/>
  <c r="BA50" i="9"/>
  <c r="AZ50" i="9" s="1"/>
  <c r="AX50" i="9" s="1"/>
  <c r="BB50" i="9"/>
  <c r="BB62" i="9"/>
  <c r="BA62" i="9"/>
  <c r="BA57" i="9"/>
  <c r="AZ57" i="9" s="1"/>
  <c r="AX57" i="9" s="1"/>
  <c r="BB57" i="9"/>
  <c r="BA39" i="9"/>
  <c r="AZ39" i="9" s="1"/>
  <c r="AX39" i="9" s="1"/>
  <c r="BB39" i="9"/>
  <c r="BA14" i="9"/>
  <c r="AZ14" i="9" s="1"/>
  <c r="AX14" i="9" s="1"/>
  <c r="BB14" i="9"/>
  <c r="BA71" i="9"/>
  <c r="AZ71" i="9" s="1"/>
  <c r="AX71" i="9" s="1"/>
  <c r="BB71" i="9"/>
  <c r="BA59" i="9"/>
  <c r="AZ59" i="9" s="1"/>
  <c r="AX59" i="9" s="1"/>
  <c r="BB59" i="9"/>
  <c r="BB40" i="9"/>
  <c r="BA40" i="9"/>
  <c r="BB18" i="9"/>
  <c r="BA18" i="9"/>
  <c r="BB20" i="9"/>
  <c r="BA20" i="9"/>
  <c r="BA93" i="9"/>
  <c r="AZ93" i="9" s="1"/>
  <c r="AX93" i="9" s="1"/>
  <c r="BB93" i="9"/>
  <c r="BB61" i="9"/>
  <c r="BA61" i="9"/>
  <c r="BA76" i="9"/>
  <c r="AZ76" i="9" s="1"/>
  <c r="AX76" i="9" s="1"/>
  <c r="BB76" i="9"/>
  <c r="BA91" i="9"/>
  <c r="AZ91" i="9" s="1"/>
  <c r="AX91" i="9" s="1"/>
  <c r="BB91" i="9"/>
  <c r="BA48" i="9"/>
  <c r="AZ48" i="9" s="1"/>
  <c r="AX48" i="9" s="1"/>
  <c r="BB48" i="9"/>
  <c r="BA27" i="9"/>
  <c r="AZ27" i="9" s="1"/>
  <c r="AX27" i="9" s="1"/>
  <c r="BB27" i="9"/>
  <c r="BA90" i="9"/>
  <c r="AZ90" i="9" s="1"/>
  <c r="AX90" i="9" s="1"/>
  <c r="BB90" i="9"/>
  <c r="BB96" i="9"/>
  <c r="BA96" i="9"/>
  <c r="BA70" i="9"/>
  <c r="AZ70" i="9" s="1"/>
  <c r="AX70" i="9" s="1"/>
  <c r="BB70" i="9"/>
  <c r="BA23" i="9"/>
  <c r="AZ23" i="9" s="1"/>
  <c r="AX23" i="9" s="1"/>
  <c r="BB23" i="9"/>
  <c r="BA49" i="9"/>
  <c r="AZ49" i="9" s="1"/>
  <c r="AX49" i="9" s="1"/>
  <c r="BB49" i="9"/>
  <c r="BA11" i="9"/>
  <c r="AZ11" i="9" s="1"/>
  <c r="AX11" i="9" s="1"/>
  <c r="BB11" i="9"/>
  <c r="BA81" i="9"/>
  <c r="AZ81" i="9" s="1"/>
  <c r="AX81" i="9" s="1"/>
  <c r="BB81" i="9"/>
  <c r="BB79" i="9"/>
  <c r="BA79" i="9"/>
  <c r="BA85" i="9"/>
  <c r="AZ85" i="9" s="1"/>
  <c r="AX85" i="9" s="1"/>
  <c r="BB85" i="9"/>
  <c r="BA26" i="9"/>
  <c r="AZ26" i="9" s="1"/>
  <c r="AX26" i="9" s="1"/>
  <c r="BB26" i="9"/>
  <c r="BA88" i="9"/>
  <c r="AZ88" i="9" s="1"/>
  <c r="AX88" i="9" s="1"/>
  <c r="BB88" i="9"/>
  <c r="BA24" i="9"/>
  <c r="AZ24" i="9" s="1"/>
  <c r="AX24" i="9" s="1"/>
  <c r="BB24" i="9"/>
  <c r="BA15" i="9"/>
  <c r="AZ15" i="9" s="1"/>
  <c r="AX15" i="9" s="1"/>
  <c r="BB15" i="9"/>
  <c r="BB32" i="9"/>
  <c r="BA32" i="9"/>
  <c r="BA67" i="9"/>
  <c r="AZ67" i="9" s="1"/>
  <c r="AX67" i="9" s="1"/>
  <c r="BB67" i="9"/>
  <c r="BA2" i="9"/>
  <c r="AZ2" i="9" s="1"/>
  <c r="AX2" i="9" s="1"/>
  <c r="BB2" i="9"/>
  <c r="BA95" i="9"/>
  <c r="AZ95" i="9" s="1"/>
  <c r="AX95" i="9" s="1"/>
  <c r="BB95" i="9"/>
  <c r="AH178" i="9"/>
  <c r="AD128" i="9"/>
  <c r="AZ86" i="9"/>
  <c r="AX86" i="9" s="1"/>
  <c r="AZ47" i="9"/>
  <c r="AX47" i="9" s="1"/>
  <c r="AE148" i="9"/>
  <c r="AE186" i="9"/>
  <c r="AA97" i="9"/>
  <c r="AB97" i="9"/>
  <c r="AE49" i="9"/>
  <c r="AD49" i="9"/>
  <c r="AB32" i="9"/>
  <c r="AA32" i="9"/>
  <c r="AZ55" i="9"/>
  <c r="AX55" i="9" s="1"/>
  <c r="AZ72" i="9"/>
  <c r="AX72" i="9" s="1"/>
  <c r="AA53" i="9"/>
  <c r="AE53" i="9" s="1"/>
  <c r="AE122" i="9"/>
  <c r="AD122" i="9"/>
  <c r="AB131" i="9"/>
  <c r="AA131" i="9"/>
  <c r="AZ75" i="9"/>
  <c r="AX75" i="9" s="1"/>
  <c r="AZ83" i="9"/>
  <c r="AX83" i="9" s="1"/>
  <c r="AD88" i="9"/>
  <c r="AE88" i="9"/>
  <c r="AH181" i="9"/>
  <c r="AH61" i="9"/>
  <c r="AH201" i="9"/>
  <c r="AB201" i="9" s="1"/>
  <c r="R74" i="4"/>
  <c r="T74" i="4" s="1"/>
  <c r="C18" i="4"/>
  <c r="AI54" i="9"/>
  <c r="AJ54" i="9"/>
  <c r="AK54" i="9"/>
  <c r="AJ193" i="9"/>
  <c r="AI193" i="9"/>
  <c r="AK193" i="9"/>
  <c r="AK47" i="9"/>
  <c r="AI47" i="9"/>
  <c r="AJ47" i="9"/>
  <c r="AI58" i="9"/>
  <c r="AJ58" i="9"/>
  <c r="AK58" i="9"/>
  <c r="AJ127" i="9"/>
  <c r="AK127" i="9"/>
  <c r="AI127" i="9"/>
  <c r="AH127" i="9" s="1"/>
  <c r="AJ25" i="9"/>
  <c r="AI25" i="9"/>
  <c r="AK25" i="9"/>
  <c r="AJ135" i="9"/>
  <c r="AI135" i="9"/>
  <c r="AK135" i="9"/>
  <c r="AK138" i="9"/>
  <c r="AJ138" i="9"/>
  <c r="AI138" i="9"/>
  <c r="AI65" i="9"/>
  <c r="AJ65" i="9"/>
  <c r="AK65" i="9"/>
  <c r="AJ92" i="9"/>
  <c r="AK92" i="9"/>
  <c r="AI92" i="9"/>
  <c r="AH92" i="9" s="1"/>
  <c r="AI67" i="9"/>
  <c r="AJ67" i="9"/>
  <c r="AK67" i="9"/>
  <c r="AK144" i="9"/>
  <c r="AI144" i="9"/>
  <c r="AJ144" i="9"/>
  <c r="AJ94" i="9"/>
  <c r="AK94" i="9"/>
  <c r="AI94" i="9"/>
  <c r="AH94" i="9" s="1"/>
  <c r="AJ155" i="9"/>
  <c r="AI155" i="9"/>
  <c r="AK155" i="9"/>
  <c r="AI133" i="9"/>
  <c r="AH133" i="9" s="1"/>
  <c r="AK133" i="9"/>
  <c r="AJ133" i="9"/>
  <c r="AK110" i="9"/>
  <c r="AJ110" i="9"/>
  <c r="AI110" i="9"/>
  <c r="AK42" i="9"/>
  <c r="AJ42" i="9"/>
  <c r="AI42" i="9"/>
  <c r="AK157" i="9"/>
  <c r="AJ157" i="9"/>
  <c r="AI157" i="9"/>
  <c r="AH157" i="9" s="1"/>
  <c r="AJ50" i="9"/>
  <c r="AK50" i="9"/>
  <c r="AI50" i="9"/>
  <c r="AK183" i="9"/>
  <c r="AJ183" i="9"/>
  <c r="AI183" i="9"/>
  <c r="AI159" i="9"/>
  <c r="AJ159" i="9"/>
  <c r="AK159" i="9"/>
  <c r="AJ191" i="9"/>
  <c r="AI191" i="9"/>
  <c r="AK191" i="9"/>
  <c r="AJ188" i="9"/>
  <c r="AK188" i="9"/>
  <c r="AI188" i="9"/>
  <c r="AI136" i="9"/>
  <c r="AK136" i="9"/>
  <c r="AJ136" i="9"/>
  <c r="AI150" i="9"/>
  <c r="AJ150" i="9"/>
  <c r="AK150" i="9"/>
  <c r="AI196" i="9"/>
  <c r="AJ196" i="9"/>
  <c r="AK196" i="9"/>
  <c r="AK140" i="9"/>
  <c r="AJ140" i="9"/>
  <c r="AI140" i="9"/>
  <c r="AJ108" i="9"/>
  <c r="AK108" i="9"/>
  <c r="AI108" i="9"/>
  <c r="AJ123" i="9"/>
  <c r="AK123" i="9"/>
  <c r="AI123" i="9"/>
  <c r="AH123" i="9" s="1"/>
  <c r="AJ143" i="9"/>
  <c r="AI143" i="9"/>
  <c r="AK143" i="9"/>
  <c r="AI189" i="9"/>
  <c r="AJ189" i="9"/>
  <c r="AK189" i="9"/>
  <c r="AK120" i="9"/>
  <c r="AI120" i="9"/>
  <c r="AJ120" i="9"/>
  <c r="AD151" i="9"/>
  <c r="AE151" i="9"/>
  <c r="AA201" i="9"/>
  <c r="AD114" i="9"/>
  <c r="AE114" i="9"/>
  <c r="AD89" i="9"/>
  <c r="AE89" i="9"/>
  <c r="AE98" i="9"/>
  <c r="AD98" i="9"/>
  <c r="AD26" i="9"/>
  <c r="AE26" i="9"/>
  <c r="AE79" i="9"/>
  <c r="AD79" i="9"/>
  <c r="AD40" i="9"/>
  <c r="AE40" i="9"/>
  <c r="AD84" i="9"/>
  <c r="AE84" i="9"/>
  <c r="AD194" i="9"/>
  <c r="AE194" i="9"/>
  <c r="AE101" i="9"/>
  <c r="AD101" i="9"/>
  <c r="AE156" i="9"/>
  <c r="AD156" i="9"/>
  <c r="AA35" i="9"/>
  <c r="AB35" i="9"/>
  <c r="AE41" i="9"/>
  <c r="AD41" i="9"/>
  <c r="AD83" i="9"/>
  <c r="AE83" i="9"/>
  <c r="AE66" i="9"/>
  <c r="AD66" i="9"/>
  <c r="AD48" i="9"/>
  <c r="AE48" i="9"/>
  <c r="AE34" i="9"/>
  <c r="AD34" i="9"/>
  <c r="AE39" i="9"/>
  <c r="AD39" i="9"/>
  <c r="AE87" i="9"/>
  <c r="AD87" i="9"/>
  <c r="AA112" i="9"/>
  <c r="AA80" i="9"/>
  <c r="AB80" i="9"/>
  <c r="AE106" i="9"/>
  <c r="AD109" i="9"/>
  <c r="AE109" i="9"/>
  <c r="AD71" i="9"/>
  <c r="AE71" i="9"/>
  <c r="AB91" i="9"/>
  <c r="AA91" i="9"/>
  <c r="AH195" i="9"/>
  <c r="AB186" i="9"/>
  <c r="AE102" i="9"/>
  <c r="AD102" i="9"/>
  <c r="AA130" i="9"/>
  <c r="AB130" i="9"/>
  <c r="AE38" i="9"/>
  <c r="AD38" i="9"/>
  <c r="AE29" i="9"/>
  <c r="AD29" i="9"/>
  <c r="AE116" i="9"/>
  <c r="AD116" i="9"/>
  <c r="AD45" i="9"/>
  <c r="AE45" i="9"/>
  <c r="AE172" i="9"/>
  <c r="AD172" i="9"/>
  <c r="AE46" i="9"/>
  <c r="AD46" i="9"/>
  <c r="AD53" i="9"/>
  <c r="AE105" i="9"/>
  <c r="AD105" i="9"/>
  <c r="AI199" i="9"/>
  <c r="AJ199" i="9"/>
  <c r="AK199" i="9"/>
  <c r="AI203" i="9"/>
  <c r="AK203" i="9"/>
  <c r="AJ203" i="9"/>
  <c r="AK197" i="9"/>
  <c r="AI197" i="9"/>
  <c r="AJ197" i="9"/>
  <c r="AJ202" i="9"/>
  <c r="AK202" i="9"/>
  <c r="AI202" i="9"/>
  <c r="AH198" i="9"/>
  <c r="O33" i="5"/>
  <c r="O210" i="5"/>
  <c r="O247" i="5"/>
  <c r="O227" i="5"/>
  <c r="O152" i="5"/>
  <c r="O41" i="5"/>
  <c r="O218" i="5"/>
  <c r="O251" i="5"/>
  <c r="O87" i="5"/>
  <c r="O40" i="5"/>
  <c r="O114" i="5"/>
  <c r="O207" i="5"/>
  <c r="O335" i="5"/>
  <c r="O136" i="5"/>
  <c r="O77" i="5"/>
  <c r="O205" i="5"/>
  <c r="O206" i="5"/>
  <c r="O333" i="5"/>
  <c r="O32" i="5"/>
  <c r="O201" i="5"/>
  <c r="O21" i="5"/>
  <c r="O116" i="5"/>
  <c r="O212" i="5"/>
  <c r="O159" i="5"/>
  <c r="O258" i="5"/>
  <c r="O285" i="5"/>
  <c r="O72" i="5"/>
  <c r="O113" i="5"/>
  <c r="O244" i="5"/>
  <c r="O187" i="5"/>
  <c r="O287" i="5"/>
  <c r="O263" i="5"/>
  <c r="O157" i="5"/>
  <c r="O269" i="5"/>
  <c r="O147" i="5"/>
  <c r="O133" i="5"/>
  <c r="O256" i="5"/>
  <c r="O334" i="5"/>
  <c r="O232" i="5"/>
  <c r="O75" i="5"/>
  <c r="O103" i="5"/>
  <c r="O260" i="5"/>
  <c r="O175" i="5"/>
  <c r="O45" i="5"/>
  <c r="O83" i="5"/>
  <c r="O107" i="5"/>
  <c r="O264" i="5"/>
  <c r="O200" i="5"/>
  <c r="O42" i="5"/>
  <c r="O106" i="5"/>
  <c r="O329" i="5"/>
  <c r="O92" i="5"/>
  <c r="O112" i="5"/>
  <c r="O178" i="5"/>
  <c r="O203" i="5"/>
  <c r="O188" i="5"/>
  <c r="O307" i="5"/>
  <c r="O36" i="5"/>
  <c r="O168" i="5"/>
  <c r="O309" i="5"/>
  <c r="O52" i="5"/>
  <c r="O310" i="5"/>
  <c r="O64" i="5"/>
  <c r="O69" i="5"/>
  <c r="O208" i="5"/>
  <c r="O126" i="5"/>
  <c r="O239" i="5"/>
  <c r="O130" i="5"/>
  <c r="O144" i="5"/>
  <c r="O266" i="5"/>
  <c r="O66" i="5"/>
  <c r="O127" i="5"/>
  <c r="O291" i="5"/>
  <c r="O91" i="5"/>
  <c r="O298" i="5"/>
  <c r="O94" i="5"/>
  <c r="O174" i="5"/>
  <c r="O34" i="5"/>
  <c r="O141" i="5"/>
  <c r="O173" i="5"/>
  <c r="O156" i="5"/>
  <c r="O300" i="5"/>
  <c r="O259" i="5"/>
  <c r="O149" i="5"/>
  <c r="O181" i="5"/>
  <c r="O158" i="5"/>
  <c r="O302" i="5"/>
  <c r="O35" i="5"/>
  <c r="O193" i="5"/>
  <c r="O199" i="5"/>
  <c r="O306" i="5"/>
  <c r="O65" i="5"/>
  <c r="O242" i="5"/>
  <c r="O273" i="5"/>
  <c r="O278" i="5"/>
  <c r="O268" i="5"/>
  <c r="O108" i="5"/>
  <c r="O38" i="5"/>
  <c r="O137" i="5"/>
  <c r="O237" i="5"/>
  <c r="O243" i="5"/>
  <c r="O183" i="5"/>
  <c r="O46" i="5"/>
  <c r="O155" i="5"/>
  <c r="O245" i="5"/>
  <c r="O254" i="5"/>
  <c r="O230" i="5"/>
  <c r="O80" i="5"/>
  <c r="O146" i="5"/>
  <c r="O115" i="5"/>
  <c r="O142" i="5"/>
  <c r="O246" i="5"/>
  <c r="O88" i="5"/>
  <c r="O154" i="5"/>
  <c r="O167" i="5"/>
  <c r="O145" i="5"/>
  <c r="O62" i="5"/>
  <c r="O171" i="5"/>
  <c r="O261" i="5"/>
  <c r="O271" i="5"/>
  <c r="O267" i="5"/>
  <c r="O109" i="5"/>
  <c r="O138" i="5"/>
  <c r="O44" i="5"/>
  <c r="O257" i="5"/>
  <c r="O332" i="5"/>
  <c r="O189" i="5"/>
  <c r="O304" i="5"/>
  <c r="O51" i="5"/>
  <c r="O220" i="5"/>
  <c r="O60" i="5"/>
  <c r="O236" i="5"/>
  <c r="O84" i="5"/>
  <c r="O325" i="5"/>
  <c r="O197" i="5"/>
  <c r="O323" i="5"/>
  <c r="O29" i="5"/>
  <c r="O308" i="5"/>
  <c r="O185" i="5"/>
  <c r="O270" i="5"/>
  <c r="O95" i="5"/>
  <c r="O81" i="5"/>
  <c r="O216" i="5"/>
  <c r="O89" i="5"/>
  <c r="O131" i="5"/>
  <c r="O58" i="5"/>
  <c r="O198" i="5"/>
  <c r="O125" i="5"/>
  <c r="O217" i="5"/>
  <c r="O235" i="5"/>
  <c r="O274" i="5"/>
  <c r="O303" i="5"/>
  <c r="O223" i="5"/>
  <c r="O61" i="5"/>
  <c r="O315" i="5"/>
  <c r="O177" i="5"/>
  <c r="O104" i="5"/>
  <c r="O184" i="5"/>
  <c r="O70" i="5"/>
  <c r="O23" i="5"/>
  <c r="O290" i="5"/>
  <c r="O262" i="5"/>
  <c r="O56" i="5"/>
  <c r="O282" i="5"/>
  <c r="O59" i="5"/>
  <c r="O123" i="5"/>
  <c r="O67" i="5"/>
  <c r="O314" i="5"/>
  <c r="O117" i="5"/>
  <c r="O102" i="5"/>
  <c r="O195" i="5"/>
  <c r="O182" i="5"/>
  <c r="O301" i="5"/>
  <c r="O54" i="5"/>
  <c r="O296" i="5"/>
  <c r="O317" i="5"/>
  <c r="O169" i="5"/>
  <c r="O63" i="5"/>
  <c r="O172" i="5"/>
  <c r="O57" i="5"/>
  <c r="O265" i="5"/>
  <c r="O48" i="5"/>
  <c r="O211" i="5"/>
  <c r="O190" i="5"/>
  <c r="O196" i="5"/>
  <c r="O73" i="5"/>
  <c r="O105" i="5"/>
  <c r="O122" i="5"/>
  <c r="O312" i="5"/>
  <c r="O143" i="5"/>
  <c r="O331" i="5"/>
  <c r="O186" i="5"/>
  <c r="O292" i="5"/>
  <c r="O194" i="5"/>
  <c r="O294" i="5"/>
  <c r="O132" i="5"/>
  <c r="O163" i="5"/>
  <c r="O96" i="5"/>
  <c r="O99" i="5"/>
  <c r="O305" i="5"/>
  <c r="O24" i="5"/>
  <c r="O191" i="5"/>
  <c r="O55" i="5"/>
  <c r="O180" i="5"/>
  <c r="O43" i="5"/>
  <c r="O214" i="5"/>
  <c r="O330" i="5"/>
  <c r="O233" i="5"/>
  <c r="O250" i="5"/>
  <c r="O124" i="5"/>
  <c r="O71" i="5"/>
  <c r="O164" i="5"/>
  <c r="O93" i="5"/>
  <c r="O215" i="5"/>
  <c r="O68" i="5"/>
  <c r="O275" i="5"/>
  <c r="O119" i="5"/>
  <c r="O192" i="5"/>
  <c r="O209" i="5"/>
  <c r="O231" i="5"/>
  <c r="O166" i="5"/>
  <c r="O320" i="5"/>
  <c r="O98" i="5"/>
  <c r="O151" i="5"/>
  <c r="O26" i="5"/>
  <c r="O319" i="5"/>
  <c r="O170" i="5"/>
  <c r="O176" i="5"/>
  <c r="O179" i="5"/>
  <c r="O279" i="5"/>
  <c r="O49" i="5"/>
  <c r="O283" i="5"/>
  <c r="O213" i="5"/>
  <c r="O249" i="5"/>
  <c r="O221" i="5"/>
  <c r="O252" i="5"/>
  <c r="O229" i="5"/>
  <c r="O322" i="5"/>
  <c r="O222" i="5"/>
  <c r="O326" i="5"/>
  <c r="O228" i="5"/>
  <c r="O277" i="5"/>
  <c r="O324" i="5"/>
  <c r="O248" i="5"/>
  <c r="O284" i="5"/>
  <c r="O219" i="5"/>
  <c r="O82" i="5"/>
  <c r="O316" i="5"/>
  <c r="O79" i="5"/>
  <c r="O276" i="5"/>
  <c r="O135" i="5"/>
  <c r="O255" i="5"/>
  <c r="O110" i="5"/>
  <c r="O100" i="5"/>
  <c r="O226" i="5"/>
  <c r="O238" i="5"/>
  <c r="O281" i="5"/>
  <c r="O22" i="5"/>
  <c r="O224" i="5"/>
  <c r="O30" i="5"/>
  <c r="O241" i="5"/>
  <c r="O120" i="5"/>
  <c r="O85" i="5"/>
  <c r="O128" i="5"/>
  <c r="O295" i="5"/>
  <c r="O161" i="5"/>
  <c r="O150" i="5"/>
  <c r="O148" i="5"/>
  <c r="O202" i="5"/>
  <c r="O311" i="5"/>
  <c r="O240" i="5"/>
  <c r="O47" i="5"/>
  <c r="O225" i="5"/>
  <c r="O86" i="5"/>
  <c r="O37" i="5"/>
  <c r="O328" i="5"/>
  <c r="O50" i="5"/>
  <c r="O134" i="5"/>
  <c r="O39" i="5"/>
  <c r="O153" i="5"/>
  <c r="O162" i="5"/>
  <c r="O90" i="5"/>
  <c r="O118" i="5"/>
  <c r="O28" i="5"/>
  <c r="O297" i="5"/>
  <c r="O111" i="5"/>
  <c r="O25" i="5"/>
  <c r="O313" i="5"/>
  <c r="O31" i="5"/>
  <c r="O204" i="5"/>
  <c r="O139" i="5"/>
  <c r="O288" i="5"/>
  <c r="O321" i="5"/>
  <c r="O318" i="5"/>
  <c r="O53" i="5"/>
  <c r="O299" i="5"/>
  <c r="O78" i="5"/>
  <c r="O74" i="5"/>
  <c r="O101" i="5"/>
  <c r="O293" i="5"/>
  <c r="O140" i="5"/>
  <c r="O129" i="5"/>
  <c r="O272" i="5"/>
  <c r="O160" i="5"/>
  <c r="O286" i="5"/>
  <c r="O234" i="5"/>
  <c r="O165" i="5"/>
  <c r="O97" i="5"/>
  <c r="O280" i="5"/>
  <c r="O253" i="5"/>
  <c r="O27" i="5"/>
  <c r="O327" i="5"/>
  <c r="O289" i="5"/>
  <c r="O121" i="5"/>
  <c r="O76" i="5"/>
  <c r="O7" i="5"/>
  <c r="E6" i="5" s="1"/>
  <c r="E9" i="5" s="1"/>
  <c r="E10" i="5" s="1"/>
  <c r="Q69" i="5"/>
  <c r="Q55" i="5"/>
  <c r="Q178" i="5"/>
  <c r="Q206" i="5"/>
  <c r="Q246" i="5"/>
  <c r="Q77" i="5"/>
  <c r="Q56" i="5"/>
  <c r="Q144" i="5"/>
  <c r="Q239" i="5"/>
  <c r="Q245" i="5"/>
  <c r="Q310" i="5"/>
  <c r="Q42" i="5"/>
  <c r="Q63" i="5"/>
  <c r="Q133" i="5"/>
  <c r="Q329" i="5"/>
  <c r="Q258" i="5"/>
  <c r="Q111" i="5"/>
  <c r="Q123" i="5"/>
  <c r="Q249" i="5"/>
  <c r="Q287" i="5"/>
  <c r="Q75" i="5"/>
  <c r="Q252" i="5"/>
  <c r="Q267" i="5"/>
  <c r="Q303" i="5"/>
  <c r="Q66" i="5"/>
  <c r="Q124" i="5"/>
  <c r="Q176" i="5"/>
  <c r="Q121" i="5"/>
  <c r="Q143" i="5"/>
  <c r="Q284" i="5"/>
  <c r="Q250" i="5"/>
  <c r="Q223" i="5"/>
  <c r="Q292" i="5"/>
  <c r="Q186" i="5"/>
  <c r="Q305" i="5"/>
  <c r="Q163" i="5"/>
  <c r="Q330" i="5"/>
  <c r="Q210" i="5"/>
  <c r="Q259" i="5"/>
  <c r="Q135" i="5"/>
  <c r="Q151" i="5"/>
  <c r="Q266" i="5"/>
  <c r="Q316" i="5"/>
  <c r="Q49" i="5"/>
  <c r="Q48" i="5"/>
  <c r="Q34" i="5"/>
  <c r="Q41" i="5"/>
  <c r="Q131" i="5"/>
  <c r="Q321" i="5"/>
  <c r="Q257" i="5"/>
  <c r="Q106" i="5"/>
  <c r="Q172" i="5"/>
  <c r="Q57" i="5"/>
  <c r="Q208" i="5"/>
  <c r="Q335" i="5"/>
  <c r="Q101" i="5"/>
  <c r="Q191" i="5"/>
  <c r="Q109" i="5"/>
  <c r="Q166" i="5"/>
  <c r="Q68" i="5"/>
  <c r="Q32" i="5"/>
  <c r="Q132" i="5"/>
  <c r="Q215" i="5"/>
  <c r="Q214" i="5"/>
  <c r="Q298" i="5"/>
  <c r="Q96" i="5"/>
  <c r="Q181" i="5"/>
  <c r="Q95" i="5"/>
  <c r="Q297" i="5"/>
  <c r="Q197" i="5"/>
  <c r="Q100" i="5"/>
  <c r="Q90" i="5"/>
  <c r="Q51" i="5"/>
  <c r="Q228" i="5"/>
  <c r="Q230" i="5"/>
  <c r="Q254" i="5"/>
  <c r="Q225" i="5"/>
  <c r="Q52" i="5"/>
  <c r="Q112" i="5"/>
  <c r="Q315" i="5"/>
  <c r="Q169" i="5"/>
  <c r="Q50" i="5"/>
  <c r="Q86" i="5"/>
  <c r="Q145" i="5"/>
  <c r="Q47" i="5"/>
  <c r="Q269" i="5"/>
  <c r="Q119" i="5"/>
  <c r="Q139" i="5"/>
  <c r="Q251" i="5"/>
  <c r="Q306" i="5"/>
  <c r="Q74" i="5"/>
  <c r="Q126" i="5"/>
  <c r="Q177" i="5"/>
  <c r="Q125" i="5"/>
  <c r="Q296" i="5"/>
  <c r="Q82" i="5"/>
  <c r="Q43" i="5"/>
  <c r="Q44" i="5"/>
  <c r="Q87" i="5"/>
  <c r="Q307" i="5"/>
  <c r="Q110" i="5"/>
  <c r="Q142" i="5"/>
  <c r="Q37" i="5"/>
  <c r="Q179" i="5"/>
  <c r="Q154" i="5"/>
  <c r="Q320" i="5"/>
  <c r="Q114" i="5"/>
  <c r="Q180" i="5"/>
  <c r="Q99" i="5"/>
  <c r="Q229" i="5"/>
  <c r="Q73" i="5"/>
  <c r="Q107" i="5"/>
  <c r="Q199" i="5"/>
  <c r="Q184" i="5"/>
  <c r="Q200" i="5"/>
  <c r="Q61" i="5"/>
  <c r="Q33" i="5"/>
  <c r="Q174" i="5"/>
  <c r="Q182" i="5"/>
  <c r="Q274" i="5"/>
  <c r="Q220" i="5"/>
  <c r="Q264" i="5"/>
  <c r="Q304" i="5"/>
  <c r="Q299" i="5"/>
  <c r="Q189" i="5"/>
  <c r="Q152" i="5"/>
  <c r="Q295" i="5"/>
  <c r="Q156" i="5"/>
  <c r="Q327" i="5"/>
  <c r="Q261" i="5"/>
  <c r="Q27" i="5"/>
  <c r="Q204" i="5"/>
  <c r="Q205" i="5"/>
  <c r="Q94" i="5"/>
  <c r="Q217" i="5"/>
  <c r="Q35" i="5"/>
  <c r="Q36" i="5"/>
  <c r="Q29" i="5"/>
  <c r="Q171" i="5"/>
  <c r="Q149" i="5"/>
  <c r="Q314" i="5"/>
  <c r="Q270" i="5"/>
  <c r="Q103" i="5"/>
  <c r="Q117" i="5"/>
  <c r="Q234" i="5"/>
  <c r="Q285" i="5"/>
  <c r="Q67" i="5"/>
  <c r="Q244" i="5"/>
  <c r="Q253" i="5"/>
  <c r="Q301" i="5"/>
  <c r="Q80" i="5"/>
  <c r="Q23" i="5"/>
  <c r="Q40" i="5"/>
  <c r="Q62" i="5"/>
  <c r="Q278" i="5"/>
  <c r="Q236" i="5"/>
  <c r="Q38" i="5"/>
  <c r="Q323" i="5"/>
  <c r="Q53" i="5"/>
  <c r="Q136" i="5"/>
  <c r="Q158" i="5"/>
  <c r="Q173" i="5"/>
  <c r="Q275" i="5"/>
  <c r="Q312" i="5"/>
  <c r="Q300" i="5"/>
  <c r="Q302" i="5"/>
  <c r="Q104" i="5"/>
  <c r="Q308" i="5"/>
  <c r="Q198" i="5"/>
  <c r="Q256" i="5"/>
  <c r="Q78" i="5"/>
  <c r="Q203" i="5"/>
  <c r="Q137" i="5"/>
  <c r="Q28" i="5"/>
  <c r="Q164" i="5"/>
  <c r="Q129" i="5"/>
  <c r="Q183" i="5"/>
  <c r="Q72" i="5"/>
  <c r="Q160" i="5"/>
  <c r="Q165" i="5"/>
  <c r="Q331" i="5"/>
  <c r="Q24" i="5"/>
  <c r="Q196" i="5"/>
  <c r="Q25" i="5"/>
  <c r="Q276" i="5"/>
  <c r="Q248" i="5"/>
  <c r="Q286" i="5"/>
  <c r="Q319" i="5"/>
  <c r="Q79" i="5"/>
  <c r="Q218" i="5"/>
  <c r="Q221" i="5"/>
  <c r="Q283" i="5"/>
  <c r="Q92" i="5"/>
  <c r="Q105" i="5"/>
  <c r="Q333" i="5"/>
  <c r="Q247" i="5"/>
  <c r="Q60" i="5"/>
  <c r="Q273" i="5"/>
  <c r="Q120" i="5"/>
  <c r="Q161" i="5"/>
  <c r="Q88" i="5"/>
  <c r="Q260" i="5"/>
  <c r="Q262" i="5"/>
  <c r="Q168" i="5"/>
  <c r="Q242" i="5"/>
  <c r="Q243" i="5"/>
  <c r="Q277" i="5"/>
  <c r="Q309" i="5"/>
  <c r="Q311" i="5"/>
  <c r="Q216" i="5"/>
  <c r="Q97" i="5"/>
  <c r="Q70" i="5"/>
  <c r="Q26" i="5"/>
  <c r="Q175" i="5"/>
  <c r="Q294" i="5"/>
  <c r="Q240" i="5"/>
  <c r="Q45" i="5"/>
  <c r="Q170" i="5"/>
  <c r="Q188" i="5"/>
  <c r="Q281" i="5"/>
  <c r="Q130" i="5"/>
  <c r="Q134" i="5"/>
  <c r="Q185" i="5"/>
  <c r="Q212" i="5"/>
  <c r="Q39" i="5"/>
  <c r="Q138" i="5"/>
  <c r="Q141" i="5"/>
  <c r="Q325" i="5"/>
  <c r="Q280" i="5"/>
  <c r="Q147" i="5"/>
  <c r="Q272" i="5"/>
  <c r="Q328" i="5"/>
  <c r="Q21" i="5"/>
  <c r="Q213" i="5"/>
  <c r="Q64" i="5"/>
  <c r="Q71" i="5"/>
  <c r="Q157" i="5"/>
  <c r="Q324" i="5"/>
  <c r="Q118" i="5"/>
  <c r="Q89" i="5"/>
  <c r="Q83" i="5"/>
  <c r="Q148" i="5"/>
  <c r="Q289" i="5"/>
  <c r="Q159" i="5"/>
  <c r="Q167" i="5"/>
  <c r="Q46" i="5"/>
  <c r="Q65" i="5"/>
  <c r="Q155" i="5"/>
  <c r="Q22" i="5"/>
  <c r="Q192" i="5"/>
  <c r="Q194" i="5"/>
  <c r="Q271" i="5"/>
  <c r="Q85" i="5"/>
  <c r="Q222" i="5"/>
  <c r="Q59" i="5"/>
  <c r="Q265" i="5"/>
  <c r="Q116" i="5"/>
  <c r="Q140" i="5"/>
  <c r="Q195" i="5"/>
  <c r="Q233" i="5"/>
  <c r="Q76" i="5"/>
  <c r="Q207" i="5"/>
  <c r="Q235" i="5"/>
  <c r="Q209" i="5"/>
  <c r="Q211" i="5"/>
  <c r="Q291" i="5"/>
  <c r="Q231" i="5"/>
  <c r="Q102" i="5"/>
  <c r="Q108" i="5"/>
  <c r="Q219" i="5"/>
  <c r="Q290" i="5"/>
  <c r="Q84" i="5"/>
  <c r="Q227" i="5"/>
  <c r="Q93" i="5"/>
  <c r="Q202" i="5"/>
  <c r="Q150" i="5"/>
  <c r="Q162" i="5"/>
  <c r="Q255" i="5"/>
  <c r="Q122" i="5"/>
  <c r="Q153" i="5"/>
  <c r="Q326" i="5"/>
  <c r="Q128" i="5"/>
  <c r="Q146" i="5"/>
  <c r="Q241" i="5"/>
  <c r="Q318" i="5"/>
  <c r="Q31" i="5"/>
  <c r="Q332" i="5"/>
  <c r="Q334" i="5"/>
  <c r="Q293" i="5"/>
  <c r="Q313" i="5"/>
  <c r="Q224" i="5"/>
  <c r="Q190" i="5"/>
  <c r="Q91" i="5"/>
  <c r="Q263" i="5"/>
  <c r="Q232" i="5"/>
  <c r="Q317" i="5"/>
  <c r="Q237" i="5"/>
  <c r="Q113" i="5"/>
  <c r="Q98" i="5"/>
  <c r="Q127" i="5"/>
  <c r="Q115" i="5"/>
  <c r="Q81" i="5"/>
  <c r="Q322" i="5"/>
  <c r="Q288" i="5"/>
  <c r="Q268" i="5"/>
  <c r="Q238" i="5"/>
  <c r="Q201" i="5"/>
  <c r="Q58" i="5"/>
  <c r="Q226" i="5"/>
  <c r="Q30" i="5"/>
  <c r="Q187" i="5"/>
  <c r="Q54" i="5"/>
  <c r="Q282" i="5"/>
  <c r="Q193" i="5"/>
  <c r="Q279" i="5"/>
  <c r="P78" i="5"/>
  <c r="P42" i="5"/>
  <c r="P314" i="5"/>
  <c r="P324" i="5"/>
  <c r="P305" i="5"/>
  <c r="P86" i="5"/>
  <c r="P65" i="5"/>
  <c r="P322" i="5"/>
  <c r="P81" i="5"/>
  <c r="P230" i="5"/>
  <c r="P264" i="5"/>
  <c r="P256" i="5"/>
  <c r="P27" i="5"/>
  <c r="P98" i="5"/>
  <c r="P238" i="5"/>
  <c r="P272" i="5"/>
  <c r="P172" i="5"/>
  <c r="P236" i="5"/>
  <c r="P132" i="5"/>
  <c r="P91" i="5"/>
  <c r="P211" i="5"/>
  <c r="P73" i="5"/>
  <c r="P138" i="5"/>
  <c r="P153" i="5"/>
  <c r="P126" i="5"/>
  <c r="P182" i="5"/>
  <c r="P218" i="5"/>
  <c r="P165" i="5"/>
  <c r="P72" i="5"/>
  <c r="P97" i="5"/>
  <c r="P127" i="5"/>
  <c r="P276" i="5"/>
  <c r="P261" i="5"/>
  <c r="P80" i="5"/>
  <c r="P109" i="5"/>
  <c r="P151" i="5"/>
  <c r="P283" i="5"/>
  <c r="P317" i="5"/>
  <c r="P150" i="5"/>
  <c r="P206" i="5"/>
  <c r="P306" i="5"/>
  <c r="P204" i="5"/>
  <c r="P144" i="5"/>
  <c r="P116" i="5"/>
  <c r="P267" i="5"/>
  <c r="P185" i="5"/>
  <c r="P62" i="5"/>
  <c r="P318" i="5"/>
  <c r="P222" i="5"/>
  <c r="P275" i="5"/>
  <c r="P308" i="5"/>
  <c r="P195" i="5"/>
  <c r="P311" i="5"/>
  <c r="P83" i="5"/>
  <c r="P203" i="5"/>
  <c r="P28" i="5"/>
  <c r="P333" i="5"/>
  <c r="P22" i="5"/>
  <c r="P52" i="5"/>
  <c r="P49" i="5"/>
  <c r="P335" i="5"/>
  <c r="P99" i="5"/>
  <c r="P188" i="5"/>
  <c r="P173" i="5"/>
  <c r="P90" i="5"/>
  <c r="P43" i="5"/>
  <c r="P124" i="5"/>
  <c r="P254" i="5"/>
  <c r="P288" i="5"/>
  <c r="P279" i="5"/>
  <c r="P51" i="5"/>
  <c r="P61" i="5"/>
  <c r="P146" i="5"/>
  <c r="P196" i="5"/>
  <c r="P294" i="5"/>
  <c r="P71" i="5"/>
  <c r="P174" i="5"/>
  <c r="P189" i="5"/>
  <c r="P315" i="5"/>
  <c r="P77" i="5"/>
  <c r="P155" i="5"/>
  <c r="P148" i="5"/>
  <c r="P200" i="5"/>
  <c r="P21" i="5"/>
  <c r="P41" i="5"/>
  <c r="P183" i="5"/>
  <c r="P100" i="5"/>
  <c r="P106" i="5"/>
  <c r="P29" i="5"/>
  <c r="P60" i="5"/>
  <c r="P205" i="5"/>
  <c r="P135" i="5"/>
  <c r="P131" i="5"/>
  <c r="P105" i="5"/>
  <c r="P179" i="5"/>
  <c r="P75" i="5"/>
  <c r="P295" i="5"/>
  <c r="P112" i="5"/>
  <c r="P242" i="5"/>
  <c r="P184" i="5"/>
  <c r="P113" i="5"/>
  <c r="P210" i="5"/>
  <c r="P214" i="5"/>
  <c r="P268" i="5"/>
  <c r="P312" i="5"/>
  <c r="P207" i="5"/>
  <c r="P265" i="5"/>
  <c r="P140" i="5"/>
  <c r="P293" i="5"/>
  <c r="P129" i="5"/>
  <c r="P33" i="5"/>
  <c r="P328" i="5"/>
  <c r="P212" i="5"/>
  <c r="P56" i="5"/>
  <c r="P136" i="5"/>
  <c r="P239" i="5"/>
  <c r="P216" i="5"/>
  <c r="P30" i="5"/>
  <c r="P219" i="5"/>
  <c r="P266" i="5"/>
  <c r="P252" i="5"/>
  <c r="P85" i="5"/>
  <c r="P163" i="5"/>
  <c r="P160" i="5"/>
  <c r="P221" i="5"/>
  <c r="P325" i="5"/>
  <c r="P93" i="5"/>
  <c r="P171" i="5"/>
  <c r="P161" i="5"/>
  <c r="P225" i="5"/>
  <c r="P327" i="5"/>
  <c r="P54" i="5"/>
  <c r="P243" i="5"/>
  <c r="P55" i="5"/>
  <c r="P310" i="5"/>
  <c r="P186" i="5"/>
  <c r="P270" i="5"/>
  <c r="P241" i="5"/>
  <c r="P96" i="5"/>
  <c r="P197" i="5"/>
  <c r="P234" i="5"/>
  <c r="P284" i="5"/>
  <c r="P289" i="5"/>
  <c r="P316" i="5"/>
  <c r="P255" i="5"/>
  <c r="P320" i="5"/>
  <c r="P291" i="5"/>
  <c r="P63" i="5"/>
  <c r="P166" i="5"/>
  <c r="P159" i="5"/>
  <c r="P297" i="5"/>
  <c r="P118" i="5"/>
  <c r="P119" i="5"/>
  <c r="P326" i="5"/>
  <c r="P309" i="5"/>
  <c r="P94" i="5"/>
  <c r="P84" i="5"/>
  <c r="P330" i="5"/>
  <c r="P92" i="5"/>
  <c r="P38" i="5"/>
  <c r="P227" i="5"/>
  <c r="P274" i="5"/>
  <c r="P253" i="5"/>
  <c r="P248" i="5"/>
  <c r="P46" i="5"/>
  <c r="P235" i="5"/>
  <c r="P282" i="5"/>
  <c r="P271" i="5"/>
  <c r="P263" i="5"/>
  <c r="P39" i="5"/>
  <c r="P114" i="5"/>
  <c r="P164" i="5"/>
  <c r="P34" i="5"/>
  <c r="P215" i="5"/>
  <c r="P208" i="5"/>
  <c r="P152" i="5"/>
  <c r="P187" i="5"/>
  <c r="P292" i="5"/>
  <c r="P273" i="5"/>
  <c r="P70" i="5"/>
  <c r="P123" i="5"/>
  <c r="P217" i="5"/>
  <c r="P156" i="5"/>
  <c r="P192" i="5"/>
  <c r="P110" i="5"/>
  <c r="P66" i="5"/>
  <c r="P233" i="5"/>
  <c r="P286" i="5"/>
  <c r="P137" i="5"/>
  <c r="P228" i="5"/>
  <c r="P145" i="5"/>
  <c r="P44" i="5"/>
  <c r="P64" i="5"/>
  <c r="P74" i="5"/>
  <c r="P117" i="5"/>
  <c r="P193" i="5"/>
  <c r="P87" i="5"/>
  <c r="P162" i="5"/>
  <c r="P245" i="5"/>
  <c r="P285" i="5"/>
  <c r="P332" i="5"/>
  <c r="P95" i="5"/>
  <c r="P170" i="5"/>
  <c r="P247" i="5"/>
  <c r="P287" i="5"/>
  <c r="P334" i="5"/>
  <c r="P88" i="5"/>
  <c r="P111" i="5"/>
  <c r="P103" i="5"/>
  <c r="P303" i="5"/>
  <c r="P191" i="5"/>
  <c r="P40" i="5"/>
  <c r="P176" i="5"/>
  <c r="P201" i="5"/>
  <c r="P229" i="5"/>
  <c r="P169" i="5"/>
  <c r="P259" i="5"/>
  <c r="P125" i="5"/>
  <c r="P298" i="5"/>
  <c r="P329" i="5"/>
  <c r="P89" i="5"/>
  <c r="P122" i="5"/>
  <c r="P149" i="5"/>
  <c r="P120" i="5"/>
  <c r="P134" i="5"/>
  <c r="P213" i="5"/>
  <c r="P224" i="5"/>
  <c r="P24" i="5"/>
  <c r="P139" i="5"/>
  <c r="P194" i="5"/>
  <c r="P299" i="5"/>
  <c r="P281" i="5"/>
  <c r="P260" i="5"/>
  <c r="P107" i="5"/>
  <c r="P249" i="5"/>
  <c r="P154" i="5"/>
  <c r="P104" i="5"/>
  <c r="P31" i="5"/>
  <c r="P296" i="5"/>
  <c r="P147" i="5"/>
  <c r="P223" i="5"/>
  <c r="P25" i="5"/>
  <c r="P36" i="5"/>
  <c r="P323" i="5"/>
  <c r="P321" i="5"/>
  <c r="P226" i="5"/>
  <c r="P199" i="5"/>
  <c r="P246" i="5"/>
  <c r="P190" i="5"/>
  <c r="P142" i="5"/>
  <c r="P141" i="5"/>
  <c r="P82" i="5"/>
  <c r="P45" i="5"/>
  <c r="P202" i="5"/>
  <c r="P251" i="5"/>
  <c r="P313" i="5"/>
  <c r="P158" i="5"/>
  <c r="P128" i="5"/>
  <c r="P257" i="5"/>
  <c r="P280" i="5"/>
  <c r="P220" i="5"/>
  <c r="P108" i="5"/>
  <c r="P300" i="5"/>
  <c r="P57" i="5"/>
  <c r="P167" i="5"/>
  <c r="P307" i="5"/>
  <c r="P302" i="5"/>
  <c r="P47" i="5"/>
  <c r="P101" i="5"/>
  <c r="P319" i="5"/>
  <c r="P301" i="5"/>
  <c r="P278" i="5"/>
  <c r="P133" i="5"/>
  <c r="P198" i="5"/>
  <c r="P250" i="5"/>
  <c r="P209" i="5"/>
  <c r="P177" i="5"/>
  <c r="P115" i="5"/>
  <c r="P50" i="5"/>
  <c r="P244" i="5"/>
  <c r="P48" i="5"/>
  <c r="P180" i="5"/>
  <c r="P79" i="5"/>
  <c r="P23" i="5"/>
  <c r="P76" i="5"/>
  <c r="P68" i="5"/>
  <c r="P37" i="5"/>
  <c r="P181" i="5"/>
  <c r="P53" i="5"/>
  <c r="P231" i="5"/>
  <c r="P290" i="5"/>
  <c r="P157" i="5"/>
  <c r="P69" i="5"/>
  <c r="P262" i="5"/>
  <c r="P258" i="5"/>
  <c r="P240" i="5"/>
  <c r="P175" i="5"/>
  <c r="P304" i="5"/>
  <c r="P35" i="5"/>
  <c r="P59" i="5"/>
  <c r="P58" i="5"/>
  <c r="P232" i="5"/>
  <c r="P178" i="5"/>
  <c r="P121" i="5"/>
  <c r="P269" i="5"/>
  <c r="P143" i="5"/>
  <c r="P102" i="5"/>
  <c r="P26" i="5"/>
  <c r="P32" i="5"/>
  <c r="P67" i="5"/>
  <c r="P237" i="5"/>
  <c r="P168" i="5"/>
  <c r="P130" i="5"/>
  <c r="P331" i="5"/>
  <c r="P277" i="5"/>
  <c r="O18" i="5"/>
  <c r="P18" i="5"/>
  <c r="Q18" i="5"/>
  <c r="AH207" i="9" l="1"/>
  <c r="AH208" i="9"/>
  <c r="F7" i="9"/>
  <c r="F7" i="4"/>
  <c r="V30" i="4"/>
  <c r="W29" i="4"/>
  <c r="AY101" i="9"/>
  <c r="BL101" i="9"/>
  <c r="BK101" i="9" s="1"/>
  <c r="BJ101" i="9" s="1"/>
  <c r="BI101" i="9" s="1"/>
  <c r="BH101" i="9" s="1"/>
  <c r="BG101" i="9" s="1"/>
  <c r="BF101" i="9" s="1"/>
  <c r="BE101" i="9" s="1"/>
  <c r="BD101" i="9" s="1"/>
  <c r="BC101" i="9" s="1"/>
  <c r="AW102" i="9"/>
  <c r="BB100" i="9"/>
  <c r="BA100" i="9"/>
  <c r="AZ100" i="9" s="1"/>
  <c r="AX100" i="9" s="1"/>
  <c r="AB206" i="9"/>
  <c r="AA206" i="9"/>
  <c r="AA205" i="9"/>
  <c r="AB205" i="9"/>
  <c r="AA125" i="9"/>
  <c r="AB125" i="9"/>
  <c r="AE99" i="9"/>
  <c r="AD174" i="9"/>
  <c r="AE174" i="9"/>
  <c r="AB22" i="9"/>
  <c r="AA22" i="9"/>
  <c r="AE129" i="9"/>
  <c r="AD129" i="9"/>
  <c r="AH31" i="9"/>
  <c r="AB55" i="9"/>
  <c r="AA55" i="9"/>
  <c r="AB21" i="9"/>
  <c r="AA21" i="9"/>
  <c r="AD180" i="9"/>
  <c r="AE180" i="9"/>
  <c r="AB137" i="9"/>
  <c r="AA137" i="9"/>
  <c r="AA81" i="9"/>
  <c r="AB81" i="9"/>
  <c r="AB145" i="9"/>
  <c r="AA145" i="9"/>
  <c r="AH134" i="9"/>
  <c r="AB77" i="9"/>
  <c r="AA77" i="9"/>
  <c r="AD163" i="9"/>
  <c r="AE163" i="9"/>
  <c r="AD154" i="9"/>
  <c r="AE154" i="9"/>
  <c r="AA173" i="9"/>
  <c r="AB173" i="9"/>
  <c r="AH60" i="9"/>
  <c r="AH28" i="9"/>
  <c r="AH119" i="9"/>
  <c r="AA43" i="9"/>
  <c r="AB43" i="9"/>
  <c r="AE165" i="9"/>
  <c r="AD165" i="9"/>
  <c r="AB142" i="9"/>
  <c r="AA142" i="9"/>
  <c r="AE27" i="9"/>
  <c r="AD27" i="9"/>
  <c r="AB164" i="9"/>
  <c r="AA164" i="9"/>
  <c r="AD76" i="9"/>
  <c r="AE76" i="9"/>
  <c r="AA153" i="9"/>
  <c r="AB153" i="9"/>
  <c r="AD147" i="9"/>
  <c r="AE147" i="9"/>
  <c r="AA23" i="9"/>
  <c r="AB23" i="9"/>
  <c r="AB168" i="9"/>
  <c r="AA168" i="9"/>
  <c r="AD82" i="9"/>
  <c r="AE82" i="9"/>
  <c r="AH200" i="9"/>
  <c r="E14" i="4"/>
  <c r="AH204" i="9"/>
  <c r="AH193" i="9"/>
  <c r="AB193" i="9" s="1"/>
  <c r="AD32" i="9"/>
  <c r="AE32" i="9"/>
  <c r="AZ4" i="9"/>
  <c r="AX4" i="9" s="1"/>
  <c r="AZ73" i="9"/>
  <c r="AX73" i="9" s="1"/>
  <c r="AZ82" i="9"/>
  <c r="AX82" i="9" s="1"/>
  <c r="AZ64" i="9"/>
  <c r="AX64" i="9" s="1"/>
  <c r="AZ97" i="9"/>
  <c r="AX97" i="9" s="1"/>
  <c r="AA61" i="9"/>
  <c r="AB61" i="9"/>
  <c r="AH189" i="9"/>
  <c r="AB189" i="9" s="1"/>
  <c r="AH42" i="9"/>
  <c r="AH144" i="9"/>
  <c r="AA181" i="9"/>
  <c r="AB181" i="9"/>
  <c r="AZ32" i="9"/>
  <c r="AX32" i="9" s="1"/>
  <c r="AZ96" i="9"/>
  <c r="AX96" i="9" s="1"/>
  <c r="AZ20" i="9"/>
  <c r="AX20" i="9" s="1"/>
  <c r="AZ62" i="9"/>
  <c r="AX62" i="9" s="1"/>
  <c r="AZ74" i="9"/>
  <c r="AX74" i="9" s="1"/>
  <c r="AZ94" i="9"/>
  <c r="AX94" i="9" s="1"/>
  <c r="AB178" i="9"/>
  <c r="AA178" i="9"/>
  <c r="AH143" i="9"/>
  <c r="AH140" i="9"/>
  <c r="AH191" i="9"/>
  <c r="AA191" i="9" s="1"/>
  <c r="AH155" i="9"/>
  <c r="AA155" i="9" s="1"/>
  <c r="AH25" i="9"/>
  <c r="AZ18" i="9"/>
  <c r="AX18" i="9" s="1"/>
  <c r="AZ89" i="9"/>
  <c r="AX89" i="9" s="1"/>
  <c r="AZ84" i="9"/>
  <c r="AX84" i="9" s="1"/>
  <c r="AZ31" i="9"/>
  <c r="AX31" i="9" s="1"/>
  <c r="AE97" i="9"/>
  <c r="AD97" i="9"/>
  <c r="AH120" i="9"/>
  <c r="AB120" i="9" s="1"/>
  <c r="AH67" i="9"/>
  <c r="AB67" i="9" s="1"/>
  <c r="AZ79" i="9"/>
  <c r="AX79" i="9" s="1"/>
  <c r="AZ61" i="9"/>
  <c r="AX61" i="9" s="1"/>
  <c r="AZ40" i="9"/>
  <c r="AX40" i="9" s="1"/>
  <c r="AZ34" i="9"/>
  <c r="AX34" i="9" s="1"/>
  <c r="AZ77" i="9"/>
  <c r="AX77" i="9" s="1"/>
  <c r="AZ5" i="9"/>
  <c r="AX5" i="9" s="1"/>
  <c r="AZ69" i="9"/>
  <c r="AX69" i="9" s="1"/>
  <c r="AZ29" i="9"/>
  <c r="AX29" i="9" s="1"/>
  <c r="AH136" i="9"/>
  <c r="AE131" i="9"/>
  <c r="AD131" i="9"/>
  <c r="AH202" i="9"/>
  <c r="AH110" i="9"/>
  <c r="AH138" i="9"/>
  <c r="AH47" i="9"/>
  <c r="AE130" i="9"/>
  <c r="AD130" i="9"/>
  <c r="AE91" i="9"/>
  <c r="AD91" i="9"/>
  <c r="AE80" i="9"/>
  <c r="AD80" i="9"/>
  <c r="AA123" i="9"/>
  <c r="AB123" i="9"/>
  <c r="AA94" i="9"/>
  <c r="AB94" i="9"/>
  <c r="AA67" i="9"/>
  <c r="AB127" i="9"/>
  <c r="AA127" i="9"/>
  <c r="AD112" i="9"/>
  <c r="AE112" i="9"/>
  <c r="AB136" i="9"/>
  <c r="AA136" i="9"/>
  <c r="AA157" i="9"/>
  <c r="AB157" i="9"/>
  <c r="AB92" i="9"/>
  <c r="AA92" i="9"/>
  <c r="AD201" i="9"/>
  <c r="AE201" i="9"/>
  <c r="AH188" i="9"/>
  <c r="AH159" i="9"/>
  <c r="AA193" i="9"/>
  <c r="AE35" i="9"/>
  <c r="AD35" i="9"/>
  <c r="AH108" i="9"/>
  <c r="AH196" i="9"/>
  <c r="AH183" i="9"/>
  <c r="AH135" i="9"/>
  <c r="AA42" i="9"/>
  <c r="AB42" i="9"/>
  <c r="AB133" i="9"/>
  <c r="AA133" i="9"/>
  <c r="AA144" i="9"/>
  <c r="AB144" i="9"/>
  <c r="AH58" i="9"/>
  <c r="AB195" i="9"/>
  <c r="AA195" i="9"/>
  <c r="AB143" i="9"/>
  <c r="AA143" i="9"/>
  <c r="AB140" i="9"/>
  <c r="AA140" i="9"/>
  <c r="AH150" i="9"/>
  <c r="AH50" i="9"/>
  <c r="AH65" i="9"/>
  <c r="AB25" i="9"/>
  <c r="AA25" i="9"/>
  <c r="AH54" i="9"/>
  <c r="AB202" i="9"/>
  <c r="AA202" i="9"/>
  <c r="AH203" i="9"/>
  <c r="AA198" i="9"/>
  <c r="AB198" i="9"/>
  <c r="AH197" i="9"/>
  <c r="AH199" i="9"/>
  <c r="E4" i="5"/>
  <c r="E5" i="5"/>
  <c r="AA208" i="9" l="1"/>
  <c r="AB208" i="9"/>
  <c r="AA207" i="9"/>
  <c r="AB207" i="9"/>
  <c r="W30" i="4"/>
  <c r="V31" i="4"/>
  <c r="BA101" i="9"/>
  <c r="AZ101" i="9" s="1"/>
  <c r="AX101" i="9" s="1"/>
  <c r="BB101" i="9"/>
  <c r="BL102" i="9"/>
  <c r="BK102" i="9" s="1"/>
  <c r="BJ102" i="9" s="1"/>
  <c r="BI102" i="9" s="1"/>
  <c r="BH102" i="9" s="1"/>
  <c r="BG102" i="9" s="1"/>
  <c r="BF102" i="9" s="1"/>
  <c r="BE102" i="9" s="1"/>
  <c r="BD102" i="9" s="1"/>
  <c r="BC102" i="9" s="1"/>
  <c r="AY102" i="9"/>
  <c r="AW103" i="9"/>
  <c r="AD205" i="9"/>
  <c r="AE205" i="9"/>
  <c r="AD206" i="9"/>
  <c r="AE206" i="9"/>
  <c r="AB155" i="9"/>
  <c r="AD142" i="9"/>
  <c r="AE142" i="9"/>
  <c r="AA60" i="9"/>
  <c r="AB60" i="9"/>
  <c r="AE153" i="9"/>
  <c r="AD153" i="9"/>
  <c r="AA134" i="9"/>
  <c r="AB134" i="9"/>
  <c r="AD22" i="9"/>
  <c r="AE22" i="9"/>
  <c r="AE137" i="9"/>
  <c r="AD137" i="9"/>
  <c r="AD168" i="9"/>
  <c r="AE168" i="9"/>
  <c r="AD145" i="9"/>
  <c r="AE145" i="9"/>
  <c r="AA120" i="9"/>
  <c r="AE173" i="9"/>
  <c r="AD173" i="9"/>
  <c r="AE164" i="9"/>
  <c r="AD164" i="9"/>
  <c r="AD55" i="9"/>
  <c r="AE55" i="9"/>
  <c r="AB31" i="9"/>
  <c r="AA31" i="9"/>
  <c r="AD21" i="9"/>
  <c r="AE21" i="9"/>
  <c r="AE23" i="9"/>
  <c r="AD23" i="9"/>
  <c r="AD43" i="9"/>
  <c r="AE43" i="9"/>
  <c r="AD81" i="9"/>
  <c r="AE81" i="9"/>
  <c r="AA119" i="9"/>
  <c r="AB119" i="9"/>
  <c r="AA28" i="9"/>
  <c r="AB28" i="9"/>
  <c r="AD77" i="9"/>
  <c r="AE77" i="9"/>
  <c r="AE125" i="9"/>
  <c r="AD125" i="9"/>
  <c r="AA200" i="9"/>
  <c r="AB200" i="9"/>
  <c r="AA204" i="9"/>
  <c r="AB204" i="9"/>
  <c r="AB191" i="9"/>
  <c r="AA189" i="9"/>
  <c r="AE189" i="9" s="1"/>
  <c r="AE61" i="9"/>
  <c r="AD61" i="9"/>
  <c r="AE178" i="9"/>
  <c r="AD178" i="9"/>
  <c r="AD181" i="9"/>
  <c r="AE181" i="9"/>
  <c r="AB150" i="9"/>
  <c r="AA150" i="9"/>
  <c r="AD140" i="9"/>
  <c r="AE140" i="9"/>
  <c r="AB135" i="9"/>
  <c r="AA135" i="9"/>
  <c r="AB159" i="9"/>
  <c r="AA159" i="9"/>
  <c r="AE136" i="9"/>
  <c r="AD136" i="9"/>
  <c r="AB54" i="9"/>
  <c r="AA54" i="9"/>
  <c r="AD193" i="9"/>
  <c r="AE193" i="9"/>
  <c r="AA110" i="9"/>
  <c r="AB110" i="9"/>
  <c r="AE25" i="9"/>
  <c r="AD25" i="9"/>
  <c r="AB58" i="9"/>
  <c r="AA58" i="9"/>
  <c r="AD157" i="9"/>
  <c r="AE157" i="9"/>
  <c r="AD67" i="9"/>
  <c r="AE67" i="9"/>
  <c r="AB65" i="9"/>
  <c r="AA65" i="9"/>
  <c r="AE144" i="9"/>
  <c r="AD144" i="9"/>
  <c r="AB183" i="9"/>
  <c r="AA183" i="9"/>
  <c r="AA188" i="9"/>
  <c r="AB188" i="9"/>
  <c r="AE94" i="9"/>
  <c r="AD94" i="9"/>
  <c r="AE133" i="9"/>
  <c r="AD133" i="9"/>
  <c r="AB108" i="9"/>
  <c r="AA108" i="9"/>
  <c r="AD123" i="9"/>
  <c r="AE123" i="9"/>
  <c r="AE191" i="9"/>
  <c r="AD191" i="9"/>
  <c r="AE155" i="9"/>
  <c r="AD155" i="9"/>
  <c r="AD143" i="9"/>
  <c r="AE143" i="9"/>
  <c r="AA196" i="9"/>
  <c r="AB196" i="9"/>
  <c r="AB50" i="9"/>
  <c r="AA50" i="9"/>
  <c r="AE195" i="9"/>
  <c r="AD195" i="9"/>
  <c r="AE92" i="9"/>
  <c r="AD92" i="9"/>
  <c r="AD127" i="9"/>
  <c r="AE127" i="9"/>
  <c r="AE120" i="9"/>
  <c r="AD120" i="9"/>
  <c r="AB47" i="9"/>
  <c r="AA47" i="9"/>
  <c r="AE42" i="9"/>
  <c r="AD42" i="9"/>
  <c r="AA138" i="9"/>
  <c r="AB138" i="9"/>
  <c r="AE198" i="9"/>
  <c r="AD198" i="9"/>
  <c r="AB197" i="9"/>
  <c r="AA197" i="9"/>
  <c r="AB203" i="9"/>
  <c r="AA203" i="9"/>
  <c r="AD202" i="9"/>
  <c r="AE202" i="9"/>
  <c r="AB199" i="9"/>
  <c r="AA199" i="9"/>
  <c r="M180" i="5"/>
  <c r="M319" i="5"/>
  <c r="M154" i="5"/>
  <c r="M27" i="5"/>
  <c r="M147" i="5"/>
  <c r="M65" i="5"/>
  <c r="M145" i="5"/>
  <c r="M77" i="5"/>
  <c r="M212" i="5"/>
  <c r="M103" i="5"/>
  <c r="M181" i="5"/>
  <c r="M48" i="5"/>
  <c r="M292" i="5"/>
  <c r="M125" i="5"/>
  <c r="M111" i="5"/>
  <c r="M149" i="5"/>
  <c r="M247" i="5"/>
  <c r="M246" i="5"/>
  <c r="V2" i="5"/>
  <c r="M326" i="5"/>
  <c r="M291" i="5"/>
  <c r="M162" i="5"/>
  <c r="M300" i="5"/>
  <c r="M253" i="5"/>
  <c r="M124" i="5"/>
  <c r="M119" i="5"/>
  <c r="M41" i="5"/>
  <c r="V7" i="5"/>
  <c r="M43" i="5"/>
  <c r="M283" i="5"/>
  <c r="M334" i="5"/>
  <c r="M281" i="5"/>
  <c r="M47" i="5"/>
  <c r="M313" i="5"/>
  <c r="M132" i="5"/>
  <c r="M267" i="5"/>
  <c r="M28" i="5"/>
  <c r="M170" i="5"/>
  <c r="M117" i="5"/>
  <c r="M33" i="5"/>
  <c r="M201" i="5"/>
  <c r="M79" i="5"/>
  <c r="M215" i="5"/>
  <c r="M165" i="5"/>
  <c r="V23" i="5"/>
  <c r="V14" i="5"/>
  <c r="M216" i="5"/>
  <c r="M84" i="5"/>
  <c r="M104" i="5"/>
  <c r="M190" i="5"/>
  <c r="M236" i="5"/>
  <c r="M317" i="5"/>
  <c r="M252" i="5"/>
  <c r="M22" i="5"/>
  <c r="M139" i="5"/>
  <c r="M53" i="5"/>
  <c r="M321" i="5"/>
  <c r="M167" i="5"/>
  <c r="M217" i="5"/>
  <c r="M127" i="5"/>
  <c r="V21" i="5"/>
  <c r="M156" i="5"/>
  <c r="M94" i="5"/>
  <c r="M226" i="5"/>
  <c r="M242" i="5"/>
  <c r="M74" i="5"/>
  <c r="M224" i="5"/>
  <c r="M114" i="5"/>
  <c r="M151" i="5"/>
  <c r="M276" i="5"/>
  <c r="M60" i="5"/>
  <c r="M98" i="5"/>
  <c r="M42" i="5"/>
  <c r="M306" i="5"/>
  <c r="M126" i="5"/>
  <c r="M179" i="5"/>
  <c r="M331" i="5"/>
  <c r="M161" i="5"/>
  <c r="M70" i="5"/>
  <c r="M92" i="5"/>
  <c r="M245" i="5"/>
  <c r="M71" i="5"/>
  <c r="M120" i="5"/>
  <c r="M193" i="5"/>
  <c r="M137" i="5"/>
  <c r="M25" i="5"/>
  <c r="M99" i="5"/>
  <c r="M273" i="5"/>
  <c r="M210" i="5"/>
  <c r="M318" i="5"/>
  <c r="M257" i="5"/>
  <c r="M143" i="5"/>
  <c r="M186" i="5"/>
  <c r="M209" i="5"/>
  <c r="V4" i="5"/>
  <c r="M32" i="5"/>
  <c r="M80" i="5"/>
  <c r="M107" i="5"/>
  <c r="M240" i="5"/>
  <c r="M163" i="5"/>
  <c r="M29" i="5"/>
  <c r="M262" i="5"/>
  <c r="M279" i="5"/>
  <c r="M264" i="5"/>
  <c r="M158" i="5"/>
  <c r="M191" i="5"/>
  <c r="M307" i="5"/>
  <c r="V12" i="5"/>
  <c r="M58" i="5"/>
  <c r="M198" i="5"/>
  <c r="M168" i="5"/>
  <c r="M131" i="5"/>
  <c r="M258" i="5"/>
  <c r="M255" i="5"/>
  <c r="M115" i="5"/>
  <c r="M280" i="5"/>
  <c r="M328" i="5"/>
  <c r="M78" i="5"/>
  <c r="M316" i="5"/>
  <c r="M164" i="5"/>
  <c r="M256" i="5"/>
  <c r="M160" i="5"/>
  <c r="M75" i="5"/>
  <c r="M184" i="5"/>
  <c r="M231" i="5"/>
  <c r="M21" i="5"/>
  <c r="V6" i="5"/>
  <c r="M159" i="5"/>
  <c r="M100" i="5"/>
  <c r="M36" i="5"/>
  <c r="M235" i="5"/>
  <c r="M55" i="5"/>
  <c r="M195" i="5"/>
  <c r="M133" i="5"/>
  <c r="V8" i="5"/>
  <c r="M189" i="5"/>
  <c r="M69" i="5"/>
  <c r="M230" i="5"/>
  <c r="M54" i="5"/>
  <c r="M314" i="5"/>
  <c r="V9" i="5"/>
  <c r="M172" i="5"/>
  <c r="M113" i="5"/>
  <c r="M95" i="5"/>
  <c r="M202" i="5"/>
  <c r="V22" i="5"/>
  <c r="M85" i="5"/>
  <c r="M298" i="5"/>
  <c r="M211" i="5"/>
  <c r="M50" i="5"/>
  <c r="M87" i="5"/>
  <c r="M57" i="5"/>
  <c r="M187" i="5"/>
  <c r="M76" i="5"/>
  <c r="V24" i="5"/>
  <c r="M108" i="5"/>
  <c r="M222" i="5"/>
  <c r="M265" i="5"/>
  <c r="M207" i="5"/>
  <c r="M146" i="5"/>
  <c r="M335" i="5"/>
  <c r="M128" i="5"/>
  <c r="M269" i="5"/>
  <c r="M297" i="5"/>
  <c r="M259" i="5"/>
  <c r="M223" i="5"/>
  <c r="M144" i="5"/>
  <c r="M302" i="5"/>
  <c r="M227" i="5"/>
  <c r="V11" i="5"/>
  <c r="V10" i="5"/>
  <c r="M208" i="5"/>
  <c r="M40" i="5"/>
  <c r="M153" i="5"/>
  <c r="M323" i="5"/>
  <c r="M206" i="5"/>
  <c r="M166" i="5"/>
  <c r="M301" i="5"/>
  <c r="M261" i="5"/>
  <c r="M228" i="5"/>
  <c r="M218" i="5"/>
  <c r="M140" i="5"/>
  <c r="M81" i="5"/>
  <c r="M30" i="5"/>
  <c r="M330" i="5"/>
  <c r="M150" i="5"/>
  <c r="M88" i="5"/>
  <c r="M39" i="5"/>
  <c r="M320" i="5"/>
  <c r="M106" i="5"/>
  <c r="M61" i="5"/>
  <c r="M91" i="5"/>
  <c r="M93" i="5"/>
  <c r="M310" i="5"/>
  <c r="M295" i="5"/>
  <c r="M278" i="5"/>
  <c r="V19" i="5"/>
  <c r="M333" i="5"/>
  <c r="M38" i="5"/>
  <c r="M285" i="5"/>
  <c r="M34" i="5"/>
  <c r="M325" i="5"/>
  <c r="M101" i="5"/>
  <c r="M118" i="5"/>
  <c r="M26" i="5"/>
  <c r="M82" i="5"/>
  <c r="M250" i="5"/>
  <c r="M221" i="5"/>
  <c r="M192" i="5"/>
  <c r="M234" i="5"/>
  <c r="M249" i="5"/>
  <c r="M219" i="5"/>
  <c r="M197" i="5"/>
  <c r="M294" i="5"/>
  <c r="M90" i="5"/>
  <c r="V16" i="5"/>
  <c r="M134" i="5"/>
  <c r="V20" i="5"/>
  <c r="M254" i="5"/>
  <c r="M59" i="5"/>
  <c r="M299" i="5"/>
  <c r="M200" i="5"/>
  <c r="M274" i="5"/>
  <c r="M86" i="5"/>
  <c r="M68" i="5"/>
  <c r="M24" i="5"/>
  <c r="M312" i="5"/>
  <c r="M241" i="5"/>
  <c r="M135" i="5"/>
  <c r="M174" i="5"/>
  <c r="M204" i="5"/>
  <c r="M182" i="5"/>
  <c r="M142" i="5"/>
  <c r="M199" i="5"/>
  <c r="M324" i="5"/>
  <c r="M322" i="5"/>
  <c r="M327" i="5"/>
  <c r="M244" i="5"/>
  <c r="M233" i="5"/>
  <c r="M173" i="5"/>
  <c r="M62" i="5"/>
  <c r="M37" i="5"/>
  <c r="M260" i="5"/>
  <c r="M282" i="5"/>
  <c r="M177" i="5"/>
  <c r="M205" i="5"/>
  <c r="M185" i="5"/>
  <c r="M220" i="5"/>
  <c r="M175" i="5"/>
  <c r="M157" i="5"/>
  <c r="M129" i="5"/>
  <c r="M272" i="5"/>
  <c r="M268" i="5"/>
  <c r="M116" i="5"/>
  <c r="M31" i="5"/>
  <c r="V5" i="5"/>
  <c r="M213" i="5"/>
  <c r="M44" i="5"/>
  <c r="M109" i="5"/>
  <c r="M56" i="5"/>
  <c r="M169" i="5"/>
  <c r="M287" i="5"/>
  <c r="M288" i="5"/>
  <c r="M176" i="5"/>
  <c r="M277" i="5"/>
  <c r="M102" i="5"/>
  <c r="M194" i="5"/>
  <c r="M45" i="5"/>
  <c r="M23" i="5"/>
  <c r="M266" i="5"/>
  <c r="M105" i="5"/>
  <c r="M303" i="5"/>
  <c r="M263" i="5"/>
  <c r="V15" i="5"/>
  <c r="M270" i="5"/>
  <c r="M232" i="5"/>
  <c r="M289" i="5"/>
  <c r="M89" i="5"/>
  <c r="M243" i="5"/>
  <c r="M130" i="5"/>
  <c r="M251" i="5"/>
  <c r="M46" i="5"/>
  <c r="M155" i="5"/>
  <c r="M332" i="5"/>
  <c r="M49" i="5"/>
  <c r="M309" i="5"/>
  <c r="M286" i="5"/>
  <c r="M271" i="5"/>
  <c r="M304" i="5"/>
  <c r="M308" i="5"/>
  <c r="M248" i="5"/>
  <c r="M73" i="5"/>
  <c r="M148" i="5"/>
  <c r="M123" i="5"/>
  <c r="M83" i="5"/>
  <c r="M203" i="5"/>
  <c r="M296" i="5"/>
  <c r="M238" i="5"/>
  <c r="M329" i="5"/>
  <c r="M237" i="5"/>
  <c r="M66" i="5"/>
  <c r="M122" i="5"/>
  <c r="M110" i="5"/>
  <c r="M141" i="5"/>
  <c r="M52" i="5"/>
  <c r="M183" i="5"/>
  <c r="M51" i="5"/>
  <c r="M290" i="5"/>
  <c r="M275" i="5"/>
  <c r="M293" i="5"/>
  <c r="M284" i="5"/>
  <c r="M196" i="5"/>
  <c r="M138" i="5"/>
  <c r="V3" i="5"/>
  <c r="M35" i="5"/>
  <c r="M188" i="5"/>
  <c r="M171" i="5"/>
  <c r="M63" i="5"/>
  <c r="M311" i="5"/>
  <c r="M178" i="5"/>
  <c r="M239" i="5"/>
  <c r="M112" i="5"/>
  <c r="M67" i="5"/>
  <c r="M136" i="5"/>
  <c r="V17" i="5"/>
  <c r="M96" i="5"/>
  <c r="V13" i="5"/>
  <c r="M214" i="5"/>
  <c r="M64" i="5"/>
  <c r="V18" i="5"/>
  <c r="M229" i="5"/>
  <c r="M121" i="5"/>
  <c r="M152" i="5"/>
  <c r="M72" i="5"/>
  <c r="M225" i="5"/>
  <c r="M305" i="5"/>
  <c r="M315" i="5"/>
  <c r="M97" i="5"/>
  <c r="AE207" i="9" l="1"/>
  <c r="AD207" i="9"/>
  <c r="AD208" i="9"/>
  <c r="AE208" i="9"/>
  <c r="W31" i="4"/>
  <c r="V32" i="4"/>
  <c r="AY103" i="9"/>
  <c r="AW104" i="9"/>
  <c r="BL103" i="9"/>
  <c r="BB102" i="9"/>
  <c r="BA102" i="9"/>
  <c r="AZ102" i="9" s="1"/>
  <c r="AX102" i="9" s="1"/>
  <c r="AE134" i="9"/>
  <c r="AD134" i="9"/>
  <c r="AD189" i="9"/>
  <c r="AE28" i="9"/>
  <c r="AD28" i="9"/>
  <c r="AE60" i="9"/>
  <c r="AD60" i="9"/>
  <c r="AD119" i="9"/>
  <c r="AE119" i="9"/>
  <c r="AE31" i="9"/>
  <c r="AD31" i="9"/>
  <c r="AD200" i="9"/>
  <c r="AE200" i="9"/>
  <c r="AE204" i="9"/>
  <c r="AD204" i="9"/>
  <c r="AE108" i="9"/>
  <c r="AD108" i="9"/>
  <c r="AE183" i="9"/>
  <c r="AD183" i="9"/>
  <c r="AE135" i="9"/>
  <c r="AD135" i="9"/>
  <c r="AD47" i="9"/>
  <c r="AE47" i="9"/>
  <c r="AE58" i="9"/>
  <c r="AD58" i="9"/>
  <c r="AD54" i="9"/>
  <c r="AE54" i="9"/>
  <c r="AE50" i="9"/>
  <c r="AD50" i="9"/>
  <c r="AD65" i="9"/>
  <c r="AE65" i="9"/>
  <c r="AE150" i="9"/>
  <c r="AD150" i="9"/>
  <c r="AE138" i="9"/>
  <c r="AD138" i="9"/>
  <c r="AE159" i="9"/>
  <c r="AD159" i="9"/>
  <c r="AE196" i="9"/>
  <c r="AD196" i="9"/>
  <c r="AD188" i="9"/>
  <c r="AE188" i="9"/>
  <c r="AE110" i="9"/>
  <c r="AD110" i="9"/>
  <c r="AD203" i="9"/>
  <c r="AE203" i="9"/>
  <c r="AD197" i="9"/>
  <c r="AE197" i="9"/>
  <c r="AE199" i="9"/>
  <c r="AD199" i="9"/>
  <c r="R305" i="5"/>
  <c r="N305" i="5"/>
  <c r="N271" i="5"/>
  <c r="R271" i="5"/>
  <c r="R176" i="5"/>
  <c r="N176" i="5"/>
  <c r="R182" i="5"/>
  <c r="N182" i="5"/>
  <c r="N30" i="5"/>
  <c r="R30" i="5"/>
  <c r="N302" i="5"/>
  <c r="R302" i="5"/>
  <c r="N57" i="5"/>
  <c r="R57" i="5"/>
  <c r="N189" i="5"/>
  <c r="R189" i="5"/>
  <c r="N164" i="5"/>
  <c r="R164" i="5"/>
  <c r="N264" i="5"/>
  <c r="R264" i="5"/>
  <c r="R273" i="5"/>
  <c r="N273" i="5"/>
  <c r="R98" i="5"/>
  <c r="N98" i="5"/>
  <c r="N53" i="5"/>
  <c r="R53" i="5"/>
  <c r="N84" i="5"/>
  <c r="R84" i="5"/>
  <c r="R33" i="5"/>
  <c r="N33" i="5"/>
  <c r="R281" i="5"/>
  <c r="N281" i="5"/>
  <c r="N253" i="5"/>
  <c r="R253" i="5"/>
  <c r="N77" i="5"/>
  <c r="R77" i="5"/>
  <c r="N225" i="5"/>
  <c r="R225" i="5"/>
  <c r="N311" i="5"/>
  <c r="R311" i="5"/>
  <c r="N284" i="5"/>
  <c r="R284" i="5"/>
  <c r="R110" i="5"/>
  <c r="N110" i="5"/>
  <c r="N83" i="5"/>
  <c r="R83" i="5"/>
  <c r="R286" i="5"/>
  <c r="N286" i="5"/>
  <c r="N243" i="5"/>
  <c r="R243" i="5"/>
  <c r="R105" i="5"/>
  <c r="N105" i="5"/>
  <c r="N288" i="5"/>
  <c r="R288" i="5"/>
  <c r="N31" i="5"/>
  <c r="R31" i="5"/>
  <c r="R185" i="5"/>
  <c r="N185" i="5"/>
  <c r="N233" i="5"/>
  <c r="R233" i="5"/>
  <c r="N204" i="5"/>
  <c r="R204" i="5"/>
  <c r="N274" i="5"/>
  <c r="R274" i="5"/>
  <c r="N90" i="5"/>
  <c r="R90" i="5"/>
  <c r="R250" i="5"/>
  <c r="N250" i="5"/>
  <c r="R38" i="5"/>
  <c r="N38" i="5"/>
  <c r="R61" i="5"/>
  <c r="N61" i="5"/>
  <c r="R81" i="5"/>
  <c r="N81" i="5"/>
  <c r="R323" i="5"/>
  <c r="N323" i="5"/>
  <c r="R144" i="5"/>
  <c r="N144" i="5"/>
  <c r="N207" i="5"/>
  <c r="R207" i="5"/>
  <c r="R87" i="5"/>
  <c r="N87" i="5"/>
  <c r="N113" i="5"/>
  <c r="R113" i="5"/>
  <c r="R316" i="5"/>
  <c r="N316" i="5"/>
  <c r="R168" i="5"/>
  <c r="N168" i="5"/>
  <c r="N279" i="5"/>
  <c r="R279" i="5"/>
  <c r="N99" i="5"/>
  <c r="R99" i="5"/>
  <c r="N70" i="5"/>
  <c r="R70" i="5"/>
  <c r="N60" i="5"/>
  <c r="R60" i="5"/>
  <c r="N94" i="5"/>
  <c r="R94" i="5"/>
  <c r="R139" i="5"/>
  <c r="N139" i="5"/>
  <c r="R216" i="5"/>
  <c r="N216" i="5"/>
  <c r="N117" i="5"/>
  <c r="R117" i="5"/>
  <c r="R334" i="5"/>
  <c r="N334" i="5"/>
  <c r="N300" i="5"/>
  <c r="R300" i="5"/>
  <c r="N111" i="5"/>
  <c r="R111" i="5"/>
  <c r="N145" i="5"/>
  <c r="R145" i="5"/>
  <c r="N214" i="5"/>
  <c r="R214" i="5"/>
  <c r="N303" i="5"/>
  <c r="R303" i="5"/>
  <c r="R206" i="5"/>
  <c r="N206" i="5"/>
  <c r="R146" i="5"/>
  <c r="N146" i="5"/>
  <c r="R95" i="5"/>
  <c r="N95" i="5"/>
  <c r="N159" i="5"/>
  <c r="R159" i="5"/>
  <c r="N131" i="5"/>
  <c r="R131" i="5"/>
  <c r="R32" i="5"/>
  <c r="N32" i="5"/>
  <c r="N92" i="5"/>
  <c r="R92" i="5"/>
  <c r="R226" i="5"/>
  <c r="N226" i="5"/>
  <c r="N149" i="5"/>
  <c r="R149" i="5"/>
  <c r="N72" i="5"/>
  <c r="R72" i="5"/>
  <c r="R96" i="5"/>
  <c r="N96" i="5"/>
  <c r="N63" i="5"/>
  <c r="R63" i="5"/>
  <c r="R293" i="5"/>
  <c r="N293" i="5"/>
  <c r="N122" i="5"/>
  <c r="R122" i="5"/>
  <c r="R123" i="5"/>
  <c r="N123" i="5"/>
  <c r="N309" i="5"/>
  <c r="R309" i="5"/>
  <c r="N89" i="5"/>
  <c r="R89" i="5"/>
  <c r="N266" i="5"/>
  <c r="R266" i="5"/>
  <c r="N287" i="5"/>
  <c r="R287" i="5"/>
  <c r="N116" i="5"/>
  <c r="R116" i="5"/>
  <c r="R205" i="5"/>
  <c r="N205" i="5"/>
  <c r="R244" i="5"/>
  <c r="N244" i="5"/>
  <c r="N174" i="5"/>
  <c r="R174" i="5"/>
  <c r="N200" i="5"/>
  <c r="R200" i="5"/>
  <c r="N294" i="5"/>
  <c r="R294" i="5"/>
  <c r="R82" i="5"/>
  <c r="N82" i="5"/>
  <c r="R333" i="5"/>
  <c r="N333" i="5"/>
  <c r="R106" i="5"/>
  <c r="N106" i="5"/>
  <c r="N140" i="5"/>
  <c r="R140" i="5"/>
  <c r="R153" i="5"/>
  <c r="N153" i="5"/>
  <c r="N223" i="5"/>
  <c r="R223" i="5"/>
  <c r="N265" i="5"/>
  <c r="R265" i="5"/>
  <c r="R50" i="5"/>
  <c r="N50" i="5"/>
  <c r="N172" i="5"/>
  <c r="R172" i="5"/>
  <c r="R133" i="5"/>
  <c r="N133" i="5"/>
  <c r="R21" i="5"/>
  <c r="N21" i="5"/>
  <c r="N78" i="5"/>
  <c r="R78" i="5"/>
  <c r="N198" i="5"/>
  <c r="R198" i="5"/>
  <c r="R262" i="5"/>
  <c r="N262" i="5"/>
  <c r="N209" i="5"/>
  <c r="R209" i="5"/>
  <c r="R25" i="5"/>
  <c r="N25" i="5"/>
  <c r="N161" i="5"/>
  <c r="R161" i="5"/>
  <c r="R276" i="5"/>
  <c r="N276" i="5"/>
  <c r="N156" i="5"/>
  <c r="R156" i="5"/>
  <c r="R22" i="5"/>
  <c r="N22" i="5"/>
  <c r="N170" i="5"/>
  <c r="R170" i="5"/>
  <c r="R283" i="5"/>
  <c r="N283" i="5"/>
  <c r="R162" i="5"/>
  <c r="N162" i="5"/>
  <c r="R125" i="5"/>
  <c r="N125" i="5"/>
  <c r="N65" i="5"/>
  <c r="R65" i="5"/>
  <c r="R178" i="5"/>
  <c r="N178" i="5"/>
  <c r="N130" i="5"/>
  <c r="R130" i="5"/>
  <c r="N86" i="5"/>
  <c r="R86" i="5"/>
  <c r="N152" i="5"/>
  <c r="R152" i="5"/>
  <c r="R148" i="5"/>
  <c r="N148" i="5"/>
  <c r="R268" i="5"/>
  <c r="N268" i="5"/>
  <c r="N299" i="5"/>
  <c r="R299" i="5"/>
  <c r="R320" i="5"/>
  <c r="N320" i="5"/>
  <c r="N58" i="5"/>
  <c r="R58" i="5"/>
  <c r="N331" i="5"/>
  <c r="R331" i="5"/>
  <c r="N291" i="5"/>
  <c r="R291" i="5"/>
  <c r="N290" i="5"/>
  <c r="R290" i="5"/>
  <c r="R332" i="5"/>
  <c r="N332" i="5"/>
  <c r="R232" i="5"/>
  <c r="N232" i="5"/>
  <c r="R45" i="5"/>
  <c r="N45" i="5"/>
  <c r="N56" i="5"/>
  <c r="R56" i="5"/>
  <c r="R272" i="5"/>
  <c r="N272" i="5"/>
  <c r="R282" i="5"/>
  <c r="N282" i="5"/>
  <c r="N322" i="5"/>
  <c r="R322" i="5"/>
  <c r="N241" i="5"/>
  <c r="R241" i="5"/>
  <c r="N59" i="5"/>
  <c r="R59" i="5"/>
  <c r="N219" i="5"/>
  <c r="R219" i="5"/>
  <c r="N118" i="5"/>
  <c r="R118" i="5"/>
  <c r="R278" i="5"/>
  <c r="N278" i="5"/>
  <c r="R39" i="5"/>
  <c r="N39" i="5"/>
  <c r="R228" i="5"/>
  <c r="N228" i="5"/>
  <c r="N208" i="5"/>
  <c r="R208" i="5"/>
  <c r="R297" i="5"/>
  <c r="N297" i="5"/>
  <c r="R108" i="5"/>
  <c r="N108" i="5"/>
  <c r="N298" i="5"/>
  <c r="R298" i="5"/>
  <c r="R314" i="5"/>
  <c r="N314" i="5"/>
  <c r="N55" i="5"/>
  <c r="R55" i="5"/>
  <c r="N184" i="5"/>
  <c r="R184" i="5"/>
  <c r="R280" i="5"/>
  <c r="N280" i="5"/>
  <c r="R163" i="5"/>
  <c r="N163" i="5"/>
  <c r="N143" i="5"/>
  <c r="R143" i="5"/>
  <c r="R193" i="5"/>
  <c r="N193" i="5"/>
  <c r="R179" i="5"/>
  <c r="N179" i="5"/>
  <c r="R114" i="5"/>
  <c r="N114" i="5"/>
  <c r="R127" i="5"/>
  <c r="N127" i="5"/>
  <c r="R317" i="5"/>
  <c r="N317" i="5"/>
  <c r="N165" i="5"/>
  <c r="R165" i="5"/>
  <c r="N267" i="5"/>
  <c r="R267" i="5"/>
  <c r="N326" i="5"/>
  <c r="R326" i="5"/>
  <c r="N48" i="5"/>
  <c r="R48" i="5"/>
  <c r="R27" i="5"/>
  <c r="N27" i="5"/>
  <c r="R141" i="5"/>
  <c r="N141" i="5"/>
  <c r="N220" i="5"/>
  <c r="R220" i="5"/>
  <c r="N221" i="5"/>
  <c r="R221" i="5"/>
  <c r="N66" i="5"/>
  <c r="R66" i="5"/>
  <c r="N289" i="5"/>
  <c r="R289" i="5"/>
  <c r="N177" i="5"/>
  <c r="R177" i="5"/>
  <c r="N197" i="5"/>
  <c r="R197" i="5"/>
  <c r="N218" i="5"/>
  <c r="R218" i="5"/>
  <c r="N222" i="5"/>
  <c r="R222" i="5"/>
  <c r="R231" i="5"/>
  <c r="N231" i="5"/>
  <c r="N186" i="5"/>
  <c r="R186" i="5"/>
  <c r="R147" i="5"/>
  <c r="N147" i="5"/>
  <c r="R188" i="5"/>
  <c r="N188" i="5"/>
  <c r="R73" i="5"/>
  <c r="N73" i="5"/>
  <c r="R67" i="5"/>
  <c r="N67" i="5"/>
  <c r="R35" i="5"/>
  <c r="N35" i="5"/>
  <c r="R51" i="5"/>
  <c r="N51" i="5"/>
  <c r="N329" i="5"/>
  <c r="R329" i="5"/>
  <c r="R248" i="5"/>
  <c r="N248" i="5"/>
  <c r="N155" i="5"/>
  <c r="R155" i="5"/>
  <c r="R270" i="5"/>
  <c r="N270" i="5"/>
  <c r="N194" i="5"/>
  <c r="R194" i="5"/>
  <c r="R109" i="5"/>
  <c r="N109" i="5"/>
  <c r="R129" i="5"/>
  <c r="N129" i="5"/>
  <c r="N260" i="5"/>
  <c r="R260" i="5"/>
  <c r="R324" i="5"/>
  <c r="N324" i="5"/>
  <c r="N312" i="5"/>
  <c r="R312" i="5"/>
  <c r="N254" i="5"/>
  <c r="R254" i="5"/>
  <c r="R249" i="5"/>
  <c r="N249" i="5"/>
  <c r="R101" i="5"/>
  <c r="N101" i="5"/>
  <c r="N295" i="5"/>
  <c r="R295" i="5"/>
  <c r="R88" i="5"/>
  <c r="N88" i="5"/>
  <c r="R261" i="5"/>
  <c r="N261" i="5"/>
  <c r="N269" i="5"/>
  <c r="R269" i="5"/>
  <c r="R85" i="5"/>
  <c r="N85" i="5"/>
  <c r="N54" i="5"/>
  <c r="R54" i="5"/>
  <c r="N235" i="5"/>
  <c r="R235" i="5"/>
  <c r="R75" i="5"/>
  <c r="N75" i="5"/>
  <c r="N115" i="5"/>
  <c r="R115" i="5"/>
  <c r="R307" i="5"/>
  <c r="N307" i="5"/>
  <c r="R240" i="5"/>
  <c r="N240" i="5"/>
  <c r="N257" i="5"/>
  <c r="R257" i="5"/>
  <c r="N120" i="5"/>
  <c r="R120" i="5"/>
  <c r="N126" i="5"/>
  <c r="R126" i="5"/>
  <c r="R224" i="5"/>
  <c r="N224" i="5"/>
  <c r="R217" i="5"/>
  <c r="N217" i="5"/>
  <c r="N236" i="5"/>
  <c r="R236" i="5"/>
  <c r="N215" i="5"/>
  <c r="R215" i="5"/>
  <c r="R132" i="5"/>
  <c r="N132" i="5"/>
  <c r="N41" i="5"/>
  <c r="R41" i="5"/>
  <c r="N181" i="5"/>
  <c r="R181" i="5"/>
  <c r="N154" i="5"/>
  <c r="R154" i="5"/>
  <c r="N196" i="5"/>
  <c r="R196" i="5"/>
  <c r="N173" i="5"/>
  <c r="R173" i="5"/>
  <c r="R91" i="5"/>
  <c r="N91" i="5"/>
  <c r="N275" i="5"/>
  <c r="R275" i="5"/>
  <c r="R23" i="5"/>
  <c r="N23" i="5"/>
  <c r="N327" i="5"/>
  <c r="R327" i="5"/>
  <c r="N259" i="5"/>
  <c r="R259" i="5"/>
  <c r="R195" i="5"/>
  <c r="N195" i="5"/>
  <c r="N29" i="5"/>
  <c r="R29" i="5"/>
  <c r="R151" i="5"/>
  <c r="N151" i="5"/>
  <c r="N28" i="5"/>
  <c r="R28" i="5"/>
  <c r="R43" i="5"/>
  <c r="N43" i="5"/>
  <c r="N121" i="5"/>
  <c r="R121" i="5"/>
  <c r="R237" i="5"/>
  <c r="N237" i="5"/>
  <c r="N229" i="5"/>
  <c r="R229" i="5"/>
  <c r="N97" i="5"/>
  <c r="R97" i="5"/>
  <c r="N112" i="5"/>
  <c r="R112" i="5"/>
  <c r="R183" i="5"/>
  <c r="N183" i="5"/>
  <c r="R238" i="5"/>
  <c r="N238" i="5"/>
  <c r="N308" i="5"/>
  <c r="R308" i="5"/>
  <c r="R46" i="5"/>
  <c r="N46" i="5"/>
  <c r="N102" i="5"/>
  <c r="R102" i="5"/>
  <c r="R44" i="5"/>
  <c r="N44" i="5"/>
  <c r="N157" i="5"/>
  <c r="R157" i="5"/>
  <c r="N37" i="5"/>
  <c r="R37" i="5"/>
  <c r="R199" i="5"/>
  <c r="N199" i="5"/>
  <c r="N24" i="5"/>
  <c r="R24" i="5"/>
  <c r="N234" i="5"/>
  <c r="R234" i="5"/>
  <c r="R325" i="5"/>
  <c r="N325" i="5"/>
  <c r="R310" i="5"/>
  <c r="N310" i="5"/>
  <c r="R150" i="5"/>
  <c r="N150" i="5"/>
  <c r="N301" i="5"/>
  <c r="R301" i="5"/>
  <c r="N128" i="5"/>
  <c r="R128" i="5"/>
  <c r="R76" i="5"/>
  <c r="N76" i="5"/>
  <c r="N230" i="5"/>
  <c r="R230" i="5"/>
  <c r="N36" i="5"/>
  <c r="R36" i="5"/>
  <c r="R160" i="5"/>
  <c r="N160" i="5"/>
  <c r="N255" i="5"/>
  <c r="R255" i="5"/>
  <c r="N191" i="5"/>
  <c r="R191" i="5"/>
  <c r="R107" i="5"/>
  <c r="N107" i="5"/>
  <c r="N318" i="5"/>
  <c r="R318" i="5"/>
  <c r="R71" i="5"/>
  <c r="N71" i="5"/>
  <c r="N306" i="5"/>
  <c r="R306" i="5"/>
  <c r="R74" i="5"/>
  <c r="N74" i="5"/>
  <c r="N167" i="5"/>
  <c r="R167" i="5"/>
  <c r="R190" i="5"/>
  <c r="N190" i="5"/>
  <c r="R79" i="5"/>
  <c r="N79" i="5"/>
  <c r="N313" i="5"/>
  <c r="R313" i="5"/>
  <c r="N119" i="5"/>
  <c r="R119" i="5"/>
  <c r="N246" i="5"/>
  <c r="R246" i="5"/>
  <c r="N103" i="5"/>
  <c r="R103" i="5"/>
  <c r="N319" i="5"/>
  <c r="R319" i="5"/>
  <c r="N203" i="5"/>
  <c r="R203" i="5"/>
  <c r="N285" i="5"/>
  <c r="R285" i="5"/>
  <c r="R171" i="5"/>
  <c r="N171" i="5"/>
  <c r="N49" i="5"/>
  <c r="R49" i="5"/>
  <c r="R169" i="5"/>
  <c r="N169" i="5"/>
  <c r="R135" i="5"/>
  <c r="N135" i="5"/>
  <c r="N26" i="5"/>
  <c r="R26" i="5"/>
  <c r="R40" i="5"/>
  <c r="N40" i="5"/>
  <c r="N211" i="5"/>
  <c r="R211" i="5"/>
  <c r="R328" i="5"/>
  <c r="N328" i="5"/>
  <c r="N137" i="5"/>
  <c r="R137" i="5"/>
  <c r="R252" i="5"/>
  <c r="N252" i="5"/>
  <c r="R292" i="5"/>
  <c r="N292" i="5"/>
  <c r="R136" i="5"/>
  <c r="N136" i="5"/>
  <c r="N315" i="5"/>
  <c r="R315" i="5"/>
  <c r="R64" i="5"/>
  <c r="N64" i="5"/>
  <c r="R239" i="5"/>
  <c r="N239" i="5"/>
  <c r="R138" i="5"/>
  <c r="N138" i="5"/>
  <c r="N52" i="5"/>
  <c r="R52" i="5"/>
  <c r="N296" i="5"/>
  <c r="R296" i="5"/>
  <c r="R304" i="5"/>
  <c r="N304" i="5"/>
  <c r="R251" i="5"/>
  <c r="N251" i="5"/>
  <c r="N263" i="5"/>
  <c r="R263" i="5"/>
  <c r="N277" i="5"/>
  <c r="R277" i="5"/>
  <c r="R213" i="5"/>
  <c r="N213" i="5"/>
  <c r="N175" i="5"/>
  <c r="R175" i="5"/>
  <c r="R62" i="5"/>
  <c r="N62" i="5"/>
  <c r="N142" i="5"/>
  <c r="R142" i="5"/>
  <c r="N68" i="5"/>
  <c r="R68" i="5"/>
  <c r="R134" i="5"/>
  <c r="N134" i="5"/>
  <c r="N192" i="5"/>
  <c r="R192" i="5"/>
  <c r="R34" i="5"/>
  <c r="N34" i="5"/>
  <c r="R93" i="5"/>
  <c r="N93" i="5"/>
  <c r="N330" i="5"/>
  <c r="R330" i="5"/>
  <c r="N166" i="5"/>
  <c r="R166" i="5"/>
  <c r="R227" i="5"/>
  <c r="N227" i="5"/>
  <c r="R335" i="5"/>
  <c r="N335" i="5"/>
  <c r="N187" i="5"/>
  <c r="R187" i="5"/>
  <c r="N202" i="5"/>
  <c r="R202" i="5"/>
  <c r="R69" i="5"/>
  <c r="N69" i="5"/>
  <c r="N100" i="5"/>
  <c r="R100" i="5"/>
  <c r="N256" i="5"/>
  <c r="R256" i="5"/>
  <c r="R258" i="5"/>
  <c r="N258" i="5"/>
  <c r="N158" i="5"/>
  <c r="R158" i="5"/>
  <c r="N80" i="5"/>
  <c r="R80" i="5"/>
  <c r="R210" i="5"/>
  <c r="N210" i="5"/>
  <c r="N245" i="5"/>
  <c r="R245" i="5"/>
  <c r="N42" i="5"/>
  <c r="R42" i="5"/>
  <c r="R242" i="5"/>
  <c r="N242" i="5"/>
  <c r="R321" i="5"/>
  <c r="N321" i="5"/>
  <c r="R104" i="5"/>
  <c r="N104" i="5"/>
  <c r="N201" i="5"/>
  <c r="R201" i="5"/>
  <c r="R47" i="5"/>
  <c r="N47" i="5"/>
  <c r="N124" i="5"/>
  <c r="R124" i="5"/>
  <c r="N247" i="5"/>
  <c r="R247" i="5"/>
  <c r="R212" i="5"/>
  <c r="N212" i="5"/>
  <c r="N180" i="5"/>
  <c r="R180" i="5"/>
  <c r="N18" i="5"/>
  <c r="W32" i="4" l="1"/>
  <c r="V33" i="4"/>
  <c r="BK103" i="9"/>
  <c r="BJ103" i="9"/>
  <c r="BI103" i="9" s="1"/>
  <c r="BH103" i="9" s="1"/>
  <c r="BG103" i="9" s="1"/>
  <c r="BF103" i="9" s="1"/>
  <c r="BE103" i="9" s="1"/>
  <c r="BD103" i="9" s="1"/>
  <c r="BC103" i="9" s="1"/>
  <c r="AW105" i="9"/>
  <c r="AY104" i="9"/>
  <c r="BL104" i="9"/>
  <c r="BK104" i="9" s="1"/>
  <c r="BJ104" i="9" s="1"/>
  <c r="BI104" i="9" s="1"/>
  <c r="BH104" i="9" s="1"/>
  <c r="BG104" i="9" s="1"/>
  <c r="BF104" i="9" s="1"/>
  <c r="BE104" i="9" s="1"/>
  <c r="BD104" i="9" s="1"/>
  <c r="BC104" i="9" s="1"/>
  <c r="AC11" i="9"/>
  <c r="AE19" i="9"/>
  <c r="E7" i="5"/>
  <c r="V34" i="4" l="1"/>
  <c r="W33" i="4"/>
  <c r="BA103" i="9"/>
  <c r="BB103" i="9"/>
  <c r="BA104" i="9"/>
  <c r="BB104" i="9"/>
  <c r="AW106" i="9"/>
  <c r="AY105" i="9"/>
  <c r="BL105" i="9"/>
  <c r="BK105" i="9" s="1"/>
  <c r="BJ105" i="9" s="1"/>
  <c r="BI105" i="9" s="1"/>
  <c r="BH105" i="9" s="1"/>
  <c r="BG105" i="9" s="1"/>
  <c r="BF105" i="9" s="1"/>
  <c r="BE105" i="9" s="1"/>
  <c r="BD105" i="9" s="1"/>
  <c r="BC105" i="9" s="1"/>
  <c r="F4" i="5"/>
  <c r="H4" i="5" s="1"/>
  <c r="F6" i="5"/>
  <c r="H6" i="5" s="1"/>
  <c r="F9" i="5" s="1"/>
  <c r="F5" i="5"/>
  <c r="H5" i="5" s="1"/>
  <c r="F8" i="5"/>
  <c r="W34" i="4" l="1"/>
  <c r="V35" i="4"/>
  <c r="BA105" i="9"/>
  <c r="BB105" i="9"/>
  <c r="AZ103" i="9"/>
  <c r="AX103" i="9" s="1"/>
  <c r="AY106" i="9"/>
  <c r="AW107" i="9"/>
  <c r="BL106" i="9"/>
  <c r="AZ104" i="9"/>
  <c r="AX104" i="9" s="1"/>
  <c r="G9" i="5"/>
  <c r="W35" i="4" l="1"/>
  <c r="V36" i="4"/>
  <c r="BK106" i="9"/>
  <c r="BJ106" i="9" s="1"/>
  <c r="BI106" i="9" s="1"/>
  <c r="BH106" i="9" s="1"/>
  <c r="BG106" i="9" s="1"/>
  <c r="BF106" i="9" s="1"/>
  <c r="BE106" i="9" s="1"/>
  <c r="BD106" i="9" s="1"/>
  <c r="BC106" i="9" s="1"/>
  <c r="AZ105" i="9"/>
  <c r="AX105" i="9" s="1"/>
  <c r="BL107" i="9"/>
  <c r="AY107" i="9"/>
  <c r="W36" i="4" l="1"/>
  <c r="V37" i="4"/>
  <c r="W37" i="4" s="1"/>
  <c r="BA106" i="9"/>
  <c r="BB106" i="9"/>
  <c r="BK107" i="9"/>
  <c r="BJ107" i="9"/>
  <c r="BI107" i="9" s="1"/>
  <c r="BH107" i="9" s="1"/>
  <c r="BG107" i="9" s="1"/>
  <c r="BF107" i="9" s="1"/>
  <c r="BE107" i="9" s="1"/>
  <c r="BD107" i="9" s="1"/>
  <c r="BC107" i="9" s="1"/>
  <c r="BB107" i="9" l="1"/>
  <c r="BA107" i="9"/>
  <c r="AZ107" i="9" s="1"/>
  <c r="AX107" i="9" s="1"/>
  <c r="AZ106" i="9"/>
  <c r="AX106" i="9" s="1"/>
</calcChain>
</file>

<file path=xl/sharedStrings.xml><?xml version="1.0" encoding="utf-8"?>
<sst xmlns="http://schemas.openxmlformats.org/spreadsheetml/2006/main" count="3195" uniqueCount="809">
  <si>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</si>
  <si>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</si>
  <si>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</si>
  <si>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</si>
  <si>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</si>
  <si>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</si>
  <si>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</si>
  <si>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</si>
  <si>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</si>
  <si>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</si>
  <si>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</si>
  <si>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</si>
  <si>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</si>
  <si>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LiTE fit -- MAYBE</t>
  </si>
  <si>
    <t>Interval</t>
  </si>
  <si>
    <t>P3 cycles</t>
  </si>
  <si>
    <t xml:space="preserve">days = </t>
  </si>
  <si>
    <t>Q resid</t>
  </si>
  <si>
    <t>AU</t>
  </si>
  <si>
    <t>Q. resid</t>
  </si>
  <si>
    <t>Q.+LiTE fit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</si>
  <si>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</si>
  <si>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</si>
  <si>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</si>
  <si>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</si>
  <si>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</si>
  <si>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</si>
  <si>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</si>
  <si>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</si>
  <si>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</si>
  <si>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</si>
  <si>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</si>
  <si>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</si>
  <si>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</si>
  <si>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</si>
  <si>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</si>
  <si>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</si>
  <si>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</si>
  <si>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</si>
  <si>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</si>
  <si>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</si>
  <si>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</si>
  <si>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</si>
  <si>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</si>
  <si>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</si>
  <si>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</si>
  <si>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</si>
  <si>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</si>
  <si>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</si>
  <si>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</si>
  <si>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</si>
  <si>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</si>
  <si>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</si>
  <si>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</si>
  <si>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VSB-063</t>
  </si>
  <si>
    <t>OEJV 0181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</si>
  <si>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</si>
  <si>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</si>
  <si>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</si>
  <si>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</si>
  <si>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</si>
  <si>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</si>
  <si>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</si>
  <si>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</si>
  <si>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</si>
  <si>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</si>
  <si>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</si>
  <si>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</si>
  <si>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</si>
  <si>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</si>
  <si>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</si>
  <si>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</si>
  <si>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</si>
  <si>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</si>
  <si>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</si>
  <si>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</si>
  <si>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</si>
  <si>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</si>
  <si>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</si>
  <si>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</si>
  <si>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</si>
  <si>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Bull.114</t>
  </si>
  <si>
    <t>Nelson</t>
  </si>
  <si>
    <t>Misc</t>
  </si>
  <si>
    <t>IBVS 5371</t>
  </si>
  <si>
    <t>EW/KW</t>
  </si>
  <si>
    <t>II</t>
  </si>
  <si>
    <t>I</t>
  </si>
  <si>
    <t>ROTSE</t>
  </si>
  <si>
    <t>IBVS 5493</t>
  </si>
  <si>
    <t>IBVS 5056</t>
  </si>
  <si>
    <t>IBVS 5378</t>
  </si>
  <si>
    <t>IBVS</t>
  </si>
  <si>
    <t>IBVS 2793</t>
  </si>
  <si>
    <t/>
  </si>
  <si>
    <t>IBVS 5623</t>
  </si>
  <si>
    <t>IBVS 5592</t>
  </si>
  <si>
    <t>Qian 2005</t>
  </si>
  <si>
    <t>Qian</t>
  </si>
  <si>
    <t>JRAC 76.90</t>
  </si>
  <si>
    <t>IBVS 2497</t>
  </si>
  <si>
    <t>PASP 97.648</t>
  </si>
  <si>
    <t>IBVS 3078</t>
  </si>
  <si>
    <t>PASP 98.691</t>
  </si>
  <si>
    <t>VSSC 66.34</t>
  </si>
  <si>
    <t>IBVS 3593</t>
  </si>
  <si>
    <t>IBVS 4877</t>
  </si>
  <si>
    <t>BAVM 131</t>
  </si>
  <si>
    <t>BAVM 143</t>
  </si>
  <si>
    <t>BBS 123</t>
  </si>
  <si>
    <t>Abrupt period change?</t>
  </si>
  <si>
    <t>IBVS 5672</t>
  </si>
  <si>
    <t>IBVS 5657</t>
  </si>
  <si>
    <t># of data points:</t>
  </si>
  <si>
    <t>IBVS 5731</t>
  </si>
  <si>
    <t>AO Cam / gsc 3732-0728</t>
  </si>
  <si>
    <t>IBVS 5777</t>
  </si>
  <si>
    <t>IBVS 5781</t>
  </si>
  <si>
    <t>IBVS 5802</t>
  </si>
  <si>
    <t>IBVS 5814</t>
  </si>
  <si>
    <t>IBVS 5820</t>
  </si>
  <si>
    <t>IBVS 5874</t>
  </si>
  <si>
    <t>IBVS 5898</t>
  </si>
  <si>
    <t>Note highly speculative fit in Qian et al 2005AJ....129.1686Q</t>
  </si>
  <si>
    <t>IBVS 5920</t>
  </si>
  <si>
    <t>IBVS 5929</t>
  </si>
  <si>
    <t>IBVS 5980</t>
  </si>
  <si>
    <t>IBVS 5960</t>
  </si>
  <si>
    <t>OEJV 0137</t>
  </si>
  <si>
    <t>IBVS 4371</t>
  </si>
  <si>
    <t>IBVS 5871</t>
  </si>
  <si>
    <t>IBVS 5918</t>
  </si>
  <si>
    <t>IBVS 5959</t>
  </si>
  <si>
    <t>IBVS 6010</t>
  </si>
  <si>
    <t>OEJV 0142</t>
  </si>
  <si>
    <t>IBVS 6011</t>
  </si>
  <si>
    <t>Locher K</t>
  </si>
  <si>
    <t>B</t>
  </si>
  <si>
    <t>v</t>
  </si>
  <si>
    <t>Elias D</t>
  </si>
  <si>
    <t>K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</si>
  <si>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</si>
  <si>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</si>
  <si>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</si>
  <si>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</si>
  <si>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</si>
  <si>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</si>
  <si>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</si>
  <si>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</si>
  <si>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</si>
  <si>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</si>
  <si>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</si>
  <si>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</si>
  <si>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</si>
  <si>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</si>
  <si>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</si>
  <si>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</si>
  <si>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</si>
  <si>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</si>
  <si>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</si>
  <si>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</si>
  <si>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</si>
  <si>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</si>
  <si>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</si>
  <si>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</si>
  <si>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</si>
  <si>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</si>
  <si>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</si>
  <si>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</si>
  <si>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</si>
  <si>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</si>
  <si>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</si>
  <si>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</si>
  <si>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</si>
  <si>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</si>
  <si>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</si>
  <si>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</si>
  <si>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</si>
  <si>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</si>
  <si>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</si>
  <si>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</si>
  <si>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</si>
  <si>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</si>
  <si>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</si>
  <si>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</si>
  <si>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</si>
  <si>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</si>
  <si>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</si>
  <si>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</si>
  <si>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</si>
  <si>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</si>
  <si>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</si>
  <si>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</si>
  <si>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</si>
  <si>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</si>
  <si>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</si>
  <si>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</si>
  <si>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</si>
  <si>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</si>
  <si>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</si>
  <si>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</si>
  <si>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</si>
  <si>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</si>
  <si>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</si>
  <si>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</si>
  <si>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</si>
  <si>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</si>
  <si>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</si>
  <si>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</si>
  <si>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</si>
  <si>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</si>
  <si>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</si>
  <si>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</si>
  <si>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</si>
  <si>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</si>
  <si>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</si>
  <si>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</si>
  <si>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</si>
  <si>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</si>
  <si>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OEJV</t>
  </si>
  <si>
    <t>BAV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</si>
  <si>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</si>
  <si>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</si>
  <si>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</si>
  <si>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</si>
  <si>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Time zone =</t>
  </si>
  <si>
    <t>(8=PST, 7=PDT=MST, etc.)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</si>
  <si>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</si>
  <si>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</si>
  <si>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</si>
  <si>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</si>
  <si>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</si>
  <si>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</si>
  <si>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</si>
  <si>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</si>
  <si>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 xml:space="preserve">Correlation = </t>
  </si>
  <si>
    <t>dP/dt</t>
  </si>
  <si>
    <t>days/year</t>
  </si>
  <si>
    <t>ZA</t>
  </si>
  <si>
    <t>ZB</t>
  </si>
  <si>
    <t>ZC</t>
  </si>
  <si>
    <t>ZD</t>
  </si>
  <si>
    <t>ZE</t>
  </si>
  <si>
    <t>ZF</t>
  </si>
  <si>
    <t>Evans 1985</t>
  </si>
  <si>
    <t>Ampl</t>
  </si>
  <si>
    <t>Omega (deg)</t>
  </si>
  <si>
    <t>Phi (deg)</t>
  </si>
  <si>
    <t>Sine fit</t>
  </si>
  <si>
    <t>IBVS 6042</t>
  </si>
  <si>
    <t>IBVS 6044</t>
  </si>
  <si>
    <t>not Qian</t>
  </si>
  <si>
    <t>OEJV 0160</t>
  </si>
  <si>
    <t>IBVS 6070</t>
  </si>
  <si>
    <t>IBVS 6092</t>
  </si>
  <si>
    <t>IBVS 6118</t>
  </si>
  <si>
    <t>Abrupt period change? Or LiTE?</t>
  </si>
  <si>
    <t>OEJV 0165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</si>
  <si>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</si>
  <si>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</si>
  <si>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</si>
  <si>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</si>
  <si>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</si>
  <si>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</si>
  <si>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</si>
  <si>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</si>
  <si>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2444520.7006 </t>
  </si>
  <si>
    <t> 08.10.1980 04:48 </t>
  </si>
  <si>
    <t> -0.0668 </t>
  </si>
  <si>
    <t>E </t>
  </si>
  <si>
    <t>?</t>
  </si>
  <si>
    <t> E.F.Milone(Kämper) </t>
  </si>
  <si>
    <t> JRAC 76.90 </t>
  </si>
  <si>
    <t>2444520.8653 </t>
  </si>
  <si>
    <t> 08.10.1980 08:46 </t>
  </si>
  <si>
    <t> -0.0671 </t>
  </si>
  <si>
    <t>2444556.8257 </t>
  </si>
  <si>
    <t> 13.11.1980 07:49 </t>
  </si>
  <si>
    <t> -0.0660 </t>
  </si>
  <si>
    <t>2444558.8057 </t>
  </si>
  <si>
    <t> 15.11.1980 07:20 </t>
  </si>
  <si>
    <t> -0.0654 </t>
  </si>
  <si>
    <t>2444559.9607 </t>
  </si>
  <si>
    <t> 16.11.1980 11:03 </t>
  </si>
  <si>
    <t> -0.0651 </t>
  </si>
  <si>
    <t>2445732.6076 </t>
  </si>
  <si>
    <t> 02.02.1984 02:34 </t>
  </si>
  <si>
    <t> -0.0552 </t>
  </si>
  <si>
    <t> E.Evans et al. </t>
  </si>
  <si>
    <t>IBVS 2497 </t>
  </si>
  <si>
    <t>2445738.5463 </t>
  </si>
  <si>
    <t> 08.02.1984 01:06 </t>
  </si>
  <si>
    <t> -0.0547 </t>
  </si>
  <si>
    <t>2445745.6402 </t>
  </si>
  <si>
    <t> 15.02.1984 03:21 </t>
  </si>
  <si>
    <t> -0.0537 </t>
  </si>
  <si>
    <t>2445752.5676 </t>
  </si>
  <si>
    <t> 22.02.1984 01:37 </t>
  </si>
  <si>
    <t> -0.0542 </t>
  </si>
  <si>
    <t>2446006.4280 </t>
  </si>
  <si>
    <t> 01.11.1984 22:16 </t>
  </si>
  <si>
    <t> -0.0535 </t>
  </si>
  <si>
    <t> Betten &amp; Gröbel </t>
  </si>
  <si>
    <t>IBVS 2793 </t>
  </si>
  <si>
    <t>2446022.429 </t>
  </si>
  <si>
    <t> 17.11.1984 22:17 </t>
  </si>
  <si>
    <t> -0.053 </t>
  </si>
  <si>
    <t> Betten &amp; Karl </t>
  </si>
  <si>
    <t>2446024.7389 </t>
  </si>
  <si>
    <t> 20.11.1984 05:44 </t>
  </si>
  <si>
    <t> -0.0522 </t>
  </si>
  <si>
    <t> D.R.Faulkner </t>
  </si>
  <si>
    <t> PASP 97.648 </t>
  </si>
  <si>
    <t>2446036.2858 </t>
  </si>
  <si>
    <t> 01.12.1984 18:51 </t>
  </si>
  <si>
    <t> -0.0519 </t>
  </si>
  <si>
    <t> Gröbel&amp;Lichtschlag </t>
  </si>
  <si>
    <t>2446036.4498 </t>
  </si>
  <si>
    <t> 01.12.1984 22:47 </t>
  </si>
  <si>
    <t> -0.0528 </t>
  </si>
  <si>
    <t>2446036.6157 </t>
  </si>
  <si>
    <t> 02.12.1984 02:46 </t>
  </si>
  <si>
    <t>2446100.2871 </t>
  </si>
  <si>
    <t> 03.02.1985 18:53 </t>
  </si>
  <si>
    <t> -0.0516 </t>
  </si>
  <si>
    <t> Gröbel &amp; Hartlieb </t>
  </si>
  <si>
    <t>IBVS 3078 </t>
  </si>
  <si>
    <t>2446107.3796 </t>
  </si>
  <si>
    <t> 10.02.1985 21:06 </t>
  </si>
  <si>
    <t> -0.0520 </t>
  </si>
  <si>
    <t>2446429.6979 </t>
  </si>
  <si>
    <t> 30.12.1985 04:44 </t>
  </si>
  <si>
    <t> -0.0480 </t>
  </si>
  <si>
    <t> PASP 98.691 </t>
  </si>
  <si>
    <t>2446436.6260 </t>
  </si>
  <si>
    <t> 06.01.1986 03:01 </t>
  </si>
  <si>
    <t> -0.0479 </t>
  </si>
  <si>
    <t>2446442.3949 </t>
  </si>
  <si>
    <t> 11.01.1986 21:28 </t>
  </si>
  <si>
    <t> R.Pickard </t>
  </si>
  <si>
    <t> VSSC 66.34 </t>
  </si>
  <si>
    <t>2447864.7879 </t>
  </si>
  <si>
    <t> 04.12.1989 06:54 </t>
  </si>
  <si>
    <t> -0.0321 </t>
  </si>
  <si>
    <t> Muller &amp; Faulkner </t>
  </si>
  <si>
    <t>IBVS 3593 </t>
  </si>
  <si>
    <t>2450415.281 </t>
  </si>
  <si>
    <t> 27.11.1996 18:44 </t>
  </si>
  <si>
    <t> -0.012 </t>
  </si>
  <si>
    <t>V </t>
  </si>
  <si>
    <t> D.Dalmazio </t>
  </si>
  <si>
    <t> BBS 114 </t>
  </si>
  <si>
    <t>2450421.220 </t>
  </si>
  <si>
    <t> 03.12.1996 17:16 </t>
  </si>
  <si>
    <t> -0.011 </t>
  </si>
  <si>
    <t>2450434.246 </t>
  </si>
  <si>
    <t> 16.12.1996 17:54 </t>
  </si>
  <si>
    <t> -0.017 </t>
  </si>
  <si>
    <t>2451199.4585 </t>
  </si>
  <si>
    <t> 20.01.1999 23:00 </t>
  </si>
  <si>
    <t> -0.0120 </t>
  </si>
  <si>
    <t> M.Drozdz </t>
  </si>
  <si>
    <t>IBVS 4877 </t>
  </si>
  <si>
    <t>2451199.6237 </t>
  </si>
  <si>
    <t> 21.01.1999 02:58 </t>
  </si>
  <si>
    <t> -0.0117 </t>
  </si>
  <si>
    <t>2451237.397 </t>
  </si>
  <si>
    <t> 27.02.1999 21:31 </t>
  </si>
  <si>
    <t>2451241.5223 </t>
  </si>
  <si>
    <t> 04.03.1999 00:32 </t>
  </si>
  <si>
    <t> -0.0107 </t>
  </si>
  <si>
    <t>2451591.393 </t>
  </si>
  <si>
    <t> 16.02.2000 21:25 </t>
  </si>
  <si>
    <t> -0.001 </t>
  </si>
  <si>
    <t> H.Zaunick </t>
  </si>
  <si>
    <t>BAVM 131 </t>
  </si>
  <si>
    <t>2451596.341 </t>
  </si>
  <si>
    <t> 21.02.2000 20:11 </t>
  </si>
  <si>
    <t> -0.002 </t>
  </si>
  <si>
    <t>2451597.486 </t>
  </si>
  <si>
    <t> 22.02.2000 23:39 </t>
  </si>
  <si>
    <t>2451602.444 </t>
  </si>
  <si>
    <t> 27.02.2000 22:39 </t>
  </si>
  <si>
    <t>2451625.363 </t>
  </si>
  <si>
    <t> 21.03.2000 20:42 </t>
  </si>
  <si>
    <t> A.Mey </t>
  </si>
  <si>
    <t>2451625.371 </t>
  </si>
  <si>
    <t> 21.03.2000 20:54 </t>
  </si>
  <si>
    <t>2451628.343 </t>
  </si>
  <si>
    <t> 24.03.2000 20:13 </t>
  </si>
  <si>
    <t> -0.000 </t>
  </si>
  <si>
    <t> K.Tikkanen </t>
  </si>
  <si>
    <t> BBS 123 </t>
  </si>
  <si>
    <t>2451749.410 </t>
  </si>
  <si>
    <t> 23.07.2000 21:50 </t>
  </si>
  <si>
    <t> -0.007 </t>
  </si>
  <si>
    <t>BAVM 143 </t>
  </si>
  <si>
    <t>2451749.415 </t>
  </si>
  <si>
    <t> 23.07.2000 21:57 </t>
  </si>
  <si>
    <t>2451798.5673 </t>
  </si>
  <si>
    <t> 11.09.2000 01:36 </t>
  </si>
  <si>
    <t> -0.0054 </t>
  </si>
  <si>
    <t> T.Pribulla et al. </t>
  </si>
  <si>
    <t>IBVS 5056 </t>
  </si>
  <si>
    <t>2451798.5675 </t>
  </si>
  <si>
    <t> 11.09.2000 01:37 </t>
  </si>
  <si>
    <t> -0.0052 </t>
  </si>
  <si>
    <t>2452203.5230 </t>
  </si>
  <si>
    <t> 21.10.2001 00:33 </t>
  </si>
  <si>
    <t> -0.0045 </t>
  </si>
  <si>
    <t> M.Drozdz et al. </t>
  </si>
  <si>
    <t>IBVS 5623 </t>
  </si>
  <si>
    <t>2452271.4806 </t>
  </si>
  <si>
    <t> 27.12.2001 23:32 </t>
  </si>
  <si>
    <t> -0.0067 </t>
  </si>
  <si>
    <t>2452311.5656 </t>
  </si>
  <si>
    <t> 06.02.2002 01:34 </t>
  </si>
  <si>
    <t> -0.0048 </t>
  </si>
  <si>
    <t>2452547.4491 </t>
  </si>
  <si>
    <t> 29.09.2002 22:46 </t>
  </si>
  <si>
    <t> -0.0014 </t>
  </si>
  <si>
    <t>2452547.6132 </t>
  </si>
  <si>
    <t> 30.09.2002 02:43 </t>
  </si>
  <si>
    <t> -0.0022 </t>
  </si>
  <si>
    <t>2452548.2730 </t>
  </si>
  <si>
    <t> 30.09.2002 18:33 </t>
  </si>
  <si>
    <t>2452548.6021 </t>
  </si>
  <si>
    <t> 01.10.2002 02:27 </t>
  </si>
  <si>
    <t> -0.0030 </t>
  </si>
  <si>
    <t>2452591.3246 </t>
  </si>
  <si>
    <t> 12.11.2002 19:47 </t>
  </si>
  <si>
    <t> -0.0028 </t>
  </si>
  <si>
    <t>2452607.6550 </t>
  </si>
  <si>
    <t> 29.11.2002 03:43 </t>
  </si>
  <si>
    <t> -0.0026 </t>
  </si>
  <si>
    <t> S.Dvorak </t>
  </si>
  <si>
    <t>IBVS 5378 </t>
  </si>
  <si>
    <t>2452631.7377 </t>
  </si>
  <si>
    <t> 23.12.2002 05:42 </t>
  </si>
  <si>
    <t> -0.0027 </t>
  </si>
  <si>
    <t> R.Nelson </t>
  </si>
  <si>
    <t>IBVS 5371 </t>
  </si>
  <si>
    <t>2452943.8277 </t>
  </si>
  <si>
    <t> 31.10.2003 07:51 </t>
  </si>
  <si>
    <t> -0.0001 </t>
  </si>
  <si>
    <t>IBVS 5493 </t>
  </si>
  <si>
    <t>2453083.2119 </t>
  </si>
  <si>
    <t> 18.03.2004 17:05 </t>
  </si>
  <si>
    <t> 0.0004 </t>
  </si>
  <si>
    <t> T.Krajci </t>
  </si>
  <si>
    <t>IBVS 5592 </t>
  </si>
  <si>
    <t>2453360.4940 </t>
  </si>
  <si>
    <t> 20.12.2004 23:51 </t>
  </si>
  <si>
    <t> -0.0002 </t>
  </si>
  <si>
    <t>-I</t>
  </si>
  <si>
    <t> K. &amp; M.Rätz </t>
  </si>
  <si>
    <t>BAVM 173 </t>
  </si>
  <si>
    <t>2453407.3394 </t>
  </si>
  <si>
    <t> 05.02.2005 20:08 </t>
  </si>
  <si>
    <t>2750</t>
  </si>
  <si>
    <t> -0.0009 </t>
  </si>
  <si>
    <t> v.Poschinger </t>
  </si>
  <si>
    <t>2453699.9640 </t>
  </si>
  <si>
    <t> 25.11.2005 11:08 </t>
  </si>
  <si>
    <t>3637</t>
  </si>
  <si>
    <t> 0.0006 </t>
  </si>
  <si>
    <t>IBVS 5672 </t>
  </si>
  <si>
    <t>2453742.5213 </t>
  </si>
  <si>
    <t> 07.01.2006 00:30 </t>
  </si>
  <si>
    <t>3766</t>
  </si>
  <si>
    <t> 0.0005 </t>
  </si>
  <si>
    <t>C </t>
  </si>
  <si>
    <t>IBVS 5814 </t>
  </si>
  <si>
    <t>2453746.6428 </t>
  </si>
  <si>
    <t> 11.01.2006 03:25 </t>
  </si>
  <si>
    <t>3778.5</t>
  </si>
  <si>
    <t> -0.0018 </t>
  </si>
  <si>
    <t> S.Parimucha et al. </t>
  </si>
  <si>
    <t>IBVS 5777 </t>
  </si>
  <si>
    <t>2453760.3358 </t>
  </si>
  <si>
    <t> 24.01.2006 20:03 </t>
  </si>
  <si>
    <t>3820</t>
  </si>
  <si>
    <t> 0.0003 </t>
  </si>
  <si>
    <t>o</t>
  </si>
  <si>
    <t> H.Jungbluth </t>
  </si>
  <si>
    <t>BAVM 178 </t>
  </si>
  <si>
    <t>2453809.3259 </t>
  </si>
  <si>
    <t> 14.03.2006 19:49 </t>
  </si>
  <si>
    <t>3968.5</t>
  </si>
  <si>
    <t> M.&amp; C.Rätz </t>
  </si>
  <si>
    <t>BAVM 186 </t>
  </si>
  <si>
    <t>2454020.4641 </t>
  </si>
  <si>
    <t> 11.10.2006 23:08 </t>
  </si>
  <si>
    <t>4608.5</t>
  </si>
  <si>
    <t> 0.0008 </t>
  </si>
  <si>
    <t>2454027.5584 </t>
  </si>
  <si>
    <t> 19.10.2006 01:24 </t>
  </si>
  <si>
    <t>4630</t>
  </si>
  <si>
    <t> 0.0022 </t>
  </si>
  <si>
    <t>2454134.6098 </t>
  </si>
  <si>
    <t> 03.02.2007 02:38 </t>
  </si>
  <si>
    <t>4954.5</t>
  </si>
  <si>
    <t>IBVS 5820 </t>
  </si>
  <si>
    <t>2454173.3745 </t>
  </si>
  <si>
    <t> 13.03.2007 20:59 </t>
  </si>
  <si>
    <t>5072</t>
  </si>
  <si>
    <t> 0.0015 </t>
  </si>
  <si>
    <t> R.Diethelm </t>
  </si>
  <si>
    <t> BBS 133 (=IBVS 5781) </t>
  </si>
  <si>
    <t>2454472.2644 </t>
  </si>
  <si>
    <t> 06.01.2008 18:20 </t>
  </si>
  <si>
    <t>5978</t>
  </si>
  <si>
    <t> 0.0001 </t>
  </si>
  <si>
    <t>BAVM 201 </t>
  </si>
  <si>
    <t>2454510.3667 </t>
  </si>
  <si>
    <t> 13.02.2008 20:48 </t>
  </si>
  <si>
    <t>6093.5</t>
  </si>
  <si>
    <t> -0.0012 </t>
  </si>
  <si>
    <t>2454544.3486 </t>
  </si>
  <si>
    <t> 18.03.2008 20:21 </t>
  </si>
  <si>
    <t>6196.5</t>
  </si>
  <si>
    <t> 0.0007 </t>
  </si>
  <si>
    <t>IBVS 5898 </t>
  </si>
  <si>
    <t>2454556.3903 </t>
  </si>
  <si>
    <t> 30.03.2008 21:22 </t>
  </si>
  <si>
    <t>6233</t>
  </si>
  <si>
    <t> 0.0010 </t>
  </si>
  <si>
    <t>2454706.4967 </t>
  </si>
  <si>
    <t> 27.08.2008 23:55 </t>
  </si>
  <si>
    <t>6688</t>
  </si>
  <si>
    <t> 0.0020 </t>
  </si>
  <si>
    <t>2454803.4862 </t>
  </si>
  <si>
    <t> 02.12.2008 23:40 </t>
  </si>
  <si>
    <t>6982</t>
  </si>
  <si>
    <t> 0.0002 </t>
  </si>
  <si>
    <t>2454830.7036 </t>
  </si>
  <si>
    <t> 30.12.2008 04:53 </t>
  </si>
  <si>
    <t>7064.5</t>
  </si>
  <si>
    <t>IBVS 5871 </t>
  </si>
  <si>
    <t>2454842.4143 </t>
  </si>
  <si>
    <t> 10.01.2009 21:56 </t>
  </si>
  <si>
    <t>7100</t>
  </si>
  <si>
    <t> M.Wischnewski </t>
  </si>
  <si>
    <t>BAVM 203 </t>
  </si>
  <si>
    <t>2454843.2395 </t>
  </si>
  <si>
    <t> 11.01.2009 17:44 </t>
  </si>
  <si>
    <t>7102.5</t>
  </si>
  <si>
    <t> F.Agerer </t>
  </si>
  <si>
    <t>BAVM 209 </t>
  </si>
  <si>
    <t>2454843.4044 </t>
  </si>
  <si>
    <t> 11.01.2009 21:42 </t>
  </si>
  <si>
    <t>7103</t>
  </si>
  <si>
    <t>2454843.4048 </t>
  </si>
  <si>
    <t>2454843.5689 </t>
  </si>
  <si>
    <t> 12.01.2009 01:39 </t>
  </si>
  <si>
    <t>7103.5</t>
  </si>
  <si>
    <t>2454844.2284 </t>
  </si>
  <si>
    <t> 12.01.2009 17:28 </t>
  </si>
  <si>
    <t>7105.5</t>
  </si>
  <si>
    <t> -0.0005 </t>
  </si>
  <si>
    <t>-U;-I</t>
  </si>
  <si>
    <t> M.Rätz &amp; K.Rätz </t>
  </si>
  <si>
    <t>BAVM 214 </t>
  </si>
  <si>
    <t>2454883.9812 </t>
  </si>
  <si>
    <t> 21.02.2009 11:32 </t>
  </si>
  <si>
    <t>7226</t>
  </si>
  <si>
    <t> H.Itoh </t>
  </si>
  <si>
    <t>VSB 50 </t>
  </si>
  <si>
    <t>2455059.4886 </t>
  </si>
  <si>
    <t> 15.08.2009 23:43 </t>
  </si>
  <si>
    <t>7758</t>
  </si>
  <si>
    <t>IBVS 5980 </t>
  </si>
  <si>
    <t>2455068.5613 </t>
  </si>
  <si>
    <t> 25.08.2009 01:28 </t>
  </si>
  <si>
    <t>7785.5</t>
  </si>
  <si>
    <t> -0.0010 </t>
  </si>
  <si>
    <t>2455100.5613 </t>
  </si>
  <si>
    <t> 26.09.2009 01:28 </t>
  </si>
  <si>
    <t>7882.5</t>
  </si>
  <si>
    <t> -0.0015 </t>
  </si>
  <si>
    <t>2455135.8636 </t>
  </si>
  <si>
    <t> 31.10.2009 08:43 </t>
  </si>
  <si>
    <t>7989.5</t>
  </si>
  <si>
    <t> 0.0013 </t>
  </si>
  <si>
    <t>IBVS 5920 </t>
  </si>
  <si>
    <t>2455149.7175 </t>
  </si>
  <si>
    <t> 14.11.2009 05:13 </t>
  </si>
  <si>
    <t>8031.5</t>
  </si>
  <si>
    <t> -0.0007 </t>
  </si>
  <si>
    <t>IBVS 5929 </t>
  </si>
  <si>
    <t>2455194.4182 </t>
  </si>
  <si>
    <t> 28.12.2009 22:02 </t>
  </si>
  <si>
    <t>8167</t>
  </si>
  <si>
    <t>2455212.4000 </t>
  </si>
  <si>
    <t> 15.01.2010 21:36 </t>
  </si>
  <si>
    <t>8221.5</t>
  </si>
  <si>
    <t>2455213.3888 </t>
  </si>
  <si>
    <t> 16.01.2010 21:19 </t>
  </si>
  <si>
    <t>8224.5</t>
  </si>
  <si>
    <t>2455263.3661 </t>
  </si>
  <si>
    <t> 07.03.2010 20:47 </t>
  </si>
  <si>
    <t>8376</t>
  </si>
  <si>
    <t> -0.0034 </t>
  </si>
  <si>
    <t>2455476.8130 </t>
  </si>
  <si>
    <t> 07.10.2010 07:30 </t>
  </si>
  <si>
    <t>9023</t>
  </si>
  <si>
    <t> -0.0031 </t>
  </si>
  <si>
    <t>IBVS 5960 </t>
  </si>
  <si>
    <t>2455483.5766 </t>
  </si>
  <si>
    <t> 14.10.2010 01:50 </t>
  </si>
  <si>
    <t>9043.5</t>
  </si>
  <si>
    <t> -0.0025 </t>
  </si>
  <si>
    <t> M.Lehky </t>
  </si>
  <si>
    <t>OEJV 0137 </t>
  </si>
  <si>
    <t>2455483.5768 </t>
  </si>
  <si>
    <t> -0.0023 </t>
  </si>
  <si>
    <t>2455584.3608 </t>
  </si>
  <si>
    <t> 22.01.2011 20:39 </t>
  </si>
  <si>
    <t>9349</t>
  </si>
  <si>
    <t>BAVM 220 </t>
  </si>
  <si>
    <t>2455600.3617 </t>
  </si>
  <si>
    <t> 07.02.2011 20:40 </t>
  </si>
  <si>
    <t>9397.5</t>
  </si>
  <si>
    <t> L.Šmelcer </t>
  </si>
  <si>
    <t>2455600.3622 </t>
  </si>
  <si>
    <t> 07.02.2011 20:41 </t>
  </si>
  <si>
    <t>2455600.3627 </t>
  </si>
  <si>
    <t> 07.02.2011 20:42 </t>
  </si>
  <si>
    <t>2455622.2989 </t>
  </si>
  <si>
    <t> 01.03.2011 19:10 </t>
  </si>
  <si>
    <t>9464</t>
  </si>
  <si>
    <t> -0.0041 </t>
  </si>
  <si>
    <t>2455622.2996 </t>
  </si>
  <si>
    <t> 01.03.2011 19:11 </t>
  </si>
  <si>
    <t>2455622.2998 </t>
  </si>
  <si>
    <t> -0.0032 </t>
  </si>
  <si>
    <t>2455804.572 </t>
  </si>
  <si>
    <t> 31.08.2011 01:43 </t>
  </si>
  <si>
    <t>10016.5</t>
  </si>
  <si>
    <t> A.Paschke </t>
  </si>
  <si>
    <t>OEJV 0142 </t>
  </si>
  <si>
    <t>2455867.0873 </t>
  </si>
  <si>
    <t> 01.11.2011 14:05 </t>
  </si>
  <si>
    <t>10206</t>
  </si>
  <si>
    <t>Rc</t>
  </si>
  <si>
    <t> K.Shiokawa </t>
  </si>
  <si>
    <t>VSB 53 </t>
  </si>
  <si>
    <t>2455867.2532 </t>
  </si>
  <si>
    <t> 01.11.2011 18:04 </t>
  </si>
  <si>
    <t>10206.5</t>
  </si>
  <si>
    <t> -0.0021 </t>
  </si>
  <si>
    <t>2455874.8420 </t>
  </si>
  <si>
    <t> 09.11.2011 08:12 </t>
  </si>
  <si>
    <t>10229.5</t>
  </si>
  <si>
    <t>IBVS 6011 </t>
  </si>
  <si>
    <t>2455877.64396 </t>
  </si>
  <si>
    <t> 12.11.2011 03:27 </t>
  </si>
  <si>
    <t>10238</t>
  </si>
  <si>
    <t> -0.00324 </t>
  </si>
  <si>
    <t> K.Ho?kova </t>
  </si>
  <si>
    <t>OEJV 0160 </t>
  </si>
  <si>
    <t>2455877.64416 </t>
  </si>
  <si>
    <t> -0.00304 </t>
  </si>
  <si>
    <t>2455896.2846 </t>
  </si>
  <si>
    <t> 30.11.2011 18:49 </t>
  </si>
  <si>
    <t>10294.5</t>
  </si>
  <si>
    <t>BAVM 225 </t>
  </si>
  <si>
    <t>2455907.0050 </t>
  </si>
  <si>
    <t> 11.12.2011 12:07 </t>
  </si>
  <si>
    <t>10327</t>
  </si>
  <si>
    <t> -0.0035 </t>
  </si>
  <si>
    <t>2455958.46933 </t>
  </si>
  <si>
    <t> 31.01.2012 23:15 </t>
  </si>
  <si>
    <t>10483</t>
  </si>
  <si>
    <t> -0.00388 </t>
  </si>
  <si>
    <t>2455958.46993 </t>
  </si>
  <si>
    <t> 31.01.2012 23:16 </t>
  </si>
  <si>
    <t> -0.00328 </t>
  </si>
  <si>
    <t>2455958.47073 </t>
  </si>
  <si>
    <t> 31.01.2012 23:17 </t>
  </si>
  <si>
    <t> -0.00248 </t>
  </si>
  <si>
    <t>2456009.27414 </t>
  </si>
  <si>
    <t> 22.03.2012 18:34 </t>
  </si>
  <si>
    <t>10637</t>
  </si>
  <si>
    <t> -0.00400 </t>
  </si>
  <si>
    <t>2456015.3781 </t>
  </si>
  <si>
    <t> 28.03.2012 21:04 </t>
  </si>
  <si>
    <t>10655.5</t>
  </si>
  <si>
    <t>BAVM 231 </t>
  </si>
  <si>
    <t>2456177.52509 </t>
  </si>
  <si>
    <t> 07.09.2012 00:36 </t>
  </si>
  <si>
    <t>11147</t>
  </si>
  <si>
    <t> -0.00312 </t>
  </si>
  <si>
    <t>2456177.52527 </t>
  </si>
  <si>
    <t> -0.00294 </t>
  </si>
  <si>
    <t>2456177.52533 </t>
  </si>
  <si>
    <t> -0.00288 </t>
  </si>
  <si>
    <t>2456177.52556 </t>
  </si>
  <si>
    <t> -0.00265 </t>
  </si>
  <si>
    <t>2456181.4839 </t>
  </si>
  <si>
    <t> 10.09.2012 23:36 </t>
  </si>
  <si>
    <t>11159</t>
  </si>
  <si>
    <t>IBVS 6044 </t>
  </si>
  <si>
    <t>2456230.8016 </t>
  </si>
  <si>
    <t> 30.10.2012 07:14 </t>
  </si>
  <si>
    <t>11308.5</t>
  </si>
  <si>
    <t> -0.0058 </t>
  </si>
  <si>
    <t>IBVS 6042 </t>
  </si>
  <si>
    <t>2456243.9995 </t>
  </si>
  <si>
    <t> 12.11.2012 11:59 </t>
  </si>
  <si>
    <t>11348.5</t>
  </si>
  <si>
    <t> -0.0040 </t>
  </si>
  <si>
    <t>VSB 55 </t>
  </si>
  <si>
    <t>2456244.1652 </t>
  </si>
  <si>
    <t> 12.11.2012 15:57 </t>
  </si>
  <si>
    <t>11349</t>
  </si>
  <si>
    <t>2456244.3295 </t>
  </si>
  <si>
    <t> 12.11.2012 19:54 </t>
  </si>
  <si>
    <t>11349.5</t>
  </si>
  <si>
    <t> -0.0039 </t>
  </si>
  <si>
    <t>2456291.50504 </t>
  </si>
  <si>
    <t> 30.12.2012 00:07 </t>
  </si>
  <si>
    <t>11492.5</t>
  </si>
  <si>
    <t> -0.00434 </t>
  </si>
  <si>
    <t>2456291.50515 </t>
  </si>
  <si>
    <t> -0.00423 </t>
  </si>
  <si>
    <t>2456354.3317 </t>
  </si>
  <si>
    <t> 02.03.2013 19:57 </t>
  </si>
  <si>
    <t>11683</t>
  </si>
  <si>
    <t> -0.0240 </t>
  </si>
  <si>
    <t>BAVM 234 </t>
  </si>
  <si>
    <t>2456600.7874 </t>
  </si>
  <si>
    <t> 04.11.2013 06:53 </t>
  </si>
  <si>
    <t>12430</t>
  </si>
  <si>
    <t>IBVS 6092 </t>
  </si>
  <si>
    <t>2456650.2728 </t>
  </si>
  <si>
    <t> 23.12.2013 18:32 </t>
  </si>
  <si>
    <t>12580</t>
  </si>
  <si>
    <t> -0.0051 </t>
  </si>
  <si>
    <t>2456650.4381 </t>
  </si>
  <si>
    <t> 23.12.2013 22:30 </t>
  </si>
  <si>
    <t>2456650.6024 </t>
  </si>
  <si>
    <t> 24.12.2013 02:27 </t>
  </si>
  <si>
    <t>2456670.559 </t>
  </si>
  <si>
    <t> 13.01.2014 01:24 </t>
  </si>
  <si>
    <t> -0.008 </t>
  </si>
  <si>
    <t>OEJV 0162 </t>
  </si>
  <si>
    <t>s5</t>
  </si>
  <si>
    <t>s6</t>
  </si>
  <si>
    <t>s7</t>
  </si>
  <si>
    <t>OEJV 0162</t>
  </si>
  <si>
    <t>IBVS 6154</t>
  </si>
  <si>
    <t>IBVS 6195</t>
  </si>
  <si>
    <t>OEJV 0179</t>
  </si>
  <si>
    <t>IBVS 6234</t>
  </si>
  <si>
    <t>Ic</t>
  </si>
  <si>
    <t>RHN 2019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</si>
  <si>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</si>
  <si>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</si>
  <si>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</si>
  <si>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</si>
  <si>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</si>
  <si>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</si>
  <si>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</si>
  <si>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</si>
  <si>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</si>
  <si>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</si>
  <si>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Mean</t>
  </si>
  <si>
    <t>St dev</t>
  </si>
  <si>
    <t>JRARC 76.90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</si>
  <si>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</si>
  <si>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</si>
  <si>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</si>
  <si>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</si>
  <si>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</si>
  <si>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</si>
  <si>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</si>
  <si>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COPY THIS &gt;&gt;&gt;&gt;</t>
  </si>
  <si>
    <t>a13 sin i</t>
  </si>
  <si>
    <t>Done &gt;&gt;</t>
  </si>
  <si>
    <t>start row</t>
  </si>
  <si>
    <t>cell</t>
  </si>
  <si>
    <t>end row</t>
  </si>
  <si>
    <t>rms dev'n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</si>
  <si>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</si>
  <si>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</si>
  <si>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t>Q+L fit</t>
  </si>
  <si>
    <t>AM</t>
  </si>
  <si>
    <t>FIXED VALUES</t>
  </si>
  <si>
    <t>GO TO ROW &gt;&gt;&gt;&gt;&gt;&gt;</t>
  </si>
  <si>
    <t>IN / OUT</t>
  </si>
  <si>
    <t>2020JAVSO..48….1</t>
  </si>
  <si>
    <t>OEJV 0203</t>
  </si>
  <si>
    <t>OEJV 0211</t>
  </si>
  <si>
    <t>VSB 069</t>
  </si>
  <si>
    <t>RHN 2021</t>
  </si>
  <si>
    <t>JAVSO 49, 108</t>
  </si>
  <si>
    <t>VSB, 91</t>
  </si>
  <si>
    <t>JBAV, 63</t>
  </si>
  <si>
    <t>JAVSO, 50, 133</t>
  </si>
  <si>
    <t>JBAV, 79</t>
  </si>
  <si>
    <t>OEJV 226</t>
  </si>
  <si>
    <t>JAAVSO, 51, 250</t>
  </si>
  <si>
    <t>8.57-9.19</t>
  </si>
  <si>
    <t xml:space="preserve">Mag </t>
  </si>
  <si>
    <t>Next ToM-P</t>
  </si>
  <si>
    <t>Next ToM-S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</si>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</sst>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000"/>
    <numFmt numFmtId="167" formatCode="0.E+00"/>
    <numFmt numFmtId="168" formatCode="0.0%"/>
    <numFmt numFmtId="169" formatCode="0.00000"/>
    <numFmt numFmtId="170" formatCode="0.000E+00"/>
  </numFmts>
  <fonts count="6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55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55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36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165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5" fontId="11" fillId="0" borderId="0" xfId="0" applyNumberFormat="1" applyFont="1" applyAlignment="1"/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5" fontId="5" fillId="24" borderId="0" xfId="28" applyNumberFormat="1" applyFont="1" applyFill="1" applyBorder="1" applyAlignment="1">
      <alignment horizontal="left"/>
    </xf>
    <xf numFmtId="165" fontId="15" fillId="0" borderId="0" xfId="0" applyNumberFormat="1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10" fillId="0" borderId="12" xfId="0" applyFont="1" applyBorder="1">
      <alignment vertical="top"/>
    </xf>
    <xf numFmtId="0" fontId="9" fillId="0" borderId="13" xfId="0" applyFont="1" applyBorder="1">
      <alignment vertical="top"/>
    </xf>
    <xf numFmtId="167" fontId="9" fillId="0" borderId="13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10" fillId="0" borderId="15" xfId="0" applyFont="1" applyBorder="1">
      <alignment vertical="top"/>
    </xf>
    <xf numFmtId="0" fontId="9" fillId="0" borderId="16" xfId="0" applyFont="1" applyBorder="1">
      <alignment vertical="top"/>
    </xf>
    <xf numFmtId="167" fontId="9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10" fillId="0" borderId="18" xfId="0" applyFont="1" applyBorder="1">
      <alignment vertical="top"/>
    </xf>
    <xf numFmtId="0" fontId="9" fillId="0" borderId="19" xfId="0" applyFont="1" applyBorder="1">
      <alignment vertical="top"/>
    </xf>
    <xf numFmtId="167" fontId="9" fillId="0" borderId="19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0" fontId="14" fillId="0" borderId="0" xfId="0" applyFont="1">
      <alignment vertical="top"/>
    </xf>
    <xf numFmtId="168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3" fillId="0" borderId="0" xfId="0" applyFont="1">
      <alignment vertical="top"/>
    </xf>
    <xf numFmtId="0" fontId="17" fillId="0" borderId="10" xfId="0" applyFont="1" applyBorder="1" applyAlignment="1">
      <alignment horizontal="center"/>
    </xf>
    <xf numFmtId="0" fontId="15" fillId="25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9" xfId="0" applyBorder="1" applyAlignment="1"/>
    <xf numFmtId="0" fontId="8" fillId="0" borderId="0" xfId="0" applyFo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22" fontId="9" fillId="0" borderId="0" xfId="0" applyNumberFormat="1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8" fillId="0" borderId="0" xfId="0" applyFont="1" applyAlignment="1"/>
    <xf numFmtId="0" fontId="25" fillId="0" borderId="0" xfId="0" applyFont="1" applyAlignment="1"/>
    <xf numFmtId="14" fontId="13" fillId="0" borderId="0" xfId="0" applyNumberFormat="1" applyFont="1" applyAlignment="1"/>
    <xf numFmtId="0" fontId="5" fillId="0" borderId="0" xfId="0" applyFont="1" applyAlignment="1"/>
    <xf numFmtId="0" fontId="0" fillId="0" borderId="0" xfId="0" quotePrefix="1" applyAlignment="1"/>
    <xf numFmtId="11" fontId="0" fillId="0" borderId="0" xfId="0" applyNumberFormat="1" applyAlignment="1"/>
    <xf numFmtId="0" fontId="15" fillId="25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7" fillId="0" borderId="0" xfId="0" applyFont="1">
      <alignment vertical="top"/>
    </xf>
    <xf numFmtId="0" fontId="13" fillId="0" borderId="10" xfId="0" applyFont="1" applyBorder="1" applyAlignment="1"/>
    <xf numFmtId="16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165" fontId="5" fillId="0" borderId="0" xfId="0" applyNumberFormat="1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2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25" xfId="0" applyFont="1" applyFill="1" applyBorder="1" applyAlignment="1">
      <alignment horizontal="left" vertical="top" wrapText="1" indent="1"/>
    </xf>
    <xf numFmtId="0" fontId="5" fillId="26" borderId="25" xfId="0" applyFont="1" applyFill="1" applyBorder="1" applyAlignment="1">
      <alignment horizontal="center" vertical="top" wrapText="1"/>
    </xf>
    <xf numFmtId="0" fontId="5" fillId="26" borderId="25" xfId="0" applyFont="1" applyFill="1" applyBorder="1" applyAlignment="1">
      <alignment horizontal="right" vertical="top" wrapText="1"/>
    </xf>
    <xf numFmtId="0" fontId="32" fillId="26" borderId="25" xfId="39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5" fillId="24" borderId="0" xfId="28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24" fillId="0" borderId="0" xfId="43" applyFont="1"/>
    <xf numFmtId="0" fontId="24" fillId="0" borderId="0" xfId="43" applyFont="1" applyAlignment="1">
      <alignment horizontal="center"/>
    </xf>
    <xf numFmtId="0" fontId="24" fillId="0" borderId="0" xfId="43" applyFont="1" applyAlignment="1">
      <alignment horizontal="left"/>
    </xf>
    <xf numFmtId="0" fontId="8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7" fillId="0" borderId="0" xfId="44" applyFont="1" applyAlignment="1">
      <alignment horizontal="left"/>
    </xf>
    <xf numFmtId="0" fontId="47" fillId="0" borderId="0" xfId="44" applyFont="1" applyAlignment="1">
      <alignment horizontal="center"/>
    </xf>
    <xf numFmtId="0" fontId="7" fillId="0" borderId="23" xfId="0" applyFont="1" applyBorder="1" applyAlignment="1"/>
    <xf numFmtId="0" fontId="0" fillId="0" borderId="26" xfId="0" applyBorder="1" applyAlignment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0" fillId="0" borderId="11" xfId="0" applyBorder="1" applyAlignment="1"/>
    <xf numFmtId="0" fontId="9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12" xfId="0" applyBorder="1" applyAlignment="1"/>
    <xf numFmtId="0" fontId="0" fillId="27" borderId="11" xfId="0" applyFill="1" applyBorder="1" applyAlignment="1"/>
    <xf numFmtId="0" fontId="13" fillId="27" borderId="12" xfId="0" applyFont="1" applyFill="1" applyBorder="1" applyAlignment="1"/>
    <xf numFmtId="0" fontId="30" fillId="0" borderId="13" xfId="0" applyFont="1" applyBorder="1" applyAlignment="1"/>
    <xf numFmtId="0" fontId="0" fillId="0" borderId="15" xfId="0" applyBorder="1" applyAlignment="1"/>
    <xf numFmtId="0" fontId="0" fillId="27" borderId="14" xfId="0" applyFill="1" applyBorder="1" applyAlignment="1"/>
    <xf numFmtId="0" fontId="13" fillId="27" borderId="15" xfId="0" applyFont="1" applyFill="1" applyBorder="1" applyAlignment="1"/>
    <xf numFmtId="0" fontId="30" fillId="0" borderId="16" xfId="0" applyFont="1" applyBorder="1" applyAlignment="1"/>
    <xf numFmtId="0" fontId="0" fillId="28" borderId="14" xfId="0" applyFill="1" applyBorder="1" applyAlignment="1"/>
    <xf numFmtId="0" fontId="13" fillId="29" borderId="15" xfId="0" applyFont="1" applyFill="1" applyBorder="1" applyAlignment="1"/>
    <xf numFmtId="0" fontId="13" fillId="28" borderId="14" xfId="0" applyFont="1" applyFill="1" applyBorder="1" applyAlignment="1"/>
    <xf numFmtId="0" fontId="0" fillId="27" borderId="17" xfId="0" applyFill="1" applyBorder="1" applyAlignment="1"/>
    <xf numFmtId="0" fontId="13" fillId="27" borderId="18" xfId="0" applyFont="1" applyFill="1" applyBorder="1" applyAlignment="1"/>
    <xf numFmtId="0" fontId="30" fillId="0" borderId="19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6" fillId="0" borderId="14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70" fontId="9" fillId="0" borderId="0" xfId="0" applyNumberFormat="1" applyFont="1" applyAlignment="1"/>
    <xf numFmtId="0" fontId="13" fillId="0" borderId="17" xfId="0" applyFont="1" applyBorder="1" applyAlignment="1"/>
    <xf numFmtId="0" fontId="52" fillId="29" borderId="10" xfId="0" applyFont="1" applyFill="1" applyBorder="1" applyAlignment="1"/>
    <xf numFmtId="0" fontId="0" fillId="0" borderId="10" xfId="0" applyBorder="1" applyAlignment="1"/>
    <xf numFmtId="0" fontId="0" fillId="0" borderId="18" xfId="0" applyBorder="1" applyAlignment="1"/>
    <xf numFmtId="0" fontId="5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28" borderId="0" xfId="0" applyFill="1" applyAlignment="1">
      <alignment horizontal="center"/>
    </xf>
    <xf numFmtId="165" fontId="54" fillId="30" borderId="0" xfId="0" applyNumberFormat="1" applyFont="1" applyFill="1" applyAlignment="1">
      <alignment horizontal="left"/>
    </xf>
    <xf numFmtId="0" fontId="54" fillId="30" borderId="0" xfId="0" applyFont="1" applyFill="1" applyAlignment="1"/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0" fillId="27" borderId="17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3" fillId="27" borderId="10" xfId="0" applyFont="1" applyFill="1" applyBorder="1" applyAlignment="1">
      <alignment horizontal="center"/>
    </xf>
    <xf numFmtId="10" fontId="0" fillId="0" borderId="0" xfId="0" applyNumberFormat="1" applyAlignment="1"/>
    <xf numFmtId="10" fontId="9" fillId="0" borderId="0" xfId="0" applyNumberFormat="1" applyFont="1" applyAlignment="1"/>
    <xf numFmtId="1" fontId="10" fillId="0" borderId="24" xfId="0" applyNumberFormat="1" applyFont="1" applyBorder="1" applyAlignment="1">
      <alignment horizontal="center"/>
    </xf>
    <xf numFmtId="0" fontId="13" fillId="31" borderId="0" xfId="0" applyFont="1" applyFill="1" applyAlignment="1">
      <alignment horizontal="left" vertical="center"/>
    </xf>
    <xf numFmtId="0" fontId="0" fillId="31" borderId="0" xfId="0" applyFill="1" applyAlignment="1"/>
    <xf numFmtId="0" fontId="16" fillId="27" borderId="0" xfId="0" applyFont="1" applyFill="1" applyAlignment="1">
      <alignment horizontal="left"/>
    </xf>
    <xf numFmtId="0" fontId="16" fillId="27" borderId="0" xfId="0" applyFont="1" applyFill="1" applyAlignment="1">
      <alignment horizontal="center"/>
    </xf>
    <xf numFmtId="0" fontId="17" fillId="0" borderId="23" xfId="0" applyFont="1" applyBorder="1" applyAlignment="1"/>
    <xf numFmtId="0" fontId="17" fillId="0" borderId="26" xfId="0" applyFont="1" applyBorder="1" applyAlignment="1"/>
    <xf numFmtId="0" fontId="17" fillId="0" borderId="24" xfId="0" applyFont="1" applyBorder="1" applyAlignment="1"/>
    <xf numFmtId="0" fontId="8" fillId="0" borderId="23" xfId="0" applyFont="1" applyBorder="1" applyAlignment="1">
      <alignment horizontal="left"/>
    </xf>
    <xf numFmtId="0" fontId="8" fillId="0" borderId="26" xfId="0" applyFont="1" applyBorder="1" applyAlignment="1"/>
    <xf numFmtId="0" fontId="8" fillId="0" borderId="24" xfId="0" applyFont="1" applyBorder="1" applyAlignment="1"/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/>
    <xf numFmtId="0" fontId="10" fillId="32" borderId="28" xfId="0" applyFont="1" applyFill="1" applyBorder="1" applyAlignment="1">
      <alignment horizontal="center"/>
    </xf>
    <xf numFmtId="0" fontId="13" fillId="32" borderId="20" xfId="0" applyFont="1" applyFill="1" applyBorder="1" applyAlignment="1">
      <alignment horizont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 applyProtection="1">
      <alignment horizontal="left" vertical="center" wrapText="1"/>
      <protection locked="0"/>
    </xf>
    <xf numFmtId="165" fontId="54" fillId="30" borderId="0" xfId="0" applyNumberFormat="1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27" borderId="11" xfId="0" applyFill="1" applyBorder="1" applyAlignment="1">
      <alignment vertical="center"/>
    </xf>
    <xf numFmtId="0" fontId="13" fillId="27" borderId="12" xfId="0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7" borderId="14" xfId="0" applyFill="1" applyBorder="1" applyAlignment="1">
      <alignment vertical="center"/>
    </xf>
    <xf numFmtId="0" fontId="13" fillId="27" borderId="15" xfId="0" applyFont="1" applyFill="1" applyBorder="1" applyAlignment="1">
      <alignment vertical="center"/>
    </xf>
    <xf numFmtId="0" fontId="30" fillId="0" borderId="16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0" fillId="28" borderId="14" xfId="0" applyFill="1" applyBorder="1" applyAlignment="1">
      <alignment vertical="center"/>
    </xf>
    <xf numFmtId="0" fontId="13" fillId="29" borderId="1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8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27" borderId="17" xfId="0" applyFill="1" applyBorder="1" applyAlignment="1">
      <alignment vertical="center"/>
    </xf>
    <xf numFmtId="0" fontId="13" fillId="27" borderId="18" xfId="0" applyFont="1" applyFill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28" borderId="0" xfId="0" applyFill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6" fillId="0" borderId="14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0" fontId="9" fillId="0" borderId="0" xfId="0" applyNumberFormat="1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13" fillId="0" borderId="17" xfId="0" applyFont="1" applyBorder="1" applyAlignment="1">
      <alignment vertical="center"/>
    </xf>
    <xf numFmtId="0" fontId="52" fillId="29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24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center" vertical="center"/>
    </xf>
    <xf numFmtId="0" fontId="24" fillId="0" borderId="0" xfId="43" applyFont="1" applyAlignment="1">
      <alignment horizontal="left" vertical="center"/>
    </xf>
    <xf numFmtId="0" fontId="47" fillId="0" borderId="0" xfId="44" applyFont="1" applyAlignment="1">
      <alignment horizontal="left" vertical="center"/>
    </xf>
    <xf numFmtId="0" fontId="47" fillId="0" borderId="0" xfId="44" applyFont="1" applyAlignment="1">
      <alignment horizontal="center" vertical="center"/>
    </xf>
    <xf numFmtId="0" fontId="47" fillId="0" borderId="0" xfId="43" applyFont="1" applyAlignment="1">
      <alignment vertical="center"/>
    </xf>
    <xf numFmtId="0" fontId="47" fillId="0" borderId="0" xfId="43" applyFont="1" applyAlignment="1">
      <alignment horizontal="center" vertical="center"/>
    </xf>
    <xf numFmtId="0" fontId="47" fillId="0" borderId="0" xfId="43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56" fillId="0" borderId="0" xfId="28" applyFont="1" applyBorder="1" applyAlignment="1">
      <alignment vertical="center"/>
    </xf>
    <xf numFmtId="169" fontId="56" fillId="0" borderId="0" xfId="0" applyNumberFormat="1" applyFont="1" applyAlignment="1">
      <alignment horizontal="left" vertical="center" wrapText="1"/>
    </xf>
    <xf numFmtId="169" fontId="56" fillId="0" borderId="0" xfId="0" applyNumberFormat="1" applyFont="1" applyAlignment="1" applyProtection="1">
      <alignment horizontal="left" vertical="center" wrapText="1"/>
      <protection locked="0"/>
    </xf>
    <xf numFmtId="165" fontId="57" fillId="0" borderId="0" xfId="0" applyNumberFormat="1" applyFont="1" applyAlignment="1">
      <alignment horizontal="left" vertical="center"/>
    </xf>
    <xf numFmtId="4" fontId="56" fillId="0" borderId="0" xfId="28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6" fillId="0" borderId="0" xfId="0" applyFont="1" applyAlignme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8" fillId="0" borderId="0" xfId="43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0" fillId="0" borderId="29" xfId="0" applyBorder="1" applyAlignment="1">
      <alignment vertical="center"/>
    </xf>
    <xf numFmtId="0" fontId="6" fillId="33" borderId="30" xfId="0" applyFont="1" applyFill="1" applyBorder="1" applyAlignment="1">
      <alignment horizontal="right" vertical="center"/>
    </xf>
    <xf numFmtId="0" fontId="6" fillId="33" borderId="31" xfId="0" applyFont="1" applyFill="1" applyBorder="1" applyAlignment="1">
      <alignment horizontal="center" vertical="center"/>
    </xf>
    <xf numFmtId="0" fontId="59" fillId="0" borderId="32" xfId="0" applyFont="1" applyBorder="1" applyAlignment="1">
      <alignment horizontal="right" vertical="center"/>
    </xf>
    <xf numFmtId="0" fontId="61" fillId="0" borderId="33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22" fontId="60" fillId="0" borderId="33" xfId="0" applyNumberFormat="1" applyFont="1" applyBorder="1" applyAlignment="1">
      <alignment vertical="center"/>
    </xf>
    <xf numFmtId="0" fontId="59" fillId="0" borderId="34" xfId="0" applyFont="1" applyBorder="1" applyAlignment="1">
      <alignment horizontal="right" vertical="center"/>
    </xf>
    <xf numFmtId="22" fontId="60" fillId="0" borderId="35" xfId="0" applyNumberFormat="1" applyFont="1" applyBorder="1" applyAlignment="1">
      <alignment vertical="center"/>
    </xf>
    <xf numFmtId="165" fontId="59" fillId="0" borderId="0" xfId="0" applyNumberFormat="1" applyFont="1" applyAlignment="1">
      <alignment horizontal="right" vertical="center"/>
    </xf>
    <xf numFmtId="0" fontId="0" fillId="33" borderId="31" xfId="0" applyFill="1" applyBorder="1" applyAlignment="1">
      <alignment horizontal="center" vertical="center"/>
    </xf>
    <xf numFmtId="165" fontId="59" fillId="0" borderId="32" xfId="0" applyNumberFormat="1" applyFont="1" applyBorder="1" applyAlignment="1">
      <alignment horizontal="right" vertical="center"/>
    </xf>
    <xf numFmtId="0" fontId="6" fillId="34" borderId="30" xfId="0" applyFont="1" applyFill="1" applyBorder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69" fontId="56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7617554858934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8087774294671"/>
          <c:y val="0.14634168126798494"/>
          <c:w val="0.8510971786833855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1'!$H$21:$H$1184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DA-4765-B51F-25FE957974D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1'!$I$21:$I$1184</c:f>
              <c:numCache>
                <c:formatCode>General</c:formatCode>
                <c:ptCount val="1164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9">
                  <c:v>6.7275209949002601E-3</c:v>
                </c:pt>
                <c:pt idx="166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DA-4765-B51F-25FE957974D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1'!$J$21:$J$1184</c:f>
              <c:numCache>
                <c:formatCode>General</c:formatCode>
                <c:ptCount val="1164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3">
                  <c:v>2.831416799017461E-2</c:v>
                </c:pt>
                <c:pt idx="64">
                  <c:v>2.7419723992352374E-2</c:v>
                </c:pt>
                <c:pt idx="68">
                  <c:v>2.7093983997474425E-2</c:v>
                </c:pt>
                <c:pt idx="76">
                  <c:v>2.3979827994480729E-2</c:v>
                </c:pt>
                <c:pt idx="77">
                  <c:v>2.2427656993386336E-2</c:v>
                </c:pt>
                <c:pt idx="84">
                  <c:v>2.2614319001149852E-2</c:v>
                </c:pt>
                <c:pt idx="86">
                  <c:v>2.296257799025625E-2</c:v>
                </c:pt>
                <c:pt idx="87">
                  <c:v>2.2110836995125283E-2</c:v>
                </c:pt>
                <c:pt idx="88">
                  <c:v>2.1803872994496487E-2</c:v>
                </c:pt>
                <c:pt idx="95">
                  <c:v>1.9057729994528927E-2</c:v>
                </c:pt>
                <c:pt idx="98">
                  <c:v>1.7129991996625904E-2</c:v>
                </c:pt>
                <c:pt idx="104">
                  <c:v>1.5742005998617969E-2</c:v>
                </c:pt>
                <c:pt idx="130">
                  <c:v>1.414277299772948E-2</c:v>
                </c:pt>
                <c:pt idx="146">
                  <c:v>9.5916639911592938E-3</c:v>
                </c:pt>
                <c:pt idx="147">
                  <c:v>9.9399229948176071E-3</c:v>
                </c:pt>
                <c:pt idx="148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DA-4765-B51F-25FE957974D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1'!$K$21:$K$1184</c:f>
              <c:numCache>
                <c:formatCode>General</c:formatCode>
                <c:ptCount val="1164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5">
                  <c:v>2.7631189994281158E-2</c:v>
                </c:pt>
                <c:pt idx="66">
                  <c:v>2.7382011998270173E-2</c:v>
                </c:pt>
                <c:pt idx="67">
                  <c:v>2.508848699653754E-2</c:v>
                </c:pt>
                <c:pt idx="69">
                  <c:v>2.6526907000516076E-2</c:v>
                </c:pt>
                <c:pt idx="71">
                  <c:v>2.6498426988837309E-2</c:v>
                </c:pt>
                <c:pt idx="72">
                  <c:v>2.7873563994944561E-2</c:v>
                </c:pt>
                <c:pt idx="73">
                  <c:v>2.5585922579921316E-2</c:v>
                </c:pt>
                <c:pt idx="74">
                  <c:v>2.5593654994736426E-2</c:v>
                </c:pt>
                <c:pt idx="75">
                  <c:v>2.6634519992512651E-2</c:v>
                </c:pt>
                <c:pt idx="78">
                  <c:v>2.4269010995340068E-2</c:v>
                </c:pt>
                <c:pt idx="79">
                  <c:v>2.4491917996783741E-2</c:v>
                </c:pt>
                <c:pt idx="80">
                  <c:v>2.4807608002447523E-2</c:v>
                </c:pt>
                <c:pt idx="81">
                  <c:v>2.2683899995172396E-2</c:v>
                </c:pt>
                <c:pt idx="82">
                  <c:v>2.304663499671733E-2</c:v>
                </c:pt>
                <c:pt idx="83">
                  <c:v>2.2173023993673269E-2</c:v>
                </c:pt>
                <c:pt idx="85">
                  <c:v>2.2562577993085142E-2</c:v>
                </c:pt>
                <c:pt idx="89">
                  <c:v>2.123429199855309E-2</c:v>
                </c:pt>
                <c:pt idx="90">
                  <c:v>1.9981867990281899E-2</c:v>
                </c:pt>
                <c:pt idx="91">
                  <c:v>2.0336112997028977E-2</c:v>
                </c:pt>
                <c:pt idx="92">
                  <c:v>1.9698358999448828E-2</c:v>
                </c:pt>
                <c:pt idx="93">
                  <c:v>2.2325784993881825E-2</c:v>
                </c:pt>
                <c:pt idx="94">
                  <c:v>2.0279540993215051E-2</c:v>
                </c:pt>
                <c:pt idx="96">
                  <c:v>2.1117960997798946E-2</c:v>
                </c:pt>
                <c:pt idx="97">
                  <c:v>2.0207514993671793E-2</c:v>
                </c:pt>
                <c:pt idx="99">
                  <c:v>1.6477138000482228E-2</c:v>
                </c:pt>
                <c:pt idx="100">
                  <c:v>1.7055756994523108E-2</c:v>
                </c:pt>
                <c:pt idx="101">
                  <c:v>1.7095756993512623E-2</c:v>
                </c:pt>
                <c:pt idx="102">
                  <c:v>1.7255756996746641E-2</c:v>
                </c:pt>
                <c:pt idx="103">
                  <c:v>1.7305756991845556E-2</c:v>
                </c:pt>
                <c:pt idx="105">
                  <c:v>1.6323128998919856E-2</c:v>
                </c:pt>
                <c:pt idx="106">
                  <c:v>1.6383128997404128E-2</c:v>
                </c:pt>
                <c:pt idx="107">
                  <c:v>1.6823129000840709E-2</c:v>
                </c:pt>
                <c:pt idx="108">
                  <c:v>1.6883128999324981E-2</c:v>
                </c:pt>
                <c:pt idx="109">
                  <c:v>1.7323128995485604E-2</c:v>
                </c:pt>
                <c:pt idx="110">
                  <c:v>1.7383129001245834E-2</c:v>
                </c:pt>
                <c:pt idx="111">
                  <c:v>1.4941575995180756E-2</c:v>
                </c:pt>
                <c:pt idx="112">
                  <c:v>1.4961575994675513E-2</c:v>
                </c:pt>
                <c:pt idx="113">
                  <c:v>1.5641575992049184E-2</c:v>
                </c:pt>
                <c:pt idx="114">
                  <c:v>1.5661575991543941E-2</c:v>
                </c:pt>
                <c:pt idx="115">
                  <c:v>1.5841575994272716E-2</c:v>
                </c:pt>
                <c:pt idx="116">
                  <c:v>1.5861575993767474E-2</c:v>
                </c:pt>
                <c:pt idx="117">
                  <c:v>1.6367770993383601E-2</c:v>
                </c:pt>
                <c:pt idx="118">
                  <c:v>1.4957931998651475E-2</c:v>
                </c:pt>
                <c:pt idx="119">
                  <c:v>1.5906190994428471E-2</c:v>
                </c:pt>
                <c:pt idx="120">
                  <c:v>1.6926104995945934E-2</c:v>
                </c:pt>
                <c:pt idx="121">
                  <c:v>1.4706507994560525E-2</c:v>
                </c:pt>
                <c:pt idx="122">
                  <c:v>1.4906507996784057E-2</c:v>
                </c:pt>
                <c:pt idx="123">
                  <c:v>1.4906507996784057E-2</c:v>
                </c:pt>
                <c:pt idx="124">
                  <c:v>1.5799774992046878E-2</c:v>
                </c:pt>
                <c:pt idx="125">
                  <c:v>1.4336609994643368E-2</c:v>
                </c:pt>
                <c:pt idx="126">
                  <c:v>1.372341799287824E-2</c:v>
                </c:pt>
                <c:pt idx="127">
                  <c:v>1.432341799227288E-2</c:v>
                </c:pt>
                <c:pt idx="128">
                  <c:v>1.5123417993891053E-2</c:v>
                </c:pt>
                <c:pt idx="129">
                  <c:v>1.3397189999523107E-2</c:v>
                </c:pt>
                <c:pt idx="131">
                  <c:v>1.3571370000136085E-2</c:v>
                </c:pt>
                <c:pt idx="132">
                  <c:v>1.3681369993719272E-2</c:v>
                </c:pt>
                <c:pt idx="133">
                  <c:v>1.3751369995588902E-2</c:v>
                </c:pt>
                <c:pt idx="134">
                  <c:v>1.3811369994073175E-2</c:v>
                </c:pt>
                <c:pt idx="135">
                  <c:v>1.391136999882292E-2</c:v>
                </c:pt>
                <c:pt idx="136">
                  <c:v>1.4041369999176823E-2</c:v>
                </c:pt>
                <c:pt idx="137">
                  <c:v>1.3539585990656633E-2</c:v>
                </c:pt>
                <c:pt idx="138">
                  <c:v>1.0669026996765751E-2</c:v>
                </c:pt>
                <c:pt idx="139">
                  <c:v>1.2429746995621826E-2</c:v>
                </c:pt>
                <c:pt idx="140">
                  <c:v>1.3178005996451247E-2</c:v>
                </c:pt>
                <c:pt idx="141">
                  <c:v>1.2526264996267855E-2</c:v>
                </c:pt>
                <c:pt idx="142">
                  <c:v>1.186833899555495E-2</c:v>
                </c:pt>
                <c:pt idx="143">
                  <c:v>1.1978338996414095E-2</c:v>
                </c:pt>
                <c:pt idx="145">
                  <c:v>9.713963998365216E-3</c:v>
                </c:pt>
                <c:pt idx="150">
                  <c:v>9.0377089945832267E-3</c:v>
                </c:pt>
                <c:pt idx="151">
                  <c:v>9.1577089915517718E-3</c:v>
                </c:pt>
                <c:pt idx="152">
                  <c:v>9.487708994129207E-3</c:v>
                </c:pt>
                <c:pt idx="153">
                  <c:v>9.9577089931699447E-3</c:v>
                </c:pt>
                <c:pt idx="154">
                  <c:v>7.7561559955938719E-3</c:v>
                </c:pt>
                <c:pt idx="155">
                  <c:v>8.1861559956450947E-3</c:v>
                </c:pt>
                <c:pt idx="156">
                  <c:v>8.3461559988791123E-3</c:v>
                </c:pt>
                <c:pt idx="157">
                  <c:v>8.4661559958476573E-3</c:v>
                </c:pt>
                <c:pt idx="158">
                  <c:v>2.4279069912154227E-3</c:v>
                </c:pt>
                <c:pt idx="159">
                  <c:v>4.9579069964238442E-3</c:v>
                </c:pt>
                <c:pt idx="160">
                  <c:v>5.2279069932410493E-3</c:v>
                </c:pt>
                <c:pt idx="161">
                  <c:v>5.6879069961723872E-3</c:v>
                </c:pt>
                <c:pt idx="162">
                  <c:v>4.6356929888133891E-3</c:v>
                </c:pt>
                <c:pt idx="163">
                  <c:v>4.7056929906830192E-3</c:v>
                </c:pt>
                <c:pt idx="164">
                  <c:v>4.8156929915421642E-3</c:v>
                </c:pt>
                <c:pt idx="165">
                  <c:v>2.1898509949096479E-3</c:v>
                </c:pt>
                <c:pt idx="167">
                  <c:v>1.86444499559002E-3</c:v>
                </c:pt>
                <c:pt idx="168">
                  <c:v>1.974444996449165E-3</c:v>
                </c:pt>
                <c:pt idx="169">
                  <c:v>-4.9062300240620971E-4</c:v>
                </c:pt>
                <c:pt idx="170">
                  <c:v>-5.0622998969629407E-5</c:v>
                </c:pt>
                <c:pt idx="171">
                  <c:v>9.3769995146431029E-6</c:v>
                </c:pt>
                <c:pt idx="172">
                  <c:v>4.7937699855538085E-4</c:v>
                </c:pt>
                <c:pt idx="173">
                  <c:v>-1.0507949991733767E-3</c:v>
                </c:pt>
                <c:pt idx="174">
                  <c:v>-1.8437720063957386E-3</c:v>
                </c:pt>
                <c:pt idx="175">
                  <c:v>-2.860634216631297E-3</c:v>
                </c:pt>
                <c:pt idx="176">
                  <c:v>-2.4306342020281591E-3</c:v>
                </c:pt>
                <c:pt idx="177">
                  <c:v>-2.2506342284032144E-3</c:v>
                </c:pt>
                <c:pt idx="178">
                  <c:v>-2.1706340849050321E-3</c:v>
                </c:pt>
                <c:pt idx="179">
                  <c:v>-7.4845360068138689E-3</c:v>
                </c:pt>
                <c:pt idx="180">
                  <c:v>-7.7565620085806586E-3</c:v>
                </c:pt>
                <c:pt idx="181">
                  <c:v>-1.0000759000831749E-2</c:v>
                </c:pt>
                <c:pt idx="182">
                  <c:v>-1.8659294008102734E-2</c:v>
                </c:pt>
                <c:pt idx="183">
                  <c:v>-1.9968096006778069E-2</c:v>
                </c:pt>
                <c:pt idx="184">
                  <c:v>-2.4911735003115609E-2</c:v>
                </c:pt>
                <c:pt idx="185">
                  <c:v>-2.6263476007443387E-2</c:v>
                </c:pt>
                <c:pt idx="186">
                  <c:v>-2.6542036182945594E-2</c:v>
                </c:pt>
                <c:pt idx="187">
                  <c:v>-2.5493776985967997E-2</c:v>
                </c:pt>
                <c:pt idx="188">
                  <c:v>-3.2480414003657643E-2</c:v>
                </c:pt>
                <c:pt idx="189">
                  <c:v>7.6603212997724768E-2</c:v>
                </c:pt>
                <c:pt idx="190">
                  <c:v>-2.9352988000027835E-2</c:v>
                </c:pt>
                <c:pt idx="191">
                  <c:v>-2.6586771004076581E-2</c:v>
                </c:pt>
                <c:pt idx="192">
                  <c:v>-2.9390135008725338E-2</c:v>
                </c:pt>
                <c:pt idx="193">
                  <c:v>-3.469527792185545E-2</c:v>
                </c:pt>
                <c:pt idx="194">
                  <c:v>-3.6122291006904561E-2</c:v>
                </c:pt>
                <c:pt idx="195">
                  <c:v>-3.7774032003653701E-2</c:v>
                </c:pt>
                <c:pt idx="196">
                  <c:v>-4.22587718203431E-2</c:v>
                </c:pt>
                <c:pt idx="197">
                  <c:v>-4.3210218005697243E-2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DA-4765-B51F-25FE957974D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1'!$L$21:$L$1184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DA-4765-B51F-25FE957974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1'!$M$21:$M$1184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DA-4765-B51F-25FE957974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1'!$N$21:$N$1184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DA-4765-B51F-25FE957974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1'!$O$21:$O$1184</c:f>
              <c:numCache>
                <c:formatCode>General</c:formatCode>
                <c:ptCount val="1164"/>
                <c:pt idx="6">
                  <c:v>0.16478566022000038</c:v>
                </c:pt>
                <c:pt idx="12">
                  <c:v>0.14653847968119421</c:v>
                </c:pt>
                <c:pt idx="14">
                  <c:v>0.14633663494265342</c:v>
                </c:pt>
                <c:pt idx="60">
                  <c:v>5.9023178971812224E-2</c:v>
                </c:pt>
                <c:pt idx="63">
                  <c:v>5.3766892275378841E-2</c:v>
                </c:pt>
                <c:pt idx="69">
                  <c:v>4.8104835228270665E-2</c:v>
                </c:pt>
                <c:pt idx="83">
                  <c:v>3.5072323914033809E-2</c:v>
                </c:pt>
                <c:pt idx="85">
                  <c:v>3.5059838672474586E-2</c:v>
                </c:pt>
                <c:pt idx="89">
                  <c:v>3.4547943768546391E-2</c:v>
                </c:pt>
                <c:pt idx="91">
                  <c:v>3.221944621775108E-2</c:v>
                </c:pt>
                <c:pt idx="92">
                  <c:v>3.1815756740669499E-2</c:v>
                </c:pt>
                <c:pt idx="93">
                  <c:v>3.137044979172382E-2</c:v>
                </c:pt>
                <c:pt idx="94">
                  <c:v>3.119565640989469E-2</c:v>
                </c:pt>
                <c:pt idx="95">
                  <c:v>3.0631739666136415E-2</c:v>
                </c:pt>
                <c:pt idx="96">
                  <c:v>3.0404924444477149E-2</c:v>
                </c:pt>
                <c:pt idx="97">
                  <c:v>3.0392439202917926E-2</c:v>
                </c:pt>
                <c:pt idx="98">
                  <c:v>2.9761934504177107E-2</c:v>
                </c:pt>
                <c:pt idx="99">
                  <c:v>2.7069284074571098E-2</c:v>
                </c:pt>
                <c:pt idx="100">
                  <c:v>2.6983968257249746E-2</c:v>
                </c:pt>
                <c:pt idx="101">
                  <c:v>2.6983968257249746E-2</c:v>
                </c:pt>
                <c:pt idx="102">
                  <c:v>2.6983968257249746E-2</c:v>
                </c:pt>
                <c:pt idx="103">
                  <c:v>2.6983968257249746E-2</c:v>
                </c:pt>
                <c:pt idx="104">
                  <c:v>2.571255449180207E-2</c:v>
                </c:pt>
                <c:pt idx="105">
                  <c:v>2.5510709753261279E-2</c:v>
                </c:pt>
                <c:pt idx="106">
                  <c:v>2.5510709753261279E-2</c:v>
                </c:pt>
                <c:pt idx="107">
                  <c:v>2.5510709753261279E-2</c:v>
                </c:pt>
                <c:pt idx="108">
                  <c:v>2.5510709753261279E-2</c:v>
                </c:pt>
                <c:pt idx="109">
                  <c:v>2.5510709753261279E-2</c:v>
                </c:pt>
                <c:pt idx="110">
                  <c:v>2.5510709753261279E-2</c:v>
                </c:pt>
                <c:pt idx="111">
                  <c:v>2.5233953565365147E-2</c:v>
                </c:pt>
                <c:pt idx="112">
                  <c:v>2.5233953565365147E-2</c:v>
                </c:pt>
                <c:pt idx="113">
                  <c:v>2.5233953565365147E-2</c:v>
                </c:pt>
                <c:pt idx="114">
                  <c:v>2.5233953565365147E-2</c:v>
                </c:pt>
                <c:pt idx="115">
                  <c:v>2.5233953565365147E-2</c:v>
                </c:pt>
                <c:pt idx="116">
                  <c:v>2.5233953565365147E-2</c:v>
                </c:pt>
                <c:pt idx="117">
                  <c:v>2.2934588244874682E-2</c:v>
                </c:pt>
                <c:pt idx="118">
                  <c:v>2.2145937153050355E-2</c:v>
                </c:pt>
                <c:pt idx="119">
                  <c:v>2.2143856279457141E-2</c:v>
                </c:pt>
                <c:pt idx="120">
                  <c:v>2.2048136094169779E-2</c:v>
                </c:pt>
                <c:pt idx="121">
                  <c:v>2.2012761243085294E-2</c:v>
                </c:pt>
                <c:pt idx="122">
                  <c:v>2.2012761243085294E-2</c:v>
                </c:pt>
                <c:pt idx="123">
                  <c:v>2.2012761243085294E-2</c:v>
                </c:pt>
                <c:pt idx="124">
                  <c:v>2.1777622527053231E-2</c:v>
                </c:pt>
                <c:pt idx="125">
                  <c:v>2.1642365743494985E-2</c:v>
                </c:pt>
                <c:pt idx="126">
                  <c:v>2.099313318241533E-2</c:v>
                </c:pt>
                <c:pt idx="127">
                  <c:v>2.099313318241533E-2</c:v>
                </c:pt>
                <c:pt idx="128">
                  <c:v>2.099313318241533E-2</c:v>
                </c:pt>
                <c:pt idx="129">
                  <c:v>2.0352224115708473E-2</c:v>
                </c:pt>
                <c:pt idx="130">
                  <c:v>2.0275231792759946E-2</c:v>
                </c:pt>
                <c:pt idx="131">
                  <c:v>1.8229733050640379E-2</c:v>
                </c:pt>
                <c:pt idx="132">
                  <c:v>1.8229733050640379E-2</c:v>
                </c:pt>
                <c:pt idx="133">
                  <c:v>1.8229733050640379E-2</c:v>
                </c:pt>
                <c:pt idx="134">
                  <c:v>1.8229733050640379E-2</c:v>
                </c:pt>
                <c:pt idx="135">
                  <c:v>1.8229733050640379E-2</c:v>
                </c:pt>
                <c:pt idx="136">
                  <c:v>1.8229733050640379E-2</c:v>
                </c:pt>
                <c:pt idx="137">
                  <c:v>1.8179792084403484E-2</c:v>
                </c:pt>
                <c:pt idx="138">
                  <c:v>1.7557610880035462E-2</c:v>
                </c:pt>
                <c:pt idx="139">
                  <c:v>1.7391140992579129E-2</c:v>
                </c:pt>
                <c:pt idx="140">
                  <c:v>1.7389060118985944E-2</c:v>
                </c:pt>
                <c:pt idx="141">
                  <c:v>1.7386979245392731E-2</c:v>
                </c:pt>
                <c:pt idx="142">
                  <c:v>1.6791849397736369E-2</c:v>
                </c:pt>
                <c:pt idx="143">
                  <c:v>1.6791849397736369E-2</c:v>
                </c:pt>
                <c:pt idx="144">
                  <c:v>1.5999036558725643E-2</c:v>
                </c:pt>
                <c:pt idx="145">
                  <c:v>1.289021141047883E-2</c:v>
                </c:pt>
                <c:pt idx="146">
                  <c:v>1.2265949332517623E-2</c:v>
                </c:pt>
                <c:pt idx="147">
                  <c:v>1.226386845892441E-2</c:v>
                </c:pt>
                <c:pt idx="148">
                  <c:v>1.2261787585331196E-2</c:v>
                </c:pt>
                <c:pt idx="149">
                  <c:v>1.2010001880553511E-2</c:v>
                </c:pt>
                <c:pt idx="150">
                  <c:v>1.1735326566250592E-2</c:v>
                </c:pt>
                <c:pt idx="151">
                  <c:v>1.1735326566250592E-2</c:v>
                </c:pt>
                <c:pt idx="152">
                  <c:v>1.1735326566250592E-2</c:v>
                </c:pt>
                <c:pt idx="153">
                  <c:v>1.1735326566250592E-2</c:v>
                </c:pt>
                <c:pt idx="154">
                  <c:v>1.1458570378354432E-2</c:v>
                </c:pt>
                <c:pt idx="155">
                  <c:v>1.1458570378354432E-2</c:v>
                </c:pt>
                <c:pt idx="156">
                  <c:v>1.1458570378354432E-2</c:v>
                </c:pt>
                <c:pt idx="157">
                  <c:v>1.1458570378354432E-2</c:v>
                </c:pt>
                <c:pt idx="158">
                  <c:v>8.568236957394032E-3</c:v>
                </c:pt>
                <c:pt idx="159">
                  <c:v>8.568236957394032E-3</c:v>
                </c:pt>
                <c:pt idx="160">
                  <c:v>8.568236957394032E-3</c:v>
                </c:pt>
                <c:pt idx="161">
                  <c:v>8.568236957394032E-3</c:v>
                </c:pt>
                <c:pt idx="162">
                  <c:v>8.0396950647202148E-3</c:v>
                </c:pt>
                <c:pt idx="163">
                  <c:v>8.0396950647202148E-3</c:v>
                </c:pt>
                <c:pt idx="164">
                  <c:v>8.0396950647202148E-3</c:v>
                </c:pt>
                <c:pt idx="165">
                  <c:v>3.9570210748539059E-3</c:v>
                </c:pt>
                <c:pt idx="166">
                  <c:v>3.195421339741239E-3</c:v>
                </c:pt>
                <c:pt idx="167">
                  <c:v>2.7792466211004341E-3</c:v>
                </c:pt>
                <c:pt idx="168">
                  <c:v>2.7792466211004341E-3</c:v>
                </c:pt>
                <c:pt idx="169">
                  <c:v>-4.4194570117941923E-4</c:v>
                </c:pt>
                <c:pt idx="170">
                  <c:v>-4.4194570117941923E-4</c:v>
                </c:pt>
                <c:pt idx="171">
                  <c:v>-4.4194570117941923E-4</c:v>
                </c:pt>
                <c:pt idx="172">
                  <c:v>-4.4194570117941923E-4</c:v>
                </c:pt>
                <c:pt idx="173">
                  <c:v>-6.3338607175419948E-4</c:v>
                </c:pt>
                <c:pt idx="174">
                  <c:v>-1.0433181696153926E-3</c:v>
                </c:pt>
                <c:pt idx="175">
                  <c:v>-1.4220371635785267E-3</c:v>
                </c:pt>
                <c:pt idx="176">
                  <c:v>-1.4220371635785267E-3</c:v>
                </c:pt>
                <c:pt idx="177">
                  <c:v>-1.4220371635785267E-3</c:v>
                </c:pt>
                <c:pt idx="178">
                  <c:v>-1.4220371635785267E-3</c:v>
                </c:pt>
                <c:pt idx="179">
                  <c:v>-4.7972141317554617E-3</c:v>
                </c:pt>
                <c:pt idx="180">
                  <c:v>-5.6004313387322258E-3</c:v>
                </c:pt>
                <c:pt idx="181">
                  <c:v>-6.8843303457390981E-3</c:v>
                </c:pt>
                <c:pt idx="182">
                  <c:v>-1.444830585703577E-2</c:v>
                </c:pt>
                <c:pt idx="183">
                  <c:v>-1.5534521872688251E-2</c:v>
                </c:pt>
                <c:pt idx="184">
                  <c:v>-2.006874543227985E-2</c:v>
                </c:pt>
                <c:pt idx="185">
                  <c:v>-2.0070826305873063E-2</c:v>
                </c:pt>
                <c:pt idx="186">
                  <c:v>-2.0403766080785701E-2</c:v>
                </c:pt>
                <c:pt idx="187">
                  <c:v>-2.0405846954378914E-2</c:v>
                </c:pt>
                <c:pt idx="188">
                  <c:v>-2.3437679779677173E-2</c:v>
                </c:pt>
                <c:pt idx="189">
                  <c:v>-2.3756053439437402E-2</c:v>
                </c:pt>
                <c:pt idx="190">
                  <c:v>-2.3882986728622851E-2</c:v>
                </c:pt>
                <c:pt idx="191">
                  <c:v>-2.4222169124315102E-2</c:v>
                </c:pt>
                <c:pt idx="192">
                  <c:v>-2.5062842055969536E-2</c:v>
                </c:pt>
                <c:pt idx="193">
                  <c:v>-2.7399663101137645E-2</c:v>
                </c:pt>
                <c:pt idx="194">
                  <c:v>-2.9882145297830065E-2</c:v>
                </c:pt>
                <c:pt idx="195">
                  <c:v>-2.9884226171423278E-2</c:v>
                </c:pt>
                <c:pt idx="196">
                  <c:v>-3.2256422067675872E-2</c:v>
                </c:pt>
                <c:pt idx="197">
                  <c:v>-3.434978090243912E-2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DA-4765-B51F-25FE957974DF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1'!$V$2:$V$30</c:f>
              <c:numCache>
                <c:formatCode>General</c:formatCode>
                <c:ptCount val="2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  <c:pt idx="23">
                  <c:v>43000</c:v>
                </c:pt>
                <c:pt idx="24">
                  <c:v>44000</c:v>
                </c:pt>
                <c:pt idx="25">
                  <c:v>45000</c:v>
                </c:pt>
                <c:pt idx="26">
                  <c:v>46000</c:v>
                </c:pt>
                <c:pt idx="27">
                  <c:v>47000</c:v>
                </c:pt>
                <c:pt idx="28">
                  <c:v>48000</c:v>
                </c:pt>
              </c:numCache>
            </c:numRef>
          </c:xVal>
          <c:yVal>
            <c:numRef>
              <c:f>'Active 1'!$W$2:$W$30</c:f>
              <c:numCache>
                <c:formatCode>General</c:formatCode>
                <c:ptCount val="29"/>
                <c:pt idx="0">
                  <c:v>2.7012489436493384E-2</c:v>
                </c:pt>
                <c:pt idx="1">
                  <c:v>2.7772811427930429E-2</c:v>
                </c:pt>
                <c:pt idx="2">
                  <c:v>2.8293621337772266E-2</c:v>
                </c:pt>
                <c:pt idx="3">
                  <c:v>2.8574919166018883E-2</c:v>
                </c:pt>
                <c:pt idx="4">
                  <c:v>2.8616704912670279E-2</c:v>
                </c:pt>
                <c:pt idx="5">
                  <c:v>2.8418978577726489E-2</c:v>
                </c:pt>
                <c:pt idx="6">
                  <c:v>2.7981740161187457E-2</c:v>
                </c:pt>
                <c:pt idx="7">
                  <c:v>2.7304989663053211E-2</c:v>
                </c:pt>
                <c:pt idx="8">
                  <c:v>2.6388727083323779E-2</c:v>
                </c:pt>
                <c:pt idx="9">
                  <c:v>2.5232952421999119E-2</c:v>
                </c:pt>
                <c:pt idx="10">
                  <c:v>2.3837665679079259E-2</c:v>
                </c:pt>
                <c:pt idx="11">
                  <c:v>2.2202866854564171E-2</c:v>
                </c:pt>
                <c:pt idx="12">
                  <c:v>2.0328555948453855E-2</c:v>
                </c:pt>
                <c:pt idx="13">
                  <c:v>1.8214732960748381E-2</c:v>
                </c:pt>
                <c:pt idx="14">
                  <c:v>1.5861397891447637E-2</c:v>
                </c:pt>
                <c:pt idx="15">
                  <c:v>1.3268550740551721E-2</c:v>
                </c:pt>
                <c:pt idx="16">
                  <c:v>1.0436191508060577E-2</c:v>
                </c:pt>
                <c:pt idx="17">
                  <c:v>7.3643201939742331E-3</c:v>
                </c:pt>
                <c:pt idx="18">
                  <c:v>4.0529367982926334E-3</c:v>
                </c:pt>
                <c:pt idx="19">
                  <c:v>5.0204132101583365E-4</c:v>
                </c:pt>
                <c:pt idx="20">
                  <c:v>-3.2883662378561385E-3</c:v>
                </c:pt>
                <c:pt idx="21">
                  <c:v>-7.3182858783233662E-3</c:v>
                </c:pt>
                <c:pt idx="22">
                  <c:v>-1.1587717600385766E-2</c:v>
                </c:pt>
                <c:pt idx="23">
                  <c:v>-1.6096661404043394E-2</c:v>
                </c:pt>
                <c:pt idx="24">
                  <c:v>-2.0845117289296222E-2</c:v>
                </c:pt>
                <c:pt idx="25">
                  <c:v>-2.5833085256144334E-2</c:v>
                </c:pt>
                <c:pt idx="26">
                  <c:v>-3.1060565304587562E-2</c:v>
                </c:pt>
                <c:pt idx="27">
                  <c:v>-3.6527557434626046E-2</c:v>
                </c:pt>
                <c:pt idx="28">
                  <c:v>-4.2234061646259757E-2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DA-4765-B51F-25FE957974DF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1'!$U$21:$U$621</c:f>
              <c:numCache>
                <c:formatCode>General</c:formatCode>
                <c:ptCount val="601"/>
                <c:pt idx="62">
                  <c:v>1.8314167988137342E-2</c:v>
                </c:pt>
                <c:pt idx="70">
                  <c:v>5.3526906995102763E-2</c:v>
                </c:pt>
                <c:pt idx="144">
                  <c:v>-8.0849820005823858E-3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DA-4765-B51F-25FE9579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451288"/>
        <c:axId val="1"/>
      </c:scatterChart>
      <c:valAx>
        <c:axId val="75145128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2695924764890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10658307210031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45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3360028076148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60946154973495E-2"/>
          <c:y val="0.1458966565349544"/>
          <c:w val="0.8648654655726750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1'!$H$21:$H$1184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C-4599-B3C0-AB4746DF31D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1'!$I$21:$I$1184</c:f>
              <c:numCache>
                <c:formatCode>General</c:formatCode>
                <c:ptCount val="1164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9">
                  <c:v>6.7275209949002601E-3</c:v>
                </c:pt>
                <c:pt idx="166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AC-4599-B3C0-AB4746DF31D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1'!$J$21:$J$1184</c:f>
              <c:numCache>
                <c:formatCode>General</c:formatCode>
                <c:ptCount val="1164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3">
                  <c:v>2.831416799017461E-2</c:v>
                </c:pt>
                <c:pt idx="64">
                  <c:v>2.7419723992352374E-2</c:v>
                </c:pt>
                <c:pt idx="68">
                  <c:v>2.7093983997474425E-2</c:v>
                </c:pt>
                <c:pt idx="76">
                  <c:v>2.3979827994480729E-2</c:v>
                </c:pt>
                <c:pt idx="77">
                  <c:v>2.2427656993386336E-2</c:v>
                </c:pt>
                <c:pt idx="84">
                  <c:v>2.2614319001149852E-2</c:v>
                </c:pt>
                <c:pt idx="86">
                  <c:v>2.296257799025625E-2</c:v>
                </c:pt>
                <c:pt idx="87">
                  <c:v>2.2110836995125283E-2</c:v>
                </c:pt>
                <c:pt idx="88">
                  <c:v>2.1803872994496487E-2</c:v>
                </c:pt>
                <c:pt idx="95">
                  <c:v>1.9057729994528927E-2</c:v>
                </c:pt>
                <c:pt idx="98">
                  <c:v>1.7129991996625904E-2</c:v>
                </c:pt>
                <c:pt idx="104">
                  <c:v>1.5742005998617969E-2</c:v>
                </c:pt>
                <c:pt idx="130">
                  <c:v>1.414277299772948E-2</c:v>
                </c:pt>
                <c:pt idx="146">
                  <c:v>9.5916639911592938E-3</c:v>
                </c:pt>
                <c:pt idx="147">
                  <c:v>9.9399229948176071E-3</c:v>
                </c:pt>
                <c:pt idx="148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AC-4599-B3C0-AB4746DF31D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1'!$K$21:$K$1184</c:f>
              <c:numCache>
                <c:formatCode>General</c:formatCode>
                <c:ptCount val="1164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5">
                  <c:v>2.7631189994281158E-2</c:v>
                </c:pt>
                <c:pt idx="66">
                  <c:v>2.7382011998270173E-2</c:v>
                </c:pt>
                <c:pt idx="67">
                  <c:v>2.508848699653754E-2</c:v>
                </c:pt>
                <c:pt idx="69">
                  <c:v>2.6526907000516076E-2</c:v>
                </c:pt>
                <c:pt idx="71">
                  <c:v>2.6498426988837309E-2</c:v>
                </c:pt>
                <c:pt idx="72">
                  <c:v>2.7873563994944561E-2</c:v>
                </c:pt>
                <c:pt idx="73">
                  <c:v>2.5585922579921316E-2</c:v>
                </c:pt>
                <c:pt idx="74">
                  <c:v>2.5593654994736426E-2</c:v>
                </c:pt>
                <c:pt idx="75">
                  <c:v>2.6634519992512651E-2</c:v>
                </c:pt>
                <c:pt idx="78">
                  <c:v>2.4269010995340068E-2</c:v>
                </c:pt>
                <c:pt idx="79">
                  <c:v>2.4491917996783741E-2</c:v>
                </c:pt>
                <c:pt idx="80">
                  <c:v>2.4807608002447523E-2</c:v>
                </c:pt>
                <c:pt idx="81">
                  <c:v>2.2683899995172396E-2</c:v>
                </c:pt>
                <c:pt idx="82">
                  <c:v>2.304663499671733E-2</c:v>
                </c:pt>
                <c:pt idx="83">
                  <c:v>2.2173023993673269E-2</c:v>
                </c:pt>
                <c:pt idx="85">
                  <c:v>2.2562577993085142E-2</c:v>
                </c:pt>
                <c:pt idx="89">
                  <c:v>2.123429199855309E-2</c:v>
                </c:pt>
                <c:pt idx="90">
                  <c:v>1.9981867990281899E-2</c:v>
                </c:pt>
                <c:pt idx="91">
                  <c:v>2.0336112997028977E-2</c:v>
                </c:pt>
                <c:pt idx="92">
                  <c:v>1.9698358999448828E-2</c:v>
                </c:pt>
                <c:pt idx="93">
                  <c:v>2.2325784993881825E-2</c:v>
                </c:pt>
                <c:pt idx="94">
                  <c:v>2.0279540993215051E-2</c:v>
                </c:pt>
                <c:pt idx="96">
                  <c:v>2.1117960997798946E-2</c:v>
                </c:pt>
                <c:pt idx="97">
                  <c:v>2.0207514993671793E-2</c:v>
                </c:pt>
                <c:pt idx="99">
                  <c:v>1.6477138000482228E-2</c:v>
                </c:pt>
                <c:pt idx="100">
                  <c:v>1.7055756994523108E-2</c:v>
                </c:pt>
                <c:pt idx="101">
                  <c:v>1.7095756993512623E-2</c:v>
                </c:pt>
                <c:pt idx="102">
                  <c:v>1.7255756996746641E-2</c:v>
                </c:pt>
                <c:pt idx="103">
                  <c:v>1.7305756991845556E-2</c:v>
                </c:pt>
                <c:pt idx="105">
                  <c:v>1.6323128998919856E-2</c:v>
                </c:pt>
                <c:pt idx="106">
                  <c:v>1.6383128997404128E-2</c:v>
                </c:pt>
                <c:pt idx="107">
                  <c:v>1.6823129000840709E-2</c:v>
                </c:pt>
                <c:pt idx="108">
                  <c:v>1.6883128999324981E-2</c:v>
                </c:pt>
                <c:pt idx="109">
                  <c:v>1.7323128995485604E-2</c:v>
                </c:pt>
                <c:pt idx="110">
                  <c:v>1.7383129001245834E-2</c:v>
                </c:pt>
                <c:pt idx="111">
                  <c:v>1.4941575995180756E-2</c:v>
                </c:pt>
                <c:pt idx="112">
                  <c:v>1.4961575994675513E-2</c:v>
                </c:pt>
                <c:pt idx="113">
                  <c:v>1.5641575992049184E-2</c:v>
                </c:pt>
                <c:pt idx="114">
                  <c:v>1.5661575991543941E-2</c:v>
                </c:pt>
                <c:pt idx="115">
                  <c:v>1.5841575994272716E-2</c:v>
                </c:pt>
                <c:pt idx="116">
                  <c:v>1.5861575993767474E-2</c:v>
                </c:pt>
                <c:pt idx="117">
                  <c:v>1.6367770993383601E-2</c:v>
                </c:pt>
                <c:pt idx="118">
                  <c:v>1.4957931998651475E-2</c:v>
                </c:pt>
                <c:pt idx="119">
                  <c:v>1.5906190994428471E-2</c:v>
                </c:pt>
                <c:pt idx="120">
                  <c:v>1.6926104995945934E-2</c:v>
                </c:pt>
                <c:pt idx="121">
                  <c:v>1.4706507994560525E-2</c:v>
                </c:pt>
                <c:pt idx="122">
                  <c:v>1.4906507996784057E-2</c:v>
                </c:pt>
                <c:pt idx="123">
                  <c:v>1.4906507996784057E-2</c:v>
                </c:pt>
                <c:pt idx="124">
                  <c:v>1.5799774992046878E-2</c:v>
                </c:pt>
                <c:pt idx="125">
                  <c:v>1.4336609994643368E-2</c:v>
                </c:pt>
                <c:pt idx="126">
                  <c:v>1.372341799287824E-2</c:v>
                </c:pt>
                <c:pt idx="127">
                  <c:v>1.432341799227288E-2</c:v>
                </c:pt>
                <c:pt idx="128">
                  <c:v>1.5123417993891053E-2</c:v>
                </c:pt>
                <c:pt idx="129">
                  <c:v>1.3397189999523107E-2</c:v>
                </c:pt>
                <c:pt idx="131">
                  <c:v>1.3571370000136085E-2</c:v>
                </c:pt>
                <c:pt idx="132">
                  <c:v>1.3681369993719272E-2</c:v>
                </c:pt>
                <c:pt idx="133">
                  <c:v>1.3751369995588902E-2</c:v>
                </c:pt>
                <c:pt idx="134">
                  <c:v>1.3811369994073175E-2</c:v>
                </c:pt>
                <c:pt idx="135">
                  <c:v>1.391136999882292E-2</c:v>
                </c:pt>
                <c:pt idx="136">
                  <c:v>1.4041369999176823E-2</c:v>
                </c:pt>
                <c:pt idx="137">
                  <c:v>1.3539585990656633E-2</c:v>
                </c:pt>
                <c:pt idx="138">
                  <c:v>1.0669026996765751E-2</c:v>
                </c:pt>
                <c:pt idx="139">
                  <c:v>1.2429746995621826E-2</c:v>
                </c:pt>
                <c:pt idx="140">
                  <c:v>1.3178005996451247E-2</c:v>
                </c:pt>
                <c:pt idx="141">
                  <c:v>1.2526264996267855E-2</c:v>
                </c:pt>
                <c:pt idx="142">
                  <c:v>1.186833899555495E-2</c:v>
                </c:pt>
                <c:pt idx="143">
                  <c:v>1.1978338996414095E-2</c:v>
                </c:pt>
                <c:pt idx="145">
                  <c:v>9.713963998365216E-3</c:v>
                </c:pt>
                <c:pt idx="150">
                  <c:v>9.0377089945832267E-3</c:v>
                </c:pt>
                <c:pt idx="151">
                  <c:v>9.1577089915517718E-3</c:v>
                </c:pt>
                <c:pt idx="152">
                  <c:v>9.487708994129207E-3</c:v>
                </c:pt>
                <c:pt idx="153">
                  <c:v>9.9577089931699447E-3</c:v>
                </c:pt>
                <c:pt idx="154">
                  <c:v>7.7561559955938719E-3</c:v>
                </c:pt>
                <c:pt idx="155">
                  <c:v>8.1861559956450947E-3</c:v>
                </c:pt>
                <c:pt idx="156">
                  <c:v>8.3461559988791123E-3</c:v>
                </c:pt>
                <c:pt idx="157">
                  <c:v>8.4661559958476573E-3</c:v>
                </c:pt>
                <c:pt idx="158">
                  <c:v>2.4279069912154227E-3</c:v>
                </c:pt>
                <c:pt idx="159">
                  <c:v>4.9579069964238442E-3</c:v>
                </c:pt>
                <c:pt idx="160">
                  <c:v>5.2279069932410493E-3</c:v>
                </c:pt>
                <c:pt idx="161">
                  <c:v>5.6879069961723872E-3</c:v>
                </c:pt>
                <c:pt idx="162">
                  <c:v>4.6356929888133891E-3</c:v>
                </c:pt>
                <c:pt idx="163">
                  <c:v>4.7056929906830192E-3</c:v>
                </c:pt>
                <c:pt idx="164">
                  <c:v>4.8156929915421642E-3</c:v>
                </c:pt>
                <c:pt idx="165">
                  <c:v>2.1898509949096479E-3</c:v>
                </c:pt>
                <c:pt idx="167">
                  <c:v>1.86444499559002E-3</c:v>
                </c:pt>
                <c:pt idx="168">
                  <c:v>1.974444996449165E-3</c:v>
                </c:pt>
                <c:pt idx="169">
                  <c:v>-4.9062300240620971E-4</c:v>
                </c:pt>
                <c:pt idx="170">
                  <c:v>-5.0622998969629407E-5</c:v>
                </c:pt>
                <c:pt idx="171">
                  <c:v>9.3769995146431029E-6</c:v>
                </c:pt>
                <c:pt idx="172">
                  <c:v>4.7937699855538085E-4</c:v>
                </c:pt>
                <c:pt idx="173">
                  <c:v>-1.0507949991733767E-3</c:v>
                </c:pt>
                <c:pt idx="174">
                  <c:v>-1.8437720063957386E-3</c:v>
                </c:pt>
                <c:pt idx="175">
                  <c:v>-2.860634216631297E-3</c:v>
                </c:pt>
                <c:pt idx="176">
                  <c:v>-2.4306342020281591E-3</c:v>
                </c:pt>
                <c:pt idx="177">
                  <c:v>-2.2506342284032144E-3</c:v>
                </c:pt>
                <c:pt idx="178">
                  <c:v>-2.1706340849050321E-3</c:v>
                </c:pt>
                <c:pt idx="179">
                  <c:v>-7.4845360068138689E-3</c:v>
                </c:pt>
                <c:pt idx="180">
                  <c:v>-7.7565620085806586E-3</c:v>
                </c:pt>
                <c:pt idx="181">
                  <c:v>-1.0000759000831749E-2</c:v>
                </c:pt>
                <c:pt idx="182">
                  <c:v>-1.8659294008102734E-2</c:v>
                </c:pt>
                <c:pt idx="183">
                  <c:v>-1.9968096006778069E-2</c:v>
                </c:pt>
                <c:pt idx="184">
                  <c:v>-2.4911735003115609E-2</c:v>
                </c:pt>
                <c:pt idx="185">
                  <c:v>-2.6263476007443387E-2</c:v>
                </c:pt>
                <c:pt idx="186">
                  <c:v>-2.6542036182945594E-2</c:v>
                </c:pt>
                <c:pt idx="187">
                  <c:v>-2.5493776985967997E-2</c:v>
                </c:pt>
                <c:pt idx="188">
                  <c:v>-3.2480414003657643E-2</c:v>
                </c:pt>
                <c:pt idx="189">
                  <c:v>7.6603212997724768E-2</c:v>
                </c:pt>
                <c:pt idx="190">
                  <c:v>-2.9352988000027835E-2</c:v>
                </c:pt>
                <c:pt idx="191">
                  <c:v>-2.6586771004076581E-2</c:v>
                </c:pt>
                <c:pt idx="192">
                  <c:v>-2.9390135008725338E-2</c:v>
                </c:pt>
                <c:pt idx="193">
                  <c:v>-3.469527792185545E-2</c:v>
                </c:pt>
                <c:pt idx="194">
                  <c:v>-3.6122291006904561E-2</c:v>
                </c:pt>
                <c:pt idx="195">
                  <c:v>-3.7774032003653701E-2</c:v>
                </c:pt>
                <c:pt idx="196">
                  <c:v>-4.22587718203431E-2</c:v>
                </c:pt>
                <c:pt idx="197">
                  <c:v>-4.3210218005697243E-2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AC-4599-B3C0-AB4746DF31D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1'!$L$21:$L$1184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AC-4599-B3C0-AB4746DF31D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1'!$M$21:$M$1184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AC-4599-B3C0-AB4746DF31D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1'!$N$21:$N$1184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AC-4599-B3C0-AB4746DF31D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1'!$F$21:$F$1184</c:f>
              <c:numCache>
                <c:formatCode>General</c:formatCode>
                <c:ptCount val="1164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1'!$O$21:$O$1184</c:f>
              <c:numCache>
                <c:formatCode>General</c:formatCode>
                <c:ptCount val="1164"/>
                <c:pt idx="6">
                  <c:v>0.16478566022000038</c:v>
                </c:pt>
                <c:pt idx="12">
                  <c:v>0.14653847968119421</c:v>
                </c:pt>
                <c:pt idx="14">
                  <c:v>0.14633663494265342</c:v>
                </c:pt>
                <c:pt idx="60">
                  <c:v>5.9023178971812224E-2</c:v>
                </c:pt>
                <c:pt idx="63">
                  <c:v>5.3766892275378841E-2</c:v>
                </c:pt>
                <c:pt idx="69">
                  <c:v>4.8104835228270665E-2</c:v>
                </c:pt>
                <c:pt idx="83">
                  <c:v>3.5072323914033809E-2</c:v>
                </c:pt>
                <c:pt idx="85">
                  <c:v>3.5059838672474586E-2</c:v>
                </c:pt>
                <c:pt idx="89">
                  <c:v>3.4547943768546391E-2</c:v>
                </c:pt>
                <c:pt idx="91">
                  <c:v>3.221944621775108E-2</c:v>
                </c:pt>
                <c:pt idx="92">
                  <c:v>3.1815756740669499E-2</c:v>
                </c:pt>
                <c:pt idx="93">
                  <c:v>3.137044979172382E-2</c:v>
                </c:pt>
                <c:pt idx="94">
                  <c:v>3.119565640989469E-2</c:v>
                </c:pt>
                <c:pt idx="95">
                  <c:v>3.0631739666136415E-2</c:v>
                </c:pt>
                <c:pt idx="96">
                  <c:v>3.0404924444477149E-2</c:v>
                </c:pt>
                <c:pt idx="97">
                  <c:v>3.0392439202917926E-2</c:v>
                </c:pt>
                <c:pt idx="98">
                  <c:v>2.9761934504177107E-2</c:v>
                </c:pt>
                <c:pt idx="99">
                  <c:v>2.7069284074571098E-2</c:v>
                </c:pt>
                <c:pt idx="100">
                  <c:v>2.6983968257249746E-2</c:v>
                </c:pt>
                <c:pt idx="101">
                  <c:v>2.6983968257249746E-2</c:v>
                </c:pt>
                <c:pt idx="102">
                  <c:v>2.6983968257249746E-2</c:v>
                </c:pt>
                <c:pt idx="103">
                  <c:v>2.6983968257249746E-2</c:v>
                </c:pt>
                <c:pt idx="104">
                  <c:v>2.571255449180207E-2</c:v>
                </c:pt>
                <c:pt idx="105">
                  <c:v>2.5510709753261279E-2</c:v>
                </c:pt>
                <c:pt idx="106">
                  <c:v>2.5510709753261279E-2</c:v>
                </c:pt>
                <c:pt idx="107">
                  <c:v>2.5510709753261279E-2</c:v>
                </c:pt>
                <c:pt idx="108">
                  <c:v>2.5510709753261279E-2</c:v>
                </c:pt>
                <c:pt idx="109">
                  <c:v>2.5510709753261279E-2</c:v>
                </c:pt>
                <c:pt idx="110">
                  <c:v>2.5510709753261279E-2</c:v>
                </c:pt>
                <c:pt idx="111">
                  <c:v>2.5233953565365147E-2</c:v>
                </c:pt>
                <c:pt idx="112">
                  <c:v>2.5233953565365147E-2</c:v>
                </c:pt>
                <c:pt idx="113">
                  <c:v>2.5233953565365147E-2</c:v>
                </c:pt>
                <c:pt idx="114">
                  <c:v>2.5233953565365147E-2</c:v>
                </c:pt>
                <c:pt idx="115">
                  <c:v>2.5233953565365147E-2</c:v>
                </c:pt>
                <c:pt idx="116">
                  <c:v>2.5233953565365147E-2</c:v>
                </c:pt>
                <c:pt idx="117">
                  <c:v>2.2934588244874682E-2</c:v>
                </c:pt>
                <c:pt idx="118">
                  <c:v>2.2145937153050355E-2</c:v>
                </c:pt>
                <c:pt idx="119">
                  <c:v>2.2143856279457141E-2</c:v>
                </c:pt>
                <c:pt idx="120">
                  <c:v>2.2048136094169779E-2</c:v>
                </c:pt>
                <c:pt idx="121">
                  <c:v>2.2012761243085294E-2</c:v>
                </c:pt>
                <c:pt idx="122">
                  <c:v>2.2012761243085294E-2</c:v>
                </c:pt>
                <c:pt idx="123">
                  <c:v>2.2012761243085294E-2</c:v>
                </c:pt>
                <c:pt idx="124">
                  <c:v>2.1777622527053231E-2</c:v>
                </c:pt>
                <c:pt idx="125">
                  <c:v>2.1642365743494985E-2</c:v>
                </c:pt>
                <c:pt idx="126">
                  <c:v>2.099313318241533E-2</c:v>
                </c:pt>
                <c:pt idx="127">
                  <c:v>2.099313318241533E-2</c:v>
                </c:pt>
                <c:pt idx="128">
                  <c:v>2.099313318241533E-2</c:v>
                </c:pt>
                <c:pt idx="129">
                  <c:v>2.0352224115708473E-2</c:v>
                </c:pt>
                <c:pt idx="130">
                  <c:v>2.0275231792759946E-2</c:v>
                </c:pt>
                <c:pt idx="131">
                  <c:v>1.8229733050640379E-2</c:v>
                </c:pt>
                <c:pt idx="132">
                  <c:v>1.8229733050640379E-2</c:v>
                </c:pt>
                <c:pt idx="133">
                  <c:v>1.8229733050640379E-2</c:v>
                </c:pt>
                <c:pt idx="134">
                  <c:v>1.8229733050640379E-2</c:v>
                </c:pt>
                <c:pt idx="135">
                  <c:v>1.8229733050640379E-2</c:v>
                </c:pt>
                <c:pt idx="136">
                  <c:v>1.8229733050640379E-2</c:v>
                </c:pt>
                <c:pt idx="137">
                  <c:v>1.8179792084403484E-2</c:v>
                </c:pt>
                <c:pt idx="138">
                  <c:v>1.7557610880035462E-2</c:v>
                </c:pt>
                <c:pt idx="139">
                  <c:v>1.7391140992579129E-2</c:v>
                </c:pt>
                <c:pt idx="140">
                  <c:v>1.7389060118985944E-2</c:v>
                </c:pt>
                <c:pt idx="141">
                  <c:v>1.7386979245392731E-2</c:v>
                </c:pt>
                <c:pt idx="142">
                  <c:v>1.6791849397736369E-2</c:v>
                </c:pt>
                <c:pt idx="143">
                  <c:v>1.6791849397736369E-2</c:v>
                </c:pt>
                <c:pt idx="144">
                  <c:v>1.5999036558725643E-2</c:v>
                </c:pt>
                <c:pt idx="145">
                  <c:v>1.289021141047883E-2</c:v>
                </c:pt>
                <c:pt idx="146">
                  <c:v>1.2265949332517623E-2</c:v>
                </c:pt>
                <c:pt idx="147">
                  <c:v>1.226386845892441E-2</c:v>
                </c:pt>
                <c:pt idx="148">
                  <c:v>1.2261787585331196E-2</c:v>
                </c:pt>
                <c:pt idx="149">
                  <c:v>1.2010001880553511E-2</c:v>
                </c:pt>
                <c:pt idx="150">
                  <c:v>1.1735326566250592E-2</c:v>
                </c:pt>
                <c:pt idx="151">
                  <c:v>1.1735326566250592E-2</c:v>
                </c:pt>
                <c:pt idx="152">
                  <c:v>1.1735326566250592E-2</c:v>
                </c:pt>
                <c:pt idx="153">
                  <c:v>1.1735326566250592E-2</c:v>
                </c:pt>
                <c:pt idx="154">
                  <c:v>1.1458570378354432E-2</c:v>
                </c:pt>
                <c:pt idx="155">
                  <c:v>1.1458570378354432E-2</c:v>
                </c:pt>
                <c:pt idx="156">
                  <c:v>1.1458570378354432E-2</c:v>
                </c:pt>
                <c:pt idx="157">
                  <c:v>1.1458570378354432E-2</c:v>
                </c:pt>
                <c:pt idx="158">
                  <c:v>8.568236957394032E-3</c:v>
                </c:pt>
                <c:pt idx="159">
                  <c:v>8.568236957394032E-3</c:v>
                </c:pt>
                <c:pt idx="160">
                  <c:v>8.568236957394032E-3</c:v>
                </c:pt>
                <c:pt idx="161">
                  <c:v>8.568236957394032E-3</c:v>
                </c:pt>
                <c:pt idx="162">
                  <c:v>8.0396950647202148E-3</c:v>
                </c:pt>
                <c:pt idx="163">
                  <c:v>8.0396950647202148E-3</c:v>
                </c:pt>
                <c:pt idx="164">
                  <c:v>8.0396950647202148E-3</c:v>
                </c:pt>
                <c:pt idx="165">
                  <c:v>3.9570210748539059E-3</c:v>
                </c:pt>
                <c:pt idx="166">
                  <c:v>3.195421339741239E-3</c:v>
                </c:pt>
                <c:pt idx="167">
                  <c:v>2.7792466211004341E-3</c:v>
                </c:pt>
                <c:pt idx="168">
                  <c:v>2.7792466211004341E-3</c:v>
                </c:pt>
                <c:pt idx="169">
                  <c:v>-4.4194570117941923E-4</c:v>
                </c:pt>
                <c:pt idx="170">
                  <c:v>-4.4194570117941923E-4</c:v>
                </c:pt>
                <c:pt idx="171">
                  <c:v>-4.4194570117941923E-4</c:v>
                </c:pt>
                <c:pt idx="172">
                  <c:v>-4.4194570117941923E-4</c:v>
                </c:pt>
                <c:pt idx="173">
                  <c:v>-6.3338607175419948E-4</c:v>
                </c:pt>
                <c:pt idx="174">
                  <c:v>-1.0433181696153926E-3</c:v>
                </c:pt>
                <c:pt idx="175">
                  <c:v>-1.4220371635785267E-3</c:v>
                </c:pt>
                <c:pt idx="176">
                  <c:v>-1.4220371635785267E-3</c:v>
                </c:pt>
                <c:pt idx="177">
                  <c:v>-1.4220371635785267E-3</c:v>
                </c:pt>
                <c:pt idx="178">
                  <c:v>-1.4220371635785267E-3</c:v>
                </c:pt>
                <c:pt idx="179">
                  <c:v>-4.7972141317554617E-3</c:v>
                </c:pt>
                <c:pt idx="180">
                  <c:v>-5.6004313387322258E-3</c:v>
                </c:pt>
                <c:pt idx="181">
                  <c:v>-6.8843303457390981E-3</c:v>
                </c:pt>
                <c:pt idx="182">
                  <c:v>-1.444830585703577E-2</c:v>
                </c:pt>
                <c:pt idx="183">
                  <c:v>-1.5534521872688251E-2</c:v>
                </c:pt>
                <c:pt idx="184">
                  <c:v>-2.006874543227985E-2</c:v>
                </c:pt>
                <c:pt idx="185">
                  <c:v>-2.0070826305873063E-2</c:v>
                </c:pt>
                <c:pt idx="186">
                  <c:v>-2.0403766080785701E-2</c:v>
                </c:pt>
                <c:pt idx="187">
                  <c:v>-2.0405846954378914E-2</c:v>
                </c:pt>
                <c:pt idx="188">
                  <c:v>-2.3437679779677173E-2</c:v>
                </c:pt>
                <c:pt idx="189">
                  <c:v>-2.3756053439437402E-2</c:v>
                </c:pt>
                <c:pt idx="190">
                  <c:v>-2.3882986728622851E-2</c:v>
                </c:pt>
                <c:pt idx="191">
                  <c:v>-2.4222169124315102E-2</c:v>
                </c:pt>
                <c:pt idx="192">
                  <c:v>-2.5062842055969536E-2</c:v>
                </c:pt>
                <c:pt idx="193">
                  <c:v>-2.7399663101137645E-2</c:v>
                </c:pt>
                <c:pt idx="194">
                  <c:v>-2.9882145297830065E-2</c:v>
                </c:pt>
                <c:pt idx="195">
                  <c:v>-2.9884226171423278E-2</c:v>
                </c:pt>
                <c:pt idx="196">
                  <c:v>-3.2256422067675872E-2</c:v>
                </c:pt>
                <c:pt idx="197">
                  <c:v>-3.434978090243912E-2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AC-4599-B3C0-AB4746DF31D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1'!$V$2:$V$33</c:f>
              <c:numCache>
                <c:formatCode>General</c:formatCode>
                <c:ptCount val="32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  <c:pt idx="23">
                  <c:v>43000</c:v>
                </c:pt>
                <c:pt idx="24">
                  <c:v>44000</c:v>
                </c:pt>
                <c:pt idx="25">
                  <c:v>45000</c:v>
                </c:pt>
                <c:pt idx="26">
                  <c:v>46000</c:v>
                </c:pt>
                <c:pt idx="27">
                  <c:v>47000</c:v>
                </c:pt>
                <c:pt idx="28">
                  <c:v>48000</c:v>
                </c:pt>
                <c:pt idx="29">
                  <c:v>49000</c:v>
                </c:pt>
                <c:pt idx="30">
                  <c:v>50000</c:v>
                </c:pt>
                <c:pt idx="31">
                  <c:v>51000</c:v>
                </c:pt>
              </c:numCache>
            </c:numRef>
          </c:xVal>
          <c:yVal>
            <c:numRef>
              <c:f>'Active 1'!$W$2:$W$33</c:f>
              <c:numCache>
                <c:formatCode>General</c:formatCode>
                <c:ptCount val="32"/>
                <c:pt idx="0">
                  <c:v>2.7012489436493384E-2</c:v>
                </c:pt>
                <c:pt idx="1">
                  <c:v>2.7772811427930429E-2</c:v>
                </c:pt>
                <c:pt idx="2">
                  <c:v>2.8293621337772266E-2</c:v>
                </c:pt>
                <c:pt idx="3">
                  <c:v>2.8574919166018883E-2</c:v>
                </c:pt>
                <c:pt idx="4">
                  <c:v>2.8616704912670279E-2</c:v>
                </c:pt>
                <c:pt idx="5">
                  <c:v>2.8418978577726489E-2</c:v>
                </c:pt>
                <c:pt idx="6">
                  <c:v>2.7981740161187457E-2</c:v>
                </c:pt>
                <c:pt idx="7">
                  <c:v>2.7304989663053211E-2</c:v>
                </c:pt>
                <c:pt idx="8">
                  <c:v>2.6388727083323779E-2</c:v>
                </c:pt>
                <c:pt idx="9">
                  <c:v>2.5232952421999119E-2</c:v>
                </c:pt>
                <c:pt idx="10">
                  <c:v>2.3837665679079259E-2</c:v>
                </c:pt>
                <c:pt idx="11">
                  <c:v>2.2202866854564171E-2</c:v>
                </c:pt>
                <c:pt idx="12">
                  <c:v>2.0328555948453855E-2</c:v>
                </c:pt>
                <c:pt idx="13">
                  <c:v>1.8214732960748381E-2</c:v>
                </c:pt>
                <c:pt idx="14">
                  <c:v>1.5861397891447637E-2</c:v>
                </c:pt>
                <c:pt idx="15">
                  <c:v>1.3268550740551721E-2</c:v>
                </c:pt>
                <c:pt idx="16">
                  <c:v>1.0436191508060577E-2</c:v>
                </c:pt>
                <c:pt idx="17">
                  <c:v>7.3643201939742331E-3</c:v>
                </c:pt>
                <c:pt idx="18">
                  <c:v>4.0529367982926334E-3</c:v>
                </c:pt>
                <c:pt idx="19">
                  <c:v>5.0204132101583365E-4</c:v>
                </c:pt>
                <c:pt idx="20">
                  <c:v>-3.2883662378561385E-3</c:v>
                </c:pt>
                <c:pt idx="21">
                  <c:v>-7.3182858783233662E-3</c:v>
                </c:pt>
                <c:pt idx="22">
                  <c:v>-1.1587717600385766E-2</c:v>
                </c:pt>
                <c:pt idx="23">
                  <c:v>-1.6096661404043394E-2</c:v>
                </c:pt>
                <c:pt idx="24">
                  <c:v>-2.0845117289296222E-2</c:v>
                </c:pt>
                <c:pt idx="25">
                  <c:v>-2.5833085256144334E-2</c:v>
                </c:pt>
                <c:pt idx="26">
                  <c:v>-3.1060565304587562E-2</c:v>
                </c:pt>
                <c:pt idx="27">
                  <c:v>-3.6527557434626046E-2</c:v>
                </c:pt>
                <c:pt idx="28">
                  <c:v>-4.2234061646259757E-2</c:v>
                </c:pt>
                <c:pt idx="29">
                  <c:v>-4.8180077939488697E-2</c:v>
                </c:pt>
                <c:pt idx="30">
                  <c:v>-5.4365606314312753E-2</c:v>
                </c:pt>
                <c:pt idx="31">
                  <c:v>-6.0790646770732093E-2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AC-4599-B3C0-AB4746DF31DB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26676</c:v>
                </c:pt>
                <c:pt idx="63">
                  <c:v>26676</c:v>
                </c:pt>
                <c:pt idx="64">
                  <c:v>26818</c:v>
                </c:pt>
                <c:pt idx="65">
                  <c:v>27705</c:v>
                </c:pt>
                <c:pt idx="66">
                  <c:v>27834</c:v>
                </c:pt>
                <c:pt idx="67">
                  <c:v>27846.5</c:v>
                </c:pt>
                <c:pt idx="68">
                  <c:v>27888</c:v>
                </c:pt>
                <c:pt idx="69">
                  <c:v>28036.5</c:v>
                </c:pt>
                <c:pt idx="70">
                  <c:v>28036.5</c:v>
                </c:pt>
                <c:pt idx="71">
                  <c:v>28676.5</c:v>
                </c:pt>
                <c:pt idx="72">
                  <c:v>28698</c:v>
                </c:pt>
                <c:pt idx="73">
                  <c:v>29022.5</c:v>
                </c:pt>
                <c:pt idx="74">
                  <c:v>29022.5</c:v>
                </c:pt>
                <c:pt idx="75">
                  <c:v>29140</c:v>
                </c:pt>
                <c:pt idx="76">
                  <c:v>30046</c:v>
                </c:pt>
                <c:pt idx="77">
                  <c:v>30161.5</c:v>
                </c:pt>
                <c:pt idx="78">
                  <c:v>30264.5</c:v>
                </c:pt>
                <c:pt idx="79">
                  <c:v>30301</c:v>
                </c:pt>
                <c:pt idx="80">
                  <c:v>30756</c:v>
                </c:pt>
                <c:pt idx="81">
                  <c:v>31050</c:v>
                </c:pt>
                <c:pt idx="82">
                  <c:v>31132.5</c:v>
                </c:pt>
                <c:pt idx="83">
                  <c:v>31168</c:v>
                </c:pt>
                <c:pt idx="84">
                  <c:v>31170.5</c:v>
                </c:pt>
                <c:pt idx="85">
                  <c:v>31171</c:v>
                </c:pt>
                <c:pt idx="86">
                  <c:v>31171</c:v>
                </c:pt>
                <c:pt idx="87">
                  <c:v>31171.5</c:v>
                </c:pt>
                <c:pt idx="88">
                  <c:v>31173.5</c:v>
                </c:pt>
                <c:pt idx="89">
                  <c:v>31294</c:v>
                </c:pt>
                <c:pt idx="90">
                  <c:v>31826</c:v>
                </c:pt>
                <c:pt idx="91">
                  <c:v>31853.5</c:v>
                </c:pt>
                <c:pt idx="92">
                  <c:v>31950.5</c:v>
                </c:pt>
                <c:pt idx="93">
                  <c:v>32057.5</c:v>
                </c:pt>
                <c:pt idx="94">
                  <c:v>32099.5</c:v>
                </c:pt>
                <c:pt idx="95">
                  <c:v>32235</c:v>
                </c:pt>
                <c:pt idx="96">
                  <c:v>32289.5</c:v>
                </c:pt>
                <c:pt idx="97">
                  <c:v>32292.5</c:v>
                </c:pt>
                <c:pt idx="98">
                  <c:v>32444</c:v>
                </c:pt>
                <c:pt idx="99">
                  <c:v>33091</c:v>
                </c:pt>
                <c:pt idx="100">
                  <c:v>33111.5</c:v>
                </c:pt>
                <c:pt idx="101">
                  <c:v>33111.5</c:v>
                </c:pt>
                <c:pt idx="102">
                  <c:v>33111.5</c:v>
                </c:pt>
                <c:pt idx="103">
                  <c:v>33111.5</c:v>
                </c:pt>
                <c:pt idx="104">
                  <c:v>33417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34084.5</c:v>
                </c:pt>
                <c:pt idx="118">
                  <c:v>34274</c:v>
                </c:pt>
                <c:pt idx="119">
                  <c:v>34274.5</c:v>
                </c:pt>
                <c:pt idx="120">
                  <c:v>34297.5</c:v>
                </c:pt>
                <c:pt idx="121">
                  <c:v>34306</c:v>
                </c:pt>
                <c:pt idx="122">
                  <c:v>34306</c:v>
                </c:pt>
                <c:pt idx="123">
                  <c:v>34306</c:v>
                </c:pt>
                <c:pt idx="124">
                  <c:v>34362.5</c:v>
                </c:pt>
                <c:pt idx="125">
                  <c:v>34395</c:v>
                </c:pt>
                <c:pt idx="126">
                  <c:v>34551</c:v>
                </c:pt>
                <c:pt idx="127">
                  <c:v>34551</c:v>
                </c:pt>
                <c:pt idx="128">
                  <c:v>34551</c:v>
                </c:pt>
                <c:pt idx="129">
                  <c:v>34705</c:v>
                </c:pt>
                <c:pt idx="130">
                  <c:v>34723.5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35227</c:v>
                </c:pt>
                <c:pt idx="138">
                  <c:v>35376.5</c:v>
                </c:pt>
                <c:pt idx="139">
                  <c:v>35416.5</c:v>
                </c:pt>
                <c:pt idx="140">
                  <c:v>35417</c:v>
                </c:pt>
                <c:pt idx="141">
                  <c:v>35417.5</c:v>
                </c:pt>
                <c:pt idx="142">
                  <c:v>35560.5</c:v>
                </c:pt>
                <c:pt idx="143">
                  <c:v>35560.5</c:v>
                </c:pt>
                <c:pt idx="144">
                  <c:v>35751</c:v>
                </c:pt>
                <c:pt idx="145">
                  <c:v>36498</c:v>
                </c:pt>
                <c:pt idx="146">
                  <c:v>36648</c:v>
                </c:pt>
                <c:pt idx="147">
                  <c:v>36648.5</c:v>
                </c:pt>
                <c:pt idx="148">
                  <c:v>36649</c:v>
                </c:pt>
                <c:pt idx="149">
                  <c:v>36709.5</c:v>
                </c:pt>
                <c:pt idx="150">
                  <c:v>36775.5</c:v>
                </c:pt>
                <c:pt idx="151">
                  <c:v>36775.5</c:v>
                </c:pt>
                <c:pt idx="152">
                  <c:v>36775.5</c:v>
                </c:pt>
                <c:pt idx="153">
                  <c:v>36775.5</c:v>
                </c:pt>
                <c:pt idx="154">
                  <c:v>36842</c:v>
                </c:pt>
                <c:pt idx="155">
                  <c:v>36842</c:v>
                </c:pt>
                <c:pt idx="156">
                  <c:v>36842</c:v>
                </c:pt>
                <c:pt idx="157">
                  <c:v>36842</c:v>
                </c:pt>
                <c:pt idx="158">
                  <c:v>37536.5</c:v>
                </c:pt>
                <c:pt idx="159">
                  <c:v>37536.5</c:v>
                </c:pt>
                <c:pt idx="160">
                  <c:v>37536.5</c:v>
                </c:pt>
                <c:pt idx="161">
                  <c:v>37536.5</c:v>
                </c:pt>
                <c:pt idx="162">
                  <c:v>37663.5</c:v>
                </c:pt>
                <c:pt idx="163">
                  <c:v>37663.5</c:v>
                </c:pt>
                <c:pt idx="164">
                  <c:v>37663.5</c:v>
                </c:pt>
                <c:pt idx="165">
                  <c:v>38644.5</c:v>
                </c:pt>
                <c:pt idx="166">
                  <c:v>38827.5</c:v>
                </c:pt>
                <c:pt idx="167">
                  <c:v>38927.5</c:v>
                </c:pt>
                <c:pt idx="168">
                  <c:v>38927.5</c:v>
                </c:pt>
                <c:pt idx="169">
                  <c:v>39701.5</c:v>
                </c:pt>
                <c:pt idx="170">
                  <c:v>39701.5</c:v>
                </c:pt>
                <c:pt idx="171">
                  <c:v>39701.5</c:v>
                </c:pt>
                <c:pt idx="172">
                  <c:v>39701.5</c:v>
                </c:pt>
                <c:pt idx="173">
                  <c:v>39747.5</c:v>
                </c:pt>
                <c:pt idx="174">
                  <c:v>39846</c:v>
                </c:pt>
                <c:pt idx="175">
                  <c:v>39937</c:v>
                </c:pt>
                <c:pt idx="176">
                  <c:v>39937</c:v>
                </c:pt>
                <c:pt idx="177">
                  <c:v>39937</c:v>
                </c:pt>
                <c:pt idx="178">
                  <c:v>39937</c:v>
                </c:pt>
                <c:pt idx="179">
                  <c:v>40748</c:v>
                </c:pt>
                <c:pt idx="180">
                  <c:v>40941</c:v>
                </c:pt>
                <c:pt idx="181">
                  <c:v>41249.5</c:v>
                </c:pt>
                <c:pt idx="182">
                  <c:v>43067</c:v>
                </c:pt>
                <c:pt idx="183">
                  <c:v>43328</c:v>
                </c:pt>
                <c:pt idx="184">
                  <c:v>44417.5</c:v>
                </c:pt>
                <c:pt idx="185">
                  <c:v>44418</c:v>
                </c:pt>
                <c:pt idx="186">
                  <c:v>44498</c:v>
                </c:pt>
                <c:pt idx="187">
                  <c:v>44498.5</c:v>
                </c:pt>
                <c:pt idx="188">
                  <c:v>45227</c:v>
                </c:pt>
                <c:pt idx="189">
                  <c:v>45303.5</c:v>
                </c:pt>
                <c:pt idx="190">
                  <c:v>45334</c:v>
                </c:pt>
                <c:pt idx="191">
                  <c:v>45415.5</c:v>
                </c:pt>
                <c:pt idx="192">
                  <c:v>45617.5</c:v>
                </c:pt>
                <c:pt idx="193">
                  <c:v>46179</c:v>
                </c:pt>
                <c:pt idx="194">
                  <c:v>46775.5</c:v>
                </c:pt>
                <c:pt idx="195">
                  <c:v>46776</c:v>
                </c:pt>
                <c:pt idx="196">
                  <c:v>47346</c:v>
                </c:pt>
                <c:pt idx="197">
                  <c:v>47849</c:v>
                </c:pt>
              </c:numCache>
            </c:numRef>
          </c:xVal>
          <c:yVal>
            <c:numRef>
              <c:f>'Active 1'!$U$21:$U$621</c:f>
              <c:numCache>
                <c:formatCode>General</c:formatCode>
                <c:ptCount val="601"/>
                <c:pt idx="62">
                  <c:v>1.8314167988137342E-2</c:v>
                </c:pt>
                <c:pt idx="70">
                  <c:v>5.3526906995102763E-2</c:v>
                </c:pt>
                <c:pt idx="144">
                  <c:v>-8.0849820005823858E-3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AC-4599-B3C0-AB4746DF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46696"/>
        <c:axId val="1"/>
      </c:scatterChart>
      <c:valAx>
        <c:axId val="718946696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239117692080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802275960170697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4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0.92097264437689974"/>
          <c:w val="0.917497041177107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6530779397255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09273478049E-2"/>
          <c:y val="0.14501531966242162"/>
          <c:w val="0.8652494254895631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2'!$H$21:$H$1182</c:f>
              <c:numCache>
                <c:formatCode>General</c:formatCode>
                <c:ptCount val="1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76-432C-8B7F-60587155B2F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2'!$I$21:$I$1182</c:f>
              <c:numCache>
                <c:formatCode>General</c:formatCode>
                <c:ptCount val="1162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5">
                  <c:v>6.7275209949002601E-3</c:v>
                </c:pt>
                <c:pt idx="162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6-432C-8B7F-60587155B2F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2'!$J$21:$J$1182</c:f>
              <c:numCache>
                <c:formatCode>General</c:formatCode>
                <c:ptCount val="1162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2">
                  <c:v>2.7419723992352374E-2</c:v>
                </c:pt>
                <c:pt idx="66">
                  <c:v>2.7093983997474425E-2</c:v>
                </c:pt>
                <c:pt idx="73">
                  <c:v>2.3979827994480729E-2</c:v>
                </c:pt>
                <c:pt idx="74">
                  <c:v>2.2427656993386336E-2</c:v>
                </c:pt>
                <c:pt idx="81">
                  <c:v>2.2614319001149852E-2</c:v>
                </c:pt>
                <c:pt idx="83">
                  <c:v>2.296257799025625E-2</c:v>
                </c:pt>
                <c:pt idx="84">
                  <c:v>2.2110836995125283E-2</c:v>
                </c:pt>
                <c:pt idx="85">
                  <c:v>2.1803872994496487E-2</c:v>
                </c:pt>
                <c:pt idx="92">
                  <c:v>1.9057729994528927E-2</c:v>
                </c:pt>
                <c:pt idx="95">
                  <c:v>1.7129991996625904E-2</c:v>
                </c:pt>
                <c:pt idx="101">
                  <c:v>1.5742005998617969E-2</c:v>
                </c:pt>
                <c:pt idx="127">
                  <c:v>1.414277299772948E-2</c:v>
                </c:pt>
                <c:pt idx="142">
                  <c:v>9.5916639911592938E-3</c:v>
                </c:pt>
                <c:pt idx="143">
                  <c:v>9.9399229948176071E-3</c:v>
                </c:pt>
                <c:pt idx="144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76-432C-8B7F-60587155B2F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2'!$K$21:$K$1182</c:f>
              <c:numCache>
                <c:formatCode>General</c:formatCode>
                <c:ptCount val="1162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3">
                  <c:v>2.7631189994281158E-2</c:v>
                </c:pt>
                <c:pt idx="64">
                  <c:v>2.7382011998270173E-2</c:v>
                </c:pt>
                <c:pt idx="65">
                  <c:v>2.508848699653754E-2</c:v>
                </c:pt>
                <c:pt idx="67">
                  <c:v>2.6526907000516076E-2</c:v>
                </c:pt>
                <c:pt idx="68">
                  <c:v>2.6498426988837309E-2</c:v>
                </c:pt>
                <c:pt idx="69">
                  <c:v>2.7873563994944561E-2</c:v>
                </c:pt>
                <c:pt idx="70">
                  <c:v>2.5585922579921316E-2</c:v>
                </c:pt>
                <c:pt idx="71">
                  <c:v>2.5593654994736426E-2</c:v>
                </c:pt>
                <c:pt idx="72">
                  <c:v>2.6634519992512651E-2</c:v>
                </c:pt>
                <c:pt idx="75">
                  <c:v>2.4269010995340068E-2</c:v>
                </c:pt>
                <c:pt idx="76">
                  <c:v>2.4491917996783741E-2</c:v>
                </c:pt>
                <c:pt idx="77">
                  <c:v>2.4807608002447523E-2</c:v>
                </c:pt>
                <c:pt idx="78">
                  <c:v>2.2683899995172396E-2</c:v>
                </c:pt>
                <c:pt idx="79">
                  <c:v>2.304663499671733E-2</c:v>
                </c:pt>
                <c:pt idx="80">
                  <c:v>2.2173023993673269E-2</c:v>
                </c:pt>
                <c:pt idx="82">
                  <c:v>2.2562577993085142E-2</c:v>
                </c:pt>
                <c:pt idx="86">
                  <c:v>2.123429199855309E-2</c:v>
                </c:pt>
                <c:pt idx="87">
                  <c:v>1.9981867990281899E-2</c:v>
                </c:pt>
                <c:pt idx="88">
                  <c:v>2.0336112997028977E-2</c:v>
                </c:pt>
                <c:pt idx="89">
                  <c:v>1.9698358999448828E-2</c:v>
                </c:pt>
                <c:pt idx="90">
                  <c:v>2.2325784993881825E-2</c:v>
                </c:pt>
                <c:pt idx="91">
                  <c:v>2.0279540993215051E-2</c:v>
                </c:pt>
                <c:pt idx="93">
                  <c:v>2.1117960997798946E-2</c:v>
                </c:pt>
                <c:pt idx="94">
                  <c:v>2.0207514993671793E-2</c:v>
                </c:pt>
                <c:pt idx="96">
                  <c:v>1.6477138000482228E-2</c:v>
                </c:pt>
                <c:pt idx="97">
                  <c:v>1.7055756994523108E-2</c:v>
                </c:pt>
                <c:pt idx="98">
                  <c:v>1.7095756993512623E-2</c:v>
                </c:pt>
                <c:pt idx="99">
                  <c:v>1.7255756996746641E-2</c:v>
                </c:pt>
                <c:pt idx="100">
                  <c:v>1.7305756991845556E-2</c:v>
                </c:pt>
                <c:pt idx="102">
                  <c:v>1.6323128998919856E-2</c:v>
                </c:pt>
                <c:pt idx="103">
                  <c:v>1.6383128997404128E-2</c:v>
                </c:pt>
                <c:pt idx="104">
                  <c:v>1.6823129000840709E-2</c:v>
                </c:pt>
                <c:pt idx="105">
                  <c:v>1.6883128999324981E-2</c:v>
                </c:pt>
                <c:pt idx="106">
                  <c:v>1.7323128995485604E-2</c:v>
                </c:pt>
                <c:pt idx="107">
                  <c:v>1.7383129001245834E-2</c:v>
                </c:pt>
                <c:pt idx="108">
                  <c:v>1.4941575995180756E-2</c:v>
                </c:pt>
                <c:pt idx="109">
                  <c:v>1.4961575994675513E-2</c:v>
                </c:pt>
                <c:pt idx="110">
                  <c:v>1.5641575992049184E-2</c:v>
                </c:pt>
                <c:pt idx="111">
                  <c:v>1.5661575991543941E-2</c:v>
                </c:pt>
                <c:pt idx="112">
                  <c:v>1.5841575994272716E-2</c:v>
                </c:pt>
                <c:pt idx="113">
                  <c:v>1.5861575993767474E-2</c:v>
                </c:pt>
                <c:pt idx="114">
                  <c:v>1.6367770993383601E-2</c:v>
                </c:pt>
                <c:pt idx="115">
                  <c:v>1.4957931998651475E-2</c:v>
                </c:pt>
                <c:pt idx="116">
                  <c:v>1.5906190994428471E-2</c:v>
                </c:pt>
                <c:pt idx="117">
                  <c:v>1.6926104995945934E-2</c:v>
                </c:pt>
                <c:pt idx="118">
                  <c:v>1.4706507994560525E-2</c:v>
                </c:pt>
                <c:pt idx="119">
                  <c:v>1.4906507996784057E-2</c:v>
                </c:pt>
                <c:pt idx="120">
                  <c:v>1.4906507996784057E-2</c:v>
                </c:pt>
                <c:pt idx="121">
                  <c:v>1.5799774992046878E-2</c:v>
                </c:pt>
                <c:pt idx="122">
                  <c:v>1.4336609994643368E-2</c:v>
                </c:pt>
                <c:pt idx="123">
                  <c:v>1.372341799287824E-2</c:v>
                </c:pt>
                <c:pt idx="124">
                  <c:v>1.432341799227288E-2</c:v>
                </c:pt>
                <c:pt idx="125">
                  <c:v>1.5123417993891053E-2</c:v>
                </c:pt>
                <c:pt idx="126">
                  <c:v>1.3397189999523107E-2</c:v>
                </c:pt>
                <c:pt idx="128">
                  <c:v>1.3571370000136085E-2</c:v>
                </c:pt>
                <c:pt idx="129">
                  <c:v>1.3681369993719272E-2</c:v>
                </c:pt>
                <c:pt idx="130">
                  <c:v>1.3751369995588902E-2</c:v>
                </c:pt>
                <c:pt idx="131">
                  <c:v>1.3811369994073175E-2</c:v>
                </c:pt>
                <c:pt idx="132">
                  <c:v>1.391136999882292E-2</c:v>
                </c:pt>
                <c:pt idx="133">
                  <c:v>1.4041369999176823E-2</c:v>
                </c:pt>
                <c:pt idx="134">
                  <c:v>1.3539585990656633E-2</c:v>
                </c:pt>
                <c:pt idx="135">
                  <c:v>1.0669026996765751E-2</c:v>
                </c:pt>
                <c:pt idx="136">
                  <c:v>1.2429746995621826E-2</c:v>
                </c:pt>
                <c:pt idx="137">
                  <c:v>1.3178005996451247E-2</c:v>
                </c:pt>
                <c:pt idx="138">
                  <c:v>1.2526264996267855E-2</c:v>
                </c:pt>
                <c:pt idx="139">
                  <c:v>1.186833899555495E-2</c:v>
                </c:pt>
                <c:pt idx="140">
                  <c:v>1.1978338996414095E-2</c:v>
                </c:pt>
                <c:pt idx="141">
                  <c:v>9.713963998365216E-3</c:v>
                </c:pt>
                <c:pt idx="146">
                  <c:v>9.0377089945832267E-3</c:v>
                </c:pt>
                <c:pt idx="147">
                  <c:v>9.1577089915517718E-3</c:v>
                </c:pt>
                <c:pt idx="148">
                  <c:v>9.487708994129207E-3</c:v>
                </c:pt>
                <c:pt idx="149">
                  <c:v>9.9577089931699447E-3</c:v>
                </c:pt>
                <c:pt idx="150">
                  <c:v>7.7561559955938719E-3</c:v>
                </c:pt>
                <c:pt idx="151">
                  <c:v>8.1861559956450947E-3</c:v>
                </c:pt>
                <c:pt idx="152">
                  <c:v>8.3461559988791123E-3</c:v>
                </c:pt>
                <c:pt idx="153">
                  <c:v>8.4661559958476573E-3</c:v>
                </c:pt>
                <c:pt idx="154">
                  <c:v>2.4279069912154227E-3</c:v>
                </c:pt>
                <c:pt idx="155">
                  <c:v>4.9579069964238442E-3</c:v>
                </c:pt>
                <c:pt idx="156">
                  <c:v>5.2279069932410493E-3</c:v>
                </c:pt>
                <c:pt idx="157">
                  <c:v>5.6879069961723872E-3</c:v>
                </c:pt>
                <c:pt idx="158">
                  <c:v>4.6356929888133891E-3</c:v>
                </c:pt>
                <c:pt idx="159">
                  <c:v>4.7056929906830192E-3</c:v>
                </c:pt>
                <c:pt idx="160">
                  <c:v>4.8156929915421642E-3</c:v>
                </c:pt>
                <c:pt idx="161">
                  <c:v>2.1898509949096479E-3</c:v>
                </c:pt>
                <c:pt idx="163">
                  <c:v>1.86444499559002E-3</c:v>
                </c:pt>
                <c:pt idx="164">
                  <c:v>1.974444996449165E-3</c:v>
                </c:pt>
                <c:pt idx="165">
                  <c:v>-4.9062300240620971E-4</c:v>
                </c:pt>
                <c:pt idx="166">
                  <c:v>-5.0622998969629407E-5</c:v>
                </c:pt>
                <c:pt idx="167">
                  <c:v>9.3769995146431029E-6</c:v>
                </c:pt>
                <c:pt idx="168">
                  <c:v>4.7937699855538085E-4</c:v>
                </c:pt>
                <c:pt idx="169">
                  <c:v>-1.0507949991733767E-3</c:v>
                </c:pt>
                <c:pt idx="170">
                  <c:v>-1.8437720063957386E-3</c:v>
                </c:pt>
                <c:pt idx="171">
                  <c:v>-7.4845360068138689E-3</c:v>
                </c:pt>
                <c:pt idx="172">
                  <c:v>-1.8659294008102734E-2</c:v>
                </c:pt>
                <c:pt idx="173">
                  <c:v>-1.9968096006778069E-2</c:v>
                </c:pt>
                <c:pt idx="174">
                  <c:v>-2.4911735003115609E-2</c:v>
                </c:pt>
                <c:pt idx="175">
                  <c:v>-2.6263476007443387E-2</c:v>
                </c:pt>
                <c:pt idx="176">
                  <c:v>-2.6542036182945594E-2</c:v>
                </c:pt>
                <c:pt idx="177">
                  <c:v>-2.5493776985967997E-2</c:v>
                </c:pt>
                <c:pt idx="178">
                  <c:v>-3.2480414003657643E-2</c:v>
                </c:pt>
                <c:pt idx="179">
                  <c:v>7.6603212997724768E-2</c:v>
                </c:pt>
                <c:pt idx="180">
                  <c:v>-2.9352988000027835E-2</c:v>
                </c:pt>
                <c:pt idx="181">
                  <c:v>-2.6586771004076581E-2</c:v>
                </c:pt>
                <c:pt idx="182">
                  <c:v>-2.9390135008725338E-2</c:v>
                </c:pt>
                <c:pt idx="183">
                  <c:v>-3.469527792185545E-2</c:v>
                </c:pt>
                <c:pt idx="184">
                  <c:v>-3.6122291006904561E-2</c:v>
                </c:pt>
                <c:pt idx="185">
                  <c:v>-3.7774032003653701E-2</c:v>
                </c:pt>
                <c:pt idx="186">
                  <c:v>-4.22587718203431E-2</c:v>
                </c:pt>
                <c:pt idx="187">
                  <c:v>-4.3210218005697243E-2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6-432C-8B7F-60587155B2F2}"/>
            </c:ext>
          </c:extLst>
        </c:ser>
        <c:ser>
          <c:idx val="8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2'!$AW$2:$AW$100</c:f>
              <c:numCache>
                <c:formatCode>General</c:formatCode>
                <c:ptCount val="99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  <c:pt idx="96">
                  <c:v>46000</c:v>
                </c:pt>
                <c:pt idx="97">
                  <c:v>47000</c:v>
                </c:pt>
                <c:pt idx="98">
                  <c:v>48000</c:v>
                </c:pt>
              </c:numCache>
            </c:numRef>
          </c:xVal>
          <c:yVal>
            <c:numRef>
              <c:f>'Active 2'!$AX$2:$AX$100</c:f>
              <c:numCache>
                <c:formatCode>General</c:formatCode>
                <c:ptCount val="99"/>
                <c:pt idx="0">
                  <c:v>-6.7553601911797753E-3</c:v>
                </c:pt>
                <c:pt idx="1">
                  <c:v>-6.1727020112689775E-3</c:v>
                </c:pt>
                <c:pt idx="2">
                  <c:v>-5.5720722688461267E-3</c:v>
                </c:pt>
                <c:pt idx="3">
                  <c:v>-4.9539544247015378E-3</c:v>
                </c:pt>
                <c:pt idx="4">
                  <c:v>-4.3188627211315292E-3</c:v>
                </c:pt>
                <c:pt idx="5">
                  <c:v>-3.6673422887079782E-3</c:v>
                </c:pt>
                <c:pt idx="6">
                  <c:v>-2.9999692675364738E-3</c:v>
                </c:pt>
                <c:pt idx="7">
                  <c:v>-2.3173509410837068E-3</c:v>
                </c:pt>
                <c:pt idx="8">
                  <c:v>-1.6201258804816182E-3</c:v>
                </c:pt>
                <c:pt idx="9">
                  <c:v>-9.0896409703595735E-4</c:v>
                </c:pt>
                <c:pt idx="10">
                  <c:v>-1.8456720047539329E-4</c:v>
                </c:pt>
                <c:pt idx="11">
                  <c:v>5.5233143972358012E-4</c:v>
                </c:pt>
                <c:pt idx="12">
                  <c:v>1.3009665328145431E-3</c:v>
                </c:pt>
                <c:pt idx="13">
                  <c:v>2.060540708162046E-3</c:v>
                </c:pt>
                <c:pt idx="14">
                  <c:v>2.8302243628622707E-3</c:v>
                </c:pt>
                <c:pt idx="15">
                  <c:v>3.609155519185038E-3</c:v>
                </c:pt>
                <c:pt idx="16">
                  <c:v>4.39643969567537E-3</c:v>
                </c:pt>
                <c:pt idx="17">
                  <c:v>5.1911497960206703E-3</c:v>
                </c:pt>
                <c:pt idx="18">
                  <c:v>5.9923260200659152E-3</c:v>
                </c:pt>
                <c:pt idx="19">
                  <c:v>6.7989758016448205E-3</c:v>
                </c:pt>
                <c:pt idx="20">
                  <c:v>7.6100737781874626E-3</c:v>
                </c:pt>
                <c:pt idx="21">
                  <c:v>8.4245617973655994E-3</c:v>
                </c:pt>
                <c:pt idx="22">
                  <c:v>9.241348966337052E-3</c:v>
                </c:pt>
                <c:pt idx="23">
                  <c:v>1.0059311749457537E-2</c:v>
                </c:pt>
                <c:pt idx="24">
                  <c:v>1.0877294120629481E-2</c:v>
                </c:pt>
                <c:pt idx="25">
                  <c:v>1.1694107776757705E-2</c:v>
                </c:pt>
                <c:pt idx="26">
                  <c:v>1.2508532419070344E-2</c:v>
                </c:pt>
                <c:pt idx="27">
                  <c:v>1.331931610934273E-2</c:v>
                </c:pt>
                <c:pt idx="28">
                  <c:v>1.4125175708321037E-2</c:v>
                </c:pt>
                <c:pt idx="29">
                  <c:v>1.4924797403878786E-2</c:v>
                </c:pt>
                <c:pt idx="30">
                  <c:v>1.5716837336648477E-2</c:v>
                </c:pt>
                <c:pt idx="31">
                  <c:v>1.6499922331040036E-2</c:v>
                </c:pt>
                <c:pt idx="32">
                  <c:v>1.7272650739687645E-2</c:v>
                </c:pt>
                <c:pt idx="33">
                  <c:v>1.8033593409440232E-2</c:v>
                </c:pt>
                <c:pt idx="34">
                  <c:v>1.8781294777030534E-2</c:v>
                </c:pt>
                <c:pt idx="35">
                  <c:v>1.9514274102501328E-2</c:v>
                </c:pt>
                <c:pt idx="36">
                  <c:v>2.0231026848337819E-2</c:v>
                </c:pt>
                <c:pt idx="37">
                  <c:v>2.0930026212032996E-2</c:v>
                </c:pt>
                <c:pt idx="38">
                  <c:v>2.1609724819495885E-2</c:v>
                </c:pt>
                <c:pt idx="39">
                  <c:v>2.2268556586281164E-2</c:v>
                </c:pt>
                <c:pt idx="40">
                  <c:v>2.2904938753075105E-2</c:v>
                </c:pt>
                <c:pt idx="41">
                  <c:v>2.3517274101195494E-2</c:v>
                </c:pt>
                <c:pt idx="42">
                  <c:v>2.4103953353050676E-2</c:v>
                </c:pt>
                <c:pt idx="43">
                  <c:v>2.4663357761546503E-2</c:v>
                </c:pt>
                <c:pt idx="44">
                  <c:v>2.5193861891319017E-2</c:v>
                </c:pt>
                <c:pt idx="45">
                  <c:v>2.5693836593405198E-2</c:v>
                </c:pt>
                <c:pt idx="46">
                  <c:v>2.61616521735374E-2</c:v>
                </c:pt>
                <c:pt idx="47">
                  <c:v>2.6595681752661686E-2</c:v>
                </c:pt>
                <c:pt idx="48">
                  <c:v>2.6994304816536245E-2</c:v>
                </c:pt>
                <c:pt idx="49">
                  <c:v>2.7355910949368224E-2</c:v>
                </c:pt>
                <c:pt idx="50">
                  <c:v>2.7678903744411357E-2</c:v>
                </c:pt>
                <c:pt idx="51">
                  <c:v>2.7961704882275649E-2</c:v>
                </c:pt>
                <c:pt idx="52">
                  <c:v>2.8202758365420133E-2</c:v>
                </c:pt>
                <c:pt idx="53">
                  <c:v>2.8400534894930746E-2</c:v>
                </c:pt>
                <c:pt idx="54">
                  <c:v>2.8553536373248721E-2</c:v>
                </c:pt>
                <c:pt idx="55">
                  <c:v>2.8660300514049747E-2</c:v>
                </c:pt>
                <c:pt idx="56">
                  <c:v>2.8719405538010841E-2</c:v>
                </c:pt>
                <c:pt idx="57">
                  <c:v>2.8729474930780634E-2</c:v>
                </c:pt>
                <c:pt idx="58">
                  <c:v>2.8689182237135794E-2</c:v>
                </c:pt>
                <c:pt idx="59">
                  <c:v>2.8597255863103195E-2</c:v>
                </c:pt>
                <c:pt idx="60">
                  <c:v>2.84524838558094E-2</c:v>
                </c:pt>
                <c:pt idx="61">
                  <c:v>2.8253718629027574E-2</c:v>
                </c:pt>
                <c:pt idx="62">
                  <c:v>2.7999881600883937E-2</c:v>
                </c:pt>
                <c:pt idx="63">
                  <c:v>2.7689967709006443E-2</c:v>
                </c:pt>
                <c:pt idx="64">
                  <c:v>2.7323049767592256E-2</c:v>
                </c:pt>
                <c:pt idx="65">
                  <c:v>2.6898282630481728E-2</c:v>
                </c:pt>
                <c:pt idx="66">
                  <c:v>2.6414907124389105E-2</c:v>
                </c:pt>
                <c:pt idx="67">
                  <c:v>2.5872253716982836E-2</c:v>
                </c:pt>
                <c:pt idx="68">
                  <c:v>2.526974588555116E-2</c:v>
                </c:pt>
                <c:pt idx="69">
                  <c:v>2.4606903153542154E-2</c:v>
                </c:pt>
                <c:pt idx="70">
                  <c:v>2.3883343764331051E-2</c:v>
                </c:pt>
                <c:pt idx="71">
                  <c:v>2.3098786964128655E-2</c:v>
                </c:pt>
                <c:pt idx="72">
                  <c:v>2.225305486898109E-2</c:v>
                </c:pt>
                <c:pt idx="73">
                  <c:v>2.1346073894286111E-2</c:v>
                </c:pt>
                <c:pt idx="74">
                  <c:v>2.0377875729118828E-2</c:v>
                </c:pt>
                <c:pt idx="75">
                  <c:v>1.9348597841862596E-2</c:v>
                </c:pt>
                <c:pt idx="76">
                  <c:v>1.825848350811261E-2</c:v>
                </c:pt>
                <c:pt idx="77">
                  <c:v>1.7107881356486075E-2</c:v>
                </c:pt>
                <c:pt idx="78">
                  <c:v>1.5897244432753727E-2</c:v>
                </c:pt>
                <c:pt idx="79">
                  <c:v>1.4627128787518946E-2</c:v>
                </c:pt>
                <c:pt idx="80">
                  <c:v>1.3298191597427671E-2</c:v>
                </c:pt>
                <c:pt idx="81">
                  <c:v>8.9664874642883044E-3</c:v>
                </c:pt>
                <c:pt idx="82">
                  <c:v>7.4107678841812304E-3</c:v>
                </c:pt>
                <c:pt idx="83">
                  <c:v>5.8009333203764279E-3</c:v>
                </c:pt>
                <c:pt idx="84">
                  <c:v>4.1381844953815757E-3</c:v>
                </c:pt>
                <c:pt idx="85">
                  <c:v>2.423798782846355E-3</c:v>
                </c:pt>
                <c:pt idx="86">
                  <c:v>6.5912544686824032E-4</c:v>
                </c:pt>
                <c:pt idx="87">
                  <c:v>-3.0153575750077183E-3</c:v>
                </c:pt>
                <c:pt idx="88">
                  <c:v>-4.9221548184100947E-3</c:v>
                </c:pt>
                <c:pt idx="89">
                  <c:v>-6.8732254328815467E-3</c:v>
                </c:pt>
                <c:pt idx="90">
                  <c:v>-8.8669380609304876E-3</c:v>
                </c:pt>
                <c:pt idx="91">
                  <c:v>-1.0901621045609981E-2</c:v>
                </c:pt>
                <c:pt idx="92">
                  <c:v>-1.2975567845357389E-2</c:v>
                </c:pt>
                <c:pt idx="93">
                  <c:v>-1.5087042397547408E-2</c:v>
                </c:pt>
                <c:pt idx="94">
                  <c:v>-1.9415514481479282E-2</c:v>
                </c:pt>
                <c:pt idx="95">
                  <c:v>-2.3872756105080651E-2</c:v>
                </c:pt>
                <c:pt idx="96">
                  <c:v>-2.8444338121090318E-2</c:v>
                </c:pt>
                <c:pt idx="97">
                  <c:v>-3.3115830347695746E-2</c:v>
                </c:pt>
                <c:pt idx="98">
                  <c:v>-3.7872935175244843E-2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76-432C-8B7F-60587155B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55552"/>
        <c:axId val="1"/>
      </c:scatterChart>
      <c:valAx>
        <c:axId val="718955552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0216302749392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659574468085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5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00858137413674E-2"/>
          <c:y val="0.92145141978098655"/>
          <c:w val="0.914894957279276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7784090909090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9545454545456E-2"/>
          <c:y val="0.14545497589659059"/>
          <c:w val="0.8650568181818182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2'!$H$21:$H$1182</c:f>
              <c:numCache>
                <c:formatCode>General</c:formatCode>
                <c:ptCount val="1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96-41F0-B69B-CF2E1B325ED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2'!$I$21:$I$1182</c:f>
              <c:numCache>
                <c:formatCode>General</c:formatCode>
                <c:ptCount val="1162"/>
                <c:pt idx="26">
                  <c:v>2.8649722997215576E-2</c:v>
                </c:pt>
                <c:pt idx="27">
                  <c:v>2.9387046997726429E-2</c:v>
                </c:pt>
                <c:pt idx="28">
                  <c:v>2.419950799230719E-2</c:v>
                </c:pt>
                <c:pt idx="41">
                  <c:v>3.5546408995287493E-2</c:v>
                </c:pt>
                <c:pt idx="145">
                  <c:v>6.7275209949002601E-3</c:v>
                </c:pt>
                <c:pt idx="162">
                  <c:v>1.5264499234035611E-4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96-41F0-B69B-CF2E1B325ED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2'!$J$21:$J$1182</c:f>
              <c:numCache>
                <c:formatCode>General</c:formatCode>
                <c:ptCount val="1162"/>
                <c:pt idx="4">
                  <c:v>-4.4825900840805843E-4</c:v>
                </c:pt>
                <c:pt idx="5">
                  <c:v>0</c:v>
                </c:pt>
                <c:pt idx="7">
                  <c:v>5.9999999939464033E-4</c:v>
                </c:pt>
                <c:pt idx="9">
                  <c:v>5.710555000405293E-3</c:v>
                </c:pt>
                <c:pt idx="10">
                  <c:v>6.6856919947895221E-3</c:v>
                </c:pt>
                <c:pt idx="11">
                  <c:v>6.1125700012780726E-3</c:v>
                </c:pt>
                <c:pt idx="12">
                  <c:v>5.7831709927995689E-3</c:v>
                </c:pt>
                <c:pt idx="13">
                  <c:v>5.8831709902733564E-3</c:v>
                </c:pt>
                <c:pt idx="14">
                  <c:v>6.4642939905752428E-3</c:v>
                </c:pt>
                <c:pt idx="15">
                  <c:v>6.4642939978512004E-3</c:v>
                </c:pt>
                <c:pt idx="16">
                  <c:v>7.0399199903476983E-3</c:v>
                </c:pt>
                <c:pt idx="17">
                  <c:v>7.3180499966838397E-3</c:v>
                </c:pt>
                <c:pt idx="18">
                  <c:v>6.3663089968031272E-3</c:v>
                </c:pt>
                <c:pt idx="19">
                  <c:v>7.3145679998560809E-3</c:v>
                </c:pt>
                <c:pt idx="20">
                  <c:v>7.3425419977866113E-3</c:v>
                </c:pt>
                <c:pt idx="21">
                  <c:v>6.9176789984339848E-3</c:v>
                </c:pt>
                <c:pt idx="22">
                  <c:v>9.5157649921020493E-3</c:v>
                </c:pt>
                <c:pt idx="23">
                  <c:v>9.6426429954590276E-3</c:v>
                </c:pt>
                <c:pt idx="24">
                  <c:v>5.2317079971544445E-3</c:v>
                </c:pt>
                <c:pt idx="25">
                  <c:v>1.9369064997590613E-2</c:v>
                </c:pt>
                <c:pt idx="29">
                  <c:v>2.5573008999344893E-2</c:v>
                </c:pt>
                <c:pt idx="30">
                  <c:v>2.5821267990977503E-2</c:v>
                </c:pt>
                <c:pt idx="31">
                  <c:v>2.5172578993078787E-2</c:v>
                </c:pt>
                <c:pt idx="33">
                  <c:v>2.9746602995146532E-2</c:v>
                </c:pt>
                <c:pt idx="34">
                  <c:v>2.9116419995261822E-2</c:v>
                </c:pt>
                <c:pt idx="35">
                  <c:v>3.4736392990453169E-2</c:v>
                </c:pt>
                <c:pt idx="36">
                  <c:v>3.4184162999736145E-2</c:v>
                </c:pt>
                <c:pt idx="37">
                  <c:v>2.4521975989046041E-2</c:v>
                </c:pt>
                <c:pt idx="38">
                  <c:v>3.3969746000366285E-2</c:v>
                </c:pt>
                <c:pt idx="39">
                  <c:v>2.4677746994711924E-2</c:v>
                </c:pt>
                <c:pt idx="40">
                  <c:v>3.2677746996341739E-2</c:v>
                </c:pt>
                <c:pt idx="42">
                  <c:v>2.7968515001703054E-2</c:v>
                </c:pt>
                <c:pt idx="43">
                  <c:v>3.2968514999083709E-2</c:v>
                </c:pt>
                <c:pt idx="44">
                  <c:v>2.9649696996784769E-2</c:v>
                </c:pt>
                <c:pt idx="45">
                  <c:v>2.9849696991732344E-2</c:v>
                </c:pt>
                <c:pt idx="46">
                  <c:v>2.8825541994592641E-2</c:v>
                </c:pt>
                <c:pt idx="47">
                  <c:v>2.6308249995054211E-2</c:v>
                </c:pt>
                <c:pt idx="49">
                  <c:v>2.8035186995111872E-2</c:v>
                </c:pt>
                <c:pt idx="52">
                  <c:v>3.0545556990546174E-2</c:v>
                </c:pt>
                <c:pt idx="53">
                  <c:v>2.9693815995415207E-2</c:v>
                </c:pt>
                <c:pt idx="54">
                  <c:v>2.9686851994483732E-2</c:v>
                </c:pt>
                <c:pt idx="55">
                  <c:v>2.88833699960378E-2</c:v>
                </c:pt>
                <c:pt idx="56">
                  <c:v>2.8882450998935383E-2</c:v>
                </c:pt>
                <c:pt idx="62">
                  <c:v>2.7419723992352374E-2</c:v>
                </c:pt>
                <c:pt idx="66">
                  <c:v>2.7093983997474425E-2</c:v>
                </c:pt>
                <c:pt idx="73">
                  <c:v>2.3979827994480729E-2</c:v>
                </c:pt>
                <c:pt idx="74">
                  <c:v>2.2427656993386336E-2</c:v>
                </c:pt>
                <c:pt idx="81">
                  <c:v>2.2614319001149852E-2</c:v>
                </c:pt>
                <c:pt idx="83">
                  <c:v>2.296257799025625E-2</c:v>
                </c:pt>
                <c:pt idx="84">
                  <c:v>2.2110836995125283E-2</c:v>
                </c:pt>
                <c:pt idx="85">
                  <c:v>2.1803872994496487E-2</c:v>
                </c:pt>
                <c:pt idx="92">
                  <c:v>1.9057729994528927E-2</c:v>
                </c:pt>
                <c:pt idx="95">
                  <c:v>1.7129991996625904E-2</c:v>
                </c:pt>
                <c:pt idx="101">
                  <c:v>1.5742005998617969E-2</c:v>
                </c:pt>
                <c:pt idx="127">
                  <c:v>1.414277299772948E-2</c:v>
                </c:pt>
                <c:pt idx="142">
                  <c:v>9.5916639911592938E-3</c:v>
                </c:pt>
                <c:pt idx="143">
                  <c:v>9.9399229948176071E-3</c:v>
                </c:pt>
                <c:pt idx="144">
                  <c:v>9.2881820019101724E-3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96-41F0-B69B-CF2E1B325ED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2'!$K$21:$K$1182</c:f>
              <c:numCache>
                <c:formatCode>General</c:formatCode>
                <c:ptCount val="1162"/>
                <c:pt idx="0">
                  <c:v>-1.2856420071329921E-3</c:v>
                </c:pt>
                <c:pt idx="1">
                  <c:v>-1.5373830028693192E-3</c:v>
                </c:pt>
                <c:pt idx="2">
                  <c:v>-6.1692100280197337E-4</c:v>
                </c:pt>
                <c:pt idx="3">
                  <c:v>-3.7813006201758981E-5</c:v>
                </c:pt>
                <c:pt idx="6">
                  <c:v>2.9999999969732016E-4</c:v>
                </c:pt>
                <c:pt idx="8">
                  <c:v>5.2732309995917603E-3</c:v>
                </c:pt>
                <c:pt idx="32">
                  <c:v>2.6679053989937529E-2</c:v>
                </c:pt>
                <c:pt idx="48">
                  <c:v>2.6190409836999606E-2</c:v>
                </c:pt>
                <c:pt idx="50">
                  <c:v>2.6269518202752806E-2</c:v>
                </c:pt>
                <c:pt idx="51">
                  <c:v>2.6859071913349908E-2</c:v>
                </c:pt>
                <c:pt idx="57">
                  <c:v>2.9060091997962445E-2</c:v>
                </c:pt>
                <c:pt idx="58">
                  <c:v>2.9011776932748035E-2</c:v>
                </c:pt>
                <c:pt idx="59">
                  <c:v>2.9161933991417754E-2</c:v>
                </c:pt>
                <c:pt idx="60">
                  <c:v>3.0111933992884587E-2</c:v>
                </c:pt>
                <c:pt idx="61">
                  <c:v>3.0090788997767959E-2</c:v>
                </c:pt>
                <c:pt idx="63">
                  <c:v>2.7631189994281158E-2</c:v>
                </c:pt>
                <c:pt idx="64">
                  <c:v>2.7382011998270173E-2</c:v>
                </c:pt>
                <c:pt idx="65">
                  <c:v>2.508848699653754E-2</c:v>
                </c:pt>
                <c:pt idx="67">
                  <c:v>2.6526907000516076E-2</c:v>
                </c:pt>
                <c:pt idx="68">
                  <c:v>2.6498426988837309E-2</c:v>
                </c:pt>
                <c:pt idx="69">
                  <c:v>2.7873563994944561E-2</c:v>
                </c:pt>
                <c:pt idx="70">
                  <c:v>2.5585922579921316E-2</c:v>
                </c:pt>
                <c:pt idx="71">
                  <c:v>2.5593654994736426E-2</c:v>
                </c:pt>
                <c:pt idx="72">
                  <c:v>2.6634519992512651E-2</c:v>
                </c:pt>
                <c:pt idx="75">
                  <c:v>2.4269010995340068E-2</c:v>
                </c:pt>
                <c:pt idx="76">
                  <c:v>2.4491917996783741E-2</c:v>
                </c:pt>
                <c:pt idx="77">
                  <c:v>2.4807608002447523E-2</c:v>
                </c:pt>
                <c:pt idx="78">
                  <c:v>2.2683899995172396E-2</c:v>
                </c:pt>
                <c:pt idx="79">
                  <c:v>2.304663499671733E-2</c:v>
                </c:pt>
                <c:pt idx="80">
                  <c:v>2.2173023993673269E-2</c:v>
                </c:pt>
                <c:pt idx="82">
                  <c:v>2.2562577993085142E-2</c:v>
                </c:pt>
                <c:pt idx="86">
                  <c:v>2.123429199855309E-2</c:v>
                </c:pt>
                <c:pt idx="87">
                  <c:v>1.9981867990281899E-2</c:v>
                </c:pt>
                <c:pt idx="88">
                  <c:v>2.0336112997028977E-2</c:v>
                </c:pt>
                <c:pt idx="89">
                  <c:v>1.9698358999448828E-2</c:v>
                </c:pt>
                <c:pt idx="90">
                  <c:v>2.2325784993881825E-2</c:v>
                </c:pt>
                <c:pt idx="91">
                  <c:v>2.0279540993215051E-2</c:v>
                </c:pt>
                <c:pt idx="93">
                  <c:v>2.1117960997798946E-2</c:v>
                </c:pt>
                <c:pt idx="94">
                  <c:v>2.0207514993671793E-2</c:v>
                </c:pt>
                <c:pt idx="96">
                  <c:v>1.6477138000482228E-2</c:v>
                </c:pt>
                <c:pt idx="97">
                  <c:v>1.7055756994523108E-2</c:v>
                </c:pt>
                <c:pt idx="98">
                  <c:v>1.7095756993512623E-2</c:v>
                </c:pt>
                <c:pt idx="99">
                  <c:v>1.7255756996746641E-2</c:v>
                </c:pt>
                <c:pt idx="100">
                  <c:v>1.7305756991845556E-2</c:v>
                </c:pt>
                <c:pt idx="102">
                  <c:v>1.6323128998919856E-2</c:v>
                </c:pt>
                <c:pt idx="103">
                  <c:v>1.6383128997404128E-2</c:v>
                </c:pt>
                <c:pt idx="104">
                  <c:v>1.6823129000840709E-2</c:v>
                </c:pt>
                <c:pt idx="105">
                  <c:v>1.6883128999324981E-2</c:v>
                </c:pt>
                <c:pt idx="106">
                  <c:v>1.7323128995485604E-2</c:v>
                </c:pt>
                <c:pt idx="107">
                  <c:v>1.7383129001245834E-2</c:v>
                </c:pt>
                <c:pt idx="108">
                  <c:v>1.4941575995180756E-2</c:v>
                </c:pt>
                <c:pt idx="109">
                  <c:v>1.4961575994675513E-2</c:v>
                </c:pt>
                <c:pt idx="110">
                  <c:v>1.5641575992049184E-2</c:v>
                </c:pt>
                <c:pt idx="111">
                  <c:v>1.5661575991543941E-2</c:v>
                </c:pt>
                <c:pt idx="112">
                  <c:v>1.5841575994272716E-2</c:v>
                </c:pt>
                <c:pt idx="113">
                  <c:v>1.5861575993767474E-2</c:v>
                </c:pt>
                <c:pt idx="114">
                  <c:v>1.6367770993383601E-2</c:v>
                </c:pt>
                <c:pt idx="115">
                  <c:v>1.4957931998651475E-2</c:v>
                </c:pt>
                <c:pt idx="116">
                  <c:v>1.5906190994428471E-2</c:v>
                </c:pt>
                <c:pt idx="117">
                  <c:v>1.6926104995945934E-2</c:v>
                </c:pt>
                <c:pt idx="118">
                  <c:v>1.4706507994560525E-2</c:v>
                </c:pt>
                <c:pt idx="119">
                  <c:v>1.4906507996784057E-2</c:v>
                </c:pt>
                <c:pt idx="120">
                  <c:v>1.4906507996784057E-2</c:v>
                </c:pt>
                <c:pt idx="121">
                  <c:v>1.5799774992046878E-2</c:v>
                </c:pt>
                <c:pt idx="122">
                  <c:v>1.4336609994643368E-2</c:v>
                </c:pt>
                <c:pt idx="123">
                  <c:v>1.372341799287824E-2</c:v>
                </c:pt>
                <c:pt idx="124">
                  <c:v>1.432341799227288E-2</c:v>
                </c:pt>
                <c:pt idx="125">
                  <c:v>1.5123417993891053E-2</c:v>
                </c:pt>
                <c:pt idx="126">
                  <c:v>1.3397189999523107E-2</c:v>
                </c:pt>
                <c:pt idx="128">
                  <c:v>1.3571370000136085E-2</c:v>
                </c:pt>
                <c:pt idx="129">
                  <c:v>1.3681369993719272E-2</c:v>
                </c:pt>
                <c:pt idx="130">
                  <c:v>1.3751369995588902E-2</c:v>
                </c:pt>
                <c:pt idx="131">
                  <c:v>1.3811369994073175E-2</c:v>
                </c:pt>
                <c:pt idx="132">
                  <c:v>1.391136999882292E-2</c:v>
                </c:pt>
                <c:pt idx="133">
                  <c:v>1.4041369999176823E-2</c:v>
                </c:pt>
                <c:pt idx="134">
                  <c:v>1.3539585990656633E-2</c:v>
                </c:pt>
                <c:pt idx="135">
                  <c:v>1.0669026996765751E-2</c:v>
                </c:pt>
                <c:pt idx="136">
                  <c:v>1.2429746995621826E-2</c:v>
                </c:pt>
                <c:pt idx="137">
                  <c:v>1.3178005996451247E-2</c:v>
                </c:pt>
                <c:pt idx="138">
                  <c:v>1.2526264996267855E-2</c:v>
                </c:pt>
                <c:pt idx="139">
                  <c:v>1.186833899555495E-2</c:v>
                </c:pt>
                <c:pt idx="140">
                  <c:v>1.1978338996414095E-2</c:v>
                </c:pt>
                <c:pt idx="141">
                  <c:v>9.713963998365216E-3</c:v>
                </c:pt>
                <c:pt idx="146">
                  <c:v>9.0377089945832267E-3</c:v>
                </c:pt>
                <c:pt idx="147">
                  <c:v>9.1577089915517718E-3</c:v>
                </c:pt>
                <c:pt idx="148">
                  <c:v>9.487708994129207E-3</c:v>
                </c:pt>
                <c:pt idx="149">
                  <c:v>9.9577089931699447E-3</c:v>
                </c:pt>
                <c:pt idx="150">
                  <c:v>7.7561559955938719E-3</c:v>
                </c:pt>
                <c:pt idx="151">
                  <c:v>8.1861559956450947E-3</c:v>
                </c:pt>
                <c:pt idx="152">
                  <c:v>8.3461559988791123E-3</c:v>
                </c:pt>
                <c:pt idx="153">
                  <c:v>8.4661559958476573E-3</c:v>
                </c:pt>
                <c:pt idx="154">
                  <c:v>2.4279069912154227E-3</c:v>
                </c:pt>
                <c:pt idx="155">
                  <c:v>4.9579069964238442E-3</c:v>
                </c:pt>
                <c:pt idx="156">
                  <c:v>5.2279069932410493E-3</c:v>
                </c:pt>
                <c:pt idx="157">
                  <c:v>5.6879069961723872E-3</c:v>
                </c:pt>
                <c:pt idx="158">
                  <c:v>4.6356929888133891E-3</c:v>
                </c:pt>
                <c:pt idx="159">
                  <c:v>4.7056929906830192E-3</c:v>
                </c:pt>
                <c:pt idx="160">
                  <c:v>4.8156929915421642E-3</c:v>
                </c:pt>
                <c:pt idx="161">
                  <c:v>2.1898509949096479E-3</c:v>
                </c:pt>
                <c:pt idx="163">
                  <c:v>1.86444499559002E-3</c:v>
                </c:pt>
                <c:pt idx="164">
                  <c:v>1.974444996449165E-3</c:v>
                </c:pt>
                <c:pt idx="165">
                  <c:v>-4.9062300240620971E-4</c:v>
                </c:pt>
                <c:pt idx="166">
                  <c:v>-5.0622998969629407E-5</c:v>
                </c:pt>
                <c:pt idx="167">
                  <c:v>9.3769995146431029E-6</c:v>
                </c:pt>
                <c:pt idx="168">
                  <c:v>4.7937699855538085E-4</c:v>
                </c:pt>
                <c:pt idx="169">
                  <c:v>-1.0507949991733767E-3</c:v>
                </c:pt>
                <c:pt idx="170">
                  <c:v>-1.8437720063957386E-3</c:v>
                </c:pt>
                <c:pt idx="171">
                  <c:v>-7.4845360068138689E-3</c:v>
                </c:pt>
                <c:pt idx="172">
                  <c:v>-1.8659294008102734E-2</c:v>
                </c:pt>
                <c:pt idx="173">
                  <c:v>-1.9968096006778069E-2</c:v>
                </c:pt>
                <c:pt idx="174">
                  <c:v>-2.4911735003115609E-2</c:v>
                </c:pt>
                <c:pt idx="175">
                  <c:v>-2.6263476007443387E-2</c:v>
                </c:pt>
                <c:pt idx="176">
                  <c:v>-2.6542036182945594E-2</c:v>
                </c:pt>
                <c:pt idx="177">
                  <c:v>-2.5493776985967997E-2</c:v>
                </c:pt>
                <c:pt idx="178">
                  <c:v>-3.2480414003657643E-2</c:v>
                </c:pt>
                <c:pt idx="179">
                  <c:v>7.6603212997724768E-2</c:v>
                </c:pt>
                <c:pt idx="180">
                  <c:v>-2.9352988000027835E-2</c:v>
                </c:pt>
                <c:pt idx="181">
                  <c:v>-2.6586771004076581E-2</c:v>
                </c:pt>
                <c:pt idx="182">
                  <c:v>-2.9390135008725338E-2</c:v>
                </c:pt>
                <c:pt idx="183">
                  <c:v>-3.469527792185545E-2</c:v>
                </c:pt>
                <c:pt idx="184">
                  <c:v>-3.6122291006904561E-2</c:v>
                </c:pt>
                <c:pt idx="185">
                  <c:v>-3.7774032003653701E-2</c:v>
                </c:pt>
                <c:pt idx="186">
                  <c:v>-4.22587718203431E-2</c:v>
                </c:pt>
                <c:pt idx="187">
                  <c:v>-4.3210218005697243E-2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96-41F0-B69B-CF2E1B325ED5}"/>
            </c:ext>
          </c:extLst>
        </c:ser>
        <c:ser>
          <c:idx val="8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2'!$AW$2:$AW$100</c:f>
              <c:numCache>
                <c:formatCode>General</c:formatCode>
                <c:ptCount val="99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  <c:pt idx="96">
                  <c:v>46000</c:v>
                </c:pt>
                <c:pt idx="97">
                  <c:v>47000</c:v>
                </c:pt>
                <c:pt idx="98">
                  <c:v>48000</c:v>
                </c:pt>
              </c:numCache>
            </c:numRef>
          </c:xVal>
          <c:yVal>
            <c:numRef>
              <c:f>'Active 2'!$AX$2:$AX$100</c:f>
              <c:numCache>
                <c:formatCode>General</c:formatCode>
                <c:ptCount val="99"/>
                <c:pt idx="0">
                  <c:v>-6.7553601911797753E-3</c:v>
                </c:pt>
                <c:pt idx="1">
                  <c:v>-6.1727020112689775E-3</c:v>
                </c:pt>
                <c:pt idx="2">
                  <c:v>-5.5720722688461267E-3</c:v>
                </c:pt>
                <c:pt idx="3">
                  <c:v>-4.9539544247015378E-3</c:v>
                </c:pt>
                <c:pt idx="4">
                  <c:v>-4.3188627211315292E-3</c:v>
                </c:pt>
                <c:pt idx="5">
                  <c:v>-3.6673422887079782E-3</c:v>
                </c:pt>
                <c:pt idx="6">
                  <c:v>-2.9999692675364738E-3</c:v>
                </c:pt>
                <c:pt idx="7">
                  <c:v>-2.3173509410837068E-3</c:v>
                </c:pt>
                <c:pt idx="8">
                  <c:v>-1.6201258804816182E-3</c:v>
                </c:pt>
                <c:pt idx="9">
                  <c:v>-9.0896409703595735E-4</c:v>
                </c:pt>
                <c:pt idx="10">
                  <c:v>-1.8456720047539329E-4</c:v>
                </c:pt>
                <c:pt idx="11">
                  <c:v>5.5233143972358012E-4</c:v>
                </c:pt>
                <c:pt idx="12">
                  <c:v>1.3009665328145431E-3</c:v>
                </c:pt>
                <c:pt idx="13">
                  <c:v>2.060540708162046E-3</c:v>
                </c:pt>
                <c:pt idx="14">
                  <c:v>2.8302243628622707E-3</c:v>
                </c:pt>
                <c:pt idx="15">
                  <c:v>3.609155519185038E-3</c:v>
                </c:pt>
                <c:pt idx="16">
                  <c:v>4.39643969567537E-3</c:v>
                </c:pt>
                <c:pt idx="17">
                  <c:v>5.1911497960206703E-3</c:v>
                </c:pt>
                <c:pt idx="18">
                  <c:v>5.9923260200659152E-3</c:v>
                </c:pt>
                <c:pt idx="19">
                  <c:v>6.7989758016448205E-3</c:v>
                </c:pt>
                <c:pt idx="20">
                  <c:v>7.6100737781874626E-3</c:v>
                </c:pt>
                <c:pt idx="21">
                  <c:v>8.4245617973655994E-3</c:v>
                </c:pt>
                <c:pt idx="22">
                  <c:v>9.241348966337052E-3</c:v>
                </c:pt>
                <c:pt idx="23">
                  <c:v>1.0059311749457537E-2</c:v>
                </c:pt>
                <c:pt idx="24">
                  <c:v>1.0877294120629481E-2</c:v>
                </c:pt>
                <c:pt idx="25">
                  <c:v>1.1694107776757705E-2</c:v>
                </c:pt>
                <c:pt idx="26">
                  <c:v>1.2508532419070344E-2</c:v>
                </c:pt>
                <c:pt idx="27">
                  <c:v>1.331931610934273E-2</c:v>
                </c:pt>
                <c:pt idx="28">
                  <c:v>1.4125175708321037E-2</c:v>
                </c:pt>
                <c:pt idx="29">
                  <c:v>1.4924797403878786E-2</c:v>
                </c:pt>
                <c:pt idx="30">
                  <c:v>1.5716837336648477E-2</c:v>
                </c:pt>
                <c:pt idx="31">
                  <c:v>1.6499922331040036E-2</c:v>
                </c:pt>
                <c:pt idx="32">
                  <c:v>1.7272650739687645E-2</c:v>
                </c:pt>
                <c:pt idx="33">
                  <c:v>1.8033593409440232E-2</c:v>
                </c:pt>
                <c:pt idx="34">
                  <c:v>1.8781294777030534E-2</c:v>
                </c:pt>
                <c:pt idx="35">
                  <c:v>1.9514274102501328E-2</c:v>
                </c:pt>
                <c:pt idx="36">
                  <c:v>2.0231026848337819E-2</c:v>
                </c:pt>
                <c:pt idx="37">
                  <c:v>2.0930026212032996E-2</c:v>
                </c:pt>
                <c:pt idx="38">
                  <c:v>2.1609724819495885E-2</c:v>
                </c:pt>
                <c:pt idx="39">
                  <c:v>2.2268556586281164E-2</c:v>
                </c:pt>
                <c:pt idx="40">
                  <c:v>2.2904938753075105E-2</c:v>
                </c:pt>
                <c:pt idx="41">
                  <c:v>2.3517274101195494E-2</c:v>
                </c:pt>
                <c:pt idx="42">
                  <c:v>2.4103953353050676E-2</c:v>
                </c:pt>
                <c:pt idx="43">
                  <c:v>2.4663357761546503E-2</c:v>
                </c:pt>
                <c:pt idx="44">
                  <c:v>2.5193861891319017E-2</c:v>
                </c:pt>
                <c:pt idx="45">
                  <c:v>2.5693836593405198E-2</c:v>
                </c:pt>
                <c:pt idx="46">
                  <c:v>2.61616521735374E-2</c:v>
                </c:pt>
                <c:pt idx="47">
                  <c:v>2.6595681752661686E-2</c:v>
                </c:pt>
                <c:pt idx="48">
                  <c:v>2.6994304816536245E-2</c:v>
                </c:pt>
                <c:pt idx="49">
                  <c:v>2.7355910949368224E-2</c:v>
                </c:pt>
                <c:pt idx="50">
                  <c:v>2.7678903744411357E-2</c:v>
                </c:pt>
                <c:pt idx="51">
                  <c:v>2.7961704882275649E-2</c:v>
                </c:pt>
                <c:pt idx="52">
                  <c:v>2.8202758365420133E-2</c:v>
                </c:pt>
                <c:pt idx="53">
                  <c:v>2.8400534894930746E-2</c:v>
                </c:pt>
                <c:pt idx="54">
                  <c:v>2.8553536373248721E-2</c:v>
                </c:pt>
                <c:pt idx="55">
                  <c:v>2.8660300514049747E-2</c:v>
                </c:pt>
                <c:pt idx="56">
                  <c:v>2.8719405538010841E-2</c:v>
                </c:pt>
                <c:pt idx="57">
                  <c:v>2.8729474930780634E-2</c:v>
                </c:pt>
                <c:pt idx="58">
                  <c:v>2.8689182237135794E-2</c:v>
                </c:pt>
                <c:pt idx="59">
                  <c:v>2.8597255863103195E-2</c:v>
                </c:pt>
                <c:pt idx="60">
                  <c:v>2.84524838558094E-2</c:v>
                </c:pt>
                <c:pt idx="61">
                  <c:v>2.8253718629027574E-2</c:v>
                </c:pt>
                <c:pt idx="62">
                  <c:v>2.7999881600883937E-2</c:v>
                </c:pt>
                <c:pt idx="63">
                  <c:v>2.7689967709006443E-2</c:v>
                </c:pt>
                <c:pt idx="64">
                  <c:v>2.7323049767592256E-2</c:v>
                </c:pt>
                <c:pt idx="65">
                  <c:v>2.6898282630481728E-2</c:v>
                </c:pt>
                <c:pt idx="66">
                  <c:v>2.6414907124389105E-2</c:v>
                </c:pt>
                <c:pt idx="67">
                  <c:v>2.5872253716982836E-2</c:v>
                </c:pt>
                <c:pt idx="68">
                  <c:v>2.526974588555116E-2</c:v>
                </c:pt>
                <c:pt idx="69">
                  <c:v>2.4606903153542154E-2</c:v>
                </c:pt>
                <c:pt idx="70">
                  <c:v>2.3883343764331051E-2</c:v>
                </c:pt>
                <c:pt idx="71">
                  <c:v>2.3098786964128655E-2</c:v>
                </c:pt>
                <c:pt idx="72">
                  <c:v>2.225305486898109E-2</c:v>
                </c:pt>
                <c:pt idx="73">
                  <c:v>2.1346073894286111E-2</c:v>
                </c:pt>
                <c:pt idx="74">
                  <c:v>2.0377875729118828E-2</c:v>
                </c:pt>
                <c:pt idx="75">
                  <c:v>1.9348597841862596E-2</c:v>
                </c:pt>
                <c:pt idx="76">
                  <c:v>1.825848350811261E-2</c:v>
                </c:pt>
                <c:pt idx="77">
                  <c:v>1.7107881356486075E-2</c:v>
                </c:pt>
                <c:pt idx="78">
                  <c:v>1.5897244432753727E-2</c:v>
                </c:pt>
                <c:pt idx="79">
                  <c:v>1.4627128787518946E-2</c:v>
                </c:pt>
                <c:pt idx="80">
                  <c:v>1.3298191597427671E-2</c:v>
                </c:pt>
                <c:pt idx="81">
                  <c:v>8.9664874642883044E-3</c:v>
                </c:pt>
                <c:pt idx="82">
                  <c:v>7.4107678841812304E-3</c:v>
                </c:pt>
                <c:pt idx="83">
                  <c:v>5.8009333203764279E-3</c:v>
                </c:pt>
                <c:pt idx="84">
                  <c:v>4.1381844953815757E-3</c:v>
                </c:pt>
                <c:pt idx="85">
                  <c:v>2.423798782846355E-3</c:v>
                </c:pt>
                <c:pt idx="86">
                  <c:v>6.5912544686824032E-4</c:v>
                </c:pt>
                <c:pt idx="87">
                  <c:v>-3.0153575750077183E-3</c:v>
                </c:pt>
                <c:pt idx="88">
                  <c:v>-4.9221548184100947E-3</c:v>
                </c:pt>
                <c:pt idx="89">
                  <c:v>-6.8732254328815467E-3</c:v>
                </c:pt>
                <c:pt idx="90">
                  <c:v>-8.8669380609304876E-3</c:v>
                </c:pt>
                <c:pt idx="91">
                  <c:v>-1.0901621045609981E-2</c:v>
                </c:pt>
                <c:pt idx="92">
                  <c:v>-1.2975567845357389E-2</c:v>
                </c:pt>
                <c:pt idx="93">
                  <c:v>-1.5087042397547408E-2</c:v>
                </c:pt>
                <c:pt idx="94">
                  <c:v>-1.9415514481479282E-2</c:v>
                </c:pt>
                <c:pt idx="95">
                  <c:v>-2.3872756105080651E-2</c:v>
                </c:pt>
                <c:pt idx="96">
                  <c:v>-2.8444338121090318E-2</c:v>
                </c:pt>
                <c:pt idx="97">
                  <c:v>-3.3115830347695746E-2</c:v>
                </c:pt>
                <c:pt idx="98">
                  <c:v>-3.7872935175244843E-2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96-41F0-B69B-CF2E1B32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46040"/>
        <c:axId val="1"/>
      </c:scatterChart>
      <c:valAx>
        <c:axId val="718946040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022727272727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8409090909091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4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556818181818184E-2"/>
          <c:y val="0.92121498449057504"/>
          <c:w val="0.9161931818181817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LiTE Residuals + Quad Fit</a:t>
            </a:r>
          </a:p>
        </c:rich>
      </c:tx>
      <c:layout>
        <c:manualLayout>
          <c:xMode val="edge"/>
          <c:yMode val="edge"/>
          <c:x val="0.3049649857597587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09273478049E-2"/>
          <c:y val="0.14501531966242162"/>
          <c:w val="0.86524942548956318"/>
          <c:h val="0.66465354845276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2'!$AB$21:$AB$1182</c:f>
              <c:numCache>
                <c:formatCode>General</c:formatCode>
                <c:ptCount val="1162"/>
                <c:pt idx="0">
                  <c:v>1.8751226048812287E-2</c:v>
                </c:pt>
                <c:pt idx="1">
                  <c:v>1.8498772036288892E-2</c:v>
                </c:pt>
                <c:pt idx="2">
                  <c:v>1.9263166531204624E-2</c:v>
                </c:pt>
                <c:pt idx="3">
                  <c:v>1.9833647323323128E-2</c:v>
                </c:pt>
                <c:pt idx="4">
                  <c:v>1.9418886300338081E-2</c:v>
                </c:pt>
                <c:pt idx="5">
                  <c:v>1.9866426046690675E-2</c:v>
                </c:pt>
                <c:pt idx="6">
                  <c:v>2.0166426046387995E-2</c:v>
                </c:pt>
                <c:pt idx="7">
                  <c:v>2.0466426046085315E-2</c:v>
                </c:pt>
                <c:pt idx="8">
                  <c:v>1.9410991801014472E-2</c:v>
                </c:pt>
                <c:pt idx="9">
                  <c:v>1.9816438673064426E-2</c:v>
                </c:pt>
                <c:pt idx="10">
                  <c:v>2.0753466097547114E-2</c:v>
                </c:pt>
                <c:pt idx="11">
                  <c:v>2.0143085026174783E-2</c:v>
                </c:pt>
                <c:pt idx="12">
                  <c:v>1.8424678332208566E-2</c:v>
                </c:pt>
                <c:pt idx="13">
                  <c:v>1.8524678329682354E-2</c:v>
                </c:pt>
                <c:pt idx="14">
                  <c:v>1.9016752240670419E-2</c:v>
                </c:pt>
                <c:pt idx="15">
                  <c:v>1.9016752247946377E-2</c:v>
                </c:pt>
                <c:pt idx="16">
                  <c:v>1.9579511515647179E-2</c:v>
                </c:pt>
                <c:pt idx="17">
                  <c:v>1.9793254053686329E-2</c:v>
                </c:pt>
                <c:pt idx="18">
                  <c:v>1.8840592583713893E-2</c:v>
                </c:pt>
                <c:pt idx="19">
                  <c:v>1.9787931098415125E-2</c:v>
                </c:pt>
                <c:pt idx="20">
                  <c:v>1.9459242812804922E-2</c:v>
                </c:pt>
                <c:pt idx="21">
                  <c:v>1.899448221205061E-2</c:v>
                </c:pt>
                <c:pt idx="22">
                  <c:v>1.9746129160030212E-2</c:v>
                </c:pt>
                <c:pt idx="23">
                  <c:v>1.98326321291558E-2</c:v>
                </c:pt>
                <c:pt idx="24">
                  <c:v>1.538803019031512E-2</c:v>
                </c:pt>
                <c:pt idx="25">
                  <c:v>2.077561692363538E-2</c:v>
                </c:pt>
                <c:pt idx="26">
                  <c:v>1.4141403497777417E-2</c:v>
                </c:pt>
                <c:pt idx="27">
                  <c:v>1.484472517196217E-2</c:v>
                </c:pt>
                <c:pt idx="28">
                  <c:v>9.5826575864145901E-3</c:v>
                </c:pt>
                <c:pt idx="29">
                  <c:v>6.8189019243965927E-3</c:v>
                </c:pt>
                <c:pt idx="30">
                  <c:v>7.0663256302576083E-3</c:v>
                </c:pt>
                <c:pt idx="31">
                  <c:v>6.2270658810574461E-3</c:v>
                </c:pt>
                <c:pt idx="32">
                  <c:v>7.7128221933337772E-3</c:v>
                </c:pt>
                <c:pt idx="33">
                  <c:v>9.7183076324549346E-3</c:v>
                </c:pt>
                <c:pt idx="34">
                  <c:v>8.6472540070258452E-3</c:v>
                </c:pt>
                <c:pt idx="35">
                  <c:v>1.4076802377658581E-2</c:v>
                </c:pt>
                <c:pt idx="36">
                  <c:v>1.3501570022188415E-2</c:v>
                </c:pt>
                <c:pt idx="37">
                  <c:v>3.8340197425895568E-3</c:v>
                </c:pt>
                <c:pt idx="38">
                  <c:v>1.3258821260810617E-2</c:v>
                </c:pt>
                <c:pt idx="39">
                  <c:v>3.8607612080145577E-3</c:v>
                </c:pt>
                <c:pt idx="40">
                  <c:v>1.1860761209644372E-2</c:v>
                </c:pt>
                <c:pt idx="41">
                  <c:v>1.4715732080614403E-2</c:v>
                </c:pt>
                <c:pt idx="42">
                  <c:v>6.5881417901490109E-3</c:v>
                </c:pt>
                <c:pt idx="43">
                  <c:v>1.1588141787529666E-2</c:v>
                </c:pt>
                <c:pt idx="44">
                  <c:v>8.0510194325093196E-3</c:v>
                </c:pt>
                <c:pt idx="45">
                  <c:v>8.2510194274568946E-3</c:v>
                </c:pt>
                <c:pt idx="46">
                  <c:v>5.5410687234837656E-3</c:v>
                </c:pt>
                <c:pt idx="47">
                  <c:v>2.7614212380752956E-3</c:v>
                </c:pt>
                <c:pt idx="48">
                  <c:v>2.4935853936469653E-3</c:v>
                </c:pt>
                <c:pt idx="49">
                  <c:v>4.3365009072173152E-3</c:v>
                </c:pt>
                <c:pt idx="50">
                  <c:v>2.5652491577449685E-3</c:v>
                </c:pt>
                <c:pt idx="51">
                  <c:v>3.1510825443779623E-3</c:v>
                </c:pt>
                <c:pt idx="52">
                  <c:v>5.9976107288499184E-3</c:v>
                </c:pt>
                <c:pt idx="53">
                  <c:v>5.1453028991425807E-3</c:v>
                </c:pt>
                <c:pt idx="54">
                  <c:v>5.1360719439395228E-3</c:v>
                </c:pt>
                <c:pt idx="55">
                  <c:v>4.3314566987951511E-3</c:v>
                </c:pt>
                <c:pt idx="56">
                  <c:v>4.1850839870668129E-3</c:v>
                </c:pt>
                <c:pt idx="57">
                  <c:v>4.3078119109832211E-3</c:v>
                </c:pt>
                <c:pt idx="58">
                  <c:v>4.1792089335472987E-3</c:v>
                </c:pt>
                <c:pt idx="59">
                  <c:v>3.3654359051172519E-3</c:v>
                </c:pt>
                <c:pt idx="60">
                  <c:v>4.315435906584085E-3</c:v>
                </c:pt>
                <c:pt idx="61">
                  <c:v>3.9109089009531917E-3</c:v>
                </c:pt>
                <c:pt idx="62">
                  <c:v>4.6524396159883935E-4</c:v>
                </c:pt>
                <c:pt idx="63">
                  <c:v>1.2240709398802715E-4</c:v>
                </c:pt>
                <c:pt idx="64">
                  <c:v>-1.9564729559695682E-4</c:v>
                </c:pt>
                <c:pt idx="65">
                  <c:v>-2.4956862448652639E-3</c:v>
                </c:pt>
                <c:pt idx="66">
                  <c:v>-5.1161231675667801E-4</c:v>
                </c:pt>
                <c:pt idx="67">
                  <c:v>-1.1527841104884383E-3</c:v>
                </c:pt>
                <c:pt idx="68">
                  <c:v>-1.454406042914299E-3</c:v>
                </c:pt>
                <c:pt idx="69">
                  <c:v>-8.7134509058284237E-5</c:v>
                </c:pt>
                <c:pt idx="70">
                  <c:v>-2.4830698535119183E-3</c:v>
                </c:pt>
                <c:pt idx="71">
                  <c:v>-2.4753374386968091E-3</c:v>
                </c:pt>
                <c:pt idx="72">
                  <c:v>-1.4688507926014505E-3</c:v>
                </c:pt>
                <c:pt idx="73">
                  <c:v>-4.301660325816567E-3</c:v>
                </c:pt>
                <c:pt idx="74">
                  <c:v>-5.8654178235045748E-3</c:v>
                </c:pt>
                <c:pt idx="75">
                  <c:v>-4.0322666869681278E-3</c:v>
                </c:pt>
                <c:pt idx="76">
                  <c:v>-3.8117843684633557E-3</c:v>
                </c:pt>
                <c:pt idx="77">
                  <c:v>-3.5051161140422851E-3</c:v>
                </c:pt>
                <c:pt idx="78">
                  <c:v>-5.6137501158439011E-3</c:v>
                </c:pt>
                <c:pt idx="79">
                  <c:v>-5.2438345156686286E-3</c:v>
                </c:pt>
                <c:pt idx="80">
                  <c:v>-6.1139577176732539E-3</c:v>
                </c:pt>
                <c:pt idx="81">
                  <c:v>-5.6724080652140775E-3</c:v>
                </c:pt>
                <c:pt idx="82">
                  <c:v>-5.7240980017802326E-3</c:v>
                </c:pt>
                <c:pt idx="83">
                  <c:v>-5.3240980046091249E-3</c:v>
                </c:pt>
                <c:pt idx="84">
                  <c:v>-6.175787880740892E-3</c:v>
                </c:pt>
                <c:pt idx="85">
                  <c:v>-6.4825469303667373E-3</c:v>
                </c:pt>
                <c:pt idx="86">
                  <c:v>-7.0383773437561713E-3</c:v>
                </c:pt>
                <c:pt idx="87">
                  <c:v>-8.1971338678605739E-3</c:v>
                </c:pt>
                <c:pt idx="88">
                  <c:v>-7.8365874111412694E-3</c:v>
                </c:pt>
                <c:pt idx="89">
                  <c:v>-8.4509702502075755E-3</c:v>
                </c:pt>
                <c:pt idx="90">
                  <c:v>-5.795696708639355E-3</c:v>
                </c:pt>
                <c:pt idx="91">
                  <c:v>-7.8304176850657464E-3</c:v>
                </c:pt>
                <c:pt idx="92">
                  <c:v>-9.0127790810392711E-3</c:v>
                </c:pt>
                <c:pt idx="93">
                  <c:v>-6.9357025176087078E-3</c:v>
                </c:pt>
                <c:pt idx="94">
                  <c:v>-7.8452049553943796E-3</c:v>
                </c:pt>
                <c:pt idx="95">
                  <c:v>-1.0872869416430689E-2</c:v>
                </c:pt>
                <c:pt idx="96">
                  <c:v>-1.1264218888460562E-2</c:v>
                </c:pt>
                <c:pt idx="97">
                  <c:v>-1.0676032717983352E-2</c:v>
                </c:pt>
                <c:pt idx="98">
                  <c:v>-1.0636032718993837E-2</c:v>
                </c:pt>
                <c:pt idx="99">
                  <c:v>-1.0476032715759819E-2</c:v>
                </c:pt>
                <c:pt idx="100">
                  <c:v>-1.0426032720660904E-2</c:v>
                </c:pt>
                <c:pt idx="101">
                  <c:v>-1.1837934806402085E-2</c:v>
                </c:pt>
                <c:pt idx="102">
                  <c:v>-1.1231109912216181E-2</c:v>
                </c:pt>
                <c:pt idx="103">
                  <c:v>-1.1171109913731908E-2</c:v>
                </c:pt>
                <c:pt idx="104">
                  <c:v>-1.0731109910295328E-2</c:v>
                </c:pt>
                <c:pt idx="105">
                  <c:v>-1.0671109911811055E-2</c:v>
                </c:pt>
                <c:pt idx="106">
                  <c:v>-1.0231109915650433E-2</c:v>
                </c:pt>
                <c:pt idx="107">
                  <c:v>-1.0171109909890202E-2</c:v>
                </c:pt>
                <c:pt idx="108">
                  <c:v>-1.2576713805483929E-2</c:v>
                </c:pt>
                <c:pt idx="109">
                  <c:v>-1.2556713805989172E-2</c:v>
                </c:pt>
                <c:pt idx="110">
                  <c:v>-1.1876713808615501E-2</c:v>
                </c:pt>
                <c:pt idx="111">
                  <c:v>-1.1856713809120744E-2</c:v>
                </c:pt>
                <c:pt idx="112">
                  <c:v>-1.1676713806391969E-2</c:v>
                </c:pt>
                <c:pt idx="113">
                  <c:v>-1.1656713806897211E-2</c:v>
                </c:pt>
                <c:pt idx="114">
                  <c:v>-1.0820326963399959E-2</c:v>
                </c:pt>
                <c:pt idx="115">
                  <c:v>-1.2104043822859411E-2</c:v>
                </c:pt>
                <c:pt idx="116">
                  <c:v>-1.1155443412938653E-2</c:v>
                </c:pt>
                <c:pt idx="117">
                  <c:v>-1.0119775315173638E-2</c:v>
                </c:pt>
                <c:pt idx="118">
                  <c:v>-1.2333525862188013E-2</c:v>
                </c:pt>
                <c:pt idx="119">
                  <c:v>-1.2133525859964481E-2</c:v>
                </c:pt>
                <c:pt idx="120">
                  <c:v>-1.2133525859964481E-2</c:v>
                </c:pt>
                <c:pt idx="121">
                  <c:v>-1.1201064284120498E-2</c:v>
                </c:pt>
                <c:pt idx="122">
                  <c:v>-1.2641421820611613E-2</c:v>
                </c:pt>
                <c:pt idx="123">
                  <c:v>-1.3142482009895096E-2</c:v>
                </c:pt>
                <c:pt idx="124">
                  <c:v>-1.2542482010500455E-2</c:v>
                </c:pt>
                <c:pt idx="125">
                  <c:v>-1.1742482008882282E-2</c:v>
                </c:pt>
                <c:pt idx="126">
                  <c:v>-1.3353719252094973E-2</c:v>
                </c:pt>
                <c:pt idx="127">
                  <c:v>-1.2594036236638011E-2</c:v>
                </c:pt>
                <c:pt idx="128">
                  <c:v>-1.2768526213113012E-2</c:v>
                </c:pt>
                <c:pt idx="129">
                  <c:v>-1.2658526219529825E-2</c:v>
                </c:pt>
                <c:pt idx="130">
                  <c:v>-1.2588526217660195E-2</c:v>
                </c:pt>
                <c:pt idx="131">
                  <c:v>-1.2528526219175922E-2</c:v>
                </c:pt>
                <c:pt idx="132">
                  <c:v>-1.2428526214426177E-2</c:v>
                </c:pt>
                <c:pt idx="133">
                  <c:v>-1.2298526214072274E-2</c:v>
                </c:pt>
                <c:pt idx="134">
                  <c:v>-1.2790085172272054E-2</c:v>
                </c:pt>
                <c:pt idx="135">
                  <c:v>-1.5531139055047154E-2</c:v>
                </c:pt>
                <c:pt idx="136">
                  <c:v>-1.3735105671141789E-2</c:v>
                </c:pt>
                <c:pt idx="137">
                  <c:v>-1.2986403485767999E-2</c:v>
                </c:pt>
                <c:pt idx="138">
                  <c:v>-1.3637701257795811E-2</c:v>
                </c:pt>
                <c:pt idx="139">
                  <c:v>-1.4167077665868385E-2</c:v>
                </c:pt>
                <c:pt idx="140">
                  <c:v>-1.405707766500924E-2</c:v>
                </c:pt>
                <c:pt idx="141">
                  <c:v>-1.5391880901564941E-2</c:v>
                </c:pt>
                <c:pt idx="142">
                  <c:v>-1.5351736631678645E-2</c:v>
                </c:pt>
                <c:pt idx="143">
                  <c:v>-1.5002929935945337E-2</c:v>
                </c:pt>
                <c:pt idx="144">
                  <c:v>-1.5654123195618021E-2</c:v>
                </c:pt>
                <c:pt idx="145">
                  <c:v>-1.8148205016030577E-2</c:v>
                </c:pt>
                <c:pt idx="146">
                  <c:v>-1.5764700219281853E-2</c:v>
                </c:pt>
                <c:pt idx="147">
                  <c:v>-1.5644700222313308E-2</c:v>
                </c:pt>
                <c:pt idx="148">
                  <c:v>-1.5314700219735872E-2</c:v>
                </c:pt>
                <c:pt idx="149">
                  <c:v>-1.4844700220695135E-2</c:v>
                </c:pt>
                <c:pt idx="150">
                  <c:v>-1.6971660647935198E-2</c:v>
                </c:pt>
                <c:pt idx="151">
                  <c:v>-1.6541660647883975E-2</c:v>
                </c:pt>
                <c:pt idx="152">
                  <c:v>-1.6381660644649958E-2</c:v>
                </c:pt>
                <c:pt idx="153">
                  <c:v>-1.6261660647681413E-2</c:v>
                </c:pt>
                <c:pt idx="154">
                  <c:v>-2.1478359943555021E-2</c:v>
                </c:pt>
                <c:pt idx="155">
                  <c:v>-1.89483599383466E-2</c:v>
                </c:pt>
                <c:pt idx="156">
                  <c:v>-1.8678359941529395E-2</c:v>
                </c:pt>
                <c:pt idx="157">
                  <c:v>-1.8218359938598057E-2</c:v>
                </c:pt>
                <c:pt idx="158">
                  <c:v>-1.9112092052774768E-2</c:v>
                </c:pt>
                <c:pt idx="159">
                  <c:v>-1.9042092050905138E-2</c:v>
                </c:pt>
                <c:pt idx="160">
                  <c:v>-1.8932092050045993E-2</c:v>
                </c:pt>
                <c:pt idx="161">
                  <c:v>-2.0251121163000558E-2</c:v>
                </c:pt>
                <c:pt idx="162">
                  <c:v>-2.2028845162464592E-2</c:v>
                </c:pt>
                <c:pt idx="163">
                  <c:v>-2.0173231496688874E-2</c:v>
                </c:pt>
                <c:pt idx="164">
                  <c:v>-2.0063231495829729E-2</c:v>
                </c:pt>
                <c:pt idx="165">
                  <c:v>-2.1368274464817691E-2</c:v>
                </c:pt>
                <c:pt idx="166">
                  <c:v>-2.0928274461381111E-2</c:v>
                </c:pt>
                <c:pt idx="167">
                  <c:v>-2.0868274462896838E-2</c:v>
                </c:pt>
                <c:pt idx="168">
                  <c:v>-2.03982744638561E-2</c:v>
                </c:pt>
                <c:pt idx="169">
                  <c:v>-2.1856957552552687E-2</c:v>
                </c:pt>
                <c:pt idx="170">
                  <c:v>-2.2495920401713582E-2</c:v>
                </c:pt>
                <c:pt idx="171">
                  <c:v>-2.6669027567123051E-2</c:v>
                </c:pt>
                <c:pt idx="172">
                  <c:v>-3.3650407605257837E-2</c:v>
                </c:pt>
                <c:pt idx="173">
                  <c:v>-3.4454700648724822E-2</c:v>
                </c:pt>
                <c:pt idx="174">
                  <c:v>-3.7233921078946276E-2</c:v>
                </c:pt>
                <c:pt idx="175">
                  <c:v>-3.8584648893475855E-2</c:v>
                </c:pt>
                <c:pt idx="176">
                  <c:v>-3.8700881868592288E-2</c:v>
                </c:pt>
                <c:pt idx="177">
                  <c:v>-3.7651606779256816E-2</c:v>
                </c:pt>
                <c:pt idx="178">
                  <c:v>-4.3141346130917503E-2</c:v>
                </c:pt>
                <c:pt idx="179">
                  <c:v>6.6101292398023134E-2</c:v>
                </c:pt>
                <c:pt idx="180">
                  <c:v>-3.9791421871616064E-2</c:v>
                </c:pt>
                <c:pt idx="181">
                  <c:v>-3.6855312497299217E-2</c:v>
                </c:pt>
                <c:pt idx="182">
                  <c:v>-3.9236084013004907E-2</c:v>
                </c:pt>
                <c:pt idx="183">
                  <c:v>-4.335611631208218E-2</c:v>
                </c:pt>
                <c:pt idx="184">
                  <c:v>-4.3509597000556621E-2</c:v>
                </c:pt>
                <c:pt idx="185">
                  <c:v>-4.5160265031945514E-2</c:v>
                </c:pt>
                <c:pt idx="186">
                  <c:v>-4.841677636793796E-2</c:v>
                </c:pt>
                <c:pt idx="187">
                  <c:v>-4.8277352739966341E-2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6-4599-AB5D-31AC94B344FD}"/>
            </c:ext>
          </c:extLst>
        </c:ser>
        <c:ser>
          <c:idx val="8"/>
          <c:order val="1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2'!$AW$2:$AW$97</c:f>
              <c:numCache>
                <c:formatCode>General</c:formatCode>
                <c:ptCount val="96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</c:numCache>
            </c:numRef>
          </c:xVal>
          <c:yVal>
            <c:numRef>
              <c:f>'Active 2'!$AY$2:$AY$97</c:f>
              <c:numCache>
                <c:formatCode>General</c:formatCode>
                <c:ptCount val="96"/>
                <c:pt idx="0">
                  <c:v>1.8878980470828501E-2</c:v>
                </c:pt>
                <c:pt idx="1">
                  <c:v>1.9021179644057667E-2</c:v>
                </c:pt>
                <c:pt idx="2">
                  <c:v>1.9149620742688951E-2</c:v>
                </c:pt>
                <c:pt idx="3">
                  <c:v>1.9264303766722345E-2</c:v>
                </c:pt>
                <c:pt idx="4">
                  <c:v>1.9365228716157853E-2</c:v>
                </c:pt>
                <c:pt idx="5">
                  <c:v>1.9452395590995472E-2</c:v>
                </c:pt>
                <c:pt idx="6">
                  <c:v>1.9525804391235208E-2</c:v>
                </c:pt>
                <c:pt idx="7">
                  <c:v>1.9585455116877055E-2</c:v>
                </c:pt>
                <c:pt idx="8">
                  <c:v>1.9631347767921019E-2</c:v>
                </c:pt>
                <c:pt idx="9">
                  <c:v>1.9663482344367093E-2</c:v>
                </c:pt>
                <c:pt idx="10">
                  <c:v>1.9681858846215282E-2</c:v>
                </c:pt>
                <c:pt idx="11">
                  <c:v>1.9686477273465584E-2</c:v>
                </c:pt>
                <c:pt idx="12">
                  <c:v>1.9677337626118001E-2</c:v>
                </c:pt>
                <c:pt idx="13">
                  <c:v>1.9654439904172528E-2</c:v>
                </c:pt>
                <c:pt idx="14">
                  <c:v>1.9617784107629172E-2</c:v>
                </c:pt>
                <c:pt idx="15">
                  <c:v>1.9567370236487927E-2</c:v>
                </c:pt>
                <c:pt idx="16">
                  <c:v>1.9503198290748799E-2</c:v>
                </c:pt>
                <c:pt idx="17">
                  <c:v>1.9425268270411782E-2</c:v>
                </c:pt>
                <c:pt idx="18">
                  <c:v>1.9333580175476879E-2</c:v>
                </c:pt>
                <c:pt idx="19">
                  <c:v>1.9228134005944086E-2</c:v>
                </c:pt>
                <c:pt idx="20">
                  <c:v>1.9108929761813411E-2</c:v>
                </c:pt>
                <c:pt idx="21">
                  <c:v>1.897596744308485E-2</c:v>
                </c:pt>
                <c:pt idx="22">
                  <c:v>1.8829247049758399E-2</c:v>
                </c:pt>
                <c:pt idx="23">
                  <c:v>1.8668768581834062E-2</c:v>
                </c:pt>
                <c:pt idx="24">
                  <c:v>1.8494532039311843E-2</c:v>
                </c:pt>
                <c:pt idx="25">
                  <c:v>1.8306537422191734E-2</c:v>
                </c:pt>
                <c:pt idx="26">
                  <c:v>1.8104784730473736E-2</c:v>
                </c:pt>
                <c:pt idx="27">
                  <c:v>1.7889273964157855E-2</c:v>
                </c:pt>
                <c:pt idx="28">
                  <c:v>1.7660005123244088E-2</c:v>
                </c:pt>
                <c:pt idx="29">
                  <c:v>1.7416978207732432E-2</c:v>
                </c:pt>
                <c:pt idx="30">
                  <c:v>1.7160193217622893E-2</c:v>
                </c:pt>
                <c:pt idx="31">
                  <c:v>1.6889650152915464E-2</c:v>
                </c:pt>
                <c:pt idx="32">
                  <c:v>1.660534901361015E-2</c:v>
                </c:pt>
                <c:pt idx="33">
                  <c:v>1.6307289799706949E-2</c:v>
                </c:pt>
                <c:pt idx="34">
                  <c:v>1.5995472511205863E-2</c:v>
                </c:pt>
                <c:pt idx="35">
                  <c:v>1.5669897148106886E-2</c:v>
                </c:pt>
                <c:pt idx="36">
                  <c:v>1.5330563710410028E-2</c:v>
                </c:pt>
                <c:pt idx="37">
                  <c:v>1.497747219811528E-2</c:v>
                </c:pt>
                <c:pt idx="38">
                  <c:v>1.4610622611222647E-2</c:v>
                </c:pt>
                <c:pt idx="39">
                  <c:v>1.4230014949732127E-2</c:v>
                </c:pt>
                <c:pt idx="40">
                  <c:v>1.3835649213643721E-2</c:v>
                </c:pt>
                <c:pt idx="41">
                  <c:v>1.3427525402957427E-2</c:v>
                </c:pt>
                <c:pt idx="42">
                  <c:v>1.3005643517673249E-2</c:v>
                </c:pt>
                <c:pt idx="43">
                  <c:v>1.2570003557791183E-2</c:v>
                </c:pt>
                <c:pt idx="44">
                  <c:v>1.2120605523311231E-2</c:v>
                </c:pt>
                <c:pt idx="45">
                  <c:v>1.1657449414233393E-2</c:v>
                </c:pt>
                <c:pt idx="46">
                  <c:v>1.1180535230557667E-2</c:v>
                </c:pt>
                <c:pt idx="47">
                  <c:v>1.0689862972284055E-2</c:v>
                </c:pt>
                <c:pt idx="48">
                  <c:v>1.0185432639412557E-2</c:v>
                </c:pt>
                <c:pt idx="49">
                  <c:v>9.6672442319431715E-3</c:v>
                </c:pt>
                <c:pt idx="50">
                  <c:v>9.1352977498758998E-3</c:v>
                </c:pt>
                <c:pt idx="51">
                  <c:v>8.5895931932107421E-3</c:v>
                </c:pt>
                <c:pt idx="52">
                  <c:v>8.0301305619476984E-3</c:v>
                </c:pt>
                <c:pt idx="53">
                  <c:v>7.4569098560867669E-3</c:v>
                </c:pt>
                <c:pt idx="54">
                  <c:v>6.8699310756279511E-3</c:v>
                </c:pt>
                <c:pt idx="55">
                  <c:v>6.2691942205712458E-3</c:v>
                </c:pt>
                <c:pt idx="56">
                  <c:v>5.6546992909166562E-3</c:v>
                </c:pt>
                <c:pt idx="57">
                  <c:v>5.0264462866641789E-3</c:v>
                </c:pt>
                <c:pt idx="58">
                  <c:v>4.3844352078138173E-3</c:v>
                </c:pt>
                <c:pt idx="59">
                  <c:v>3.7286660543655661E-3</c:v>
                </c:pt>
                <c:pt idx="60">
                  <c:v>3.059138826319429E-3</c:v>
                </c:pt>
                <c:pt idx="61">
                  <c:v>2.3758535236754058E-3</c:v>
                </c:pt>
                <c:pt idx="62">
                  <c:v>1.6788101464334966E-3</c:v>
                </c:pt>
                <c:pt idx="63">
                  <c:v>9.6800869459370137E-4</c:v>
                </c:pt>
                <c:pt idx="64">
                  <c:v>2.4344916815602011E-4</c:v>
                </c:pt>
                <c:pt idx="65">
                  <c:v>-4.9486843287955065E-4</c:v>
                </c:pt>
                <c:pt idx="66">
                  <c:v>-1.246944108513004E-3</c:v>
                </c:pt>
                <c:pt idx="67">
                  <c:v>-2.0127778587443468E-3</c:v>
                </c:pt>
                <c:pt idx="68">
                  <c:v>-2.7923696835735756E-3</c:v>
                </c:pt>
                <c:pt idx="69">
                  <c:v>-3.5857195830006905E-3</c:v>
                </c:pt>
                <c:pt idx="70">
                  <c:v>-4.3928275570256914E-3</c:v>
                </c:pt>
                <c:pt idx="71">
                  <c:v>-5.2136936056485783E-3</c:v>
                </c:pt>
                <c:pt idx="72">
                  <c:v>-6.0483177288693547E-3</c:v>
                </c:pt>
                <c:pt idx="73">
                  <c:v>-6.8966999266880137E-3</c:v>
                </c:pt>
                <c:pt idx="74">
                  <c:v>-7.7588401991045622E-3</c:v>
                </c:pt>
                <c:pt idx="75">
                  <c:v>-8.6347385461189967E-3</c:v>
                </c:pt>
                <c:pt idx="76">
                  <c:v>-9.5243949677313172E-3</c:v>
                </c:pt>
                <c:pt idx="77">
                  <c:v>-1.0427809463941524E-2</c:v>
                </c:pt>
                <c:pt idx="78">
                  <c:v>-1.1344982034749616E-2</c:v>
                </c:pt>
                <c:pt idx="79">
                  <c:v>-1.2275912680155598E-2</c:v>
                </c:pt>
                <c:pt idx="80">
                  <c:v>-1.322060140015946E-2</c:v>
                </c:pt>
                <c:pt idx="81">
                  <c:v>-1.613721600775838E-2</c:v>
                </c:pt>
                <c:pt idx="82">
                  <c:v>-1.7136937026153792E-2</c:v>
                </c:pt>
                <c:pt idx="83">
                  <c:v>-1.8150416119147091E-2</c:v>
                </c:pt>
                <c:pt idx="84">
                  <c:v>-1.9177653286738275E-2</c:v>
                </c:pt>
                <c:pt idx="85">
                  <c:v>-2.0218648528927345E-2</c:v>
                </c:pt>
                <c:pt idx="86">
                  <c:v>-2.1273401845714308E-2</c:v>
                </c:pt>
                <c:pt idx="87">
                  <c:v>-2.3424182703081886E-2</c:v>
                </c:pt>
                <c:pt idx="88">
                  <c:v>-2.4520210243662501E-2</c:v>
                </c:pt>
                <c:pt idx="89">
                  <c:v>-2.5629995858841008E-2</c:v>
                </c:pt>
                <c:pt idx="90">
                  <c:v>-2.6753539548617394E-2</c:v>
                </c:pt>
                <c:pt idx="91">
                  <c:v>-2.7890841312991674E-2</c:v>
                </c:pt>
                <c:pt idx="92">
                  <c:v>-2.9041901151963839E-2</c:v>
                </c:pt>
                <c:pt idx="93">
                  <c:v>-3.0206719065533891E-2</c:v>
                </c:pt>
                <c:pt idx="94">
                  <c:v>-3.2577629116467645E-2</c:v>
                </c:pt>
                <c:pt idx="95">
                  <c:v>-3.5003571465792957E-2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6-4599-AB5D-31AC94B3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54568"/>
        <c:axId val="1"/>
      </c:scatterChart>
      <c:valAx>
        <c:axId val="718954568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0216302749392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659574468085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5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00858137413674E-2"/>
          <c:y val="0.92145141978098655"/>
          <c:w val="0.914894957279276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-Quadratic Residuals + LiTE Fit</a:t>
            </a:r>
          </a:p>
        </c:rich>
      </c:tx>
      <c:layout>
        <c:manualLayout>
          <c:xMode val="edge"/>
          <c:yMode val="edge"/>
          <c:x val="0.283688390015077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98709273478049E-2"/>
          <c:y val="0.14501531966242162"/>
          <c:w val="0.86524942548956318"/>
          <c:h val="0.66465354845276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2'!$F$21:$F$1182</c:f>
              <c:numCache>
                <c:formatCode>General</c:formatCode>
                <c:ptCount val="1162"/>
                <c:pt idx="0">
                  <c:v>-119</c:v>
                </c:pt>
                <c:pt idx="1">
                  <c:v>-118.5</c:v>
                </c:pt>
                <c:pt idx="2">
                  <c:v>-9.5</c:v>
                </c:pt>
                <c:pt idx="3">
                  <c:v>-3.5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3554.5</c:v>
                </c:pt>
                <c:pt idx="9">
                  <c:v>3572.5</c:v>
                </c:pt>
                <c:pt idx="10">
                  <c:v>3594</c:v>
                </c:pt>
                <c:pt idx="11">
                  <c:v>3615</c:v>
                </c:pt>
                <c:pt idx="12">
                  <c:v>4384.5</c:v>
                </c:pt>
                <c:pt idx="13">
                  <c:v>4384.5</c:v>
                </c:pt>
                <c:pt idx="14">
                  <c:v>4433</c:v>
                </c:pt>
                <c:pt idx="15">
                  <c:v>4433</c:v>
                </c:pt>
                <c:pt idx="16">
                  <c:v>4440</c:v>
                </c:pt>
                <c:pt idx="17">
                  <c:v>4475</c:v>
                </c:pt>
                <c:pt idx="18">
                  <c:v>4475.5</c:v>
                </c:pt>
                <c:pt idx="19">
                  <c:v>4476</c:v>
                </c:pt>
                <c:pt idx="20">
                  <c:v>4669</c:v>
                </c:pt>
                <c:pt idx="21">
                  <c:v>4690.5</c:v>
                </c:pt>
                <c:pt idx="22">
                  <c:v>5667.5</c:v>
                </c:pt>
                <c:pt idx="23">
                  <c:v>5688.5</c:v>
                </c:pt>
                <c:pt idx="24">
                  <c:v>5706</c:v>
                </c:pt>
                <c:pt idx="25">
                  <c:v>10017.5</c:v>
                </c:pt>
                <c:pt idx="26">
                  <c:v>17748.5</c:v>
                </c:pt>
                <c:pt idx="27">
                  <c:v>17766.5</c:v>
                </c:pt>
                <c:pt idx="28">
                  <c:v>17806</c:v>
                </c:pt>
                <c:pt idx="29">
                  <c:v>20125.5</c:v>
                </c:pt>
                <c:pt idx="30">
                  <c:v>20126</c:v>
                </c:pt>
                <c:pt idx="31">
                  <c:v>20240.5</c:v>
                </c:pt>
                <c:pt idx="32">
                  <c:v>20253</c:v>
                </c:pt>
                <c:pt idx="33">
                  <c:v>20908.5</c:v>
                </c:pt>
                <c:pt idx="34">
                  <c:v>21190</c:v>
                </c:pt>
                <c:pt idx="35">
                  <c:v>21313.5</c:v>
                </c:pt>
                <c:pt idx="36">
                  <c:v>21328.5</c:v>
                </c:pt>
                <c:pt idx="37">
                  <c:v>21332</c:v>
                </c:pt>
                <c:pt idx="38">
                  <c:v>21347</c:v>
                </c:pt>
                <c:pt idx="39">
                  <c:v>21416.5</c:v>
                </c:pt>
                <c:pt idx="40">
                  <c:v>21416.5</c:v>
                </c:pt>
                <c:pt idx="41">
                  <c:v>21425.5</c:v>
                </c:pt>
                <c:pt idx="42">
                  <c:v>21792.5</c:v>
                </c:pt>
                <c:pt idx="43">
                  <c:v>21792.5</c:v>
                </c:pt>
                <c:pt idx="44">
                  <c:v>21941.5</c:v>
                </c:pt>
                <c:pt idx="45">
                  <c:v>21941.5</c:v>
                </c:pt>
                <c:pt idx="46">
                  <c:v>23169</c:v>
                </c:pt>
                <c:pt idx="47">
                  <c:v>23375</c:v>
                </c:pt>
                <c:pt idx="48">
                  <c:v>23495</c:v>
                </c:pt>
                <c:pt idx="49">
                  <c:v>23496.5</c:v>
                </c:pt>
                <c:pt idx="50">
                  <c:v>23501</c:v>
                </c:pt>
                <c:pt idx="51">
                  <c:v>23504</c:v>
                </c:pt>
                <c:pt idx="52">
                  <c:v>24211.5</c:v>
                </c:pt>
                <c:pt idx="53">
                  <c:v>24212</c:v>
                </c:pt>
                <c:pt idx="54">
                  <c:v>24214</c:v>
                </c:pt>
                <c:pt idx="55">
                  <c:v>24215</c:v>
                </c:pt>
                <c:pt idx="56">
                  <c:v>24344.5</c:v>
                </c:pt>
                <c:pt idx="57">
                  <c:v>24394</c:v>
                </c:pt>
                <c:pt idx="58">
                  <c:v>24467</c:v>
                </c:pt>
                <c:pt idx="59">
                  <c:v>25413</c:v>
                </c:pt>
                <c:pt idx="60">
                  <c:v>25413</c:v>
                </c:pt>
                <c:pt idx="61">
                  <c:v>25835.5</c:v>
                </c:pt>
                <c:pt idx="62">
                  <c:v>26818</c:v>
                </c:pt>
                <c:pt idx="63">
                  <c:v>27705</c:v>
                </c:pt>
                <c:pt idx="64">
                  <c:v>27834</c:v>
                </c:pt>
                <c:pt idx="65">
                  <c:v>27846.5</c:v>
                </c:pt>
                <c:pt idx="66">
                  <c:v>27888</c:v>
                </c:pt>
                <c:pt idx="67">
                  <c:v>28036.5</c:v>
                </c:pt>
                <c:pt idx="68">
                  <c:v>28676.5</c:v>
                </c:pt>
                <c:pt idx="69">
                  <c:v>28698</c:v>
                </c:pt>
                <c:pt idx="70">
                  <c:v>29022.5</c:v>
                </c:pt>
                <c:pt idx="71">
                  <c:v>29022.5</c:v>
                </c:pt>
                <c:pt idx="72">
                  <c:v>29140</c:v>
                </c:pt>
                <c:pt idx="73">
                  <c:v>30046</c:v>
                </c:pt>
                <c:pt idx="74">
                  <c:v>30161.5</c:v>
                </c:pt>
                <c:pt idx="75">
                  <c:v>30264.5</c:v>
                </c:pt>
                <c:pt idx="76">
                  <c:v>30301</c:v>
                </c:pt>
                <c:pt idx="77">
                  <c:v>30756</c:v>
                </c:pt>
                <c:pt idx="78">
                  <c:v>31050</c:v>
                </c:pt>
                <c:pt idx="79">
                  <c:v>31132.5</c:v>
                </c:pt>
                <c:pt idx="80">
                  <c:v>31168</c:v>
                </c:pt>
                <c:pt idx="81">
                  <c:v>31170.5</c:v>
                </c:pt>
                <c:pt idx="82">
                  <c:v>31171</c:v>
                </c:pt>
                <c:pt idx="83">
                  <c:v>31171</c:v>
                </c:pt>
                <c:pt idx="84">
                  <c:v>31171.5</c:v>
                </c:pt>
                <c:pt idx="85">
                  <c:v>31173.5</c:v>
                </c:pt>
                <c:pt idx="86">
                  <c:v>31294</c:v>
                </c:pt>
                <c:pt idx="87">
                  <c:v>31826</c:v>
                </c:pt>
                <c:pt idx="88">
                  <c:v>31853.5</c:v>
                </c:pt>
                <c:pt idx="89">
                  <c:v>31950.5</c:v>
                </c:pt>
                <c:pt idx="90">
                  <c:v>32057.5</c:v>
                </c:pt>
                <c:pt idx="91">
                  <c:v>32099.5</c:v>
                </c:pt>
                <c:pt idx="92">
                  <c:v>32235</c:v>
                </c:pt>
                <c:pt idx="93">
                  <c:v>32289.5</c:v>
                </c:pt>
                <c:pt idx="94">
                  <c:v>32292.5</c:v>
                </c:pt>
                <c:pt idx="95">
                  <c:v>32444</c:v>
                </c:pt>
                <c:pt idx="96">
                  <c:v>33091</c:v>
                </c:pt>
                <c:pt idx="97">
                  <c:v>33111.5</c:v>
                </c:pt>
                <c:pt idx="98">
                  <c:v>33111.5</c:v>
                </c:pt>
                <c:pt idx="99">
                  <c:v>33111.5</c:v>
                </c:pt>
                <c:pt idx="100">
                  <c:v>33111.5</c:v>
                </c:pt>
                <c:pt idx="101">
                  <c:v>33417</c:v>
                </c:pt>
                <c:pt idx="102">
                  <c:v>33465.5</c:v>
                </c:pt>
                <c:pt idx="103">
                  <c:v>33465.5</c:v>
                </c:pt>
                <c:pt idx="104">
                  <c:v>33465.5</c:v>
                </c:pt>
                <c:pt idx="105">
                  <c:v>33465.5</c:v>
                </c:pt>
                <c:pt idx="106">
                  <c:v>33465.5</c:v>
                </c:pt>
                <c:pt idx="107">
                  <c:v>33465.5</c:v>
                </c:pt>
                <c:pt idx="108">
                  <c:v>33532</c:v>
                </c:pt>
                <c:pt idx="109">
                  <c:v>33532</c:v>
                </c:pt>
                <c:pt idx="110">
                  <c:v>33532</c:v>
                </c:pt>
                <c:pt idx="111">
                  <c:v>33532</c:v>
                </c:pt>
                <c:pt idx="112">
                  <c:v>33532</c:v>
                </c:pt>
                <c:pt idx="113">
                  <c:v>33532</c:v>
                </c:pt>
                <c:pt idx="114">
                  <c:v>34084.5</c:v>
                </c:pt>
                <c:pt idx="115">
                  <c:v>34274</c:v>
                </c:pt>
                <c:pt idx="116">
                  <c:v>34274.5</c:v>
                </c:pt>
                <c:pt idx="117">
                  <c:v>34297.5</c:v>
                </c:pt>
                <c:pt idx="118">
                  <c:v>34306</c:v>
                </c:pt>
                <c:pt idx="119">
                  <c:v>34306</c:v>
                </c:pt>
                <c:pt idx="120">
                  <c:v>34306</c:v>
                </c:pt>
                <c:pt idx="121">
                  <c:v>34362.5</c:v>
                </c:pt>
                <c:pt idx="122">
                  <c:v>34395</c:v>
                </c:pt>
                <c:pt idx="123">
                  <c:v>34551</c:v>
                </c:pt>
                <c:pt idx="124">
                  <c:v>34551</c:v>
                </c:pt>
                <c:pt idx="125">
                  <c:v>34551</c:v>
                </c:pt>
                <c:pt idx="126">
                  <c:v>34705</c:v>
                </c:pt>
                <c:pt idx="127">
                  <c:v>34723.5</c:v>
                </c:pt>
                <c:pt idx="128">
                  <c:v>35215</c:v>
                </c:pt>
                <c:pt idx="129">
                  <c:v>35215</c:v>
                </c:pt>
                <c:pt idx="130">
                  <c:v>35215</c:v>
                </c:pt>
                <c:pt idx="131">
                  <c:v>35215</c:v>
                </c:pt>
                <c:pt idx="132">
                  <c:v>35215</c:v>
                </c:pt>
                <c:pt idx="133">
                  <c:v>35215</c:v>
                </c:pt>
                <c:pt idx="134">
                  <c:v>35227</c:v>
                </c:pt>
                <c:pt idx="135">
                  <c:v>35376.5</c:v>
                </c:pt>
                <c:pt idx="136">
                  <c:v>35416.5</c:v>
                </c:pt>
                <c:pt idx="137">
                  <c:v>35417</c:v>
                </c:pt>
                <c:pt idx="138">
                  <c:v>35417.5</c:v>
                </c:pt>
                <c:pt idx="139">
                  <c:v>35560.5</c:v>
                </c:pt>
                <c:pt idx="140">
                  <c:v>35560.5</c:v>
                </c:pt>
                <c:pt idx="141">
                  <c:v>36498</c:v>
                </c:pt>
                <c:pt idx="142">
                  <c:v>36648</c:v>
                </c:pt>
                <c:pt idx="143">
                  <c:v>36648.5</c:v>
                </c:pt>
                <c:pt idx="144">
                  <c:v>36649</c:v>
                </c:pt>
                <c:pt idx="145">
                  <c:v>36709.5</c:v>
                </c:pt>
                <c:pt idx="146">
                  <c:v>36775.5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36842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37536.5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37663.5</c:v>
                </c:pt>
                <c:pt idx="159">
                  <c:v>37663.5</c:v>
                </c:pt>
                <c:pt idx="160">
                  <c:v>37663.5</c:v>
                </c:pt>
                <c:pt idx="161">
                  <c:v>38644.5</c:v>
                </c:pt>
                <c:pt idx="162">
                  <c:v>38827.5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  <c:pt idx="173">
                  <c:v>43328</c:v>
                </c:pt>
                <c:pt idx="174">
                  <c:v>44417.5</c:v>
                </c:pt>
                <c:pt idx="175">
                  <c:v>44418</c:v>
                </c:pt>
                <c:pt idx="176">
                  <c:v>44498</c:v>
                </c:pt>
                <c:pt idx="177">
                  <c:v>44498.5</c:v>
                </c:pt>
                <c:pt idx="178">
                  <c:v>45227</c:v>
                </c:pt>
                <c:pt idx="179">
                  <c:v>45303.5</c:v>
                </c:pt>
                <c:pt idx="180">
                  <c:v>45334</c:v>
                </c:pt>
                <c:pt idx="181">
                  <c:v>45415.5</c:v>
                </c:pt>
                <c:pt idx="182">
                  <c:v>45617.5</c:v>
                </c:pt>
                <c:pt idx="183">
                  <c:v>46179</c:v>
                </c:pt>
                <c:pt idx="184">
                  <c:v>46775.5</c:v>
                </c:pt>
                <c:pt idx="185">
                  <c:v>46776</c:v>
                </c:pt>
                <c:pt idx="186">
                  <c:v>47346</c:v>
                </c:pt>
                <c:pt idx="187">
                  <c:v>47849</c:v>
                </c:pt>
              </c:numCache>
            </c:numRef>
          </c:xVal>
          <c:yVal>
            <c:numRef>
              <c:f>'Active 2'!$AC$21:$AC$1182</c:f>
              <c:numCache>
                <c:formatCode>General</c:formatCode>
                <c:ptCount val="1162"/>
                <c:pt idx="0">
                  <c:v>-2.0964374800596791E-2</c:v>
                </c:pt>
                <c:pt idx="1">
                  <c:v>-2.1216130561340387E-2</c:v>
                </c:pt>
                <c:pt idx="2">
                  <c:v>-2.0298558913858355E-2</c:v>
                </c:pt>
                <c:pt idx="3">
                  <c:v>-1.9719591033092367E-2</c:v>
                </c:pt>
                <c:pt idx="4">
                  <c:v>-2.0130106350279751E-2</c:v>
                </c:pt>
                <c:pt idx="5">
                  <c:v>-1.9681858846215282E-2</c:v>
                </c:pt>
                <c:pt idx="6">
                  <c:v>-1.9381858846517962E-2</c:v>
                </c:pt>
                <c:pt idx="7">
                  <c:v>-1.9081858846820642E-2</c:v>
                </c:pt>
                <c:pt idx="8">
                  <c:v>-1.4142711353695551E-2</c:v>
                </c:pt>
                <c:pt idx="9">
                  <c:v>-1.3702271324890065E-2</c:v>
                </c:pt>
                <c:pt idx="10">
                  <c:v>-1.2723389040092403E-2</c:v>
                </c:pt>
                <c:pt idx="11">
                  <c:v>-1.3292828284804326E-2</c:v>
                </c:pt>
                <c:pt idx="12">
                  <c:v>-1.3470543063613342E-2</c:v>
                </c:pt>
                <c:pt idx="13">
                  <c:v>-1.3370543066139554E-2</c:v>
                </c:pt>
                <c:pt idx="14">
                  <c:v>-1.2778768073090557E-2</c:v>
                </c:pt>
                <c:pt idx="15">
                  <c:v>-1.27787680658146E-2</c:v>
                </c:pt>
                <c:pt idx="16">
                  <c:v>-1.2201593982279095E-2</c:v>
                </c:pt>
                <c:pt idx="17">
                  <c:v>-1.1915683072008586E-2</c:v>
                </c:pt>
                <c:pt idx="18">
                  <c:v>-1.286731242770716E-2</c:v>
                </c:pt>
                <c:pt idx="19">
                  <c:v>-1.1918941766713993E-2</c:v>
                </c:pt>
                <c:pt idx="20">
                  <c:v>-1.1846840199511169E-2</c:v>
                </c:pt>
                <c:pt idx="21">
                  <c:v>-1.2266660535773858E-2</c:v>
                </c:pt>
                <c:pt idx="22">
                  <c:v>-9.4125835967527119E-3</c:v>
                </c:pt>
                <c:pt idx="23">
                  <c:v>-9.2796265457111907E-3</c:v>
                </c:pt>
                <c:pt idx="24">
                  <c:v>-1.3685477131939801E-2</c:v>
                </c:pt>
                <c:pt idx="25">
                  <c:v>2.2181084477477069E-3</c:v>
                </c:pt>
                <c:pt idx="26">
                  <c:v>1.722758023485562E-2</c:v>
                </c:pt>
                <c:pt idx="27">
                  <c:v>1.7982080575339079E-2</c:v>
                </c:pt>
                <c:pt idx="28">
                  <c:v>1.2832296589802483E-2</c:v>
                </c:pt>
                <c:pt idx="29">
                  <c:v>1.6573389841058783E-2</c:v>
                </c:pt>
                <c:pt idx="30">
                  <c:v>1.6822191118366518E-2</c:v>
                </c:pt>
                <c:pt idx="31">
                  <c:v>1.6298047858966554E-2</c:v>
                </c:pt>
                <c:pt idx="32">
                  <c:v>1.7818163234054805E-2</c:v>
                </c:pt>
                <c:pt idx="33">
                  <c:v>2.1613062279932094E-2</c:v>
                </c:pt>
                <c:pt idx="34">
                  <c:v>2.1302492600353645E-2</c:v>
                </c:pt>
                <c:pt idx="35">
                  <c:v>2.7064063003748133E-2</c:v>
                </c:pt>
                <c:pt idx="36">
                  <c:v>2.6529088243604722E-2</c:v>
                </c:pt>
                <c:pt idx="37">
                  <c:v>1.6870929235052456E-2</c:v>
                </c:pt>
                <c:pt idx="38">
                  <c:v>2.633596974840912E-2</c:v>
                </c:pt>
                <c:pt idx="39">
                  <c:v>1.7124152330988688E-2</c:v>
                </c:pt>
                <c:pt idx="40">
                  <c:v>2.5124152332618502E-2</c:v>
                </c:pt>
                <c:pt idx="41">
                  <c:v>2.8003216998976975E-2</c:v>
                </c:pt>
                <c:pt idx="42">
                  <c:v>2.0853317673904442E-2</c:v>
                </c:pt>
                <c:pt idx="43">
                  <c:v>2.5853317671285098E-2</c:v>
                </c:pt>
                <c:pt idx="44">
                  <c:v>2.2710378723620746E-2</c:v>
                </c:pt>
                <c:pt idx="45">
                  <c:v>2.2910378718568322E-2</c:v>
                </c:pt>
                <c:pt idx="46">
                  <c:v>2.3381652993243459E-2</c:v>
                </c:pt>
                <c:pt idx="47">
                  <c:v>2.1123450637833361E-2</c:v>
                </c:pt>
                <c:pt idx="48">
                  <c:v>2.1157612917823643E-2</c:v>
                </c:pt>
                <c:pt idx="49">
                  <c:v>2.3004295121229659E-2</c:v>
                </c:pt>
                <c:pt idx="50">
                  <c:v>2.124434220768788E-2</c:v>
                </c:pt>
                <c:pt idx="51">
                  <c:v>2.1837707123276526E-2</c:v>
                </c:pt>
                <c:pt idx="52">
                  <c:v>2.6436833161128378E-2</c:v>
                </c:pt>
                <c:pt idx="53">
                  <c:v>2.5585746882658151E-2</c:v>
                </c:pt>
                <c:pt idx="54">
                  <c:v>2.558140188595039E-2</c:v>
                </c:pt>
                <c:pt idx="55">
                  <c:v>2.4779229472164759E-2</c:v>
                </c:pt>
                <c:pt idx="56">
                  <c:v>2.494836670461403E-2</c:v>
                </c:pt>
                <c:pt idx="57">
                  <c:v>2.519125369861084E-2</c:v>
                </c:pt>
                <c:pt idx="58">
                  <c:v>2.5239406062879628E-2</c:v>
                </c:pt>
                <c:pt idx="59">
                  <c:v>2.6666200142325531E-2</c:v>
                </c:pt>
                <c:pt idx="60">
                  <c:v>2.7616200143792364E-2</c:v>
                </c:pt>
                <c:pt idx="61">
                  <c:v>2.8181132970826792E-2</c:v>
                </c:pt>
                <c:pt idx="62">
                  <c:v>2.6910942631922181E-2</c:v>
                </c:pt>
                <c:pt idx="63">
                  <c:v>2.8432745415047811E-2</c:v>
                </c:pt>
                <c:pt idx="64">
                  <c:v>2.8377741377096859E-2</c:v>
                </c:pt>
                <c:pt idx="65">
                  <c:v>2.6103080350566684E-2</c:v>
                </c:pt>
                <c:pt idx="66">
                  <c:v>2.8171267412866081E-2</c:v>
                </c:pt>
                <c:pt idx="67">
                  <c:v>2.7829291461462912E-2</c:v>
                </c:pt>
                <c:pt idx="68">
                  <c:v>2.878482965153863E-2</c:v>
                </c:pt>
                <c:pt idx="69">
                  <c:v>3.0193414860663972E-2</c:v>
                </c:pt>
                <c:pt idx="70">
                  <c:v>2.8413697382341188E-2</c:v>
                </c:pt>
                <c:pt idx="71">
                  <c:v>2.8421429797156297E-2</c:v>
                </c:pt>
                <c:pt idx="72">
                  <c:v>2.964764083400635E-2</c:v>
                </c:pt>
                <c:pt idx="73">
                  <c:v>2.844760058071992E-2</c:v>
                </c:pt>
                <c:pt idx="74">
                  <c:v>2.7084120038152023E-2</c:v>
                </c:pt>
                <c:pt idx="75">
                  <c:v>2.9094362718032899E-2</c:v>
                </c:pt>
                <c:pt idx="76">
                  <c:v>2.9377258725259731E-2</c:v>
                </c:pt>
                <c:pt idx="77">
                  <c:v>3.0446910390441773E-2</c:v>
                </c:pt>
                <c:pt idx="78">
                  <c:v>2.881643683046671E-2</c:v>
                </c:pt>
                <c:pt idx="79">
                  <c:v>2.9318434143518726E-2</c:v>
                </c:pt>
                <c:pt idx="80">
                  <c:v>2.8504863400272147E-2</c:v>
                </c:pt>
                <c:pt idx="81">
                  <c:v>2.8950389209092587E-2</c:v>
                </c:pt>
                <c:pt idx="82">
                  <c:v>2.889949440257087E-2</c:v>
                </c:pt>
                <c:pt idx="83">
                  <c:v>2.9299494399741978E-2</c:v>
                </c:pt>
                <c:pt idx="84">
                  <c:v>2.8448599619912078E-2</c:v>
                </c:pt>
                <c:pt idx="85">
                  <c:v>2.8145020618068308E-2</c:v>
                </c:pt>
                <c:pt idx="86">
                  <c:v>2.7779791971679922E-2</c:v>
                </c:pt>
                <c:pt idx="87">
                  <c:v>2.743912254853852E-2</c:v>
                </c:pt>
                <c:pt idx="88">
                  <c:v>2.7840921096859976E-2</c:v>
                </c:pt>
                <c:pt idx="89">
                  <c:v>2.7371233708336124E-2</c:v>
                </c:pt>
                <c:pt idx="90">
                  <c:v>3.0184653388871944E-2</c:v>
                </c:pt>
                <c:pt idx="91">
                  <c:v>2.8211588451709069E-2</c:v>
                </c:pt>
                <c:pt idx="92">
                  <c:v>2.7226528848539103E-2</c:v>
                </c:pt>
                <c:pt idx="93">
                  <c:v>2.9382269512571911E-2</c:v>
                </c:pt>
                <c:pt idx="94">
                  <c:v>2.8477085667499548E-2</c:v>
                </c:pt>
                <c:pt idx="95">
                  <c:v>2.566594576634568E-2</c:v>
                </c:pt>
                <c:pt idx="96">
                  <c:v>2.6164930282966882E-2</c:v>
                </c:pt>
                <c:pt idx="97">
                  <c:v>2.6780421457237472E-2</c:v>
                </c:pt>
                <c:pt idx="98">
                  <c:v>2.6820421456226987E-2</c:v>
                </c:pt>
                <c:pt idx="99">
                  <c:v>2.6980421459461005E-2</c:v>
                </c:pt>
                <c:pt idx="100">
                  <c:v>2.703042145455992E-2</c:v>
                </c:pt>
                <c:pt idx="101">
                  <c:v>2.6018896294748781E-2</c:v>
                </c:pt>
                <c:pt idx="102">
                  <c:v>2.6688160960145826E-2</c:v>
                </c:pt>
                <c:pt idx="103">
                  <c:v>2.6748160958630099E-2</c:v>
                </c:pt>
                <c:pt idx="104">
                  <c:v>2.7188160962066679E-2</c:v>
                </c:pt>
                <c:pt idx="105">
                  <c:v>2.7248160960550952E-2</c:v>
                </c:pt>
                <c:pt idx="106">
                  <c:v>2.7688160956711574E-2</c:v>
                </c:pt>
                <c:pt idx="107">
                  <c:v>2.7748160962471805E-2</c:v>
                </c:pt>
                <c:pt idx="108">
                  <c:v>2.5427672421803639E-2</c:v>
                </c:pt>
                <c:pt idx="109">
                  <c:v>2.5447672421298397E-2</c:v>
                </c:pt>
                <c:pt idx="110">
                  <c:v>2.6127672418672067E-2</c:v>
                </c:pt>
                <c:pt idx="111">
                  <c:v>2.6147672418166824E-2</c:v>
                </c:pt>
                <c:pt idx="112">
                  <c:v>2.63276724208956E-2</c:v>
                </c:pt>
                <c:pt idx="113">
                  <c:v>2.6347672420390357E-2</c:v>
                </c:pt>
                <c:pt idx="114">
                  <c:v>2.7869114222087599E-2</c:v>
                </c:pt>
                <c:pt idx="115">
                  <c:v>2.6811360117060763E-2</c:v>
                </c:pt>
                <c:pt idx="116">
                  <c:v>2.7760550710749787E-2</c:v>
                </c:pt>
                <c:pt idx="117">
                  <c:v>2.8823333088698996E-2</c:v>
                </c:pt>
                <c:pt idx="118">
                  <c:v>2.6619586115617745E-2</c:v>
                </c:pt>
                <c:pt idx="119">
                  <c:v>2.6819586117841278E-2</c:v>
                </c:pt>
                <c:pt idx="120">
                  <c:v>2.6819586117841278E-2</c:v>
                </c:pt>
                <c:pt idx="121">
                  <c:v>2.7818310236654348E-2</c:v>
                </c:pt>
                <c:pt idx="122">
                  <c:v>2.6415886006975815E-2</c:v>
                </c:pt>
                <c:pt idx="123">
                  <c:v>2.6095058830173795E-2</c:v>
                </c:pt>
                <c:pt idx="124">
                  <c:v>2.6695058829568435E-2</c:v>
                </c:pt>
                <c:pt idx="125">
                  <c:v>2.7495058831186608E-2</c:v>
                </c:pt>
                <c:pt idx="126">
                  <c:v>2.6058761015757669E-2</c:v>
                </c:pt>
                <c:pt idx="127">
                  <c:v>2.6839261099617838E-2</c:v>
                </c:pt>
                <c:pt idx="128">
                  <c:v>2.7202417469932325E-2</c:v>
                </c:pt>
                <c:pt idx="129">
                  <c:v>2.7312417463515513E-2</c:v>
                </c:pt>
                <c:pt idx="130">
                  <c:v>2.7382417465385143E-2</c:v>
                </c:pt>
                <c:pt idx="131">
                  <c:v>2.7442417463869415E-2</c:v>
                </c:pt>
                <c:pt idx="132">
                  <c:v>2.754241746861916E-2</c:v>
                </c:pt>
                <c:pt idx="133">
                  <c:v>2.7672417468973063E-2</c:v>
                </c:pt>
                <c:pt idx="134">
                  <c:v>2.7193617032283474E-2</c:v>
                </c:pt>
                <c:pt idx="135">
                  <c:v>2.4610059394234062E-2</c:v>
                </c:pt>
                <c:pt idx="136">
                  <c:v>2.6447777625926858E-2</c:v>
                </c:pt>
                <c:pt idx="137">
                  <c:v>2.7196999661868754E-2</c:v>
                </c:pt>
                <c:pt idx="138">
                  <c:v>2.6546221710555915E-2</c:v>
                </c:pt>
                <c:pt idx="139">
                  <c:v>2.6164292331961238E-2</c:v>
                </c:pt>
                <c:pt idx="140">
                  <c:v>2.6274292332820384E-2</c:v>
                </c:pt>
                <c:pt idx="141">
                  <c:v>2.5847208748263805E-2</c:v>
                </c:pt>
                <c:pt idx="142">
                  <c:v>2.6023363939054214E-2</c:v>
                </c:pt>
                <c:pt idx="143">
                  <c:v>2.6372619863962738E-2</c:v>
                </c:pt>
                <c:pt idx="144">
                  <c:v>2.5721875806063593E-2</c:v>
                </c:pt>
                <c:pt idx="145">
                  <c:v>2.3281945483405297E-2</c:v>
                </c:pt>
                <c:pt idx="146">
                  <c:v>2.5724069416528755E-2</c:v>
                </c:pt>
                <c:pt idx="147">
                  <c:v>2.58440694134973E-2</c:v>
                </c:pt>
                <c:pt idx="148">
                  <c:v>2.6174069416074735E-2</c:v>
                </c:pt>
                <c:pt idx="149">
                  <c:v>2.6644069415115473E-2</c:v>
                </c:pt>
                <c:pt idx="150">
                  <c:v>2.4575694317296771E-2</c:v>
                </c:pt>
                <c:pt idx="151">
                  <c:v>2.5005694317347994E-2</c:v>
                </c:pt>
                <c:pt idx="152">
                  <c:v>2.5165694320582011E-2</c:v>
                </c:pt>
                <c:pt idx="153">
                  <c:v>2.5285694317550556E-2</c:v>
                </c:pt>
                <c:pt idx="154">
                  <c:v>2.0652845912263611E-2</c:v>
                </c:pt>
                <c:pt idx="155">
                  <c:v>2.3182845917472033E-2</c:v>
                </c:pt>
                <c:pt idx="156">
                  <c:v>2.3452845914289238E-2</c:v>
                </c:pt>
                <c:pt idx="157">
                  <c:v>2.3912845917220576E-2</c:v>
                </c:pt>
                <c:pt idx="158">
                  <c:v>2.3120501785145381E-2</c:v>
                </c:pt>
                <c:pt idx="159">
                  <c:v>2.3190501787015011E-2</c:v>
                </c:pt>
                <c:pt idx="160">
                  <c:v>2.3300501787874156E-2</c:v>
                </c:pt>
                <c:pt idx="161">
                  <c:v>2.2711909734683275E-2</c:v>
                </c:pt>
                <c:pt idx="162">
                  <c:v>2.106060245330953E-2</c:v>
                </c:pt>
                <c:pt idx="163">
                  <c:v>2.2984054781721077E-2</c:v>
                </c:pt>
                <c:pt idx="164">
                  <c:v>2.3094054782580222E-2</c:v>
                </c:pt>
                <c:pt idx="165">
                  <c:v>2.2285789795021188E-2</c:v>
                </c:pt>
                <c:pt idx="166">
                  <c:v>2.2725789798457768E-2</c:v>
                </c:pt>
                <c:pt idx="167">
                  <c:v>2.2785789796942041E-2</c:v>
                </c:pt>
                <c:pt idx="168">
                  <c:v>2.3255789795982779E-2</c:v>
                </c:pt>
                <c:pt idx="169">
                  <c:v>2.1825122036238421E-2</c:v>
                </c:pt>
                <c:pt idx="170">
                  <c:v>2.124560553066971E-2</c:v>
                </c:pt>
                <c:pt idx="171">
                  <c:v>1.7584408252717027E-2</c:v>
                </c:pt>
                <c:pt idx="172">
                  <c:v>1.1704555968841339E-2</c:v>
                </c:pt>
                <c:pt idx="173">
                  <c:v>1.1010216555920958E-2</c:v>
                </c:pt>
                <c:pt idx="174">
                  <c:v>8.6720332886868756E-3</c:v>
                </c:pt>
                <c:pt idx="175">
                  <c:v>7.3215029923304892E-3</c:v>
                </c:pt>
                <c:pt idx="176">
                  <c:v>7.2368332962517157E-3</c:v>
                </c:pt>
                <c:pt idx="177">
                  <c:v>8.2863054162507083E-3</c:v>
                </c:pt>
                <c:pt idx="178">
                  <c:v>3.0815104209515054E-3</c:v>
                </c:pt>
                <c:pt idx="179">
                  <c:v>0.11235394369223263</c:v>
                </c:pt>
                <c:pt idx="180">
                  <c:v>6.473108195810845E-3</c:v>
                </c:pt>
                <c:pt idx="181">
                  <c:v>9.4409628627280806E-3</c:v>
                </c:pt>
                <c:pt idx="182">
                  <c:v>7.1389391595686608E-3</c:v>
                </c:pt>
                <c:pt idx="183">
                  <c:v>3.2391696892380972E-3</c:v>
                </c:pt>
                <c:pt idx="184">
                  <c:v>3.3241379386163561E-3</c:v>
                </c:pt>
                <c:pt idx="185">
                  <c:v>1.6736725329184188E-3</c:v>
                </c:pt>
                <c:pt idx="186">
                  <c:v>-1.3479456464325287E-3</c:v>
                </c:pt>
                <c:pt idx="187">
                  <c:v>-9.9340017030932759E-4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6-42C8-B16A-08ACD76A7024}"/>
            </c:ext>
          </c:extLst>
        </c:ser>
        <c:ser>
          <c:idx val="8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2'!$AW$2:$AW$97</c:f>
              <c:numCache>
                <c:formatCode>General</c:formatCode>
                <c:ptCount val="96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36500</c:v>
                </c:pt>
                <c:pt idx="82">
                  <c:v>37000</c:v>
                </c:pt>
                <c:pt idx="83">
                  <c:v>37500</c:v>
                </c:pt>
                <c:pt idx="84">
                  <c:v>38000</c:v>
                </c:pt>
                <c:pt idx="85">
                  <c:v>38500</c:v>
                </c:pt>
                <c:pt idx="86">
                  <c:v>39000</c:v>
                </c:pt>
                <c:pt idx="87">
                  <c:v>40000</c:v>
                </c:pt>
                <c:pt idx="88">
                  <c:v>40500</c:v>
                </c:pt>
                <c:pt idx="89">
                  <c:v>41000</c:v>
                </c:pt>
                <c:pt idx="90">
                  <c:v>41500</c:v>
                </c:pt>
                <c:pt idx="91">
                  <c:v>42000</c:v>
                </c:pt>
                <c:pt idx="92">
                  <c:v>42500</c:v>
                </c:pt>
                <c:pt idx="93">
                  <c:v>43000</c:v>
                </c:pt>
                <c:pt idx="94">
                  <c:v>44000</c:v>
                </c:pt>
                <c:pt idx="95">
                  <c:v>45000</c:v>
                </c:pt>
              </c:numCache>
            </c:numRef>
          </c:xVal>
          <c:yVal>
            <c:numRef>
              <c:f>'Active 2'!$AZ$2:$AZ$97</c:f>
              <c:numCache>
                <c:formatCode>General</c:formatCode>
                <c:ptCount val="96"/>
                <c:pt idx="0">
                  <c:v>-2.5634340662008277E-2</c:v>
                </c:pt>
                <c:pt idx="1">
                  <c:v>-2.5193881655326645E-2</c:v>
                </c:pt>
                <c:pt idx="2">
                  <c:v>-2.4721693011535078E-2</c:v>
                </c:pt>
                <c:pt idx="3">
                  <c:v>-2.4218258191423883E-2</c:v>
                </c:pt>
                <c:pt idx="4">
                  <c:v>-2.3684091437289383E-2</c:v>
                </c:pt>
                <c:pt idx="5">
                  <c:v>-2.311973787970345E-2</c:v>
                </c:pt>
                <c:pt idx="6">
                  <c:v>-2.2525773658771682E-2</c:v>
                </c:pt>
                <c:pt idx="7">
                  <c:v>-2.1902806057960762E-2</c:v>
                </c:pt>
                <c:pt idx="8">
                  <c:v>-2.1251473648402637E-2</c:v>
                </c:pt>
                <c:pt idx="9">
                  <c:v>-2.0572446441403051E-2</c:v>
                </c:pt>
                <c:pt idx="10">
                  <c:v>-1.9866426046690675E-2</c:v>
                </c:pt>
                <c:pt idx="11">
                  <c:v>-1.9134145833742004E-2</c:v>
                </c:pt>
                <c:pt idx="12">
                  <c:v>-1.8376371093303458E-2</c:v>
                </c:pt>
                <c:pt idx="13">
                  <c:v>-1.7593899196010482E-2</c:v>
                </c:pt>
                <c:pt idx="14">
                  <c:v>-1.6787559744766901E-2</c:v>
                </c:pt>
                <c:pt idx="15">
                  <c:v>-1.5958214717302889E-2</c:v>
                </c:pt>
                <c:pt idx="16">
                  <c:v>-1.5106758595073429E-2</c:v>
                </c:pt>
                <c:pt idx="17">
                  <c:v>-1.4234118474391112E-2</c:v>
                </c:pt>
                <c:pt idx="18">
                  <c:v>-1.3341254155410964E-2</c:v>
                </c:pt>
                <c:pt idx="19">
                  <c:v>-1.2429158204299266E-2</c:v>
                </c:pt>
                <c:pt idx="20">
                  <c:v>-1.1498855983625949E-2</c:v>
                </c:pt>
                <c:pt idx="21">
                  <c:v>-1.055140564571925E-2</c:v>
                </c:pt>
                <c:pt idx="22">
                  <c:v>-9.5878980834213472E-3</c:v>
                </c:pt>
                <c:pt idx="23">
                  <c:v>-8.6094568323765251E-3</c:v>
                </c:pt>
                <c:pt idx="24">
                  <c:v>-7.6172379186823617E-3</c:v>
                </c:pt>
                <c:pt idx="25">
                  <c:v>-6.6124296454340287E-3</c:v>
                </c:pt>
                <c:pt idx="26">
                  <c:v>-5.5962523114033913E-3</c:v>
                </c:pt>
                <c:pt idx="27">
                  <c:v>-4.5699578548151244E-3</c:v>
                </c:pt>
                <c:pt idx="28">
                  <c:v>-3.5348294149230514E-3</c:v>
                </c:pt>
                <c:pt idx="29">
                  <c:v>-2.4921808038536456E-3</c:v>
                </c:pt>
                <c:pt idx="30">
                  <c:v>-1.4433558809744151E-3</c:v>
                </c:pt>
                <c:pt idx="31">
                  <c:v>-3.8972782187542999E-4</c:v>
                </c:pt>
                <c:pt idx="32">
                  <c:v>6.673017260774946E-4</c:v>
                </c:pt>
                <c:pt idx="33">
                  <c:v>1.7263036097332821E-3</c:v>
                </c:pt>
                <c:pt idx="34">
                  <c:v>2.785822265824672E-3</c:v>
                </c:pt>
                <c:pt idx="35">
                  <c:v>3.844376954394442E-3</c:v>
                </c:pt>
                <c:pt idx="36">
                  <c:v>4.9004631379277915E-3</c:v>
                </c:pt>
                <c:pt idx="37">
                  <c:v>5.9525540139177165E-3</c:v>
                </c:pt>
                <c:pt idx="38">
                  <c:v>6.999102208273239E-3</c:v>
                </c:pt>
                <c:pt idx="39">
                  <c:v>8.0385416365490389E-3</c:v>
                </c:pt>
                <c:pt idx="40">
                  <c:v>9.0692895394313845E-3</c:v>
                </c:pt>
                <c:pt idx="41">
                  <c:v>1.0089748698238067E-2</c:v>
                </c:pt>
                <c:pt idx="42">
                  <c:v>1.1098309835377429E-2</c:v>
                </c:pt>
                <c:pt idx="43">
                  <c:v>1.2093354203755322E-2</c:v>
                </c:pt>
                <c:pt idx="44">
                  <c:v>1.3073256368007786E-2</c:v>
                </c:pt>
                <c:pt idx="45">
                  <c:v>1.4036387179171807E-2</c:v>
                </c:pt>
                <c:pt idx="46">
                  <c:v>1.4981116942979733E-2</c:v>
                </c:pt>
                <c:pt idx="47">
                  <c:v>1.5905818780377633E-2</c:v>
                </c:pt>
                <c:pt idx="48">
                  <c:v>1.6808872177123686E-2</c:v>
                </c:pt>
                <c:pt idx="49">
                  <c:v>1.7688666717425052E-2</c:v>
                </c:pt>
                <c:pt idx="50">
                  <c:v>1.8543605994535459E-2</c:v>
                </c:pt>
                <c:pt idx="51">
                  <c:v>1.9372111689064907E-2</c:v>
                </c:pt>
                <c:pt idx="52">
                  <c:v>2.0172627803472433E-2</c:v>
                </c:pt>
                <c:pt idx="53">
                  <c:v>2.0943625038843981E-2</c:v>
                </c:pt>
                <c:pt idx="54">
                  <c:v>2.168360529762077E-2</c:v>
                </c:pt>
                <c:pt idx="55">
                  <c:v>2.2391106293478499E-2</c:v>
                </c:pt>
                <c:pt idx="56">
                  <c:v>2.3064706247094183E-2</c:v>
                </c:pt>
                <c:pt idx="57">
                  <c:v>2.3703028644116456E-2</c:v>
                </c:pt>
                <c:pt idx="58">
                  <c:v>2.4304747029321977E-2</c:v>
                </c:pt>
                <c:pt idx="59">
                  <c:v>2.4868589808737629E-2</c:v>
                </c:pt>
                <c:pt idx="60">
                  <c:v>2.5393345029489971E-2</c:v>
                </c:pt>
                <c:pt idx="61">
                  <c:v>2.5877865105352168E-2</c:v>
                </c:pt>
                <c:pt idx="62">
                  <c:v>2.6321071454450441E-2</c:v>
                </c:pt>
                <c:pt idx="63">
                  <c:v>2.6721959014412742E-2</c:v>
                </c:pt>
                <c:pt idx="64">
                  <c:v>2.7079600599436236E-2</c:v>
                </c:pt>
                <c:pt idx="65">
                  <c:v>2.7393151063361279E-2</c:v>
                </c:pt>
                <c:pt idx="66">
                  <c:v>2.7661851232902109E-2</c:v>
                </c:pt>
                <c:pt idx="67">
                  <c:v>2.7885031575727182E-2</c:v>
                </c:pt>
                <c:pt idx="68">
                  <c:v>2.8062115569124736E-2</c:v>
                </c:pt>
                <c:pt idx="69">
                  <c:v>2.8192622736542845E-2</c:v>
                </c:pt>
                <c:pt idx="70">
                  <c:v>2.8276171321356743E-2</c:v>
                </c:pt>
                <c:pt idx="71">
                  <c:v>2.8312480569777233E-2</c:v>
                </c:pt>
                <c:pt idx="72">
                  <c:v>2.8301372597850444E-2</c:v>
                </c:pt>
                <c:pt idx="73">
                  <c:v>2.8242773820974124E-2</c:v>
                </c:pt>
                <c:pt idx="74">
                  <c:v>2.813671592822339E-2</c:v>
                </c:pt>
                <c:pt idx="75">
                  <c:v>2.7983336387981592E-2</c:v>
                </c:pt>
                <c:pt idx="76">
                  <c:v>2.7782878475843927E-2</c:v>
                </c:pt>
                <c:pt idx="77">
                  <c:v>2.7535690820427599E-2</c:v>
                </c:pt>
                <c:pt idx="78">
                  <c:v>2.7242226467503343E-2</c:v>
                </c:pt>
                <c:pt idx="79">
                  <c:v>2.6903041467674544E-2</c:v>
                </c:pt>
                <c:pt idx="80">
                  <c:v>2.651879299758713E-2</c:v>
                </c:pt>
                <c:pt idx="81">
                  <c:v>2.5103703472046685E-2</c:v>
                </c:pt>
                <c:pt idx="82">
                  <c:v>2.4547704910335023E-2</c:v>
                </c:pt>
                <c:pt idx="83">
                  <c:v>2.3951349439523519E-2</c:v>
                </c:pt>
                <c:pt idx="84">
                  <c:v>2.3315837782119851E-2</c:v>
                </c:pt>
                <c:pt idx="85">
                  <c:v>2.26424473117737E-2</c:v>
                </c:pt>
                <c:pt idx="86">
                  <c:v>2.1932527292582549E-2</c:v>
                </c:pt>
                <c:pt idx="87">
                  <c:v>2.0408825128074168E-2</c:v>
                </c:pt>
                <c:pt idx="88">
                  <c:v>1.9598055425252406E-2</c:v>
                </c:pt>
                <c:pt idx="89">
                  <c:v>1.8756770425959461E-2</c:v>
                </c:pt>
                <c:pt idx="90">
                  <c:v>1.7886601487686907E-2</c:v>
                </c:pt>
                <c:pt idx="91">
                  <c:v>1.6989220267381692E-2</c:v>
                </c:pt>
                <c:pt idx="92">
                  <c:v>1.6066333306606451E-2</c:v>
                </c:pt>
                <c:pt idx="93">
                  <c:v>1.5119676667986482E-2</c:v>
                </c:pt>
                <c:pt idx="94">
                  <c:v>1.3162114634988363E-2</c:v>
                </c:pt>
                <c:pt idx="95">
                  <c:v>1.1130815360712306E-2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6-42C8-B16A-08ACD76A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48336"/>
        <c:axId val="1"/>
      </c:scatterChart>
      <c:valAx>
        <c:axId val="718948336"/>
        <c:scaling>
          <c:orientation val="minMax"/>
          <c:max val="5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0216302749392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659574468085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4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00858137413674E-2"/>
          <c:y val="0.92145141978098655"/>
          <c:w val="0.9148949572792762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Diagram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93-40B4-BBA6-E4CDC4F5A5BC}"/>
            </c:ext>
          </c:extLst>
        </c:ser>
        <c:ser>
          <c:idx val="1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3-40B4-BBA6-E4CDC4F5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46832"/>
        <c:axId val="1"/>
      </c:scatterChart>
      <c:valAx>
        <c:axId val="45674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46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81163291222258E-2"/>
          <c:y val="0.11085985097463033"/>
          <c:w val="0.89499496217157237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2.0125500000000001</c:v>
                </c:pt>
                <c:pt idx="1">
                  <c:v>2.0125999999999999</c:v>
                </c:pt>
                <c:pt idx="2">
                  <c:v>2.0240499999999999</c:v>
                </c:pt>
                <c:pt idx="3">
                  <c:v>2.0253000000000001</c:v>
                </c:pt>
                <c:pt idx="4">
                  <c:v>2.0908500000000001</c:v>
                </c:pt>
                <c:pt idx="5">
                  <c:v>2.1190000000000002</c:v>
                </c:pt>
                <c:pt idx="6">
                  <c:v>2.1313499999999999</c:v>
                </c:pt>
                <c:pt idx="7">
                  <c:v>2.1328499999999999</c:v>
                </c:pt>
                <c:pt idx="8">
                  <c:v>2.1332</c:v>
                </c:pt>
                <c:pt idx="9">
                  <c:v>2.1347</c:v>
                </c:pt>
                <c:pt idx="10">
                  <c:v>2.1416499999999998</c:v>
                </c:pt>
                <c:pt idx="11">
                  <c:v>2.1416499999999998</c:v>
                </c:pt>
                <c:pt idx="12">
                  <c:v>2.14255</c:v>
                </c:pt>
                <c:pt idx="13">
                  <c:v>2.1792500000000001</c:v>
                </c:pt>
                <c:pt idx="14">
                  <c:v>2.1792500000000001</c:v>
                </c:pt>
                <c:pt idx="15">
                  <c:v>2.19415</c:v>
                </c:pt>
                <c:pt idx="16">
                  <c:v>2.19415</c:v>
                </c:pt>
                <c:pt idx="17">
                  <c:v>2.3169</c:v>
                </c:pt>
                <c:pt idx="18">
                  <c:v>2.3374999999999999</c:v>
                </c:pt>
                <c:pt idx="19">
                  <c:v>2.3494999999999999</c:v>
                </c:pt>
                <c:pt idx="20">
                  <c:v>2.34965</c:v>
                </c:pt>
                <c:pt idx="21">
                  <c:v>2.3500999999999999</c:v>
                </c:pt>
                <c:pt idx="22">
                  <c:v>2.3504</c:v>
                </c:pt>
                <c:pt idx="23">
                  <c:v>2.4211499999999999</c:v>
                </c:pt>
                <c:pt idx="24">
                  <c:v>2.4211999999999998</c:v>
                </c:pt>
                <c:pt idx="25">
                  <c:v>2.4214000000000002</c:v>
                </c:pt>
                <c:pt idx="26">
                  <c:v>2.4215</c:v>
                </c:pt>
                <c:pt idx="27">
                  <c:v>2.43445</c:v>
                </c:pt>
                <c:pt idx="28">
                  <c:v>2.4394</c:v>
                </c:pt>
                <c:pt idx="29">
                  <c:v>2.4466999999999999</c:v>
                </c:pt>
                <c:pt idx="30">
                  <c:v>2.4466999999999999</c:v>
                </c:pt>
                <c:pt idx="31">
                  <c:v>2.5413000000000001</c:v>
                </c:pt>
                <c:pt idx="32">
                  <c:v>2.5835499999999998</c:v>
                </c:pt>
                <c:pt idx="33">
                  <c:v>2.6818</c:v>
                </c:pt>
                <c:pt idx="34">
                  <c:v>2.7705000000000002</c:v>
                </c:pt>
                <c:pt idx="35">
                  <c:v>2.7833999999999999</c:v>
                </c:pt>
                <c:pt idx="36">
                  <c:v>2.7846500000000001</c:v>
                </c:pt>
                <c:pt idx="37">
                  <c:v>2.7888000000000002</c:v>
                </c:pt>
                <c:pt idx="38">
                  <c:v>2.8676499999999998</c:v>
                </c:pt>
                <c:pt idx="39">
                  <c:v>2.8698000000000001</c:v>
                </c:pt>
                <c:pt idx="40">
                  <c:v>2.90225</c:v>
                </c:pt>
                <c:pt idx="41">
                  <c:v>2.90225</c:v>
                </c:pt>
                <c:pt idx="42">
                  <c:v>2.9140000000000001</c:v>
                </c:pt>
                <c:pt idx="43">
                  <c:v>3.0045999999999999</c:v>
                </c:pt>
                <c:pt idx="44">
                  <c:v>3.0161500000000001</c:v>
                </c:pt>
                <c:pt idx="45">
                  <c:v>3.0264500000000001</c:v>
                </c:pt>
                <c:pt idx="46">
                  <c:v>3.0301</c:v>
                </c:pt>
                <c:pt idx="47">
                  <c:v>3.0756000000000001</c:v>
                </c:pt>
                <c:pt idx="48">
                  <c:v>3.105</c:v>
                </c:pt>
                <c:pt idx="49">
                  <c:v>3.1132499999999999</c:v>
                </c:pt>
                <c:pt idx="50">
                  <c:v>3.1170499999999999</c:v>
                </c:pt>
                <c:pt idx="51">
                  <c:v>3.1171000000000002</c:v>
                </c:pt>
                <c:pt idx="52">
                  <c:v>3.1171500000000001</c:v>
                </c:pt>
                <c:pt idx="53">
                  <c:v>3.1173500000000001</c:v>
                </c:pt>
                <c:pt idx="54">
                  <c:v>3.1825999999999999</c:v>
                </c:pt>
                <c:pt idx="55">
                  <c:v>3.1853500000000001</c:v>
                </c:pt>
                <c:pt idx="56">
                  <c:v>3.1950500000000002</c:v>
                </c:pt>
                <c:pt idx="57">
                  <c:v>3.2057500000000001</c:v>
                </c:pt>
                <c:pt idx="58">
                  <c:v>3.2099500000000001</c:v>
                </c:pt>
                <c:pt idx="59">
                  <c:v>3.2235</c:v>
                </c:pt>
                <c:pt idx="60">
                  <c:v>3.2289500000000002</c:v>
                </c:pt>
                <c:pt idx="61">
                  <c:v>3.22925</c:v>
                </c:pt>
                <c:pt idx="62">
                  <c:v>3.2444000000000002</c:v>
                </c:pt>
                <c:pt idx="63">
                  <c:v>3.3090999999999999</c:v>
                </c:pt>
                <c:pt idx="64">
                  <c:v>3.31115</c:v>
                </c:pt>
                <c:pt idx="65">
                  <c:v>3.31115</c:v>
                </c:pt>
                <c:pt idx="66">
                  <c:v>3.3416999999999999</c:v>
                </c:pt>
                <c:pt idx="67">
                  <c:v>3.3465500000000001</c:v>
                </c:pt>
                <c:pt idx="68">
                  <c:v>3.3465500000000001</c:v>
                </c:pt>
                <c:pt idx="69">
                  <c:v>3.3465500000000001</c:v>
                </c:pt>
                <c:pt idx="70">
                  <c:v>3.3532000000000002</c:v>
                </c:pt>
                <c:pt idx="71">
                  <c:v>3.3532000000000002</c:v>
                </c:pt>
                <c:pt idx="72">
                  <c:v>3.3532000000000002</c:v>
                </c:pt>
                <c:pt idx="73">
                  <c:v>3.4084500000000002</c:v>
                </c:pt>
                <c:pt idx="74">
                  <c:v>3.4297499999999999</c:v>
                </c:pt>
                <c:pt idx="75">
                  <c:v>3.5376500000000002</c:v>
                </c:pt>
                <c:pt idx="76">
                  <c:v>3.5226999999999999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2.5573008999344893E-2</c:v>
                </c:pt>
                <c:pt idx="1">
                  <c:v>2.5821267990977503E-2</c:v>
                </c:pt>
                <c:pt idx="2">
                  <c:v>2.5172578993078787E-2</c:v>
                </c:pt>
                <c:pt idx="3">
                  <c:v>2.6679053989937529E-2</c:v>
                </c:pt>
                <c:pt idx="4">
                  <c:v>2.9746602995146532E-2</c:v>
                </c:pt>
                <c:pt idx="5">
                  <c:v>2.9116419995261822E-2</c:v>
                </c:pt>
                <c:pt idx="6">
                  <c:v>3.4736392990453169E-2</c:v>
                </c:pt>
                <c:pt idx="7">
                  <c:v>3.4184162999736145E-2</c:v>
                </c:pt>
                <c:pt idx="8">
                  <c:v>2.4521975989046041E-2</c:v>
                </c:pt>
                <c:pt idx="9">
                  <c:v>3.3969746000366285E-2</c:v>
                </c:pt>
                <c:pt idx="10">
                  <c:v>2.4677746994711924E-2</c:v>
                </c:pt>
                <c:pt idx="11">
                  <c:v>3.2677746996341739E-2</c:v>
                </c:pt>
                <c:pt idx="12">
                  <c:v>3.5546408995287493E-2</c:v>
                </c:pt>
                <c:pt idx="13">
                  <c:v>2.7968515001703054E-2</c:v>
                </c:pt>
                <c:pt idx="14">
                  <c:v>3.2968514999083709E-2</c:v>
                </c:pt>
                <c:pt idx="15">
                  <c:v>2.9649696996784769E-2</c:v>
                </c:pt>
                <c:pt idx="16">
                  <c:v>2.9849696991732344E-2</c:v>
                </c:pt>
                <c:pt idx="17">
                  <c:v>2.8825541994592641E-2</c:v>
                </c:pt>
                <c:pt idx="18">
                  <c:v>2.6308249995054211E-2</c:v>
                </c:pt>
                <c:pt idx="19">
                  <c:v>2.6190409836999606E-2</c:v>
                </c:pt>
                <c:pt idx="20">
                  <c:v>2.8035186995111872E-2</c:v>
                </c:pt>
                <c:pt idx="21">
                  <c:v>2.6269518202752806E-2</c:v>
                </c:pt>
                <c:pt idx="22">
                  <c:v>2.6859071913349908E-2</c:v>
                </c:pt>
                <c:pt idx="23">
                  <c:v>3.0545556990546174E-2</c:v>
                </c:pt>
                <c:pt idx="24">
                  <c:v>2.9693815995415207E-2</c:v>
                </c:pt>
                <c:pt idx="25">
                  <c:v>2.9686851994483732E-2</c:v>
                </c:pt>
                <c:pt idx="26">
                  <c:v>2.88833699960378E-2</c:v>
                </c:pt>
                <c:pt idx="27">
                  <c:v>2.8882450998935383E-2</c:v>
                </c:pt>
                <c:pt idx="28">
                  <c:v>2.9060091997962445E-2</c:v>
                </c:pt>
                <c:pt idx="29">
                  <c:v>2.8805905996705405E-2</c:v>
                </c:pt>
                <c:pt idx="30">
                  <c:v>2.9011776932748035E-2</c:v>
                </c:pt>
                <c:pt idx="31">
                  <c:v>2.9161933991417754E-2</c:v>
                </c:pt>
                <c:pt idx="32">
                  <c:v>3.0090788997767959E-2</c:v>
                </c:pt>
                <c:pt idx="33">
                  <c:v>2.7419723992352374E-2</c:v>
                </c:pt>
                <c:pt idx="34">
                  <c:v>2.7631189994281158E-2</c:v>
                </c:pt>
                <c:pt idx="35">
                  <c:v>2.7382011998270173E-2</c:v>
                </c:pt>
                <c:pt idx="36">
                  <c:v>2.508848699653754E-2</c:v>
                </c:pt>
                <c:pt idx="37">
                  <c:v>2.7093983997474425E-2</c:v>
                </c:pt>
                <c:pt idx="38">
                  <c:v>2.6498426988837309E-2</c:v>
                </c:pt>
                <c:pt idx="39">
                  <c:v>2.7873563994944561E-2</c:v>
                </c:pt>
                <c:pt idx="40">
                  <c:v>2.5585922579921316E-2</c:v>
                </c:pt>
                <c:pt idx="41">
                  <c:v>2.5593654994736426E-2</c:v>
                </c:pt>
                <c:pt idx="42">
                  <c:v>2.6634519992512651E-2</c:v>
                </c:pt>
                <c:pt idx="43">
                  <c:v>2.3979827994480729E-2</c:v>
                </c:pt>
                <c:pt idx="44">
                  <c:v>2.2427656993386336E-2</c:v>
                </c:pt>
                <c:pt idx="45">
                  <c:v>2.4269010995340068E-2</c:v>
                </c:pt>
                <c:pt idx="46">
                  <c:v>2.4491917996783741E-2</c:v>
                </c:pt>
                <c:pt idx="47">
                  <c:v>2.4807608002447523E-2</c:v>
                </c:pt>
                <c:pt idx="48">
                  <c:v>2.2683899995172396E-2</c:v>
                </c:pt>
                <c:pt idx="49">
                  <c:v>2.304663499671733E-2</c:v>
                </c:pt>
                <c:pt idx="50">
                  <c:v>2.2614319001149852E-2</c:v>
                </c:pt>
                <c:pt idx="51">
                  <c:v>2.296257799025625E-2</c:v>
                </c:pt>
                <c:pt idx="52">
                  <c:v>2.2110836995125283E-2</c:v>
                </c:pt>
                <c:pt idx="53">
                  <c:v>2.1803872994496487E-2</c:v>
                </c:pt>
                <c:pt idx="54">
                  <c:v>1.9981867990281899E-2</c:v>
                </c:pt>
                <c:pt idx="55">
                  <c:v>2.0336112997028977E-2</c:v>
                </c:pt>
                <c:pt idx="56">
                  <c:v>1.9698358999448828E-2</c:v>
                </c:pt>
                <c:pt idx="57">
                  <c:v>2.2325784993881825E-2</c:v>
                </c:pt>
                <c:pt idx="58">
                  <c:v>2.0279540993215051E-2</c:v>
                </c:pt>
                <c:pt idx="59">
                  <c:v>1.9057729994528927E-2</c:v>
                </c:pt>
                <c:pt idx="60">
                  <c:v>2.1117960997798946E-2</c:v>
                </c:pt>
                <c:pt idx="61">
                  <c:v>2.0207514993671793E-2</c:v>
                </c:pt>
                <c:pt idx="62">
                  <c:v>1.7129991996625904E-2</c:v>
                </c:pt>
                <c:pt idx="63">
                  <c:v>1.6477138000482228E-2</c:v>
                </c:pt>
                <c:pt idx="64">
                  <c:v>1.7095756993512623E-2</c:v>
                </c:pt>
                <c:pt idx="65">
                  <c:v>1.7305756991845556E-2</c:v>
                </c:pt>
                <c:pt idx="66">
                  <c:v>1.5742005998617969E-2</c:v>
                </c:pt>
                <c:pt idx="67">
                  <c:v>1.6383128997404128E-2</c:v>
                </c:pt>
                <c:pt idx="68">
                  <c:v>1.6883128999324981E-2</c:v>
                </c:pt>
                <c:pt idx="69">
                  <c:v>1.7383129001245834E-2</c:v>
                </c:pt>
                <c:pt idx="70">
                  <c:v>1.4961575994675513E-2</c:v>
                </c:pt>
                <c:pt idx="71">
                  <c:v>1.5661575991543941E-2</c:v>
                </c:pt>
                <c:pt idx="72">
                  <c:v>1.5861575993767474E-2</c:v>
                </c:pt>
                <c:pt idx="73">
                  <c:v>1.6367770993383601E-2</c:v>
                </c:pt>
                <c:pt idx="74">
                  <c:v>1.6926104995945934E-2</c:v>
                </c:pt>
                <c:pt idx="75">
                  <c:v>1.0669026996765751E-2</c:v>
                </c:pt>
                <c:pt idx="76">
                  <c:v>1.3539585990656633E-2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A-4E0A-9EC9-8D9671C9BAC6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2</c:v>
                </c:pt>
                <c:pt idx="1">
                  <c:v>2.0499999999999998</c:v>
                </c:pt>
                <c:pt idx="2">
                  <c:v>2.1</c:v>
                </c:pt>
                <c:pt idx="3">
                  <c:v>2.15</c:v>
                </c:pt>
                <c:pt idx="4">
                  <c:v>2.2000000000000002</c:v>
                </c:pt>
                <c:pt idx="5">
                  <c:v>2.25</c:v>
                </c:pt>
                <c:pt idx="6">
                  <c:v>2.2999999999999998</c:v>
                </c:pt>
                <c:pt idx="7">
                  <c:v>2.35</c:v>
                </c:pt>
                <c:pt idx="8">
                  <c:v>2.4</c:v>
                </c:pt>
                <c:pt idx="9">
                  <c:v>2.4500000000000002</c:v>
                </c:pt>
                <c:pt idx="10">
                  <c:v>2.5</c:v>
                </c:pt>
                <c:pt idx="11">
                  <c:v>2.5499999999999998</c:v>
                </c:pt>
                <c:pt idx="12">
                  <c:v>2.6</c:v>
                </c:pt>
                <c:pt idx="13">
                  <c:v>2.65</c:v>
                </c:pt>
                <c:pt idx="14">
                  <c:v>2.7</c:v>
                </c:pt>
                <c:pt idx="15">
                  <c:v>2.75</c:v>
                </c:pt>
                <c:pt idx="16">
                  <c:v>2.8</c:v>
                </c:pt>
                <c:pt idx="17">
                  <c:v>2.85</c:v>
                </c:pt>
                <c:pt idx="18">
                  <c:v>2.9</c:v>
                </c:pt>
                <c:pt idx="19">
                  <c:v>2.95</c:v>
                </c:pt>
                <c:pt idx="20">
                  <c:v>3</c:v>
                </c:pt>
                <c:pt idx="21">
                  <c:v>3.05</c:v>
                </c:pt>
                <c:pt idx="22">
                  <c:v>3.1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2.613374139991087E-2</c:v>
                </c:pt>
                <c:pt idx="1">
                  <c:v>2.6742009762246756E-2</c:v>
                </c:pt>
                <c:pt idx="2">
                  <c:v>2.7276804826851506E-2</c:v>
                </c:pt>
                <c:pt idx="3">
                  <c:v>2.7738126593725085E-2</c:v>
                </c:pt>
                <c:pt idx="4">
                  <c:v>2.81259750628675E-2</c:v>
                </c:pt>
                <c:pt idx="5">
                  <c:v>2.8440350234278766E-2</c:v>
                </c:pt>
                <c:pt idx="6">
                  <c:v>2.8681252107958882E-2</c:v>
                </c:pt>
                <c:pt idx="7">
                  <c:v>2.8848680683907849E-2</c:v>
                </c:pt>
                <c:pt idx="8">
                  <c:v>2.8942635962125651E-2</c:v>
                </c:pt>
                <c:pt idx="9">
                  <c:v>2.8963117942612276E-2</c:v>
                </c:pt>
                <c:pt idx="10">
                  <c:v>2.8910126625367766E-2</c:v>
                </c:pt>
                <c:pt idx="11">
                  <c:v>2.8783662010392078E-2</c:v>
                </c:pt>
                <c:pt idx="12">
                  <c:v>2.858372409768524E-2</c:v>
                </c:pt>
                <c:pt idx="13">
                  <c:v>2.8310312887247252E-2</c:v>
                </c:pt>
                <c:pt idx="14">
                  <c:v>2.7963428379078101E-2</c:v>
                </c:pt>
                <c:pt idx="15">
                  <c:v>2.7543070573177786E-2</c:v>
                </c:pt>
                <c:pt idx="16">
                  <c:v>2.7049239469546335E-2</c:v>
                </c:pt>
                <c:pt idx="17">
                  <c:v>2.6481935068183707E-2</c:v>
                </c:pt>
                <c:pt idx="18">
                  <c:v>2.5841157369089915E-2</c:v>
                </c:pt>
                <c:pt idx="19">
                  <c:v>2.5126906372264973E-2</c:v>
                </c:pt>
                <c:pt idx="20">
                  <c:v>2.4339182077708882E-2</c:v>
                </c:pt>
                <c:pt idx="21">
                  <c:v>2.3477984485421682E-2</c:v>
                </c:pt>
                <c:pt idx="22">
                  <c:v>2.2543313595403236E-2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A-4E0A-9EC9-8D9671C9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54232"/>
        <c:axId val="1"/>
      </c:scatterChart>
      <c:valAx>
        <c:axId val="449754232"/>
        <c:scaling>
          <c:orientation val="minMax"/>
          <c:max val="3.1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542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69836462751"/>
          <c:y val="0.93891497725680217"/>
          <c:w val="0.4517709645268700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77840909090908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9545454545456E-2"/>
          <c:y val="0.14371278494688106"/>
          <c:w val="0.86505681818181823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errors!$H$21:$H$1184</c:f>
              <c:numCache>
                <c:formatCode>General</c:formatCode>
                <c:ptCount val="1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0-4F58-9B27-F59B21B3E0A9}"/>
            </c:ext>
          </c:extLst>
        </c:ser>
        <c:ser>
          <c:idx val="1"/>
          <c:order val="1"/>
          <c:tx>
            <c:strRef>
              <c:f>errors!$I$20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errors!$I$21:$I$1184</c:f>
              <c:numCache>
                <c:formatCode>General</c:formatCode>
                <c:ptCount val="1164"/>
                <c:pt idx="0">
                  <c:v>1.5264499234035611E-4</c:v>
                </c:pt>
                <c:pt idx="1">
                  <c:v>6.7275209949002601E-3</c:v>
                </c:pt>
                <c:pt idx="2">
                  <c:v>2.419950799230719E-2</c:v>
                </c:pt>
                <c:pt idx="3">
                  <c:v>2.8649722997215576E-2</c:v>
                </c:pt>
                <c:pt idx="4">
                  <c:v>2.9387046997726429E-2</c:v>
                </c:pt>
                <c:pt idx="5">
                  <c:v>3.5546408995287493E-2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0-4F58-9B27-F59B21B3E0A9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errors!$J$21:$J$1184</c:f>
              <c:numCache>
                <c:formatCode>General</c:formatCode>
                <c:ptCount val="1164"/>
                <c:pt idx="6">
                  <c:v>-4.4825900840805843E-4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5.2317079971544445E-3</c:v>
                </c:pt>
                <c:pt idx="10">
                  <c:v>5.710555000405293E-3</c:v>
                </c:pt>
                <c:pt idx="11">
                  <c:v>5.7831709927995689E-3</c:v>
                </c:pt>
                <c:pt idx="12">
                  <c:v>5.8831709902733564E-3</c:v>
                </c:pt>
                <c:pt idx="13">
                  <c:v>6.1125700012780726E-3</c:v>
                </c:pt>
                <c:pt idx="14">
                  <c:v>6.3663089968031272E-3</c:v>
                </c:pt>
                <c:pt idx="15">
                  <c:v>6.4642939905752428E-3</c:v>
                </c:pt>
                <c:pt idx="16">
                  <c:v>6.4642939978512004E-3</c:v>
                </c:pt>
                <c:pt idx="17">
                  <c:v>6.6856919947895221E-3</c:v>
                </c:pt>
                <c:pt idx="18">
                  <c:v>6.9176789984339848E-3</c:v>
                </c:pt>
                <c:pt idx="19">
                  <c:v>7.0399199903476983E-3</c:v>
                </c:pt>
                <c:pt idx="20">
                  <c:v>7.3145679998560809E-3</c:v>
                </c:pt>
                <c:pt idx="21">
                  <c:v>7.3180499966838397E-3</c:v>
                </c:pt>
                <c:pt idx="22">
                  <c:v>7.3425419977866113E-3</c:v>
                </c:pt>
                <c:pt idx="23">
                  <c:v>9.2881820019101724E-3</c:v>
                </c:pt>
                <c:pt idx="24">
                  <c:v>9.5157649921020493E-3</c:v>
                </c:pt>
                <c:pt idx="25">
                  <c:v>9.5916639911592938E-3</c:v>
                </c:pt>
                <c:pt idx="26">
                  <c:v>9.6426429954590276E-3</c:v>
                </c:pt>
                <c:pt idx="27">
                  <c:v>9.9399229948176071E-3</c:v>
                </c:pt>
                <c:pt idx="28">
                  <c:v>1.414277299772948E-2</c:v>
                </c:pt>
                <c:pt idx="29">
                  <c:v>1.5742005998617969E-2</c:v>
                </c:pt>
                <c:pt idx="30">
                  <c:v>1.7129991996625904E-2</c:v>
                </c:pt>
                <c:pt idx="31">
                  <c:v>1.9057729994528927E-2</c:v>
                </c:pt>
                <c:pt idx="32">
                  <c:v>1.9369064997590613E-2</c:v>
                </c:pt>
                <c:pt idx="33">
                  <c:v>2.1803872994496487E-2</c:v>
                </c:pt>
                <c:pt idx="34">
                  <c:v>2.2110836995125283E-2</c:v>
                </c:pt>
                <c:pt idx="35">
                  <c:v>2.2427656993386336E-2</c:v>
                </c:pt>
                <c:pt idx="36">
                  <c:v>2.2614319001149852E-2</c:v>
                </c:pt>
                <c:pt idx="37">
                  <c:v>2.296257799025625E-2</c:v>
                </c:pt>
                <c:pt idx="38">
                  <c:v>2.3979827994480729E-2</c:v>
                </c:pt>
                <c:pt idx="39">
                  <c:v>2.4521975989046041E-2</c:v>
                </c:pt>
                <c:pt idx="40">
                  <c:v>2.4677746994711924E-2</c:v>
                </c:pt>
                <c:pt idx="41">
                  <c:v>2.5172578993078787E-2</c:v>
                </c:pt>
                <c:pt idx="42">
                  <c:v>2.5573008999344893E-2</c:v>
                </c:pt>
                <c:pt idx="43">
                  <c:v>2.5821267990977503E-2</c:v>
                </c:pt>
                <c:pt idx="44">
                  <c:v>2.6308249995054211E-2</c:v>
                </c:pt>
                <c:pt idx="45">
                  <c:v>2.7093983997474425E-2</c:v>
                </c:pt>
                <c:pt idx="46">
                  <c:v>2.7419723992352374E-2</c:v>
                </c:pt>
                <c:pt idx="47">
                  <c:v>2.7968515001703054E-2</c:v>
                </c:pt>
                <c:pt idx="48">
                  <c:v>2.8035186995111872E-2</c:v>
                </c:pt>
                <c:pt idx="49">
                  <c:v>2.8825541994592641E-2</c:v>
                </c:pt>
                <c:pt idx="50">
                  <c:v>2.8882450998935383E-2</c:v>
                </c:pt>
                <c:pt idx="51">
                  <c:v>2.88833699960378E-2</c:v>
                </c:pt>
                <c:pt idx="52">
                  <c:v>2.9116419995261822E-2</c:v>
                </c:pt>
                <c:pt idx="53">
                  <c:v>2.9649696996784769E-2</c:v>
                </c:pt>
                <c:pt idx="54">
                  <c:v>2.9686851994483732E-2</c:v>
                </c:pt>
                <c:pt idx="55">
                  <c:v>2.9693815995415207E-2</c:v>
                </c:pt>
                <c:pt idx="56">
                  <c:v>2.9746602995146532E-2</c:v>
                </c:pt>
                <c:pt idx="57">
                  <c:v>2.9849696991732344E-2</c:v>
                </c:pt>
                <c:pt idx="58">
                  <c:v>3.0545556990546174E-2</c:v>
                </c:pt>
                <c:pt idx="59">
                  <c:v>3.2677746996341739E-2</c:v>
                </c:pt>
                <c:pt idx="60">
                  <c:v>3.2968514999083709E-2</c:v>
                </c:pt>
                <c:pt idx="61">
                  <c:v>3.3969746000366285E-2</c:v>
                </c:pt>
                <c:pt idx="62">
                  <c:v>3.4184162999736145E-2</c:v>
                </c:pt>
                <c:pt idx="63">
                  <c:v>3.4736392990453169E-2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0-4F58-9B27-F59B21B3E0A9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errors!$F$21:$F$1184</c:f>
              <c:numCache>
                <c:formatCode>General</c:formatCode>
                <c:ptCount val="1164"/>
                <c:pt idx="0">
                  <c:v>38827.5</c:v>
                </c:pt>
                <c:pt idx="1">
                  <c:v>36709.5</c:v>
                </c:pt>
                <c:pt idx="2">
                  <c:v>17806</c:v>
                </c:pt>
                <c:pt idx="3">
                  <c:v>17748.5</c:v>
                </c:pt>
                <c:pt idx="4">
                  <c:v>17766.5</c:v>
                </c:pt>
                <c:pt idx="5">
                  <c:v>21425.5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5706</c:v>
                </c:pt>
                <c:pt idx="10">
                  <c:v>3572.5</c:v>
                </c:pt>
                <c:pt idx="11">
                  <c:v>4384.5</c:v>
                </c:pt>
                <c:pt idx="12">
                  <c:v>4384.5</c:v>
                </c:pt>
                <c:pt idx="13">
                  <c:v>3615</c:v>
                </c:pt>
                <c:pt idx="14">
                  <c:v>4475.5</c:v>
                </c:pt>
                <c:pt idx="15">
                  <c:v>4433</c:v>
                </c:pt>
                <c:pt idx="16">
                  <c:v>4433</c:v>
                </c:pt>
                <c:pt idx="17">
                  <c:v>3594</c:v>
                </c:pt>
                <c:pt idx="18">
                  <c:v>4690.5</c:v>
                </c:pt>
                <c:pt idx="19">
                  <c:v>4440</c:v>
                </c:pt>
                <c:pt idx="20">
                  <c:v>4476</c:v>
                </c:pt>
                <c:pt idx="21">
                  <c:v>4475</c:v>
                </c:pt>
                <c:pt idx="22">
                  <c:v>4669</c:v>
                </c:pt>
                <c:pt idx="23">
                  <c:v>36649</c:v>
                </c:pt>
                <c:pt idx="24">
                  <c:v>5667.5</c:v>
                </c:pt>
                <c:pt idx="25">
                  <c:v>36648</c:v>
                </c:pt>
                <c:pt idx="26">
                  <c:v>5688.5</c:v>
                </c:pt>
                <c:pt idx="27">
                  <c:v>36648.5</c:v>
                </c:pt>
                <c:pt idx="28">
                  <c:v>34723.5</c:v>
                </c:pt>
                <c:pt idx="29">
                  <c:v>33417</c:v>
                </c:pt>
                <c:pt idx="30">
                  <c:v>32444</c:v>
                </c:pt>
                <c:pt idx="31">
                  <c:v>32235</c:v>
                </c:pt>
                <c:pt idx="32">
                  <c:v>10017.5</c:v>
                </c:pt>
                <c:pt idx="33">
                  <c:v>31173.5</c:v>
                </c:pt>
                <c:pt idx="34">
                  <c:v>31171.5</c:v>
                </c:pt>
                <c:pt idx="35">
                  <c:v>30161.5</c:v>
                </c:pt>
                <c:pt idx="36">
                  <c:v>31170.5</c:v>
                </c:pt>
                <c:pt idx="37">
                  <c:v>31171</c:v>
                </c:pt>
                <c:pt idx="38">
                  <c:v>30046</c:v>
                </c:pt>
                <c:pt idx="39">
                  <c:v>21332</c:v>
                </c:pt>
                <c:pt idx="40">
                  <c:v>21416.5</c:v>
                </c:pt>
                <c:pt idx="41">
                  <c:v>20240.5</c:v>
                </c:pt>
                <c:pt idx="42">
                  <c:v>20125.5</c:v>
                </c:pt>
                <c:pt idx="43">
                  <c:v>20126</c:v>
                </c:pt>
                <c:pt idx="44">
                  <c:v>23375</c:v>
                </c:pt>
                <c:pt idx="45">
                  <c:v>27888</c:v>
                </c:pt>
                <c:pt idx="46">
                  <c:v>26818</c:v>
                </c:pt>
                <c:pt idx="47">
                  <c:v>21792.5</c:v>
                </c:pt>
                <c:pt idx="48">
                  <c:v>23496.5</c:v>
                </c:pt>
                <c:pt idx="49">
                  <c:v>23169</c:v>
                </c:pt>
                <c:pt idx="50">
                  <c:v>24344.5</c:v>
                </c:pt>
                <c:pt idx="51">
                  <c:v>24215</c:v>
                </c:pt>
                <c:pt idx="52">
                  <c:v>21190</c:v>
                </c:pt>
                <c:pt idx="53">
                  <c:v>21941.5</c:v>
                </c:pt>
                <c:pt idx="54">
                  <c:v>24214</c:v>
                </c:pt>
                <c:pt idx="55">
                  <c:v>24212</c:v>
                </c:pt>
                <c:pt idx="56">
                  <c:v>20908.5</c:v>
                </c:pt>
                <c:pt idx="57">
                  <c:v>21941.5</c:v>
                </c:pt>
                <c:pt idx="58">
                  <c:v>24211.5</c:v>
                </c:pt>
                <c:pt idx="59">
                  <c:v>21416.5</c:v>
                </c:pt>
                <c:pt idx="60">
                  <c:v>21792.5</c:v>
                </c:pt>
                <c:pt idx="61">
                  <c:v>21347</c:v>
                </c:pt>
                <c:pt idx="62">
                  <c:v>21328.5</c:v>
                </c:pt>
                <c:pt idx="63">
                  <c:v>21313.5</c:v>
                </c:pt>
                <c:pt idx="64">
                  <c:v>-119</c:v>
                </c:pt>
                <c:pt idx="65">
                  <c:v>-118.5</c:v>
                </c:pt>
                <c:pt idx="66">
                  <c:v>-9.5</c:v>
                </c:pt>
                <c:pt idx="67">
                  <c:v>-3.5</c:v>
                </c:pt>
                <c:pt idx="68">
                  <c:v>0</c:v>
                </c:pt>
                <c:pt idx="69">
                  <c:v>3554.5</c:v>
                </c:pt>
                <c:pt idx="70">
                  <c:v>20253</c:v>
                </c:pt>
                <c:pt idx="71">
                  <c:v>23495</c:v>
                </c:pt>
                <c:pt idx="72">
                  <c:v>23501</c:v>
                </c:pt>
                <c:pt idx="73">
                  <c:v>23504</c:v>
                </c:pt>
                <c:pt idx="74">
                  <c:v>24394</c:v>
                </c:pt>
                <c:pt idx="75">
                  <c:v>24467</c:v>
                </c:pt>
                <c:pt idx="76">
                  <c:v>25413</c:v>
                </c:pt>
                <c:pt idx="77">
                  <c:v>25413</c:v>
                </c:pt>
                <c:pt idx="78">
                  <c:v>25835.5</c:v>
                </c:pt>
                <c:pt idx="79">
                  <c:v>27705</c:v>
                </c:pt>
                <c:pt idx="80">
                  <c:v>27834</c:v>
                </c:pt>
                <c:pt idx="81">
                  <c:v>27846.5</c:v>
                </c:pt>
                <c:pt idx="82">
                  <c:v>28036.5</c:v>
                </c:pt>
                <c:pt idx="83">
                  <c:v>28676.5</c:v>
                </c:pt>
                <c:pt idx="84">
                  <c:v>28698</c:v>
                </c:pt>
                <c:pt idx="85">
                  <c:v>29022.5</c:v>
                </c:pt>
                <c:pt idx="86">
                  <c:v>29022.5</c:v>
                </c:pt>
                <c:pt idx="87">
                  <c:v>29140</c:v>
                </c:pt>
                <c:pt idx="88">
                  <c:v>30264.5</c:v>
                </c:pt>
                <c:pt idx="89">
                  <c:v>30301</c:v>
                </c:pt>
                <c:pt idx="90">
                  <c:v>30756</c:v>
                </c:pt>
                <c:pt idx="91">
                  <c:v>31050</c:v>
                </c:pt>
                <c:pt idx="92">
                  <c:v>31132.5</c:v>
                </c:pt>
                <c:pt idx="93">
                  <c:v>31168</c:v>
                </c:pt>
                <c:pt idx="94">
                  <c:v>31171</c:v>
                </c:pt>
                <c:pt idx="95">
                  <c:v>31294</c:v>
                </c:pt>
                <c:pt idx="96">
                  <c:v>31826</c:v>
                </c:pt>
                <c:pt idx="97">
                  <c:v>31853.5</c:v>
                </c:pt>
                <c:pt idx="98">
                  <c:v>31950.5</c:v>
                </c:pt>
                <c:pt idx="99">
                  <c:v>32057.5</c:v>
                </c:pt>
                <c:pt idx="100">
                  <c:v>32099.5</c:v>
                </c:pt>
                <c:pt idx="101">
                  <c:v>32289.5</c:v>
                </c:pt>
                <c:pt idx="102">
                  <c:v>32292.5</c:v>
                </c:pt>
                <c:pt idx="103">
                  <c:v>33091</c:v>
                </c:pt>
                <c:pt idx="104">
                  <c:v>33111.5</c:v>
                </c:pt>
                <c:pt idx="105">
                  <c:v>33111.5</c:v>
                </c:pt>
                <c:pt idx="106">
                  <c:v>33111.5</c:v>
                </c:pt>
                <c:pt idx="107">
                  <c:v>33111.5</c:v>
                </c:pt>
                <c:pt idx="108">
                  <c:v>33465.5</c:v>
                </c:pt>
                <c:pt idx="109">
                  <c:v>33465.5</c:v>
                </c:pt>
                <c:pt idx="110">
                  <c:v>33465.5</c:v>
                </c:pt>
                <c:pt idx="111">
                  <c:v>33465.5</c:v>
                </c:pt>
                <c:pt idx="112">
                  <c:v>33465.5</c:v>
                </c:pt>
                <c:pt idx="113">
                  <c:v>33465.5</c:v>
                </c:pt>
                <c:pt idx="114">
                  <c:v>33532</c:v>
                </c:pt>
                <c:pt idx="115">
                  <c:v>33532</c:v>
                </c:pt>
                <c:pt idx="116">
                  <c:v>33532</c:v>
                </c:pt>
                <c:pt idx="117">
                  <c:v>33532</c:v>
                </c:pt>
                <c:pt idx="118">
                  <c:v>33532</c:v>
                </c:pt>
                <c:pt idx="119">
                  <c:v>33532</c:v>
                </c:pt>
                <c:pt idx="120">
                  <c:v>34084.5</c:v>
                </c:pt>
                <c:pt idx="121">
                  <c:v>34274</c:v>
                </c:pt>
                <c:pt idx="122">
                  <c:v>34274.5</c:v>
                </c:pt>
                <c:pt idx="123">
                  <c:v>34297.5</c:v>
                </c:pt>
                <c:pt idx="124">
                  <c:v>34306</c:v>
                </c:pt>
                <c:pt idx="125">
                  <c:v>34306</c:v>
                </c:pt>
                <c:pt idx="126">
                  <c:v>34306</c:v>
                </c:pt>
                <c:pt idx="127">
                  <c:v>34362.5</c:v>
                </c:pt>
                <c:pt idx="128">
                  <c:v>34395</c:v>
                </c:pt>
                <c:pt idx="129">
                  <c:v>34551</c:v>
                </c:pt>
                <c:pt idx="130">
                  <c:v>34551</c:v>
                </c:pt>
                <c:pt idx="131">
                  <c:v>34551</c:v>
                </c:pt>
                <c:pt idx="132">
                  <c:v>34705</c:v>
                </c:pt>
                <c:pt idx="133">
                  <c:v>35215</c:v>
                </c:pt>
                <c:pt idx="134">
                  <c:v>35215</c:v>
                </c:pt>
                <c:pt idx="135">
                  <c:v>35215</c:v>
                </c:pt>
                <c:pt idx="136">
                  <c:v>35215</c:v>
                </c:pt>
                <c:pt idx="137">
                  <c:v>35215</c:v>
                </c:pt>
                <c:pt idx="138">
                  <c:v>35215</c:v>
                </c:pt>
                <c:pt idx="139">
                  <c:v>35227</c:v>
                </c:pt>
                <c:pt idx="140">
                  <c:v>35376.5</c:v>
                </c:pt>
                <c:pt idx="141">
                  <c:v>35416.5</c:v>
                </c:pt>
                <c:pt idx="142">
                  <c:v>35417</c:v>
                </c:pt>
                <c:pt idx="143">
                  <c:v>35417.5</c:v>
                </c:pt>
                <c:pt idx="144">
                  <c:v>35560.5</c:v>
                </c:pt>
                <c:pt idx="145">
                  <c:v>35560.5</c:v>
                </c:pt>
                <c:pt idx="146">
                  <c:v>36498</c:v>
                </c:pt>
                <c:pt idx="147">
                  <c:v>36775.5</c:v>
                </c:pt>
                <c:pt idx="148">
                  <c:v>36775.5</c:v>
                </c:pt>
                <c:pt idx="149">
                  <c:v>36775.5</c:v>
                </c:pt>
                <c:pt idx="150">
                  <c:v>36775.5</c:v>
                </c:pt>
                <c:pt idx="151">
                  <c:v>36842</c:v>
                </c:pt>
                <c:pt idx="152">
                  <c:v>36842</c:v>
                </c:pt>
                <c:pt idx="153">
                  <c:v>36842</c:v>
                </c:pt>
                <c:pt idx="154">
                  <c:v>36842</c:v>
                </c:pt>
                <c:pt idx="155">
                  <c:v>37536.5</c:v>
                </c:pt>
                <c:pt idx="156">
                  <c:v>37536.5</c:v>
                </c:pt>
                <c:pt idx="157">
                  <c:v>37536.5</c:v>
                </c:pt>
                <c:pt idx="158">
                  <c:v>37536.5</c:v>
                </c:pt>
                <c:pt idx="159">
                  <c:v>37663.5</c:v>
                </c:pt>
                <c:pt idx="160">
                  <c:v>37663.5</c:v>
                </c:pt>
                <c:pt idx="161">
                  <c:v>37663.5</c:v>
                </c:pt>
                <c:pt idx="162">
                  <c:v>38644.5</c:v>
                </c:pt>
                <c:pt idx="163">
                  <c:v>38927.5</c:v>
                </c:pt>
                <c:pt idx="164">
                  <c:v>38927.5</c:v>
                </c:pt>
                <c:pt idx="165">
                  <c:v>39701.5</c:v>
                </c:pt>
                <c:pt idx="166">
                  <c:v>39701.5</c:v>
                </c:pt>
                <c:pt idx="167">
                  <c:v>39701.5</c:v>
                </c:pt>
                <c:pt idx="168">
                  <c:v>39701.5</c:v>
                </c:pt>
                <c:pt idx="169">
                  <c:v>39747.5</c:v>
                </c:pt>
                <c:pt idx="170">
                  <c:v>39846</c:v>
                </c:pt>
                <c:pt idx="171">
                  <c:v>40748</c:v>
                </c:pt>
                <c:pt idx="172">
                  <c:v>43067</c:v>
                </c:pt>
              </c:numCache>
            </c:numRef>
          </c:xVal>
          <c:yVal>
            <c:numRef>
              <c:f>errors!$K$21:$K$1184</c:f>
              <c:numCache>
                <c:formatCode>General</c:formatCode>
                <c:ptCount val="1164"/>
                <c:pt idx="64">
                  <c:v>-1.2856420071329921E-3</c:v>
                </c:pt>
                <c:pt idx="65">
                  <c:v>-1.5373830028693192E-3</c:v>
                </c:pt>
                <c:pt idx="66">
                  <c:v>-6.1692100280197337E-4</c:v>
                </c:pt>
                <c:pt idx="67">
                  <c:v>-3.7813006201758981E-5</c:v>
                </c:pt>
                <c:pt idx="68">
                  <c:v>2.9999999969732016E-4</c:v>
                </c:pt>
                <c:pt idx="69">
                  <c:v>5.2732309995917603E-3</c:v>
                </c:pt>
                <c:pt idx="70">
                  <c:v>2.6679053989937529E-2</c:v>
                </c:pt>
                <c:pt idx="71">
                  <c:v>2.6190409836999606E-2</c:v>
                </c:pt>
                <c:pt idx="72">
                  <c:v>2.6269518202752806E-2</c:v>
                </c:pt>
                <c:pt idx="73">
                  <c:v>2.6859071913349908E-2</c:v>
                </c:pt>
                <c:pt idx="74">
                  <c:v>2.9060091997962445E-2</c:v>
                </c:pt>
                <c:pt idx="75">
                  <c:v>2.9011776932748035E-2</c:v>
                </c:pt>
                <c:pt idx="76">
                  <c:v>2.9161933991417754E-2</c:v>
                </c:pt>
                <c:pt idx="77">
                  <c:v>3.0111933992884587E-2</c:v>
                </c:pt>
                <c:pt idx="78">
                  <c:v>3.0090788997767959E-2</c:v>
                </c:pt>
                <c:pt idx="79">
                  <c:v>2.7631189994281158E-2</c:v>
                </c:pt>
                <c:pt idx="80">
                  <c:v>2.7382011998270173E-2</c:v>
                </c:pt>
                <c:pt idx="81">
                  <c:v>2.508848699653754E-2</c:v>
                </c:pt>
                <c:pt idx="82">
                  <c:v>2.6526907000516076E-2</c:v>
                </c:pt>
                <c:pt idx="83">
                  <c:v>2.6498426988837309E-2</c:v>
                </c:pt>
                <c:pt idx="84">
                  <c:v>2.7873563994944561E-2</c:v>
                </c:pt>
                <c:pt idx="85">
                  <c:v>2.5585922579921316E-2</c:v>
                </c:pt>
                <c:pt idx="86">
                  <c:v>2.5593654994736426E-2</c:v>
                </c:pt>
                <c:pt idx="87">
                  <c:v>2.6634519992512651E-2</c:v>
                </c:pt>
                <c:pt idx="88">
                  <c:v>2.4269010995340068E-2</c:v>
                </c:pt>
                <c:pt idx="89">
                  <c:v>2.4491917996783741E-2</c:v>
                </c:pt>
                <c:pt idx="90">
                  <c:v>2.4807608002447523E-2</c:v>
                </c:pt>
                <c:pt idx="91">
                  <c:v>2.2683899995172396E-2</c:v>
                </c:pt>
                <c:pt idx="92">
                  <c:v>2.304663499671733E-2</c:v>
                </c:pt>
                <c:pt idx="93">
                  <c:v>2.2173023993673269E-2</c:v>
                </c:pt>
                <c:pt idx="94">
                  <c:v>2.2562577993085142E-2</c:v>
                </c:pt>
                <c:pt idx="95">
                  <c:v>2.123429199855309E-2</c:v>
                </c:pt>
                <c:pt idx="96">
                  <c:v>1.9981867990281899E-2</c:v>
                </c:pt>
                <c:pt idx="97">
                  <c:v>2.0336112997028977E-2</c:v>
                </c:pt>
                <c:pt idx="98">
                  <c:v>1.9698358999448828E-2</c:v>
                </c:pt>
                <c:pt idx="99">
                  <c:v>2.2325784993881825E-2</c:v>
                </c:pt>
                <c:pt idx="100">
                  <c:v>2.0279540993215051E-2</c:v>
                </c:pt>
                <c:pt idx="101">
                  <c:v>2.1117960997798946E-2</c:v>
                </c:pt>
                <c:pt idx="102">
                  <c:v>2.0207514993671793E-2</c:v>
                </c:pt>
                <c:pt idx="103">
                  <c:v>1.6477138000482228E-2</c:v>
                </c:pt>
                <c:pt idx="104">
                  <c:v>1.7055756994523108E-2</c:v>
                </c:pt>
                <c:pt idx="105">
                  <c:v>1.7095756993512623E-2</c:v>
                </c:pt>
                <c:pt idx="106">
                  <c:v>1.7255756996746641E-2</c:v>
                </c:pt>
                <c:pt idx="107">
                  <c:v>1.7305756991845556E-2</c:v>
                </c:pt>
                <c:pt idx="108">
                  <c:v>1.6323128998919856E-2</c:v>
                </c:pt>
                <c:pt idx="109">
                  <c:v>1.6383128997404128E-2</c:v>
                </c:pt>
                <c:pt idx="110">
                  <c:v>1.6823129000840709E-2</c:v>
                </c:pt>
                <c:pt idx="111">
                  <c:v>1.6883128999324981E-2</c:v>
                </c:pt>
                <c:pt idx="112">
                  <c:v>1.7323128995485604E-2</c:v>
                </c:pt>
                <c:pt idx="113">
                  <c:v>1.7383129001245834E-2</c:v>
                </c:pt>
                <c:pt idx="114">
                  <c:v>1.4941575995180756E-2</c:v>
                </c:pt>
                <c:pt idx="115">
                  <c:v>1.4961575994675513E-2</c:v>
                </c:pt>
                <c:pt idx="116">
                  <c:v>1.5641575992049184E-2</c:v>
                </c:pt>
                <c:pt idx="117">
                  <c:v>1.5661575991543941E-2</c:v>
                </c:pt>
                <c:pt idx="118">
                  <c:v>1.5841575994272716E-2</c:v>
                </c:pt>
                <c:pt idx="119">
                  <c:v>1.5861575993767474E-2</c:v>
                </c:pt>
                <c:pt idx="120">
                  <c:v>1.6367770993383601E-2</c:v>
                </c:pt>
                <c:pt idx="121">
                  <c:v>1.4957931998651475E-2</c:v>
                </c:pt>
                <c:pt idx="122">
                  <c:v>1.5906190994428471E-2</c:v>
                </c:pt>
                <c:pt idx="123">
                  <c:v>1.6926104995945934E-2</c:v>
                </c:pt>
                <c:pt idx="124">
                  <c:v>1.4706507994560525E-2</c:v>
                </c:pt>
                <c:pt idx="125">
                  <c:v>1.4906507996784057E-2</c:v>
                </c:pt>
                <c:pt idx="126">
                  <c:v>1.4906507996784057E-2</c:v>
                </c:pt>
                <c:pt idx="127">
                  <c:v>1.5799774992046878E-2</c:v>
                </c:pt>
                <c:pt idx="128">
                  <c:v>1.4336609994643368E-2</c:v>
                </c:pt>
                <c:pt idx="129">
                  <c:v>1.372341799287824E-2</c:v>
                </c:pt>
                <c:pt idx="130">
                  <c:v>1.432341799227288E-2</c:v>
                </c:pt>
                <c:pt idx="131">
                  <c:v>1.5123417993891053E-2</c:v>
                </c:pt>
                <c:pt idx="132">
                  <c:v>1.3397189999523107E-2</c:v>
                </c:pt>
                <c:pt idx="133">
                  <c:v>1.3571370000136085E-2</c:v>
                </c:pt>
                <c:pt idx="134">
                  <c:v>1.3681369993719272E-2</c:v>
                </c:pt>
                <c:pt idx="135">
                  <c:v>1.3751369995588902E-2</c:v>
                </c:pt>
                <c:pt idx="136">
                  <c:v>1.3811369994073175E-2</c:v>
                </c:pt>
                <c:pt idx="137">
                  <c:v>1.391136999882292E-2</c:v>
                </c:pt>
                <c:pt idx="138">
                  <c:v>1.4041369999176823E-2</c:v>
                </c:pt>
                <c:pt idx="139">
                  <c:v>1.3539585990656633E-2</c:v>
                </c:pt>
                <c:pt idx="140">
                  <c:v>1.0669026996765751E-2</c:v>
                </c:pt>
                <c:pt idx="141">
                  <c:v>1.2429746995621826E-2</c:v>
                </c:pt>
                <c:pt idx="142">
                  <c:v>1.3178005996451247E-2</c:v>
                </c:pt>
                <c:pt idx="143">
                  <c:v>1.2526264996267855E-2</c:v>
                </c:pt>
                <c:pt idx="144">
                  <c:v>1.186833899555495E-2</c:v>
                </c:pt>
                <c:pt idx="145">
                  <c:v>1.1978338996414095E-2</c:v>
                </c:pt>
                <c:pt idx="146">
                  <c:v>9.713963998365216E-3</c:v>
                </c:pt>
                <c:pt idx="147">
                  <c:v>9.0377089945832267E-3</c:v>
                </c:pt>
                <c:pt idx="148">
                  <c:v>9.1577089915517718E-3</c:v>
                </c:pt>
                <c:pt idx="149">
                  <c:v>9.487708994129207E-3</c:v>
                </c:pt>
                <c:pt idx="150">
                  <c:v>9.9577089931699447E-3</c:v>
                </c:pt>
                <c:pt idx="151">
                  <c:v>7.7561559955938719E-3</c:v>
                </c:pt>
                <c:pt idx="152">
                  <c:v>8.1861559956450947E-3</c:v>
                </c:pt>
                <c:pt idx="153">
                  <c:v>8.3461559988791123E-3</c:v>
                </c:pt>
                <c:pt idx="154">
                  <c:v>8.4661559958476573E-3</c:v>
                </c:pt>
                <c:pt idx="155">
                  <c:v>2.4279069912154227E-3</c:v>
                </c:pt>
                <c:pt idx="156">
                  <c:v>4.9579069964238442E-3</c:v>
                </c:pt>
                <c:pt idx="157">
                  <c:v>5.2279069932410493E-3</c:v>
                </c:pt>
                <c:pt idx="158">
                  <c:v>5.6879069961723872E-3</c:v>
                </c:pt>
                <c:pt idx="159">
                  <c:v>4.6356929888133891E-3</c:v>
                </c:pt>
                <c:pt idx="160">
                  <c:v>4.7056929906830192E-3</c:v>
                </c:pt>
                <c:pt idx="161">
                  <c:v>4.8156929915421642E-3</c:v>
                </c:pt>
                <c:pt idx="162">
                  <c:v>2.1898509949096479E-3</c:v>
                </c:pt>
                <c:pt idx="163">
                  <c:v>1.86444499559002E-3</c:v>
                </c:pt>
                <c:pt idx="164">
                  <c:v>1.974444996449165E-3</c:v>
                </c:pt>
                <c:pt idx="165">
                  <c:v>-4.9062300240620971E-4</c:v>
                </c:pt>
                <c:pt idx="166">
                  <c:v>-5.0622998969629407E-5</c:v>
                </c:pt>
                <c:pt idx="167">
                  <c:v>9.3769995146431029E-6</c:v>
                </c:pt>
                <c:pt idx="168">
                  <c:v>4.7937699855538085E-4</c:v>
                </c:pt>
                <c:pt idx="169">
                  <c:v>-1.0507949991733767E-3</c:v>
                </c:pt>
                <c:pt idx="170">
                  <c:v>-1.8437720063957386E-3</c:v>
                </c:pt>
                <c:pt idx="171">
                  <c:v>-7.4845360068138689E-3</c:v>
                </c:pt>
                <c:pt idx="172">
                  <c:v>-1.8659294008102734E-2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20-4F58-9B27-F59B21B3E0A9}"/>
            </c:ext>
          </c:extLst>
        </c:ser>
        <c:ser>
          <c:idx val="8"/>
          <c:order val="4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errors!$BC$2:$BC$97</c:f>
              <c:numCache>
                <c:formatCode>General</c:formatCode>
                <c:ptCount val="96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9500</c:v>
                </c:pt>
                <c:pt idx="26">
                  <c:v>10000</c:v>
                </c:pt>
                <c:pt idx="27">
                  <c:v>11000</c:v>
                </c:pt>
                <c:pt idx="28">
                  <c:v>19500</c:v>
                </c:pt>
                <c:pt idx="29">
                  <c:v>12000</c:v>
                </c:pt>
                <c:pt idx="30">
                  <c:v>13500</c:v>
                </c:pt>
                <c:pt idx="31">
                  <c:v>14000</c:v>
                </c:pt>
                <c:pt idx="32">
                  <c:v>13000</c:v>
                </c:pt>
                <c:pt idx="33">
                  <c:v>16500</c:v>
                </c:pt>
                <c:pt idx="34">
                  <c:v>14500</c:v>
                </c:pt>
                <c:pt idx="35">
                  <c:v>15000</c:v>
                </c:pt>
                <c:pt idx="36">
                  <c:v>12500</c:v>
                </c:pt>
                <c:pt idx="37">
                  <c:v>18000</c:v>
                </c:pt>
                <c:pt idx="38">
                  <c:v>15500</c:v>
                </c:pt>
                <c:pt idx="39">
                  <c:v>17000</c:v>
                </c:pt>
                <c:pt idx="40">
                  <c:v>16000</c:v>
                </c:pt>
                <c:pt idx="41">
                  <c:v>17500</c:v>
                </c:pt>
                <c:pt idx="43">
                  <c:v>18500</c:v>
                </c:pt>
                <c:pt idx="45">
                  <c:v>19000</c:v>
                </c:pt>
                <c:pt idx="51">
                  <c:v>20000</c:v>
                </c:pt>
                <c:pt idx="54">
                  <c:v>44000</c:v>
                </c:pt>
                <c:pt idx="57">
                  <c:v>43500</c:v>
                </c:pt>
                <c:pt idx="58">
                  <c:v>24500</c:v>
                </c:pt>
                <c:pt idx="59">
                  <c:v>25500</c:v>
                </c:pt>
                <c:pt idx="60">
                  <c:v>21500</c:v>
                </c:pt>
                <c:pt idx="61">
                  <c:v>20500</c:v>
                </c:pt>
                <c:pt idx="62">
                  <c:v>21000</c:v>
                </c:pt>
                <c:pt idx="63">
                  <c:v>29000</c:v>
                </c:pt>
                <c:pt idx="64">
                  <c:v>40000</c:v>
                </c:pt>
                <c:pt idx="65">
                  <c:v>37500</c:v>
                </c:pt>
                <c:pt idx="66">
                  <c:v>26500</c:v>
                </c:pt>
                <c:pt idx="67">
                  <c:v>30000</c:v>
                </c:pt>
                <c:pt idx="68">
                  <c:v>28500</c:v>
                </c:pt>
                <c:pt idx="69">
                  <c:v>33500</c:v>
                </c:pt>
                <c:pt idx="70">
                  <c:v>33000</c:v>
                </c:pt>
                <c:pt idx="71">
                  <c:v>23000</c:v>
                </c:pt>
                <c:pt idx="72">
                  <c:v>27500</c:v>
                </c:pt>
                <c:pt idx="73">
                  <c:v>32500</c:v>
                </c:pt>
                <c:pt idx="74">
                  <c:v>32000</c:v>
                </c:pt>
                <c:pt idx="75">
                  <c:v>22500</c:v>
                </c:pt>
                <c:pt idx="76">
                  <c:v>28000</c:v>
                </c:pt>
                <c:pt idx="77">
                  <c:v>31500</c:v>
                </c:pt>
                <c:pt idx="78">
                  <c:v>26000</c:v>
                </c:pt>
                <c:pt idx="79">
                  <c:v>27000</c:v>
                </c:pt>
                <c:pt idx="80">
                  <c:v>25000</c:v>
                </c:pt>
                <c:pt idx="81">
                  <c:v>24000</c:v>
                </c:pt>
                <c:pt idx="82">
                  <c:v>23500</c:v>
                </c:pt>
                <c:pt idx="83">
                  <c:v>7500</c:v>
                </c:pt>
                <c:pt idx="84">
                  <c:v>8000</c:v>
                </c:pt>
                <c:pt idx="85">
                  <c:v>8500</c:v>
                </c:pt>
                <c:pt idx="86">
                  <c:v>9000</c:v>
                </c:pt>
                <c:pt idx="87">
                  <c:v>10500</c:v>
                </c:pt>
                <c:pt idx="88">
                  <c:v>11500</c:v>
                </c:pt>
                <c:pt idx="89">
                  <c:v>22000</c:v>
                </c:pt>
                <c:pt idx="90">
                  <c:v>29500</c:v>
                </c:pt>
                <c:pt idx="91">
                  <c:v>30500</c:v>
                </c:pt>
                <c:pt idx="92">
                  <c:v>31000</c:v>
                </c:pt>
                <c:pt idx="93">
                  <c:v>34000</c:v>
                </c:pt>
                <c:pt idx="94">
                  <c:v>34500</c:v>
                </c:pt>
                <c:pt idx="95">
                  <c:v>35000</c:v>
                </c:pt>
              </c:numCache>
            </c:numRef>
          </c:xVal>
          <c:yVal>
            <c:numRef>
              <c:f>errors!$BD$2:$BD$97</c:f>
              <c:numCache>
                <c:formatCode>General</c:formatCode>
                <c:ptCount val="96"/>
                <c:pt idx="0">
                  <c:v>-6.9983170174548852E-3</c:v>
                </c:pt>
                <c:pt idx="1">
                  <c:v>-6.404333885421519E-3</c:v>
                </c:pt>
                <c:pt idx="2">
                  <c:v>-5.7920141910329584E-3</c:v>
                </c:pt>
                <c:pt idx="3">
                  <c:v>-5.1617288733489877E-3</c:v>
                </c:pt>
                <c:pt idx="4">
                  <c:v>-4.5139025943871577E-3</c:v>
                </c:pt>
                <c:pt idx="5">
                  <c:v>-3.8490131953430526E-3</c:v>
                </c:pt>
                <c:pt idx="6">
                  <c:v>-3.167591079286658E-3</c:v>
                </c:pt>
                <c:pt idx="7">
                  <c:v>-2.4702185209503659E-3</c:v>
                </c:pt>
                <c:pt idx="8">
                  <c:v>-1.7575289043257718E-3</c:v>
                </c:pt>
                <c:pt idx="9">
                  <c:v>-1.0302058888889062E-3</c:v>
                </c:pt>
                <c:pt idx="10">
                  <c:v>-2.889825053754673E-4</c:v>
                </c:pt>
                <c:pt idx="11">
                  <c:v>4.653598178700237E-4</c:v>
                </c:pt>
                <c:pt idx="12">
                  <c:v>1.2319922968444738E-3</c:v>
                </c:pt>
                <c:pt idx="13">
                  <c:v>2.0100399009088075E-3</c:v>
                </c:pt>
                <c:pt idx="14">
                  <c:v>2.7985825275525303E-3</c:v>
                </c:pt>
                <c:pt idx="15">
                  <c:v>3.5966562414713882E-3</c:v>
                </c:pt>
                <c:pt idx="16">
                  <c:v>4.4032545764278626E-3</c:v>
                </c:pt>
                <c:pt idx="17">
                  <c:v>5.2173298982663291E-3</c:v>
                </c:pt>
                <c:pt idx="18">
                  <c:v>6.03779482735756E-3</c:v>
                </c:pt>
                <c:pt idx="19">
                  <c:v>6.863523718650396E-3</c:v>
                </c:pt>
                <c:pt idx="20">
                  <c:v>7.6933541974154307E-3</c:v>
                </c:pt>
                <c:pt idx="21">
                  <c:v>8.526088748671827E-3</c:v>
                </c:pt>
                <c:pt idx="22">
                  <c:v>9.3604963581995475E-3</c:v>
                </c:pt>
                <c:pt idx="23">
                  <c:v>1.0195314202949946E-2</c:v>
                </c:pt>
                <c:pt idx="24">
                  <c:v>1.1029249388583682E-2</c:v>
                </c:pt>
                <c:pt idx="25">
                  <c:v>1.513855717424201E-2</c:v>
                </c:pt>
                <c:pt idx="26">
                  <c:v>1.5938591323987002E-2</c:v>
                </c:pt>
                <c:pt idx="27">
                  <c:v>1.7505332985214134E-2</c:v>
                </c:pt>
                <c:pt idx="28">
                  <c:v>2.7420915723223829E-2</c:v>
                </c:pt>
                <c:pt idx="29">
                  <c:v>1.901780376392441E-2</c:v>
                </c:pt>
                <c:pt idx="30">
                  <c:v>2.1158590546885257E-2</c:v>
                </c:pt>
                <c:pt idx="31">
                  <c:v>2.18320461600926E-2</c:v>
                </c:pt>
                <c:pt idx="32">
                  <c:v>2.046405790826588E-2</c:v>
                </c:pt>
                <c:pt idx="33">
                  <c:v>2.4830390339937943E-2</c:v>
                </c:pt>
                <c:pt idx="34">
                  <c:v>2.2482913512497128E-2</c:v>
                </c:pt>
                <c:pt idx="35">
                  <c:v>2.3109683372898586E-2</c:v>
                </c:pt>
                <c:pt idx="36">
                  <c:v>1.9749959357916298E-2</c:v>
                </c:pt>
                <c:pt idx="37">
                  <c:v>2.6280524947728912E-2</c:v>
                </c:pt>
                <c:pt idx="38">
                  <c:v>2.3710850639055793E-2</c:v>
                </c:pt>
                <c:pt idx="39">
                  <c:v>2.5345792258993794E-2</c:v>
                </c:pt>
                <c:pt idx="40">
                  <c:v>2.4284916458171355E-2</c:v>
                </c:pt>
                <c:pt idx="41">
                  <c:v>2.582965474364541E-2</c:v>
                </c:pt>
                <c:pt idx="43">
                  <c:v>2.6696966702502892E-2</c:v>
                </c:pt>
                <c:pt idx="45">
                  <c:v>2.7077562545490843E-2</c:v>
                </c:pt>
                <c:pt idx="51">
                  <c:v>2.772565216487044E-2</c:v>
                </c:pt>
                <c:pt idx="54">
                  <c:v>-2.031326371092981E-2</c:v>
                </c:pt>
                <c:pt idx="57">
                  <c:v>-1.7953970477892101E-2</c:v>
                </c:pt>
                <c:pt idx="58">
                  <c:v>2.8517467100897007E-2</c:v>
                </c:pt>
                <c:pt idx="59">
                  <c:v>2.8164406737092737E-2</c:v>
                </c:pt>
                <c:pt idx="60">
                  <c:v>2.8394801129166439E-2</c:v>
                </c:pt>
                <c:pt idx="61">
                  <c:v>2.7990422423785171E-2</c:v>
                </c:pt>
                <c:pt idx="62">
                  <c:v>2.8213903584053471E-2</c:v>
                </c:pt>
                <c:pt idx="63">
                  <c:v>2.5224810490497435E-2</c:v>
                </c:pt>
                <c:pt idx="64">
                  <c:v>-2.9604065013436529E-3</c:v>
                </c:pt>
                <c:pt idx="65">
                  <c:v>6.0248515417637462E-3</c:v>
                </c:pt>
                <c:pt idx="66">
                  <c:v>2.7600709992374191E-2</c:v>
                </c:pt>
                <c:pt idx="67">
                  <c:v>2.3872521907710206E-2</c:v>
                </c:pt>
                <c:pt idx="68">
                  <c:v>2.5813523030229171E-2</c:v>
                </c:pt>
                <c:pt idx="69">
                  <c:v>1.7254314352423094E-2</c:v>
                </c:pt>
                <c:pt idx="70">
                  <c:v>1.8382080559345305E-2</c:v>
                </c:pt>
                <c:pt idx="71">
                  <c:v>2.8669510980856034E-2</c:v>
                </c:pt>
                <c:pt idx="72">
                  <c:v>2.6819218235075881E-2</c:v>
                </c:pt>
                <c:pt idx="73">
                  <c:v>1.9448662127882876E-2</c:v>
                </c:pt>
                <c:pt idx="74">
                  <c:v>2.045425261682093E-2</c:v>
                </c:pt>
                <c:pt idx="75">
                  <c:v>2.8623820229473664E-2</c:v>
                </c:pt>
                <c:pt idx="76">
                  <c:v>2.6344766281451659E-2</c:v>
                </c:pt>
                <c:pt idx="77">
                  <c:v>2.1399101419360498E-2</c:v>
                </c:pt>
                <c:pt idx="78">
                  <c:v>2.7909352461819144E-2</c:v>
                </c:pt>
                <c:pt idx="79">
                  <c:v>2.723760703945647E-2</c:v>
                </c:pt>
                <c:pt idx="80">
                  <c:v>2.8366790811860117E-2</c:v>
                </c:pt>
                <c:pt idx="81">
                  <c:v>2.8617441092384864E-2</c:v>
                </c:pt>
                <c:pt idx="82">
                  <c:v>2.8667759937713731E-2</c:v>
                </c:pt>
                <c:pt idx="83">
                  <c:v>1.1860980731780837E-2</c:v>
                </c:pt>
                <c:pt idx="84">
                  <c:v>1.2689160584889574E-2</c:v>
                </c:pt>
                <c:pt idx="85">
                  <c:v>1.3512416700402392E-2</c:v>
                </c:pt>
                <c:pt idx="86">
                  <c:v>1.4329354132676077E-2</c:v>
                </c:pt>
                <c:pt idx="87">
                  <c:v>1.6728005284424228E-2</c:v>
                </c:pt>
                <c:pt idx="88">
                  <c:v>1.8269095630044065E-2</c:v>
                </c:pt>
                <c:pt idx="89">
                  <c:v>2.8531850770017068E-2</c:v>
                </c:pt>
                <c:pt idx="90">
                  <c:v>2.4578001764207685E-2</c:v>
                </c:pt>
                <c:pt idx="91">
                  <c:v>2.3107848718249214E-2</c:v>
                </c:pt>
                <c:pt idx="92">
                  <c:v>2.2283513444375395E-2</c:v>
                </c:pt>
                <c:pt idx="93">
                  <c:v>1.6065226021776298E-2</c:v>
                </c:pt>
                <c:pt idx="94">
                  <c:v>1.4814734314656509E-2</c:v>
                </c:pt>
                <c:pt idx="95">
                  <c:v>1.35028142901246E-2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20-4F58-9B27-F59B21B3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44536"/>
        <c:axId val="1"/>
      </c:scatterChart>
      <c:valAx>
        <c:axId val="456744536"/>
        <c:scaling>
          <c:orientation val="minMax"/>
          <c:max val="4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0227272727271"/>
              <c:y val="0.8682647303817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78409090909091E-2"/>
              <c:y val="0.3862281735741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4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2556818181818184E-2"/>
          <c:y val="0.92215694595061837"/>
          <c:w val="0.96875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7323943661971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4929577464789E-2"/>
          <c:y val="0.14634168126798494"/>
          <c:w val="0.86619718309859151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(2)'!$H$21:$H$189</c:f>
              <c:numCache>
                <c:formatCode>General</c:formatCode>
                <c:ptCount val="169"/>
                <c:pt idx="5">
                  <c:v>1.4352860016515478E-3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D-48B8-A8E6-DE24D107A318}"/>
            </c:ext>
          </c:extLst>
        </c:ser>
        <c:ser>
          <c:idx val="1"/>
          <c:order val="1"/>
          <c:tx>
            <c:strRef>
              <c:f>'D (2)'!$I$20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(2)'!$I$21:$I$189</c:f>
              <c:numCache>
                <c:formatCode>General</c:formatCode>
                <c:ptCount val="169"/>
                <c:pt idx="32">
                  <c:v>-7.243920503242407E-3</c:v>
                </c:pt>
                <c:pt idx="33">
                  <c:v>-7.826705499610398E-3</c:v>
                </c:pt>
                <c:pt idx="35">
                  <c:v>-8.0788069972186349E-3</c:v>
                </c:pt>
                <c:pt idx="36">
                  <c:v>-1.7512377504317556E-2</c:v>
                </c:pt>
                <c:pt idx="37">
                  <c:v>-9.5123775026877411E-3</c:v>
                </c:pt>
                <c:pt idx="39">
                  <c:v>-1.4987521499278955E-2</c:v>
                </c:pt>
                <c:pt idx="40">
                  <c:v>-9.9875215018982999E-3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D-48B8-A8E6-DE24D107A318}"/>
            </c:ext>
          </c:extLst>
        </c:ser>
        <c:ser>
          <c:idx val="3"/>
          <c:order val="2"/>
          <c:tx>
            <c:strRef>
              <c:f>'D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6"/>
              </c:numLit>
            </c:plus>
            <c:minus>
              <c:numLit>
                <c:formatCode>General</c:formatCode>
                <c:ptCount val="36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(2)'!$J$21:$J$189</c:f>
              <c:numCache>
                <c:formatCode>General</c:formatCode>
                <c:ptCount val="169"/>
                <c:pt idx="7">
                  <c:v>-5.3199949616100639E-4</c:v>
                </c:pt>
                <c:pt idx="8">
                  <c:v>-1.3134149776306003E-4</c:v>
                </c:pt>
                <c:pt idx="9">
                  <c:v>8.0000000161817297E-4</c:v>
                </c:pt>
                <c:pt idx="10">
                  <c:v>1.8410100165056065E-4</c:v>
                </c:pt>
                <c:pt idx="11">
                  <c:v>-1.6127695053000934E-3</c:v>
                </c:pt>
                <c:pt idx="12">
                  <c:v>-1.1304409927106462E-3</c:v>
                </c:pt>
                <c:pt idx="14">
                  <c:v>-3.6223899951437488E-4</c:v>
                </c:pt>
                <c:pt idx="15">
                  <c:v>-1.3149984952178784E-3</c:v>
                </c:pt>
                <c:pt idx="16">
                  <c:v>-3.6775799526367337E-4</c:v>
                </c:pt>
                <c:pt idx="17">
                  <c:v>-7.3292500019306317E-4</c:v>
                </c:pt>
                <c:pt idx="18">
                  <c:v>-1.2015835018246435E-3</c:v>
                </c:pt>
                <c:pt idx="22">
                  <c:v>3.9870350155979395E-4</c:v>
                </c:pt>
                <c:pt idx="26">
                  <c:v>-1.3987348494993057E-2</c:v>
                </c:pt>
                <c:pt idx="27">
                  <c:v>-1.3740107999183238E-2</c:v>
                </c:pt>
                <c:pt idx="28">
                  <c:v>-1.46220335009275E-2</c:v>
                </c:pt>
                <c:pt idx="34">
                  <c:v>-1.7496022002887912E-2</c:v>
                </c:pt>
                <c:pt idx="41">
                  <c:v>-1.3609852496301755E-2</c:v>
                </c:pt>
                <c:pt idx="42">
                  <c:v>-1.340985250135418E-2</c:v>
                </c:pt>
                <c:pt idx="43">
                  <c:v>-1.693442500254605E-2</c:v>
                </c:pt>
                <c:pt idx="44">
                  <c:v>-1.9871338998200372E-2</c:v>
                </c:pt>
                <c:pt idx="46">
                  <c:v>-1.8391897494439036E-2</c:v>
                </c:pt>
                <c:pt idx="49">
                  <c:v>-1.7337982499157079E-2</c:v>
                </c:pt>
                <c:pt idx="50">
                  <c:v>-1.8190741997386795E-2</c:v>
                </c:pt>
                <c:pt idx="51">
                  <c:v>-1.8201779996161349E-2</c:v>
                </c:pt>
                <c:pt idx="52">
                  <c:v>-1.9007299000804778E-2</c:v>
                </c:pt>
                <c:pt idx="53">
                  <c:v>-1.9272009500127751E-2</c:v>
                </c:pt>
                <c:pt idx="54">
                  <c:v>-1.9195200002286583E-2</c:v>
                </c:pt>
                <c:pt idx="55">
                  <c:v>-1.959808700485155E-2</c:v>
                </c:pt>
                <c:pt idx="58">
                  <c:v>-2.1100838501297403E-2</c:v>
                </c:pt>
                <c:pt idx="60">
                  <c:v>-2.5773255998501554E-2</c:v>
                </c:pt>
                <c:pt idx="62">
                  <c:v>-2.7880560002813581E-2</c:v>
                </c:pt>
                <c:pt idx="63">
                  <c:v>-3.0199547501979396E-2</c:v>
                </c:pt>
                <c:pt idx="64">
                  <c:v>-2.8278585996304173E-2</c:v>
                </c:pt>
                <c:pt idx="66">
                  <c:v>-3.0480317502224352E-2</c:v>
                </c:pt>
                <c:pt idx="67">
                  <c:v>-2.9148975998396054E-2</c:v>
                </c:pt>
                <c:pt idx="69">
                  <c:v>-3.2089891501527745E-2</c:v>
                </c:pt>
                <c:pt idx="70">
                  <c:v>-3.1288374004361685E-2</c:v>
                </c:pt>
                <c:pt idx="71">
                  <c:v>-3.5788588000286836E-2</c:v>
                </c:pt>
                <c:pt idx="72">
                  <c:v>-3.7576032496872358E-2</c:v>
                </c:pt>
                <c:pt idx="73">
                  <c:v>-3.594448950025253E-2</c:v>
                </c:pt>
                <c:pt idx="74">
                  <c:v>-3.5795932999462821E-2</c:v>
                </c:pt>
                <c:pt idx="75">
                  <c:v>-3.640707799786469E-2</c:v>
                </c:pt>
                <c:pt idx="76">
                  <c:v>-3.9129664000938646E-2</c:v>
                </c:pt>
                <c:pt idx="77">
                  <c:v>-3.8934981501370203E-2</c:v>
                </c:pt>
                <c:pt idx="78">
                  <c:v>-3.9444703499611933E-2</c:v>
                </c:pt>
                <c:pt idx="79">
                  <c:v>-3.9097463006328326E-2</c:v>
                </c:pt>
                <c:pt idx="80">
                  <c:v>-3.9950222504558042E-2</c:v>
                </c:pt>
                <c:pt idx="81">
                  <c:v>-4.0261260503029916E-2</c:v>
                </c:pt>
                <c:pt idx="82">
                  <c:v>-4.3412408005679026E-2</c:v>
                </c:pt>
                <c:pt idx="83">
                  <c:v>-4.3114180502016097E-2</c:v>
                </c:pt>
                <c:pt idx="84">
                  <c:v>-4.3949523496848997E-2</c:v>
                </c:pt>
                <c:pt idx="85">
                  <c:v>-4.1540056503436062E-2</c:v>
                </c:pt>
                <c:pt idx="87">
                  <c:v>-4.5169678996899165E-2</c:v>
                </c:pt>
                <c:pt idx="88">
                  <c:v>-4.3220464496698696E-2</c:v>
                </c:pt>
                <c:pt idx="89">
                  <c:v>-4.4137021497590467E-2</c:v>
                </c:pt>
                <c:pt idx="90">
                  <c:v>-4.7523150002234615E-2</c:v>
                </c:pt>
                <c:pt idx="91">
                  <c:v>-4.9493942999106366E-2</c:v>
                </c:pt>
                <c:pt idx="94">
                  <c:v>-5.0893136998638511E-2</c:v>
                </c:pt>
                <c:pt idx="102">
                  <c:v>-5.1502616501238663E-2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5D-48B8-A8E6-DE24D107A318}"/>
            </c:ext>
          </c:extLst>
        </c:ser>
        <c:ser>
          <c:idx val="4"/>
          <c:order val="3"/>
          <c:tx>
            <c:strRef>
              <c:f>'D (2)'!$K$20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(2)'!$K$21:$K$189</c:f>
              <c:numCache>
                <c:formatCode>General</c:formatCode>
                <c:ptCount val="169"/>
                <c:pt idx="4">
                  <c:v>9.8804549634223804E-4</c:v>
                </c:pt>
                <c:pt idx="6">
                  <c:v>2.0352860010461882E-3</c:v>
                </c:pt>
                <c:pt idx="29">
                  <c:v>-1.314102100150194E-2</c:v>
                </c:pt>
                <c:pt idx="45">
                  <c:v>-2.023361915780697E-2</c:v>
                </c:pt>
                <c:pt idx="47">
                  <c:v>-2.0166732792858966E-2</c:v>
                </c:pt>
                <c:pt idx="48">
                  <c:v>-1.9583290079026483E-2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5D-48B8-A8E6-DE24D107A318}"/>
            </c:ext>
          </c:extLst>
        </c:ser>
        <c:ser>
          <c:idx val="2"/>
          <c:order val="4"/>
          <c:tx>
            <c:strRef>
              <c:f>'D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(2)'!$L$21:$L$189</c:f>
              <c:numCache>
                <c:formatCode>General</c:formatCode>
                <c:ptCount val="169"/>
                <c:pt idx="56">
                  <c:v>-1.9392216068808921E-2</c:v>
                </c:pt>
                <c:pt idx="57">
                  <c:v>-2.1169061001273803E-2</c:v>
                </c:pt>
                <c:pt idx="61">
                  <c:v>-2.7368609000404831E-2</c:v>
                </c:pt>
                <c:pt idx="68">
                  <c:v>-3.2097623916342854E-2</c:v>
                </c:pt>
                <c:pt idx="86">
                  <c:v>-4.3671854502463248E-2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5D-48B8-A8E6-DE24D107A318}"/>
            </c:ext>
          </c:extLst>
        </c:ser>
        <c:ser>
          <c:idx val="5"/>
          <c:order val="5"/>
          <c:tx>
            <c:strRef>
              <c:f>'D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(2)'!$M$21:$M$189</c:f>
              <c:numCache>
                <c:formatCode>General</c:formatCode>
                <c:ptCount val="169"/>
                <c:pt idx="92">
                  <c:v>-4.8917082502157427E-2</c:v>
                </c:pt>
                <c:pt idx="93">
                  <c:v>-4.8707082503824495E-2</c:v>
                </c:pt>
                <c:pt idx="95">
                  <c:v>-5.0350808502116706E-2</c:v>
                </c:pt>
                <c:pt idx="96">
                  <c:v>-4.9850808500195853E-2</c:v>
                </c:pt>
                <c:pt idx="97">
                  <c:v>-4.9350808498275001E-2</c:v>
                </c:pt>
                <c:pt idx="98">
                  <c:v>-5.1907821994973347E-2</c:v>
                </c:pt>
                <c:pt idx="99">
                  <c:v>-5.1207821998104919E-2</c:v>
                </c:pt>
                <c:pt idx="100">
                  <c:v>-5.1007821995881386E-2</c:v>
                </c:pt>
                <c:pt idx="101">
                  <c:v>-5.162706950068241E-2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5D-48B8-A8E6-DE24D107A318}"/>
            </c:ext>
          </c:extLst>
        </c:ser>
        <c:ser>
          <c:idx val="6"/>
          <c:order val="6"/>
          <c:tx>
            <c:strRef>
              <c:f>'D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5"/>
              </c:numLit>
            </c:plus>
            <c:minus>
              <c:numLit>
                <c:formatCode>General</c:formatCode>
                <c:ptCount val="85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(2)'!$N$21:$N$189</c:f>
              <c:numCache>
                <c:formatCode>General</c:formatCode>
                <c:ptCount val="169"/>
                <c:pt idx="0">
                  <c:v>3.9204699714900926E-4</c:v>
                </c:pt>
                <c:pt idx="1">
                  <c:v>1.3928749831393361E-4</c:v>
                </c:pt>
                <c:pt idx="2">
                  <c:v>8.3771649951813743E-4</c:v>
                </c:pt>
                <c:pt idx="3">
                  <c:v>1.4046024953131564E-3</c:v>
                </c:pt>
                <c:pt idx="13">
                  <c:v>-5.6907399994088337E-4</c:v>
                </c:pt>
                <c:pt idx="19">
                  <c:v>-5.936465022386983E-4</c:v>
                </c:pt>
                <c:pt idx="20">
                  <c:v>-5.0954550533788279E-4</c:v>
                </c:pt>
                <c:pt idx="21">
                  <c:v>-4.9561280029593036E-3</c:v>
                </c:pt>
                <c:pt idx="23">
                  <c:v>-6.0686854994855821E-3</c:v>
                </c:pt>
                <c:pt idx="24">
                  <c:v>-5.3680275013903156E-3</c:v>
                </c:pt>
                <c:pt idx="25">
                  <c:v>-1.0636028004228137E-2</c:v>
                </c:pt>
                <c:pt idx="30">
                  <c:v>-1.1408725498768035E-2</c:v>
                </c:pt>
                <c:pt idx="31">
                  <c:v>-1.2612323997018393E-2</c:v>
                </c:pt>
                <c:pt idx="38">
                  <c:v>-6.6620485013118014E-3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5D-48B8-A8E6-DE24D107A318}"/>
            </c:ext>
          </c:extLst>
        </c:ser>
        <c:ser>
          <c:idx val="7"/>
          <c:order val="7"/>
          <c:tx>
            <c:strRef>
              <c:f>'D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 (2)'!$F$21:$F$189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(2)'!$O$21:$O$189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5D-48B8-A8E6-DE24D107A318}"/>
            </c:ext>
          </c:extLst>
        </c:ser>
        <c:ser>
          <c:idx val="8"/>
          <c:order val="8"/>
          <c:tx>
            <c:strRef>
              <c:f>'D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'D (2)'!$V$2:$V$17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</c:numCache>
            </c:numRef>
          </c:xVal>
          <c:yVal>
            <c:numRef>
              <c:f>'D (2)'!$W$2:$W$17</c:f>
              <c:numCache>
                <c:formatCode>General</c:formatCode>
                <c:ptCount val="16"/>
                <c:pt idx="0">
                  <c:v>-4.1343482924730973E-3</c:v>
                </c:pt>
                <c:pt idx="1">
                  <c:v>-4.6885510362211745E-3</c:v>
                </c:pt>
                <c:pt idx="2">
                  <c:v>-3.7830008475727983E-3</c:v>
                </c:pt>
                <c:pt idx="3">
                  <c:v>-1.6996354793858391E-3</c:v>
                </c:pt>
                <c:pt idx="4">
                  <c:v>9.1290145073386845E-4</c:v>
                </c:pt>
                <c:pt idx="5">
                  <c:v>3.2412118555576459E-3</c:v>
                </c:pt>
                <c:pt idx="6">
                  <c:v>4.5603899134971839E-3</c:v>
                </c:pt>
                <c:pt idx="7">
                  <c:v>4.4597172547291347E-3</c:v>
                </c:pt>
                <c:pt idx="8">
                  <c:v>2.9705377225248009E-3</c:v>
                </c:pt>
                <c:pt idx="9">
                  <c:v>5.5649865104056315E-4</c:v>
                </c:pt>
                <c:pt idx="10">
                  <c:v>-2.0308030193693103E-3</c:v>
                </c:pt>
                <c:pt idx="11">
                  <c:v>-3.985826051935204E-3</c:v>
                </c:pt>
                <c:pt idx="12">
                  <c:v>-4.6998854643153553E-3</c:v>
                </c:pt>
                <c:pt idx="13">
                  <c:v>-3.9506630364297178E-3</c:v>
                </c:pt>
                <c:pt idx="14">
                  <c:v>-1.9714247874970409E-3</c:v>
                </c:pt>
                <c:pt idx="15">
                  <c:v>6.2160503420846788E-4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5D-48B8-A8E6-DE24D107A318}"/>
            </c:ext>
          </c:extLst>
        </c:ser>
        <c:ser>
          <c:idx val="9"/>
          <c:order val="9"/>
          <c:tx>
            <c:strRef>
              <c:f>'D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'D (2)'!$F$21:$F$626</c:f>
              <c:numCache>
                <c:formatCode>General</c:formatCode>
                <c:ptCount val="606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</c:numCache>
            </c:numRef>
          </c:xVal>
          <c:yVal>
            <c:numRef>
              <c:f>'D (2)'!$R$21:$R$626</c:f>
              <c:numCache>
                <c:formatCode>General</c:formatCode>
                <c:ptCount val="606"/>
                <c:pt idx="59">
                  <c:v>-3.4589558003062848E-2</c:v>
                </c:pt>
                <c:pt idx="65">
                  <c:v>-2.1481575022335164E-3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5D-48B8-A8E6-DE24D107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94456"/>
        <c:axId val="1"/>
      </c:scatterChart>
      <c:valAx>
        <c:axId val="716394456"/>
        <c:scaling>
          <c:orientation val="minMax"/>
          <c:max val="3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422535211267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6760563380281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9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5492957746475E-2"/>
          <c:y val="0.92073298764483702"/>
          <c:w val="0.994366197183098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Cam - O-C Diagr.</a:t>
            </a:r>
          </a:p>
        </c:rich>
      </c:tx>
      <c:layout>
        <c:manualLayout>
          <c:xMode val="edge"/>
          <c:yMode val="edge"/>
          <c:x val="0.3887323943661971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4929577464789E-2"/>
          <c:y val="0.14634168126798494"/>
          <c:w val="0.86619718309859151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 (3)'!$H$20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(3)'!$H$21:$H$189</c:f>
              <c:numCache>
                <c:formatCode>General</c:formatCode>
                <c:ptCount val="169"/>
                <c:pt idx="0">
                  <c:v>-5.7345500026713125E-3</c:v>
                </c:pt>
                <c:pt idx="3">
                  <c:v>-4.6216250048018992E-3</c:v>
                </c:pt>
                <c:pt idx="4">
                  <c:v>-5.0355749990558252E-3</c:v>
                </c:pt>
                <c:pt idx="6">
                  <c:v>-3.9878999959910288E-3</c:v>
                </c:pt>
                <c:pt idx="7">
                  <c:v>-3.4663249971345067E-3</c:v>
                </c:pt>
                <c:pt idx="8">
                  <c:v>-3.0500249995384365E-3</c:v>
                </c:pt>
                <c:pt idx="9">
                  <c:v>-2.0999999978812411E-3</c:v>
                </c:pt>
                <c:pt idx="10">
                  <c:v>-2.6976499939337373E-3</c:v>
                </c:pt>
                <c:pt idx="11">
                  <c:v>-3.8258249987848103E-3</c:v>
                </c:pt>
                <c:pt idx="12">
                  <c:v>-3.3013499923981726E-3</c:v>
                </c:pt>
                <c:pt idx="13">
                  <c:v>-2.7339000007486902E-3</c:v>
                </c:pt>
                <c:pt idx="14">
                  <c:v>-2.4966499986476265E-3</c:v>
                </c:pt>
                <c:pt idx="15">
                  <c:v>-3.4489749959902838E-3</c:v>
                </c:pt>
                <c:pt idx="16">
                  <c:v>-2.5012999976752326E-3</c:v>
                </c:pt>
                <c:pt idx="17">
                  <c:v>-2.6987499950337224E-3</c:v>
                </c:pt>
                <c:pt idx="18">
                  <c:v>-3.1487250016652979E-3</c:v>
                </c:pt>
                <c:pt idx="19">
                  <c:v>-1.691775003564544E-3</c:v>
                </c:pt>
                <c:pt idx="20">
                  <c:v>-1.5894250027486123E-3</c:v>
                </c:pt>
                <c:pt idx="22">
                  <c:v>3.0807250004727393E-3</c:v>
                </c:pt>
                <c:pt idx="23">
                  <c:v>3.3315750042675063E-3</c:v>
                </c:pt>
                <c:pt idx="24">
                  <c:v>4.0478750015608966E-3</c:v>
                </c:pt>
                <c:pt idx="25">
                  <c:v>-1.185799999802839E-3</c:v>
                </c:pt>
                <c:pt idx="26">
                  <c:v>-2.5214749985025264E-3</c:v>
                </c:pt>
                <c:pt idx="27">
                  <c:v>-2.2738000043318607E-3</c:v>
                </c:pt>
                <c:pt idx="28">
                  <c:v>-3.0562250030925497E-3</c:v>
                </c:pt>
                <c:pt idx="29">
                  <c:v>-1.564350000990089E-3</c:v>
                </c:pt>
                <c:pt idx="34">
                  <c:v>-4.9817000035545789E-3</c:v>
                </c:pt>
                <c:pt idx="41">
                  <c:v>-5.6587499420857057E-4</c:v>
                </c:pt>
                <c:pt idx="47">
                  <c:v>-5.7675497955642641E-3</c:v>
                </c:pt>
                <c:pt idx="48">
                  <c:v>-5.1815000842907466E-3</c:v>
                </c:pt>
                <c:pt idx="54">
                  <c:v>-4.0200000003096648E-3</c:v>
                </c:pt>
                <c:pt idx="56">
                  <c:v>-4.153579066041857E-3</c:v>
                </c:pt>
                <c:pt idx="57">
                  <c:v>-5.1083500002278015E-3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A-4FAE-89D7-5598B7DC113B}"/>
            </c:ext>
          </c:extLst>
        </c:ser>
        <c:ser>
          <c:idx val="1"/>
          <c:order val="1"/>
          <c:tx>
            <c:strRef>
              <c:f>'D (3)'!$I$20</c:f>
              <c:strCache>
                <c:ptCount val="1"/>
                <c:pt idx="0">
                  <c:v>not 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(3)'!$I$21:$I$189</c:f>
              <c:numCache>
                <c:formatCode>General</c:formatCode>
                <c:ptCount val="169"/>
                <c:pt idx="1">
                  <c:v>-5.986875003145542E-3</c:v>
                </c:pt>
                <c:pt idx="2">
                  <c:v>-5.1937249954789877E-3</c:v>
                </c:pt>
                <c:pt idx="5">
                  <c:v>-4.5878999953856692E-3</c:v>
                </c:pt>
                <c:pt idx="21">
                  <c:v>-6.0207999995327555E-3</c:v>
                </c:pt>
                <c:pt idx="30">
                  <c:v>7.3757499922066927E-4</c:v>
                </c:pt>
                <c:pt idx="31">
                  <c:v>-2.2139999782666564E-4</c:v>
                </c:pt>
                <c:pt idx="32">
                  <c:v>5.2543249985319562E-3</c:v>
                </c:pt>
                <c:pt idx="33">
                  <c:v>4.6845750039210543E-3</c:v>
                </c:pt>
                <c:pt idx="35">
                  <c:v>4.4485500038717873E-3</c:v>
                </c:pt>
                <c:pt idx="36">
                  <c:v>-4.9246250055148266E-3</c:v>
                </c:pt>
                <c:pt idx="37">
                  <c:v>3.0753749961149879E-3</c:v>
                </c:pt>
                <c:pt idx="38">
                  <c:v>5.9335250043659471E-3</c:v>
                </c:pt>
                <c:pt idx="39">
                  <c:v>-2.0730249962070957E-3</c:v>
                </c:pt>
                <c:pt idx="40">
                  <c:v>2.9269750011735596E-3</c:v>
                </c:pt>
                <c:pt idx="42">
                  <c:v>-3.6587499926099554E-4</c:v>
                </c:pt>
                <c:pt idx="43">
                  <c:v>-2.8237500009709038E-3</c:v>
                </c:pt>
                <c:pt idx="44">
                  <c:v>-5.5816499952925369E-3</c:v>
                </c:pt>
                <c:pt idx="45">
                  <c:v>-5.8396501626702957E-3</c:v>
                </c:pt>
                <c:pt idx="46">
                  <c:v>-3.996624996943865E-3</c:v>
                </c:pt>
                <c:pt idx="49">
                  <c:v>-2.3213750027935021E-3</c:v>
                </c:pt>
                <c:pt idx="50">
                  <c:v>-3.1737000026623718E-3</c:v>
                </c:pt>
                <c:pt idx="51">
                  <c:v>-3.183000000717584E-3</c:v>
                </c:pt>
                <c:pt idx="52">
                  <c:v>-3.9876500013633631E-3</c:v>
                </c:pt>
                <c:pt idx="53">
                  <c:v>-4.1398250032216311E-3</c:v>
                </c:pt>
                <c:pt idx="55">
                  <c:v>-4.3594500020844862E-3</c:v>
                </c:pt>
                <c:pt idx="58">
                  <c:v>-4.672974995628465E-3</c:v>
                </c:pt>
                <c:pt idx="60">
                  <c:v>-8.4916000050725415E-3</c:v>
                </c:pt>
                <c:pt idx="61">
                  <c:v>-9.3161499971756712E-3</c:v>
                </c:pt>
                <c:pt idx="62">
                  <c:v>-9.7160000004805624E-3</c:v>
                </c:pt>
                <c:pt idx="63">
                  <c:v>-1.2024124996969476E-2</c:v>
                </c:pt>
                <c:pt idx="64">
                  <c:v>-1.0067099996376783E-2</c:v>
                </c:pt>
                <c:pt idx="66">
                  <c:v>-1.1583625004277565E-2</c:v>
                </c:pt>
                <c:pt idx="67">
                  <c:v>-1.0233599998173304E-2</c:v>
                </c:pt>
                <c:pt idx="68">
                  <c:v>-1.2900257417641114E-2</c:v>
                </c:pt>
                <c:pt idx="69">
                  <c:v>-1.2892525002826005E-2</c:v>
                </c:pt>
                <c:pt idx="70">
                  <c:v>-1.1988899997959379E-2</c:v>
                </c:pt>
                <c:pt idx="71">
                  <c:v>-1.5701800002716482E-2</c:v>
                </c:pt>
                <c:pt idx="72">
                  <c:v>-1.7388874999596737E-2</c:v>
                </c:pt>
                <c:pt idx="73">
                  <c:v>-1.5667825005948544E-2</c:v>
                </c:pt>
                <c:pt idx="74">
                  <c:v>-1.5487550001125783E-2</c:v>
                </c:pt>
                <c:pt idx="75">
                  <c:v>-1.5703299999586307E-2</c:v>
                </c:pt>
                <c:pt idx="76">
                  <c:v>-1.817039999878034E-2</c:v>
                </c:pt>
                <c:pt idx="77">
                  <c:v>-1.7904025000461843E-2</c:v>
                </c:pt>
                <c:pt idx="78">
                  <c:v>-1.8380724992312025E-2</c:v>
                </c:pt>
                <c:pt idx="79">
                  <c:v>-1.803305000794353E-2</c:v>
                </c:pt>
                <c:pt idx="80">
                  <c:v>-1.8885375000536442E-2</c:v>
                </c:pt>
                <c:pt idx="81">
                  <c:v>-1.9194674998288974E-2</c:v>
                </c:pt>
                <c:pt idx="82">
                  <c:v>-2.1778800000902265E-2</c:v>
                </c:pt>
                <c:pt idx="83">
                  <c:v>-2.1456675000081304E-2</c:v>
                </c:pt>
                <c:pt idx="84">
                  <c:v>-2.2207725000043865E-2</c:v>
                </c:pt>
                <c:pt idx="85">
                  <c:v>-1.9705275000887923E-2</c:v>
                </c:pt>
                <c:pt idx="86">
                  <c:v>-2.1800574999360833E-2</c:v>
                </c:pt>
                <c:pt idx="87">
                  <c:v>-2.3180650001449976E-2</c:v>
                </c:pt>
                <c:pt idx="88">
                  <c:v>-2.1184074998018332E-2</c:v>
                </c:pt>
                <c:pt idx="89">
                  <c:v>-2.2098025001469068E-2</c:v>
                </c:pt>
                <c:pt idx="90">
                  <c:v>-2.5352500000735745E-2</c:v>
                </c:pt>
                <c:pt idx="91">
                  <c:v>-2.67610499940929E-2</c:v>
                </c:pt>
                <c:pt idx="92">
                  <c:v>-2.6166374998865649E-2</c:v>
                </c:pt>
                <c:pt idx="93">
                  <c:v>-2.5956375000532717E-2</c:v>
                </c:pt>
                <c:pt idx="94">
                  <c:v>-2.7876950000063516E-2</c:v>
                </c:pt>
                <c:pt idx="95">
                  <c:v>-2.7292475002468564E-2</c:v>
                </c:pt>
                <c:pt idx="96">
                  <c:v>-2.6792475000547711E-2</c:v>
                </c:pt>
                <c:pt idx="97">
                  <c:v>-2.6292474998626858E-2</c:v>
                </c:pt>
                <c:pt idx="98">
                  <c:v>-2.8791699995053932E-2</c:v>
                </c:pt>
                <c:pt idx="99">
                  <c:v>-2.8091699998185504E-2</c:v>
                </c:pt>
                <c:pt idx="100">
                  <c:v>-2.7891699995961972E-2</c:v>
                </c:pt>
                <c:pt idx="101">
                  <c:v>-2.8030825000314508E-2</c:v>
                </c:pt>
                <c:pt idx="102">
                  <c:v>-2.7721275000658352E-2</c:v>
                </c:pt>
                <c:pt idx="103">
                  <c:v>-3.5238625001511537E-2</c:v>
                </c:pt>
                <c:pt idx="104">
                  <c:v>-3.2193450002523605E-2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A-4FAE-89D7-5598B7DC113B}"/>
            </c:ext>
          </c:extLst>
        </c:ser>
        <c:ser>
          <c:idx val="7"/>
          <c:order val="2"/>
          <c:tx>
            <c:strRef>
              <c:f>'D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(3)'!$P$21:$P$189</c:f>
              <c:numCache>
                <c:formatCode>General</c:formatCode>
                <c:ptCount val="169"/>
                <c:pt idx="26">
                  <c:v>-1.9157736698917002E-3</c:v>
                </c:pt>
                <c:pt idx="27">
                  <c:v>-1.9157016638594593E-3</c:v>
                </c:pt>
                <c:pt idx="28">
                  <c:v>-1.9012071181212717E-3</c:v>
                </c:pt>
                <c:pt idx="29">
                  <c:v>-1.8998652454870965E-3</c:v>
                </c:pt>
                <c:pt idx="30">
                  <c:v>-1.8958340053037703E-3</c:v>
                </c:pt>
                <c:pt idx="31">
                  <c:v>-1.9340624766188419E-3</c:v>
                </c:pt>
                <c:pt idx="32">
                  <c:v>-1.9584116120249309E-3</c:v>
                </c:pt>
                <c:pt idx="33">
                  <c:v>-1.9616837317357819E-3</c:v>
                </c:pt>
                <c:pt idx="34">
                  <c:v>-1.9624570357603191E-3</c:v>
                </c:pt>
                <c:pt idx="35">
                  <c:v>-1.9658132362597724E-3</c:v>
                </c:pt>
                <c:pt idx="36">
                  <c:v>-1.9822533354227137E-3</c:v>
                </c:pt>
                <c:pt idx="37">
                  <c:v>-1.9822533354227137E-3</c:v>
                </c:pt>
                <c:pt idx="38">
                  <c:v>-1.9844893016986651E-3</c:v>
                </c:pt>
                <c:pt idx="39">
                  <c:v>-2.0965724001001801E-3</c:v>
                </c:pt>
                <c:pt idx="40">
                  <c:v>-2.0965724001001801E-3</c:v>
                </c:pt>
                <c:pt idx="41">
                  <c:v>-2.1537252161612508E-3</c:v>
                </c:pt>
                <c:pt idx="42">
                  <c:v>-2.1537252161612508E-3</c:v>
                </c:pt>
                <c:pt idx="43">
                  <c:v>-2.8805420235929469E-3</c:v>
                </c:pt>
                <c:pt idx="44">
                  <c:v>-3.0472541736189171E-3</c:v>
                </c:pt>
                <c:pt idx="45">
                  <c:v>-3.1502946067882912E-3</c:v>
                </c:pt>
                <c:pt idx="46">
                  <c:v>-3.1516102225159146E-3</c:v>
                </c:pt>
                <c:pt idx="47">
                  <c:v>-3.1555611601155262E-3</c:v>
                </c:pt>
                <c:pt idx="48">
                  <c:v>-3.1581985271958921E-3</c:v>
                </c:pt>
                <c:pt idx="49">
                  <c:v>-3.8563318775232946E-3</c:v>
                </c:pt>
                <c:pt idx="50">
                  <c:v>-3.8568788878912685E-3</c:v>
                </c:pt>
                <c:pt idx="51">
                  <c:v>-3.8590676868478085E-3</c:v>
                </c:pt>
                <c:pt idx="52">
                  <c:v>-3.8601625408168222E-3</c:v>
                </c:pt>
                <c:pt idx="53">
                  <c:v>-4.0045063898159067E-3</c:v>
                </c:pt>
                <c:pt idx="54">
                  <c:v>-4.0610226319147541E-3</c:v>
                </c:pt>
                <c:pt idx="55">
                  <c:v>-4.1457245784067426E-3</c:v>
                </c:pt>
                <c:pt idx="56">
                  <c:v>-4.1457245784067426E-3</c:v>
                </c:pt>
                <c:pt idx="57">
                  <c:v>-5.3894080693395879E-3</c:v>
                </c:pt>
                <c:pt idx="58">
                  <c:v>-6.032452868515642E-3</c:v>
                </c:pt>
                <c:pt idx="59">
                  <c:v>-7.4725152478099521E-3</c:v>
                </c:pt>
                <c:pt idx="60">
                  <c:v>-7.7369456385603386E-3</c:v>
                </c:pt>
                <c:pt idx="61">
                  <c:v>-9.5269792078124249E-3</c:v>
                </c:pt>
                <c:pt idx="62">
                  <c:v>-9.807166826527533E-3</c:v>
                </c:pt>
                <c:pt idx="63">
                  <c:v>-9.8345847497521427E-3</c:v>
                </c:pt>
                <c:pt idx="64">
                  <c:v>-9.9259517594473406E-3</c:v>
                </c:pt>
                <c:pt idx="65">
                  <c:v>-1.0257166026622785E-2</c:v>
                </c:pt>
                <c:pt idx="66">
                  <c:v>-1.1761072858050212E-2</c:v>
                </c:pt>
                <c:pt idx="67">
                  <c:v>-1.18137493551871E-2</c:v>
                </c:pt>
                <c:pt idx="68">
                  <c:v>-1.2625806570787032E-2</c:v>
                </c:pt>
                <c:pt idx="69">
                  <c:v>-1.2625806570787032E-2</c:v>
                </c:pt>
                <c:pt idx="70">
                  <c:v>-1.2927716852299764E-2</c:v>
                </c:pt>
                <c:pt idx="71">
                  <c:v>-1.5396119558518037E-2</c:v>
                </c:pt>
                <c:pt idx="72">
                  <c:v>-1.5728674134523071E-2</c:v>
                </c:pt>
                <c:pt idx="73">
                  <c:v>-1.6028647469400262E-2</c:v>
                </c:pt>
                <c:pt idx="74">
                  <c:v>-1.6135720084144684E-2</c:v>
                </c:pt>
                <c:pt idx="75">
                  <c:v>-1.7504340532228893E-2</c:v>
                </c:pt>
                <c:pt idx="76">
                  <c:v>-1.8422040428646452E-2</c:v>
                </c:pt>
                <c:pt idx="77">
                  <c:v>-1.868426394031597E-2</c:v>
                </c:pt>
                <c:pt idx="78">
                  <c:v>-1.8805739383404352E-2</c:v>
                </c:pt>
                <c:pt idx="79">
                  <c:v>-1.8807340660813271E-2</c:v>
                </c:pt>
                <c:pt idx="80">
                  <c:v>-1.8808942013970653E-2</c:v>
                </c:pt>
                <c:pt idx="81">
                  <c:v>-1.8815348184084674E-2</c:v>
                </c:pt>
                <c:pt idx="82">
                  <c:v>-2.0970059646262598E-2</c:v>
                </c:pt>
                <c:pt idx="83">
                  <c:v>-2.1063704232789873E-2</c:v>
                </c:pt>
                <c:pt idx="84">
                  <c:v>-2.1395843781414611E-2</c:v>
                </c:pt>
                <c:pt idx="85">
                  <c:v>-2.1765531395309415E-2</c:v>
                </c:pt>
                <c:pt idx="86">
                  <c:v>-2.1911590489026786E-2</c:v>
                </c:pt>
                <c:pt idx="87">
                  <c:v>-2.2386448636348213E-2</c:v>
                </c:pt>
                <c:pt idx="88">
                  <c:v>-2.2579011992297282E-2</c:v>
                </c:pt>
                <c:pt idx="89">
                  <c:v>-2.2589637943274038E-2</c:v>
                </c:pt>
                <c:pt idx="90">
                  <c:v>-2.3129794518046143E-2</c:v>
                </c:pt>
                <c:pt idx="91">
                  <c:v>-2.5514869580515187E-2</c:v>
                </c:pt>
                <c:pt idx="92">
                  <c:v>-2.5592513010958468E-2</c:v>
                </c:pt>
                <c:pt idx="93">
                  <c:v>-2.5592513010958468E-2</c:v>
                </c:pt>
                <c:pt idx="94">
                  <c:v>-2.6764677531174591E-2</c:v>
                </c:pt>
                <c:pt idx="95">
                  <c:v>-2.6953366893451569E-2</c:v>
                </c:pt>
                <c:pt idx="96">
                  <c:v>-2.6953366893451569E-2</c:v>
                </c:pt>
                <c:pt idx="97">
                  <c:v>-2.6953366893451569E-2</c:v>
                </c:pt>
                <c:pt idx="98">
                  <c:v>-2.7213243870066212E-2</c:v>
                </c:pt>
                <c:pt idx="99">
                  <c:v>-2.7213243870066212E-2</c:v>
                </c:pt>
                <c:pt idx="100">
                  <c:v>-2.7213243870066212E-2</c:v>
                </c:pt>
                <c:pt idx="101">
                  <c:v>-2.9424183701072387E-2</c:v>
                </c:pt>
                <c:pt idx="102">
                  <c:v>-3.0301247824519317E-2</c:v>
                </c:pt>
                <c:pt idx="103">
                  <c:v>-3.495541285211981E-2</c:v>
                </c:pt>
                <c:pt idx="104">
                  <c:v>-3.4289506612177584E-2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AA-4FAE-89D7-5598B7DC113B}"/>
            </c:ext>
          </c:extLst>
        </c:ser>
        <c:ser>
          <c:idx val="8"/>
          <c:order val="3"/>
          <c:tx>
            <c:strRef>
              <c:f>'D (3)'!$W$1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 (3)'!$V$2:$V$17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</c:numCache>
            </c:numRef>
          </c:xVal>
          <c:yVal>
            <c:numRef>
              <c:f>'D (3)'!$W$2:$W$17</c:f>
              <c:numCache>
                <c:formatCode>General</c:formatCode>
                <c:ptCount val="16"/>
                <c:pt idx="0">
                  <c:v>-4.1343482924730973E-3</c:v>
                </c:pt>
                <c:pt idx="1">
                  <c:v>-4.6885510362211745E-3</c:v>
                </c:pt>
                <c:pt idx="2">
                  <c:v>-3.7830008475727983E-3</c:v>
                </c:pt>
                <c:pt idx="3">
                  <c:v>-1.6996354793858391E-3</c:v>
                </c:pt>
                <c:pt idx="4">
                  <c:v>9.1290145073386845E-4</c:v>
                </c:pt>
                <c:pt idx="5">
                  <c:v>3.2412118555576459E-3</c:v>
                </c:pt>
                <c:pt idx="6">
                  <c:v>4.5603899134971839E-3</c:v>
                </c:pt>
                <c:pt idx="7">
                  <c:v>4.4597172547291347E-3</c:v>
                </c:pt>
                <c:pt idx="8">
                  <c:v>2.9705377225248009E-3</c:v>
                </c:pt>
                <c:pt idx="9">
                  <c:v>5.5649865104056315E-4</c:v>
                </c:pt>
                <c:pt idx="10">
                  <c:v>-2.0308030193693103E-3</c:v>
                </c:pt>
                <c:pt idx="11">
                  <c:v>-3.985826051935204E-3</c:v>
                </c:pt>
                <c:pt idx="12">
                  <c:v>-4.6998854643153553E-3</c:v>
                </c:pt>
                <c:pt idx="13">
                  <c:v>-3.9506630364297178E-3</c:v>
                </c:pt>
                <c:pt idx="14">
                  <c:v>-1.9714247874970409E-3</c:v>
                </c:pt>
                <c:pt idx="15">
                  <c:v>6.2160503420846788E-4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AA-4FAE-89D7-5598B7DC1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92160"/>
        <c:axId val="1"/>
      </c:scatterChart>
      <c:valAx>
        <c:axId val="716392160"/>
        <c:scaling>
          <c:orientation val="minMax"/>
          <c:max val="3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422535211267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6760563380281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9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5492957746475E-2"/>
          <c:y val="0.92073298764483702"/>
          <c:w val="0.994366197183098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11.  AO Cam - [45745.6423, 0.32990465]</a:t>
            </a:r>
          </a:p>
        </c:rich>
      </c:tx>
      <c:layout>
        <c:manualLayout>
          <c:xMode val="edge"/>
          <c:yMode val="edge"/>
          <c:x val="0.14623678491801428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2819184348085"/>
          <c:y val="0.15384670417920165"/>
          <c:w val="0.83225981237359792"/>
          <c:h val="0.69231016880640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 (3)'!$H$20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(3)'!$H$21:$H$189</c:f>
              <c:numCache>
                <c:formatCode>General</c:formatCode>
                <c:ptCount val="169"/>
                <c:pt idx="0">
                  <c:v>-5.7345500026713125E-3</c:v>
                </c:pt>
                <c:pt idx="3">
                  <c:v>-4.6216250048018992E-3</c:v>
                </c:pt>
                <c:pt idx="4">
                  <c:v>-5.0355749990558252E-3</c:v>
                </c:pt>
                <c:pt idx="6">
                  <c:v>-3.9878999959910288E-3</c:v>
                </c:pt>
                <c:pt idx="7">
                  <c:v>-3.4663249971345067E-3</c:v>
                </c:pt>
                <c:pt idx="8">
                  <c:v>-3.0500249995384365E-3</c:v>
                </c:pt>
                <c:pt idx="9">
                  <c:v>-2.0999999978812411E-3</c:v>
                </c:pt>
                <c:pt idx="10">
                  <c:v>-2.6976499939337373E-3</c:v>
                </c:pt>
                <c:pt idx="11">
                  <c:v>-3.8258249987848103E-3</c:v>
                </c:pt>
                <c:pt idx="12">
                  <c:v>-3.3013499923981726E-3</c:v>
                </c:pt>
                <c:pt idx="13">
                  <c:v>-2.7339000007486902E-3</c:v>
                </c:pt>
                <c:pt idx="14">
                  <c:v>-2.4966499986476265E-3</c:v>
                </c:pt>
                <c:pt idx="15">
                  <c:v>-3.4489749959902838E-3</c:v>
                </c:pt>
                <c:pt idx="16">
                  <c:v>-2.5012999976752326E-3</c:v>
                </c:pt>
                <c:pt idx="17">
                  <c:v>-2.6987499950337224E-3</c:v>
                </c:pt>
                <c:pt idx="18">
                  <c:v>-3.1487250016652979E-3</c:v>
                </c:pt>
                <c:pt idx="19">
                  <c:v>-1.691775003564544E-3</c:v>
                </c:pt>
                <c:pt idx="20">
                  <c:v>-1.5894250027486123E-3</c:v>
                </c:pt>
                <c:pt idx="22">
                  <c:v>3.0807250004727393E-3</c:v>
                </c:pt>
                <c:pt idx="23">
                  <c:v>3.3315750042675063E-3</c:v>
                </c:pt>
                <c:pt idx="24">
                  <c:v>4.0478750015608966E-3</c:v>
                </c:pt>
                <c:pt idx="25">
                  <c:v>-1.185799999802839E-3</c:v>
                </c:pt>
                <c:pt idx="26">
                  <c:v>-2.5214749985025264E-3</c:v>
                </c:pt>
                <c:pt idx="27">
                  <c:v>-2.2738000043318607E-3</c:v>
                </c:pt>
                <c:pt idx="28">
                  <c:v>-3.0562250030925497E-3</c:v>
                </c:pt>
                <c:pt idx="29">
                  <c:v>-1.564350000990089E-3</c:v>
                </c:pt>
                <c:pt idx="34">
                  <c:v>-4.9817000035545789E-3</c:v>
                </c:pt>
                <c:pt idx="41">
                  <c:v>-5.6587499420857057E-4</c:v>
                </c:pt>
                <c:pt idx="47">
                  <c:v>-5.7675497955642641E-3</c:v>
                </c:pt>
                <c:pt idx="48">
                  <c:v>-5.1815000842907466E-3</c:v>
                </c:pt>
                <c:pt idx="54">
                  <c:v>-4.0200000003096648E-3</c:v>
                </c:pt>
                <c:pt idx="56">
                  <c:v>-4.153579066041857E-3</c:v>
                </c:pt>
                <c:pt idx="57">
                  <c:v>-5.1083500002278015E-3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A-4590-9BE6-B3B5A1F0B5E5}"/>
            </c:ext>
          </c:extLst>
        </c:ser>
        <c:ser>
          <c:idx val="1"/>
          <c:order val="1"/>
          <c:tx>
            <c:strRef>
              <c:f>'D (3)'!$I$20</c:f>
              <c:strCache>
                <c:ptCount val="1"/>
                <c:pt idx="0">
                  <c:v>not 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plus>
            <c:minus>
              <c:numLit>
                <c:formatCode>General</c:formatCode>
                <c:ptCount val="985"/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(3)'!$I$21:$I$189</c:f>
              <c:numCache>
                <c:formatCode>General</c:formatCode>
                <c:ptCount val="169"/>
                <c:pt idx="1">
                  <c:v>-5.986875003145542E-3</c:v>
                </c:pt>
                <c:pt idx="2">
                  <c:v>-5.1937249954789877E-3</c:v>
                </c:pt>
                <c:pt idx="5">
                  <c:v>-4.5878999953856692E-3</c:v>
                </c:pt>
                <c:pt idx="21">
                  <c:v>-6.0207999995327555E-3</c:v>
                </c:pt>
                <c:pt idx="30">
                  <c:v>7.3757499922066927E-4</c:v>
                </c:pt>
                <c:pt idx="31">
                  <c:v>-2.2139999782666564E-4</c:v>
                </c:pt>
                <c:pt idx="32">
                  <c:v>5.2543249985319562E-3</c:v>
                </c:pt>
                <c:pt idx="33">
                  <c:v>4.6845750039210543E-3</c:v>
                </c:pt>
                <c:pt idx="35">
                  <c:v>4.4485500038717873E-3</c:v>
                </c:pt>
                <c:pt idx="36">
                  <c:v>-4.9246250055148266E-3</c:v>
                </c:pt>
                <c:pt idx="37">
                  <c:v>3.0753749961149879E-3</c:v>
                </c:pt>
                <c:pt idx="38">
                  <c:v>5.9335250043659471E-3</c:v>
                </c:pt>
                <c:pt idx="39">
                  <c:v>-2.0730249962070957E-3</c:v>
                </c:pt>
                <c:pt idx="40">
                  <c:v>2.9269750011735596E-3</c:v>
                </c:pt>
                <c:pt idx="42">
                  <c:v>-3.6587499926099554E-4</c:v>
                </c:pt>
                <c:pt idx="43">
                  <c:v>-2.8237500009709038E-3</c:v>
                </c:pt>
                <c:pt idx="44">
                  <c:v>-5.5816499952925369E-3</c:v>
                </c:pt>
                <c:pt idx="45">
                  <c:v>-5.8396501626702957E-3</c:v>
                </c:pt>
                <c:pt idx="46">
                  <c:v>-3.996624996943865E-3</c:v>
                </c:pt>
                <c:pt idx="49">
                  <c:v>-2.3213750027935021E-3</c:v>
                </c:pt>
                <c:pt idx="50">
                  <c:v>-3.1737000026623718E-3</c:v>
                </c:pt>
                <c:pt idx="51">
                  <c:v>-3.183000000717584E-3</c:v>
                </c:pt>
                <c:pt idx="52">
                  <c:v>-3.9876500013633631E-3</c:v>
                </c:pt>
                <c:pt idx="53">
                  <c:v>-4.1398250032216311E-3</c:v>
                </c:pt>
                <c:pt idx="55">
                  <c:v>-4.3594500020844862E-3</c:v>
                </c:pt>
                <c:pt idx="58">
                  <c:v>-4.672974995628465E-3</c:v>
                </c:pt>
                <c:pt idx="60">
                  <c:v>-8.4916000050725415E-3</c:v>
                </c:pt>
                <c:pt idx="61">
                  <c:v>-9.3161499971756712E-3</c:v>
                </c:pt>
                <c:pt idx="62">
                  <c:v>-9.7160000004805624E-3</c:v>
                </c:pt>
                <c:pt idx="63">
                  <c:v>-1.2024124996969476E-2</c:v>
                </c:pt>
                <c:pt idx="64">
                  <c:v>-1.0067099996376783E-2</c:v>
                </c:pt>
                <c:pt idx="66">
                  <c:v>-1.1583625004277565E-2</c:v>
                </c:pt>
                <c:pt idx="67">
                  <c:v>-1.0233599998173304E-2</c:v>
                </c:pt>
                <c:pt idx="68">
                  <c:v>-1.2900257417641114E-2</c:v>
                </c:pt>
                <c:pt idx="69">
                  <c:v>-1.2892525002826005E-2</c:v>
                </c:pt>
                <c:pt idx="70">
                  <c:v>-1.1988899997959379E-2</c:v>
                </c:pt>
                <c:pt idx="71">
                  <c:v>-1.5701800002716482E-2</c:v>
                </c:pt>
                <c:pt idx="72">
                  <c:v>-1.7388874999596737E-2</c:v>
                </c:pt>
                <c:pt idx="73">
                  <c:v>-1.5667825005948544E-2</c:v>
                </c:pt>
                <c:pt idx="74">
                  <c:v>-1.5487550001125783E-2</c:v>
                </c:pt>
                <c:pt idx="75">
                  <c:v>-1.5703299999586307E-2</c:v>
                </c:pt>
                <c:pt idx="76">
                  <c:v>-1.817039999878034E-2</c:v>
                </c:pt>
                <c:pt idx="77">
                  <c:v>-1.7904025000461843E-2</c:v>
                </c:pt>
                <c:pt idx="78">
                  <c:v>-1.8380724992312025E-2</c:v>
                </c:pt>
                <c:pt idx="79">
                  <c:v>-1.803305000794353E-2</c:v>
                </c:pt>
                <c:pt idx="80">
                  <c:v>-1.8885375000536442E-2</c:v>
                </c:pt>
                <c:pt idx="81">
                  <c:v>-1.9194674998288974E-2</c:v>
                </c:pt>
                <c:pt idx="82">
                  <c:v>-2.1778800000902265E-2</c:v>
                </c:pt>
                <c:pt idx="83">
                  <c:v>-2.1456675000081304E-2</c:v>
                </c:pt>
                <c:pt idx="84">
                  <c:v>-2.2207725000043865E-2</c:v>
                </c:pt>
                <c:pt idx="85">
                  <c:v>-1.9705275000887923E-2</c:v>
                </c:pt>
                <c:pt idx="86">
                  <c:v>-2.1800574999360833E-2</c:v>
                </c:pt>
                <c:pt idx="87">
                  <c:v>-2.3180650001449976E-2</c:v>
                </c:pt>
                <c:pt idx="88">
                  <c:v>-2.1184074998018332E-2</c:v>
                </c:pt>
                <c:pt idx="89">
                  <c:v>-2.2098025001469068E-2</c:v>
                </c:pt>
                <c:pt idx="90">
                  <c:v>-2.5352500000735745E-2</c:v>
                </c:pt>
                <c:pt idx="91">
                  <c:v>-2.67610499940929E-2</c:v>
                </c:pt>
                <c:pt idx="92">
                  <c:v>-2.6166374998865649E-2</c:v>
                </c:pt>
                <c:pt idx="93">
                  <c:v>-2.5956375000532717E-2</c:v>
                </c:pt>
                <c:pt idx="94">
                  <c:v>-2.7876950000063516E-2</c:v>
                </c:pt>
                <c:pt idx="95">
                  <c:v>-2.7292475002468564E-2</c:v>
                </c:pt>
                <c:pt idx="96">
                  <c:v>-2.6792475000547711E-2</c:v>
                </c:pt>
                <c:pt idx="97">
                  <c:v>-2.6292474998626858E-2</c:v>
                </c:pt>
                <c:pt idx="98">
                  <c:v>-2.8791699995053932E-2</c:v>
                </c:pt>
                <c:pt idx="99">
                  <c:v>-2.8091699998185504E-2</c:v>
                </c:pt>
                <c:pt idx="100">
                  <c:v>-2.7891699995961972E-2</c:v>
                </c:pt>
                <c:pt idx="101">
                  <c:v>-2.8030825000314508E-2</c:v>
                </c:pt>
                <c:pt idx="102">
                  <c:v>-2.7721275000658352E-2</c:v>
                </c:pt>
                <c:pt idx="103">
                  <c:v>-3.5238625001511537E-2</c:v>
                </c:pt>
                <c:pt idx="104">
                  <c:v>-3.2193450002523605E-2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A-4590-9BE6-B3B5A1F0B5E5}"/>
            </c:ext>
          </c:extLst>
        </c:ser>
        <c:ser>
          <c:idx val="7"/>
          <c:order val="2"/>
          <c:tx>
            <c:strRef>
              <c:f>'D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 (3)'!$F$21:$F$189</c:f>
              <c:numCache>
                <c:formatCode>General</c:formatCode>
                <c:ptCount val="169"/>
                <c:pt idx="0">
                  <c:v>-3713</c:v>
                </c:pt>
                <c:pt idx="1">
                  <c:v>-3712.5</c:v>
                </c:pt>
                <c:pt idx="2">
                  <c:v>-3603.5</c:v>
                </c:pt>
                <c:pt idx="3">
                  <c:v>-3597.5</c:v>
                </c:pt>
                <c:pt idx="4">
                  <c:v>-3594.5</c:v>
                </c:pt>
                <c:pt idx="5">
                  <c:v>-3594</c:v>
                </c:pt>
                <c:pt idx="6">
                  <c:v>-3594</c:v>
                </c:pt>
                <c:pt idx="7">
                  <c:v>-39.5</c:v>
                </c:pt>
                <c:pt idx="8">
                  <c:v>-21.5</c:v>
                </c:pt>
                <c:pt idx="9">
                  <c:v>0</c:v>
                </c:pt>
                <c:pt idx="10">
                  <c:v>21</c:v>
                </c:pt>
                <c:pt idx="11">
                  <c:v>790.5</c:v>
                </c:pt>
                <c:pt idx="12">
                  <c:v>839</c:v>
                </c:pt>
                <c:pt idx="13">
                  <c:v>846</c:v>
                </c:pt>
                <c:pt idx="14">
                  <c:v>881</c:v>
                </c:pt>
                <c:pt idx="15">
                  <c:v>881.5</c:v>
                </c:pt>
                <c:pt idx="16">
                  <c:v>882</c:v>
                </c:pt>
                <c:pt idx="17">
                  <c:v>1075</c:v>
                </c:pt>
                <c:pt idx="18">
                  <c:v>1096.5</c:v>
                </c:pt>
                <c:pt idx="19">
                  <c:v>2073.5</c:v>
                </c:pt>
                <c:pt idx="20">
                  <c:v>2094.5</c:v>
                </c:pt>
                <c:pt idx="21">
                  <c:v>2112</c:v>
                </c:pt>
                <c:pt idx="22">
                  <c:v>6423.5</c:v>
                </c:pt>
                <c:pt idx="23">
                  <c:v>14154.5</c:v>
                </c:pt>
                <c:pt idx="24">
                  <c:v>14172.5</c:v>
                </c:pt>
                <c:pt idx="25">
                  <c:v>14212</c:v>
                </c:pt>
                <c:pt idx="26">
                  <c:v>16531.5</c:v>
                </c:pt>
                <c:pt idx="27">
                  <c:v>16532</c:v>
                </c:pt>
                <c:pt idx="28">
                  <c:v>16646.5</c:v>
                </c:pt>
                <c:pt idx="29">
                  <c:v>16659</c:v>
                </c:pt>
                <c:pt idx="30">
                  <c:v>17314.5</c:v>
                </c:pt>
                <c:pt idx="31">
                  <c:v>17596</c:v>
                </c:pt>
                <c:pt idx="32">
                  <c:v>17719.5</c:v>
                </c:pt>
                <c:pt idx="33">
                  <c:v>17734.5</c:v>
                </c:pt>
                <c:pt idx="34">
                  <c:v>17738</c:v>
                </c:pt>
                <c:pt idx="35">
                  <c:v>17753</c:v>
                </c:pt>
                <c:pt idx="36">
                  <c:v>17822.5</c:v>
                </c:pt>
                <c:pt idx="37">
                  <c:v>17822.5</c:v>
                </c:pt>
                <c:pt idx="38">
                  <c:v>17831.5</c:v>
                </c:pt>
                <c:pt idx="39">
                  <c:v>18198.5</c:v>
                </c:pt>
                <c:pt idx="40">
                  <c:v>18198.5</c:v>
                </c:pt>
                <c:pt idx="41">
                  <c:v>18347.5</c:v>
                </c:pt>
                <c:pt idx="42">
                  <c:v>18347.5</c:v>
                </c:pt>
                <c:pt idx="43">
                  <c:v>19575</c:v>
                </c:pt>
                <c:pt idx="44">
                  <c:v>19781</c:v>
                </c:pt>
                <c:pt idx="45">
                  <c:v>19901</c:v>
                </c:pt>
                <c:pt idx="46">
                  <c:v>19902.5</c:v>
                </c:pt>
                <c:pt idx="47">
                  <c:v>19907</c:v>
                </c:pt>
                <c:pt idx="48">
                  <c:v>19910</c:v>
                </c:pt>
                <c:pt idx="49">
                  <c:v>20617.5</c:v>
                </c:pt>
                <c:pt idx="50">
                  <c:v>20618</c:v>
                </c:pt>
                <c:pt idx="51">
                  <c:v>20620</c:v>
                </c:pt>
                <c:pt idx="52">
                  <c:v>20621</c:v>
                </c:pt>
                <c:pt idx="53">
                  <c:v>20750.5</c:v>
                </c:pt>
                <c:pt idx="54">
                  <c:v>20800</c:v>
                </c:pt>
                <c:pt idx="55">
                  <c:v>20873</c:v>
                </c:pt>
                <c:pt idx="56">
                  <c:v>20873</c:v>
                </c:pt>
                <c:pt idx="57">
                  <c:v>21819</c:v>
                </c:pt>
                <c:pt idx="58">
                  <c:v>22241.5</c:v>
                </c:pt>
                <c:pt idx="59">
                  <c:v>23082</c:v>
                </c:pt>
                <c:pt idx="60">
                  <c:v>23224</c:v>
                </c:pt>
                <c:pt idx="61">
                  <c:v>24111</c:v>
                </c:pt>
                <c:pt idx="62">
                  <c:v>24240</c:v>
                </c:pt>
                <c:pt idx="63">
                  <c:v>24252.5</c:v>
                </c:pt>
                <c:pt idx="64">
                  <c:v>24294</c:v>
                </c:pt>
                <c:pt idx="65">
                  <c:v>24442.5</c:v>
                </c:pt>
                <c:pt idx="66">
                  <c:v>25082.5</c:v>
                </c:pt>
                <c:pt idx="67">
                  <c:v>25104</c:v>
                </c:pt>
                <c:pt idx="68">
                  <c:v>25428.5</c:v>
                </c:pt>
                <c:pt idx="69">
                  <c:v>25428.5</c:v>
                </c:pt>
                <c:pt idx="70">
                  <c:v>25546</c:v>
                </c:pt>
                <c:pt idx="71">
                  <c:v>26452</c:v>
                </c:pt>
                <c:pt idx="72">
                  <c:v>26567.5</c:v>
                </c:pt>
                <c:pt idx="73">
                  <c:v>26670.5</c:v>
                </c:pt>
                <c:pt idx="74">
                  <c:v>26707</c:v>
                </c:pt>
                <c:pt idx="75">
                  <c:v>27162</c:v>
                </c:pt>
                <c:pt idx="76">
                  <c:v>27456</c:v>
                </c:pt>
                <c:pt idx="77">
                  <c:v>27538.5</c:v>
                </c:pt>
                <c:pt idx="78">
                  <c:v>27576.5</c:v>
                </c:pt>
                <c:pt idx="79">
                  <c:v>27577</c:v>
                </c:pt>
                <c:pt idx="80">
                  <c:v>27577.5</c:v>
                </c:pt>
                <c:pt idx="81">
                  <c:v>27579.5</c:v>
                </c:pt>
                <c:pt idx="82">
                  <c:v>28232</c:v>
                </c:pt>
                <c:pt idx="83">
                  <c:v>28259.5</c:v>
                </c:pt>
                <c:pt idx="84">
                  <c:v>28356.5</c:v>
                </c:pt>
                <c:pt idx="85">
                  <c:v>28463.5</c:v>
                </c:pt>
                <c:pt idx="86">
                  <c:v>28505.5</c:v>
                </c:pt>
                <c:pt idx="87">
                  <c:v>28641</c:v>
                </c:pt>
                <c:pt idx="88">
                  <c:v>28695.5</c:v>
                </c:pt>
                <c:pt idx="89">
                  <c:v>28698.5</c:v>
                </c:pt>
                <c:pt idx="90">
                  <c:v>28850</c:v>
                </c:pt>
                <c:pt idx="91">
                  <c:v>29497</c:v>
                </c:pt>
                <c:pt idx="92">
                  <c:v>29517.5</c:v>
                </c:pt>
                <c:pt idx="93">
                  <c:v>29517.5</c:v>
                </c:pt>
                <c:pt idx="94">
                  <c:v>29823</c:v>
                </c:pt>
                <c:pt idx="95">
                  <c:v>29871.5</c:v>
                </c:pt>
                <c:pt idx="96">
                  <c:v>29871.5</c:v>
                </c:pt>
                <c:pt idx="97">
                  <c:v>29871.5</c:v>
                </c:pt>
                <c:pt idx="98">
                  <c:v>29938</c:v>
                </c:pt>
                <c:pt idx="99">
                  <c:v>29938</c:v>
                </c:pt>
                <c:pt idx="100">
                  <c:v>29938</c:v>
                </c:pt>
                <c:pt idx="101">
                  <c:v>30490.5</c:v>
                </c:pt>
                <c:pt idx="102">
                  <c:v>30703.5</c:v>
                </c:pt>
                <c:pt idx="103">
                  <c:v>31782.5</c:v>
                </c:pt>
                <c:pt idx="104">
                  <c:v>31633</c:v>
                </c:pt>
              </c:numCache>
            </c:numRef>
          </c:xVal>
          <c:yVal>
            <c:numRef>
              <c:f>'D (3)'!$P$21:$P$189</c:f>
              <c:numCache>
                <c:formatCode>General</c:formatCode>
                <c:ptCount val="169"/>
                <c:pt idx="26">
                  <c:v>-1.9157736698917002E-3</c:v>
                </c:pt>
                <c:pt idx="27">
                  <c:v>-1.9157016638594593E-3</c:v>
                </c:pt>
                <c:pt idx="28">
                  <c:v>-1.9012071181212717E-3</c:v>
                </c:pt>
                <c:pt idx="29">
                  <c:v>-1.8998652454870965E-3</c:v>
                </c:pt>
                <c:pt idx="30">
                  <c:v>-1.8958340053037703E-3</c:v>
                </c:pt>
                <c:pt idx="31">
                  <c:v>-1.9340624766188419E-3</c:v>
                </c:pt>
                <c:pt idx="32">
                  <c:v>-1.9584116120249309E-3</c:v>
                </c:pt>
                <c:pt idx="33">
                  <c:v>-1.9616837317357819E-3</c:v>
                </c:pt>
                <c:pt idx="34">
                  <c:v>-1.9624570357603191E-3</c:v>
                </c:pt>
                <c:pt idx="35">
                  <c:v>-1.9658132362597724E-3</c:v>
                </c:pt>
                <c:pt idx="36">
                  <c:v>-1.9822533354227137E-3</c:v>
                </c:pt>
                <c:pt idx="37">
                  <c:v>-1.9822533354227137E-3</c:v>
                </c:pt>
                <c:pt idx="38">
                  <c:v>-1.9844893016986651E-3</c:v>
                </c:pt>
                <c:pt idx="39">
                  <c:v>-2.0965724001001801E-3</c:v>
                </c:pt>
                <c:pt idx="40">
                  <c:v>-2.0965724001001801E-3</c:v>
                </c:pt>
                <c:pt idx="41">
                  <c:v>-2.1537252161612508E-3</c:v>
                </c:pt>
                <c:pt idx="42">
                  <c:v>-2.1537252161612508E-3</c:v>
                </c:pt>
                <c:pt idx="43">
                  <c:v>-2.8805420235929469E-3</c:v>
                </c:pt>
                <c:pt idx="44">
                  <c:v>-3.0472541736189171E-3</c:v>
                </c:pt>
                <c:pt idx="45">
                  <c:v>-3.1502946067882912E-3</c:v>
                </c:pt>
                <c:pt idx="46">
                  <c:v>-3.1516102225159146E-3</c:v>
                </c:pt>
                <c:pt idx="47">
                  <c:v>-3.1555611601155262E-3</c:v>
                </c:pt>
                <c:pt idx="48">
                  <c:v>-3.1581985271958921E-3</c:v>
                </c:pt>
                <c:pt idx="49">
                  <c:v>-3.8563318775232946E-3</c:v>
                </c:pt>
                <c:pt idx="50">
                  <c:v>-3.8568788878912685E-3</c:v>
                </c:pt>
                <c:pt idx="51">
                  <c:v>-3.8590676868478085E-3</c:v>
                </c:pt>
                <c:pt idx="52">
                  <c:v>-3.8601625408168222E-3</c:v>
                </c:pt>
                <c:pt idx="53">
                  <c:v>-4.0045063898159067E-3</c:v>
                </c:pt>
                <c:pt idx="54">
                  <c:v>-4.0610226319147541E-3</c:v>
                </c:pt>
                <c:pt idx="55">
                  <c:v>-4.1457245784067426E-3</c:v>
                </c:pt>
                <c:pt idx="56">
                  <c:v>-4.1457245784067426E-3</c:v>
                </c:pt>
                <c:pt idx="57">
                  <c:v>-5.3894080693395879E-3</c:v>
                </c:pt>
                <c:pt idx="58">
                  <c:v>-6.032452868515642E-3</c:v>
                </c:pt>
                <c:pt idx="59">
                  <c:v>-7.4725152478099521E-3</c:v>
                </c:pt>
                <c:pt idx="60">
                  <c:v>-7.7369456385603386E-3</c:v>
                </c:pt>
                <c:pt idx="61">
                  <c:v>-9.5269792078124249E-3</c:v>
                </c:pt>
                <c:pt idx="62">
                  <c:v>-9.807166826527533E-3</c:v>
                </c:pt>
                <c:pt idx="63">
                  <c:v>-9.8345847497521427E-3</c:v>
                </c:pt>
                <c:pt idx="64">
                  <c:v>-9.9259517594473406E-3</c:v>
                </c:pt>
                <c:pt idx="65">
                  <c:v>-1.0257166026622785E-2</c:v>
                </c:pt>
                <c:pt idx="66">
                  <c:v>-1.1761072858050212E-2</c:v>
                </c:pt>
                <c:pt idx="67">
                  <c:v>-1.18137493551871E-2</c:v>
                </c:pt>
                <c:pt idx="68">
                  <c:v>-1.2625806570787032E-2</c:v>
                </c:pt>
                <c:pt idx="69">
                  <c:v>-1.2625806570787032E-2</c:v>
                </c:pt>
                <c:pt idx="70">
                  <c:v>-1.2927716852299764E-2</c:v>
                </c:pt>
                <c:pt idx="71">
                  <c:v>-1.5396119558518037E-2</c:v>
                </c:pt>
                <c:pt idx="72">
                  <c:v>-1.5728674134523071E-2</c:v>
                </c:pt>
                <c:pt idx="73">
                  <c:v>-1.6028647469400262E-2</c:v>
                </c:pt>
                <c:pt idx="74">
                  <c:v>-1.6135720084144684E-2</c:v>
                </c:pt>
                <c:pt idx="75">
                  <c:v>-1.7504340532228893E-2</c:v>
                </c:pt>
                <c:pt idx="76">
                  <c:v>-1.8422040428646452E-2</c:v>
                </c:pt>
                <c:pt idx="77">
                  <c:v>-1.868426394031597E-2</c:v>
                </c:pt>
                <c:pt idx="78">
                  <c:v>-1.8805739383404352E-2</c:v>
                </c:pt>
                <c:pt idx="79">
                  <c:v>-1.8807340660813271E-2</c:v>
                </c:pt>
                <c:pt idx="80">
                  <c:v>-1.8808942013970653E-2</c:v>
                </c:pt>
                <c:pt idx="81">
                  <c:v>-1.8815348184084674E-2</c:v>
                </c:pt>
                <c:pt idx="82">
                  <c:v>-2.0970059646262598E-2</c:v>
                </c:pt>
                <c:pt idx="83">
                  <c:v>-2.1063704232789873E-2</c:v>
                </c:pt>
                <c:pt idx="84">
                  <c:v>-2.1395843781414611E-2</c:v>
                </c:pt>
                <c:pt idx="85">
                  <c:v>-2.1765531395309415E-2</c:v>
                </c:pt>
                <c:pt idx="86">
                  <c:v>-2.1911590489026786E-2</c:v>
                </c:pt>
                <c:pt idx="87">
                  <c:v>-2.2386448636348213E-2</c:v>
                </c:pt>
                <c:pt idx="88">
                  <c:v>-2.2579011992297282E-2</c:v>
                </c:pt>
                <c:pt idx="89">
                  <c:v>-2.2589637943274038E-2</c:v>
                </c:pt>
                <c:pt idx="90">
                  <c:v>-2.3129794518046143E-2</c:v>
                </c:pt>
                <c:pt idx="91">
                  <c:v>-2.5514869580515187E-2</c:v>
                </c:pt>
                <c:pt idx="92">
                  <c:v>-2.5592513010958468E-2</c:v>
                </c:pt>
                <c:pt idx="93">
                  <c:v>-2.5592513010958468E-2</c:v>
                </c:pt>
                <c:pt idx="94">
                  <c:v>-2.6764677531174591E-2</c:v>
                </c:pt>
                <c:pt idx="95">
                  <c:v>-2.6953366893451569E-2</c:v>
                </c:pt>
                <c:pt idx="96">
                  <c:v>-2.6953366893451569E-2</c:v>
                </c:pt>
                <c:pt idx="97">
                  <c:v>-2.6953366893451569E-2</c:v>
                </c:pt>
                <c:pt idx="98">
                  <c:v>-2.7213243870066212E-2</c:v>
                </c:pt>
                <c:pt idx="99">
                  <c:v>-2.7213243870066212E-2</c:v>
                </c:pt>
                <c:pt idx="100">
                  <c:v>-2.7213243870066212E-2</c:v>
                </c:pt>
                <c:pt idx="101">
                  <c:v>-2.9424183701072387E-2</c:v>
                </c:pt>
                <c:pt idx="102">
                  <c:v>-3.0301247824519317E-2</c:v>
                </c:pt>
                <c:pt idx="103">
                  <c:v>-3.495541285211981E-2</c:v>
                </c:pt>
                <c:pt idx="104">
                  <c:v>-3.4289506612177584E-2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A-4590-9BE6-B3B5A1F0B5E5}"/>
            </c:ext>
          </c:extLst>
        </c:ser>
        <c:ser>
          <c:idx val="8"/>
          <c:order val="3"/>
          <c:tx>
            <c:strRef>
              <c:f>'D (3)'!$W$1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 (3)'!$V$2:$V$17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</c:numCache>
            </c:numRef>
          </c:xVal>
          <c:yVal>
            <c:numRef>
              <c:f>'D (3)'!$W$2:$W$17</c:f>
              <c:numCache>
                <c:formatCode>General</c:formatCode>
                <c:ptCount val="16"/>
                <c:pt idx="0">
                  <c:v>-4.1343482924730973E-3</c:v>
                </c:pt>
                <c:pt idx="1">
                  <c:v>-4.6885510362211745E-3</c:v>
                </c:pt>
                <c:pt idx="2">
                  <c:v>-3.7830008475727983E-3</c:v>
                </c:pt>
                <c:pt idx="3">
                  <c:v>-1.6996354793858391E-3</c:v>
                </c:pt>
                <c:pt idx="4">
                  <c:v>9.1290145073386845E-4</c:v>
                </c:pt>
                <c:pt idx="5">
                  <c:v>3.2412118555576459E-3</c:v>
                </c:pt>
                <c:pt idx="6">
                  <c:v>4.5603899134971839E-3</c:v>
                </c:pt>
                <c:pt idx="7">
                  <c:v>4.4597172547291347E-3</c:v>
                </c:pt>
                <c:pt idx="8">
                  <c:v>2.9705377225248009E-3</c:v>
                </c:pt>
                <c:pt idx="9">
                  <c:v>5.5649865104056315E-4</c:v>
                </c:pt>
                <c:pt idx="10">
                  <c:v>-2.0308030193693103E-3</c:v>
                </c:pt>
                <c:pt idx="11">
                  <c:v>-3.985826051935204E-3</c:v>
                </c:pt>
                <c:pt idx="12">
                  <c:v>-4.6998854643153553E-3</c:v>
                </c:pt>
                <c:pt idx="13">
                  <c:v>-3.9506630364297178E-3</c:v>
                </c:pt>
                <c:pt idx="14">
                  <c:v>-1.9714247874970409E-3</c:v>
                </c:pt>
                <c:pt idx="15">
                  <c:v>6.2160503420846788E-4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A-4590-9BE6-B3B5A1F0B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94784"/>
        <c:axId val="1"/>
      </c:scatterChart>
      <c:valAx>
        <c:axId val="716394784"/>
        <c:scaling>
          <c:orientation val="minMax"/>
          <c:max val="3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9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0</xdr:row>
      <xdr:rowOff>0</xdr:rowOff>
    </xdr:from>
    <xdr:to>
      <xdr:col>17</xdr:col>
      <xdr:colOff>561974</xdr:colOff>
      <xdr:row>18</xdr:row>
      <xdr:rowOff>19050</xdr:rowOff>
    </xdr:to>
    <xdr:graphicFrame macro="">
      <xdr:nvGraphicFramePr>
        <xdr:cNvPr id="55302" name="Chart 1">
          <a:extLst>
            <a:ext uri="{FF2B5EF4-FFF2-40B4-BE49-F238E27FC236}">
              <a16:creationId xmlns:a16="http://schemas.microsoft.com/office/drawing/2014/main" id="{E02F641B-FE58-9D6F-BA11-D98010BEA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19050</xdr:rowOff>
    </xdr:from>
    <xdr:to>
      <xdr:col>26</xdr:col>
      <xdr:colOff>276225</xdr:colOff>
      <xdr:row>18</xdr:row>
      <xdr:rowOff>47625</xdr:rowOff>
    </xdr:to>
    <xdr:graphicFrame macro="">
      <xdr:nvGraphicFramePr>
        <xdr:cNvPr id="55303" name="Chart 3">
          <a:extLst>
            <a:ext uri="{FF2B5EF4-FFF2-40B4-BE49-F238E27FC236}">
              <a16:creationId xmlns:a16="http://schemas.microsoft.com/office/drawing/2014/main" id="{80B36ADB-314D-5733-8B28-65F6D2F65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95250</xdr:rowOff>
    </xdr:from>
    <xdr:to>
      <xdr:col>17</xdr:col>
      <xdr:colOff>219075</xdr:colOff>
      <xdr:row>17</xdr:row>
      <xdr:rowOff>76200</xdr:rowOff>
    </xdr:to>
    <xdr:graphicFrame macro="">
      <xdr:nvGraphicFramePr>
        <xdr:cNvPr id="61462" name="Chart 14">
          <a:extLst>
            <a:ext uri="{FF2B5EF4-FFF2-40B4-BE49-F238E27FC236}">
              <a16:creationId xmlns:a16="http://schemas.microsoft.com/office/drawing/2014/main" id="{78744A7F-34F6-33BC-BB16-D65F19B46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95250</xdr:rowOff>
    </xdr:from>
    <xdr:to>
      <xdr:col>27</xdr:col>
      <xdr:colOff>9525</xdr:colOff>
      <xdr:row>17</xdr:row>
      <xdr:rowOff>66675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5FB4D2D-151D-2469-D07A-715345605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11</xdr:col>
      <xdr:colOff>95250</xdr:colOff>
      <xdr:row>19</xdr:row>
      <xdr:rowOff>123825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BD7FD42A-3730-8F1B-EF8D-1F27E4CDC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523876</xdr:colOff>
      <xdr:row>6</xdr:row>
      <xdr:rowOff>142875</xdr:rowOff>
    </xdr:from>
    <xdr:to>
      <xdr:col>50</xdr:col>
      <xdr:colOff>9526</xdr:colOff>
      <xdr:row>24</xdr:row>
      <xdr:rowOff>66675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0988EE8E-F160-6E24-FE08-1E490F875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32</xdr:col>
      <xdr:colOff>180975</xdr:colOff>
      <xdr:row>0</xdr:row>
      <xdr:rowOff>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93FD9AB7-1DAB-28A0-1596-85A30ADB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561975</xdr:colOff>
      <xdr:row>0</xdr:row>
      <xdr:rowOff>104775</xdr:rowOff>
    </xdr:from>
    <xdr:to>
      <xdr:col>27</xdr:col>
      <xdr:colOff>438150</xdr:colOff>
      <xdr:row>25</xdr:row>
      <xdr:rowOff>142875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3FCB468-2AA1-CF5F-5229-3DC8F02E0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514350</xdr:colOff>
      <xdr:row>0</xdr:row>
      <xdr:rowOff>0</xdr:rowOff>
    </xdr:from>
    <xdr:to>
      <xdr:col>58</xdr:col>
      <xdr:colOff>361950</xdr:colOff>
      <xdr:row>16</xdr:row>
      <xdr:rowOff>133350</xdr:rowOff>
    </xdr:to>
    <xdr:graphicFrame macro="">
      <xdr:nvGraphicFramePr>
        <xdr:cNvPr id="71686" name="Chart 1025">
          <a:extLst>
            <a:ext uri="{FF2B5EF4-FFF2-40B4-BE49-F238E27FC236}">
              <a16:creationId xmlns:a16="http://schemas.microsoft.com/office/drawing/2014/main" id="{FE882EAE-ABA7-B232-8CD6-E869DAA4C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57348" name="Chart 1">
          <a:extLst>
            <a:ext uri="{FF2B5EF4-FFF2-40B4-BE49-F238E27FC236}">
              <a16:creationId xmlns:a16="http://schemas.microsoft.com/office/drawing/2014/main" id="{86B651E6-CCF2-ECDA-085F-97FF9A80B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59397" name="Chart 1">
          <a:extLst>
            <a:ext uri="{FF2B5EF4-FFF2-40B4-BE49-F238E27FC236}">
              <a16:creationId xmlns:a16="http://schemas.microsoft.com/office/drawing/2014/main" id="{83877629-8666-D48F-9A5E-621D9E819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22</xdr:row>
      <xdr:rowOff>47625</xdr:rowOff>
    </xdr:from>
    <xdr:to>
      <xdr:col>17</xdr:col>
      <xdr:colOff>276225</xdr:colOff>
      <xdr:row>38</xdr:row>
      <xdr:rowOff>57150</xdr:rowOff>
    </xdr:to>
    <xdr:graphicFrame macro="">
      <xdr:nvGraphicFramePr>
        <xdr:cNvPr id="59398" name="Chart 2">
          <a:extLst>
            <a:ext uri="{FF2B5EF4-FFF2-40B4-BE49-F238E27FC236}">
              <a16:creationId xmlns:a16="http://schemas.microsoft.com/office/drawing/2014/main" id="{70E0E66A-4CD8-A480-2642-FE6F5F193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5.xm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056" TargetMode="External"/><Relationship Id="rId21" Type="http://schemas.openxmlformats.org/officeDocument/2006/relationships/hyperlink" Target="http://www.bav-astro.de/sfs/BAVM_link.php?BAVMnr=131" TargetMode="External"/><Relationship Id="rId42" Type="http://schemas.openxmlformats.org/officeDocument/2006/relationships/hyperlink" Target="http://www.konkoly.hu/cgi-bin/IBVS?5672" TargetMode="External"/><Relationship Id="rId47" Type="http://schemas.openxmlformats.org/officeDocument/2006/relationships/hyperlink" Target="http://www.konkoly.hu/cgi-bin/IBVS?5777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www.konkoly.hu/cgi-bin/IBVS?5929" TargetMode="External"/><Relationship Id="rId84" Type="http://schemas.openxmlformats.org/officeDocument/2006/relationships/hyperlink" Target="http://vsolj.cetus-net.org/vsoljno53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2497" TargetMode="External"/><Relationship Id="rId16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623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078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konkoly.hu/cgi-bin/IBVS?5623" TargetMode="External"/><Relationship Id="rId37" Type="http://schemas.openxmlformats.org/officeDocument/2006/relationships/hyperlink" Target="http://www.konkoly.hu/cgi-bin/IBVS?5371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www.konkoly.hu/cgi-bin/IBVS?6042" TargetMode="External"/><Relationship Id="rId11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2497" TargetMode="External"/><Relationship Id="rId61" Type="http://schemas.openxmlformats.org/officeDocument/2006/relationships/hyperlink" Target="http://www.bav-astro.de/sfs/BAVM_link.php?BAVMnr=209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25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konkoly.hu/cgi-bin/IBVS?4877" TargetMode="External"/><Relationship Id="rId22" Type="http://schemas.openxmlformats.org/officeDocument/2006/relationships/hyperlink" Target="http://www.bav-astro.de/sfs/BAVM_link.php?BAVMnr=131" TargetMode="External"/><Relationship Id="rId27" Type="http://schemas.openxmlformats.org/officeDocument/2006/relationships/hyperlink" Target="http://www.konkoly.hu/cgi-bin/IBVS?5056" TargetMode="External"/><Relationship Id="rId30" Type="http://schemas.openxmlformats.org/officeDocument/2006/relationships/hyperlink" Target="http://www.konkoly.hu/cgi-bin/IBVS?5623" TargetMode="External"/><Relationship Id="rId35" Type="http://schemas.openxmlformats.org/officeDocument/2006/relationships/hyperlink" Target="http://www.konkoly.hu/cgi-bin/IBVS?5623" TargetMode="External"/><Relationship Id="rId43" Type="http://schemas.openxmlformats.org/officeDocument/2006/relationships/hyperlink" Target="http://www.konkoly.hu/cgi-bin/IBVS?5814" TargetMode="External"/><Relationship Id="rId48" Type="http://schemas.openxmlformats.org/officeDocument/2006/relationships/hyperlink" Target="http://www.konkoly.hu/cgi-bin/IBVS?5777" TargetMode="External"/><Relationship Id="rId56" Type="http://schemas.openxmlformats.org/officeDocument/2006/relationships/hyperlink" Target="http://www.konkoly.hu/cgi-bin/IBVS?5871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www.bav-astro.de/sfs/BAVM_link.php?BAVMnr=214" TargetMode="External"/><Relationship Id="rId77" Type="http://schemas.openxmlformats.org/officeDocument/2006/relationships/hyperlink" Target="http://var.astro.cz/oejv/issues/oejv0137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solj.cetus-net.org/vsoljno55.pdf" TargetMode="External"/><Relationship Id="rId113" Type="http://schemas.openxmlformats.org/officeDocument/2006/relationships/hyperlink" Target="http://var.astro.cz/oejv/issues/oejv0162.pdf" TargetMode="External"/><Relationship Id="rId8" Type="http://schemas.openxmlformats.org/officeDocument/2006/relationships/hyperlink" Target="http://www.konkoly.hu/cgi-bin/IBVS?2793" TargetMode="External"/><Relationship Id="rId51" Type="http://schemas.openxmlformats.org/officeDocument/2006/relationships/hyperlink" Target="http://www.bav-astro.de/sfs/BAVM_link.php?BAVMnr=201" TargetMode="External"/><Relationship Id="rId72" Type="http://schemas.openxmlformats.org/officeDocument/2006/relationships/hyperlink" Target="http://www.bav-astro.de/sfs/BAVM_link.php?BAVMnr=214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vsolj.cetus-net.org/vsoljno53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497" TargetMode="External"/><Relationship Id="rId12" Type="http://schemas.openxmlformats.org/officeDocument/2006/relationships/hyperlink" Target="http://www.konkoly.hu/cgi-bin/IBVS?3078" TargetMode="External"/><Relationship Id="rId17" Type="http://schemas.openxmlformats.org/officeDocument/2006/relationships/hyperlink" Target="http://www.konkoly.hu/cgi-bin/IBVS?4877" TargetMode="External"/><Relationship Id="rId25" Type="http://schemas.openxmlformats.org/officeDocument/2006/relationships/hyperlink" Target="http://www.bav-astro.de/sfs/BAVM_link.php?BAVMnr=143" TargetMode="External"/><Relationship Id="rId33" Type="http://schemas.openxmlformats.org/officeDocument/2006/relationships/hyperlink" Target="http://www.konkoly.hu/cgi-bin/IBVS?5623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bav-astro.de/sfs/BAVM_link.php?BAVMnr=203" TargetMode="External"/><Relationship Id="rId67" Type="http://schemas.openxmlformats.org/officeDocument/2006/relationships/hyperlink" Target="http://www.konkoly.hu/cgi-bin/IBVS?5920" TargetMode="External"/><Relationship Id="rId103" Type="http://schemas.openxmlformats.org/officeDocument/2006/relationships/hyperlink" Target="http://vsolj.cetus-net.org/vsoljno55.pdf" TargetMode="External"/><Relationship Id="rId108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4877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www.konkoly.hu/cgi-bin/IBVS?5980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var.astro.cz/oejv/issues/oejv0142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solj.cetus-net.org/vsoljno53.pdf" TargetMode="External"/><Relationship Id="rId96" Type="http://schemas.openxmlformats.org/officeDocument/2006/relationships/hyperlink" Target="http://www.bav-astro.de/sfs/BAVM_link.php?BAVMnr=231" TargetMode="External"/><Relationship Id="rId11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793" TargetMode="External"/><Relationship Id="rId15" Type="http://schemas.openxmlformats.org/officeDocument/2006/relationships/hyperlink" Target="http://www.konkoly.hu/cgi-bin/IBVS?4877" TargetMode="External"/><Relationship Id="rId23" Type="http://schemas.openxmlformats.org/officeDocument/2006/relationships/hyperlink" Target="http://www.bav-astro.de/sfs/BAVM_link.php?BAVMnr=131" TargetMode="External"/><Relationship Id="rId28" Type="http://schemas.openxmlformats.org/officeDocument/2006/relationships/hyperlink" Target="http://www.konkoly.hu/cgi-bin/IBVS?5623" TargetMode="External"/><Relationship Id="rId36" Type="http://schemas.openxmlformats.org/officeDocument/2006/relationships/hyperlink" Target="http://www.konkoly.hu/cgi-bin/IBVS?5378" TargetMode="External"/><Relationship Id="rId49" Type="http://schemas.openxmlformats.org/officeDocument/2006/relationships/hyperlink" Target="http://www.konkoly.hu/cgi-bin/IBVS?5820" TargetMode="External"/><Relationship Id="rId57" Type="http://schemas.openxmlformats.org/officeDocument/2006/relationships/hyperlink" Target="http://www.bav-astro.de/sfs/BAVM_link.php?BAVMnr=203" TargetMode="External"/><Relationship Id="rId10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2793" TargetMode="External"/><Relationship Id="rId31" Type="http://schemas.openxmlformats.org/officeDocument/2006/relationships/hyperlink" Target="http://www.konkoly.hu/cgi-bin/IBVS?5623" TargetMode="External"/><Relationship Id="rId44" Type="http://schemas.openxmlformats.org/officeDocument/2006/relationships/hyperlink" Target="http://www.konkoly.hu/cgi-bin/IBVS?5777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www.bav-astro.de/sfs/BAVM_link.php?BAVMnr=209" TargetMode="External"/><Relationship Id="rId65" Type="http://schemas.openxmlformats.org/officeDocument/2006/relationships/hyperlink" Target="http://www.konkoly.hu/cgi-bin/IBVS?5980" TargetMode="External"/><Relationship Id="rId73" Type="http://schemas.openxmlformats.org/officeDocument/2006/relationships/hyperlink" Target="http://www.konkoly.hu/cgi-bin/IBVS?5960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6011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2497" TargetMode="External"/><Relationship Id="rId9" Type="http://schemas.openxmlformats.org/officeDocument/2006/relationships/hyperlink" Target="http://www.konkoly.hu/cgi-bin/IBVS?2793" TargetMode="External"/><Relationship Id="rId13" Type="http://schemas.openxmlformats.org/officeDocument/2006/relationships/hyperlink" Target="http://www.konkoly.hu/cgi-bin/IBVS?3593" TargetMode="External"/><Relationship Id="rId18" Type="http://schemas.openxmlformats.org/officeDocument/2006/relationships/hyperlink" Target="http://www.bav-astro.de/sfs/BAVM_link.php?BAVMnr=131" TargetMode="External"/><Relationship Id="rId39" Type="http://schemas.openxmlformats.org/officeDocument/2006/relationships/hyperlink" Target="http://www.konkoly.hu/cgi-bin/IBVS?5592" TargetMode="External"/><Relationship Id="rId109" Type="http://schemas.openxmlformats.org/officeDocument/2006/relationships/hyperlink" Target="http://www.konkoly.hu/cgi-bin/IBVS?6092" TargetMode="External"/><Relationship Id="rId34" Type="http://schemas.openxmlformats.org/officeDocument/2006/relationships/hyperlink" Target="http://www.konkoly.hu/cgi-bin/IBVS?5623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konkoly.hu/cgi-bin/IBVS?5898" TargetMode="External"/><Relationship Id="rId76" Type="http://schemas.openxmlformats.org/officeDocument/2006/relationships/hyperlink" Target="http://www.bav-astro.de/sfs/BAVM_link.php?BAVMnr=220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konkoly.hu/cgi-bin/IBVS?2793" TargetMode="External"/><Relationship Id="rId71" Type="http://schemas.openxmlformats.org/officeDocument/2006/relationships/hyperlink" Target="http://www.konkoly.hu/cgi-bin/IBVS?5980" TargetMode="External"/><Relationship Id="rId9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307"/>
  <sheetViews>
    <sheetView tabSelected="1" workbookViewId="0">
      <pane xSplit="14" ySplit="22" topLeftCell="O201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95" customHeight="1"/>
  <cols>
    <col min="1" max="1" width="17.42578125" style="34" customWidth="1"/>
    <col min="2" max="2" width="5.140625" style="232" customWidth="1"/>
    <col min="3" max="3" width="11.85546875" style="34" customWidth="1"/>
    <col min="4" max="4" width="10.42578125" style="34" customWidth="1"/>
    <col min="5" max="5" width="14.140625" style="34" customWidth="1"/>
    <col min="6" max="6" width="16.4257812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16384" width="10.28515625" style="34"/>
  </cols>
  <sheetData>
    <row r="1" spans="1:23" customFormat="1" ht="21" thickBot="1">
      <c r="A1" s="1" t="s">
        <v>115</v>
      </c>
      <c r="V1" s="6" t="s">
        <v>65</v>
      </c>
      <c r="W1" s="8" t="s">
        <v>77</v>
      </c>
    </row>
    <row r="2" spans="1:23" ht="12.95" customHeight="1">
      <c r="A2" s="34" t="s">
        <v>80</v>
      </c>
      <c r="B2" s="34" t="s">
        <v>85</v>
      </c>
      <c r="D2" s="346"/>
      <c r="E2" s="348" t="s">
        <v>804</v>
      </c>
      <c r="F2" s="349" t="s">
        <v>803</v>
      </c>
      <c r="V2" s="227">
        <v>20000</v>
      </c>
      <c r="W2" s="227">
        <f t="shared" ref="W2:W23" si="0">+D$11+D$12*V2+D$13*V2^2</f>
        <v>2.7012489436493384E-2</v>
      </c>
    </row>
    <row r="3" spans="1:23" ht="12.95" customHeight="1" thickBot="1">
      <c r="A3" s="233" t="s">
        <v>123</v>
      </c>
      <c r="B3" s="34"/>
      <c r="E3" s="350" t="s">
        <v>142</v>
      </c>
      <c r="F3" s="351">
        <v>1</v>
      </c>
      <c r="V3" s="227">
        <v>21000</v>
      </c>
      <c r="W3" s="227">
        <f t="shared" si="0"/>
        <v>2.7772811427930429E-2</v>
      </c>
    </row>
    <row r="4" spans="1:23" ht="12.95" customHeight="1" thickTop="1" thickBot="1">
      <c r="A4" s="238" t="s">
        <v>56</v>
      </c>
      <c r="B4" s="34"/>
      <c r="C4" s="239">
        <v>44559.960400000004</v>
      </c>
      <c r="D4" s="240">
        <v>0.32991700000000002</v>
      </c>
      <c r="E4" s="356" t="s">
        <v>143</v>
      </c>
      <c r="F4" s="352">
        <f ca="1">NOW()+15018.5+$C$5/24</f>
        <v>60678.79209224537</v>
      </c>
      <c r="V4" s="227">
        <v>22000</v>
      </c>
      <c r="W4" s="227">
        <f t="shared" si="0"/>
        <v>2.8293621337772266E-2</v>
      </c>
    </row>
    <row r="5" spans="1:23" ht="12.95" customHeight="1" thickTop="1">
      <c r="A5" s="34" t="s">
        <v>225</v>
      </c>
      <c r="B5" s="34"/>
      <c r="C5" s="345">
        <v>-9.5</v>
      </c>
      <c r="D5" s="246"/>
      <c r="E5" s="350" t="s">
        <v>144</v>
      </c>
      <c r="F5" s="352">
        <f ca="1">ROUND(2*($F$4-$C$7)/$C$8,0)/2+$F$3</f>
        <v>48860</v>
      </c>
      <c r="V5" s="227">
        <v>23000</v>
      </c>
      <c r="W5" s="227">
        <f t="shared" si="0"/>
        <v>2.8574919166018883E-2</v>
      </c>
    </row>
    <row r="6" spans="1:23" ht="12.95" customHeight="1">
      <c r="A6" s="238" t="s">
        <v>57</v>
      </c>
      <c r="B6" s="34"/>
      <c r="E6" s="350" t="s">
        <v>145</v>
      </c>
      <c r="F6" s="352">
        <f ca="1">ROUND(2*($F$4-$C$15)/$C$16,0)/2+$F$3</f>
        <v>1011.5</v>
      </c>
      <c r="V6" s="227">
        <v>24000</v>
      </c>
      <c r="W6" s="227">
        <f t="shared" si="0"/>
        <v>2.8616704912670279E-2</v>
      </c>
    </row>
    <row r="7" spans="1:23" ht="12.95" customHeight="1">
      <c r="A7" s="34" t="s">
        <v>58</v>
      </c>
      <c r="B7" s="34"/>
      <c r="C7" s="34">
        <v>44559.960400000004</v>
      </c>
      <c r="E7" s="350" t="s">
        <v>805</v>
      </c>
      <c r="F7" s="353">
        <f ca="1">+$C$15+$C$16*$F$6-15018.5-$C$5/24</f>
        <v>45661.066756206164</v>
      </c>
      <c r="V7" s="227">
        <v>25000</v>
      </c>
      <c r="W7" s="227">
        <f t="shared" si="0"/>
        <v>2.8418978577726489E-2</v>
      </c>
    </row>
    <row r="8" spans="1:23" ht="12.95" customHeight="1">
      <c r="A8" s="34" t="s">
        <v>59</v>
      </c>
      <c r="B8" s="34"/>
      <c r="C8" s="34">
        <v>0.32990348200000003</v>
      </c>
      <c r="E8" s="354" t="s">
        <v>806</v>
      </c>
      <c r="F8" s="355">
        <f ca="1">+($C$15+$C$16*$F$6)-($C$16/2)-15018.5-$C$5/24</f>
        <v>45660.90180654604</v>
      </c>
      <c r="V8" s="227">
        <v>26000</v>
      </c>
      <c r="W8" s="227">
        <f t="shared" si="0"/>
        <v>2.7981740161187457E-2</v>
      </c>
    </row>
    <row r="9" spans="1:23" ht="12.95" customHeight="1">
      <c r="A9" s="249" t="s">
        <v>141</v>
      </c>
      <c r="B9" s="250">
        <v>200</v>
      </c>
      <c r="C9" s="249" t="str">
        <f>"F"&amp;B9</f>
        <v>F200</v>
      </c>
      <c r="D9" s="249" t="str">
        <f>"G"&amp;B9</f>
        <v>G200</v>
      </c>
      <c r="V9" s="227">
        <v>27000</v>
      </c>
      <c r="W9" s="227">
        <f t="shared" si="0"/>
        <v>2.7304989663053211E-2</v>
      </c>
    </row>
    <row r="10" spans="1:23" ht="12.95" customHeight="1" thickBot="1">
      <c r="B10" s="34"/>
      <c r="C10" s="252" t="s">
        <v>75</v>
      </c>
      <c r="D10" s="252" t="s">
        <v>76</v>
      </c>
      <c r="V10" s="227">
        <v>28000</v>
      </c>
      <c r="W10" s="227">
        <f t="shared" si="0"/>
        <v>2.6388727083323779E-2</v>
      </c>
    </row>
    <row r="11" spans="1:23" ht="12.95" customHeight="1">
      <c r="A11" s="34" t="s">
        <v>71</v>
      </c>
      <c r="B11" s="34"/>
      <c r="C11" s="257">
        <f ca="1">INTERCEPT(INDIRECT(D9):G1000,INDIRECT(C9):$F1000)</f>
        <v>0.16478566022000038</v>
      </c>
      <c r="D11" s="232">
        <f>+E11*F11</f>
        <v>-3.849148752724213E-2</v>
      </c>
      <c r="E11" s="259">
        <v>-3.849148752724213E-2</v>
      </c>
      <c r="F11" s="34">
        <v>1</v>
      </c>
      <c r="V11" s="227">
        <v>29000</v>
      </c>
      <c r="W11" s="227">
        <f t="shared" si="0"/>
        <v>2.5232952421999119E-2</v>
      </c>
    </row>
    <row r="12" spans="1:23" ht="12.95" customHeight="1">
      <c r="A12" s="34" t="s">
        <v>72</v>
      </c>
      <c r="B12" s="34"/>
      <c r="C12" s="257">
        <f ca="1">SLOPE(INDIRECT(D9):G1000,INDIRECT(C9):$F1000)</f>
        <v>-4.1617471864080651E-6</v>
      </c>
      <c r="D12" s="232">
        <f>+E12*F12</f>
        <v>5.6703196641389015E-6</v>
      </c>
      <c r="E12" s="262">
        <v>5.6703196641389016E-2</v>
      </c>
      <c r="F12" s="244">
        <v>1E-4</v>
      </c>
      <c r="V12" s="227">
        <v>30000</v>
      </c>
      <c r="W12" s="227">
        <f t="shared" si="0"/>
        <v>2.3837665679079259E-2</v>
      </c>
    </row>
    <row r="13" spans="1:23" ht="12.95" customHeight="1" thickBot="1">
      <c r="A13" s="34" t="s">
        <v>74</v>
      </c>
      <c r="B13" s="34"/>
      <c r="C13" s="232" t="s">
        <v>69</v>
      </c>
      <c r="D13" s="232">
        <f>+E13*F13</f>
        <v>-1.1975604079760629E-10</v>
      </c>
      <c r="E13" s="264">
        <v>-1.1975604079760629E-2</v>
      </c>
      <c r="F13" s="244">
        <v>1E-8</v>
      </c>
      <c r="V13" s="227">
        <v>31000</v>
      </c>
      <c r="W13" s="227">
        <f t="shared" si="0"/>
        <v>2.2202866854564171E-2</v>
      </c>
    </row>
    <row r="14" spans="1:23" ht="12.95" customHeight="1">
      <c r="A14" s="34" t="s">
        <v>79</v>
      </c>
      <c r="B14" s="34"/>
      <c r="E14" s="34">
        <f>SUM(T21:T945)</f>
        <v>1.2002815942718745E-2</v>
      </c>
      <c r="V14" s="227">
        <v>32000</v>
      </c>
      <c r="W14" s="227">
        <f t="shared" si="0"/>
        <v>2.0328555948453855E-2</v>
      </c>
    </row>
    <row r="15" spans="1:23" ht="12.95" customHeight="1">
      <c r="A15" s="267" t="s">
        <v>73</v>
      </c>
      <c r="B15" s="34"/>
      <c r="C15" s="268">
        <f ca="1">(C7+C11)+(C8+C12)*INT(MAX(F21:F3528))</f>
        <v>60345.477760437105</v>
      </c>
      <c r="D15" s="261">
        <f>+C7+INT(MAX(F21:F1583))*C8+D11+D12*INT(MAX(F21:F4018))+D13*INT(MAX(F21:F4045)^2)</f>
        <v>60345.470753191104</v>
      </c>
      <c r="E15" s="344"/>
      <c r="F15" s="250"/>
      <c r="V15" s="227">
        <v>33000</v>
      </c>
      <c r="W15" s="227">
        <f t="shared" si="0"/>
        <v>1.8214732960748381E-2</v>
      </c>
    </row>
    <row r="16" spans="1:23" ht="12.95" customHeight="1">
      <c r="A16" s="238" t="s">
        <v>60</v>
      </c>
      <c r="B16" s="34"/>
      <c r="C16" s="270">
        <f ca="1">+C8+C12</f>
        <v>0.3298993202528136</v>
      </c>
      <c r="D16" s="261">
        <f>+C8+D12+2*D13*MAX(F21:F891)</f>
        <v>0.32989769190607193</v>
      </c>
      <c r="E16" s="344"/>
      <c r="F16" s="271"/>
      <c r="V16" s="227">
        <v>34000</v>
      </c>
      <c r="W16" s="227">
        <f t="shared" si="0"/>
        <v>1.5861397891447637E-2</v>
      </c>
    </row>
    <row r="17" spans="1:23" ht="12.95" customHeight="1" thickBot="1">
      <c r="A17" s="257" t="s">
        <v>113</v>
      </c>
      <c r="B17" s="34"/>
      <c r="C17" s="34">
        <f>COUNT(C21:C4734)</f>
        <v>198</v>
      </c>
      <c r="E17" s="344"/>
      <c r="F17" s="271"/>
      <c r="V17" s="227">
        <v>35000</v>
      </c>
      <c r="W17" s="227">
        <f t="shared" si="0"/>
        <v>1.3268550740551721E-2</v>
      </c>
    </row>
    <row r="18" spans="1:23" ht="12.95" customHeight="1" thickTop="1" thickBot="1">
      <c r="A18" s="238" t="s">
        <v>147</v>
      </c>
      <c r="B18" s="34"/>
      <c r="C18" s="273">
        <f ca="1">+C15</f>
        <v>60345.477760437105</v>
      </c>
      <c r="D18" s="274">
        <f ca="1">C16</f>
        <v>0.3298993202528136</v>
      </c>
      <c r="E18" s="344"/>
      <c r="F18" s="261"/>
      <c r="V18" s="227">
        <v>36000</v>
      </c>
      <c r="W18" s="227">
        <f t="shared" si="0"/>
        <v>1.0436191508060577E-2</v>
      </c>
    </row>
    <row r="19" spans="1:23" ht="12.95" customHeight="1" thickBot="1">
      <c r="A19" s="238" t="s">
        <v>148</v>
      </c>
      <c r="B19" s="34"/>
      <c r="C19" s="280">
        <f>+D15</f>
        <v>60345.470753191104</v>
      </c>
      <c r="D19" s="281">
        <f>+D16</f>
        <v>0.32989769190607193</v>
      </c>
      <c r="E19" s="344"/>
      <c r="F19" s="282"/>
      <c r="V19" s="227">
        <v>37000</v>
      </c>
      <c r="W19" s="227">
        <f t="shared" si="0"/>
        <v>7.3643201939742331E-3</v>
      </c>
    </row>
    <row r="20" spans="1:23" ht="12.95" customHeight="1" thickBot="1">
      <c r="A20" s="252" t="s">
        <v>61</v>
      </c>
      <c r="B20" s="252" t="s">
        <v>62</v>
      </c>
      <c r="C20" s="252" t="s">
        <v>63</v>
      </c>
      <c r="D20" s="337" t="s">
        <v>68</v>
      </c>
      <c r="E20" s="252" t="s">
        <v>64</v>
      </c>
      <c r="F20" s="252" t="s">
        <v>65</v>
      </c>
      <c r="G20" s="252" t="s">
        <v>66</v>
      </c>
      <c r="H20" s="285" t="s">
        <v>263</v>
      </c>
      <c r="I20" s="285" t="s">
        <v>264</v>
      </c>
      <c r="J20" s="285" t="s">
        <v>261</v>
      </c>
      <c r="K20" s="285" t="s">
        <v>260</v>
      </c>
      <c r="L20" s="285" t="s">
        <v>747</v>
      </c>
      <c r="M20" s="285" t="s">
        <v>748</v>
      </c>
      <c r="N20" s="285" t="s">
        <v>749</v>
      </c>
      <c r="O20" s="285" t="s">
        <v>78</v>
      </c>
      <c r="P20" s="286" t="s">
        <v>77</v>
      </c>
      <c r="Q20" s="252" t="s">
        <v>70</v>
      </c>
      <c r="R20" s="287" t="s">
        <v>222</v>
      </c>
      <c r="S20" s="252" t="s">
        <v>224</v>
      </c>
      <c r="T20" s="287" t="s">
        <v>223</v>
      </c>
      <c r="U20" s="285" t="s">
        <v>221</v>
      </c>
      <c r="V20" s="227">
        <v>38000</v>
      </c>
      <c r="W20" s="227">
        <f t="shared" si="0"/>
        <v>4.0529367982926334E-3</v>
      </c>
    </row>
    <row r="21" spans="1:23" s="227" customFormat="1" ht="12.95" customHeight="1">
      <c r="A21" s="261" t="s">
        <v>99</v>
      </c>
      <c r="B21" s="232"/>
      <c r="C21" s="290">
        <v>44520.700599999996</v>
      </c>
      <c r="D21" s="339"/>
      <c r="E21" s="227">
        <f t="shared" ref="E21:E52" si="1">+(C21-C$7)/C$8</f>
        <v>-119.00389702466701</v>
      </c>
      <c r="F21" s="227">
        <f t="shared" ref="F21:F52" si="2">ROUND(2*E21,0)/2</f>
        <v>-119</v>
      </c>
      <c r="G21" s="227">
        <f t="shared" ref="G21:G52" si="3">+C21-(C$7+F21*C$8)</f>
        <v>-1.2856420071329921E-3</v>
      </c>
      <c r="K21" s="291">
        <f>G21</f>
        <v>-1.2856420071329921E-3</v>
      </c>
      <c r="P21" s="292"/>
      <c r="Q21" s="293">
        <f t="shared" ref="Q21:Q52" si="4">+C21-15018.5</f>
        <v>29502.200599999996</v>
      </c>
      <c r="S21" s="227">
        <v>1</v>
      </c>
      <c r="T21" s="227">
        <f>R21*S21</f>
        <v>0</v>
      </c>
      <c r="V21" s="227">
        <v>39000</v>
      </c>
      <c r="W21" s="227">
        <f t="shared" si="0"/>
        <v>5.0204132101583365E-4</v>
      </c>
    </row>
    <row r="22" spans="1:23" s="227" customFormat="1" ht="12.95" customHeight="1">
      <c r="A22" s="261" t="s">
        <v>99</v>
      </c>
      <c r="B22" s="232"/>
      <c r="C22" s="290">
        <v>44520.865299999998</v>
      </c>
      <c r="D22" s="339"/>
      <c r="E22" s="227">
        <f t="shared" si="1"/>
        <v>-118.50466009936176</v>
      </c>
      <c r="F22" s="227">
        <f t="shared" si="2"/>
        <v>-118.5</v>
      </c>
      <c r="G22" s="227">
        <f t="shared" si="3"/>
        <v>-1.5373830028693192E-3</v>
      </c>
      <c r="I22" s="271"/>
      <c r="K22" s="291">
        <f>G22</f>
        <v>-1.5373830028693192E-3</v>
      </c>
      <c r="P22" s="292"/>
      <c r="Q22" s="293">
        <f t="shared" si="4"/>
        <v>29502.365299999998</v>
      </c>
      <c r="S22" s="227">
        <v>1</v>
      </c>
      <c r="T22" s="227">
        <f>R22*S22</f>
        <v>0</v>
      </c>
      <c r="V22" s="227">
        <v>40000</v>
      </c>
      <c r="W22" s="227">
        <f t="shared" si="0"/>
        <v>-3.2883662378561385E-3</v>
      </c>
    </row>
    <row r="23" spans="1:23" s="227" customFormat="1" ht="12.95" customHeight="1">
      <c r="A23" s="261" t="s">
        <v>99</v>
      </c>
      <c r="B23" s="232" t="s">
        <v>86</v>
      </c>
      <c r="C23" s="290">
        <v>44556.825700000001</v>
      </c>
      <c r="D23" s="339"/>
      <c r="E23" s="227">
        <f t="shared" si="1"/>
        <v>-9.5018700045195033</v>
      </c>
      <c r="F23" s="227">
        <f t="shared" si="2"/>
        <v>-9.5</v>
      </c>
      <c r="G23" s="227">
        <f t="shared" si="3"/>
        <v>-6.1692100280197337E-4</v>
      </c>
      <c r="K23" s="291">
        <f>G23</f>
        <v>-6.1692100280197337E-4</v>
      </c>
      <c r="P23" s="292"/>
      <c r="Q23" s="293">
        <f t="shared" si="4"/>
        <v>29538.325700000001</v>
      </c>
      <c r="S23" s="227">
        <v>1</v>
      </c>
      <c r="T23" s="227">
        <f>R23*S23</f>
        <v>0</v>
      </c>
      <c r="V23" s="227">
        <v>41000</v>
      </c>
      <c r="W23" s="227">
        <f t="shared" si="0"/>
        <v>-7.3182858783233662E-3</v>
      </c>
    </row>
    <row r="24" spans="1:23" s="227" customFormat="1" ht="12.95" customHeight="1">
      <c r="A24" s="261" t="s">
        <v>99</v>
      </c>
      <c r="B24" s="232" t="s">
        <v>86</v>
      </c>
      <c r="C24" s="290">
        <v>44558.805699999997</v>
      </c>
      <c r="D24" s="339"/>
      <c r="E24" s="227">
        <f t="shared" si="1"/>
        <v>-3.5001146183913705</v>
      </c>
      <c r="F24" s="227">
        <f t="shared" si="2"/>
        <v>-3.5</v>
      </c>
      <c r="G24" s="227">
        <f t="shared" si="3"/>
        <v>-3.7813006201758981E-5</v>
      </c>
      <c r="K24" s="291">
        <f>G24</f>
        <v>-3.7813006201758981E-5</v>
      </c>
      <c r="P24" s="292"/>
      <c r="Q24" s="293">
        <f t="shared" si="4"/>
        <v>29540.305699999997</v>
      </c>
      <c r="S24" s="227">
        <v>1</v>
      </c>
      <c r="T24" s="227">
        <f>R24*S24</f>
        <v>0</v>
      </c>
      <c r="V24" s="227">
        <v>42000</v>
      </c>
      <c r="W24" s="227">
        <f>+D$11+D$12*V24+D$13*V24^2</f>
        <v>-1.1587717600385766E-2</v>
      </c>
    </row>
    <row r="25" spans="1:23" s="227" customFormat="1" ht="12.95" customHeight="1">
      <c r="A25" s="294" t="s">
        <v>97</v>
      </c>
      <c r="B25" s="232" t="s">
        <v>86</v>
      </c>
      <c r="C25" s="21">
        <v>44559.794999999998</v>
      </c>
      <c r="D25" s="290"/>
      <c r="E25" s="227">
        <f t="shared" si="1"/>
        <v>-0.50135875803008401</v>
      </c>
      <c r="F25" s="227">
        <f t="shared" si="2"/>
        <v>-0.5</v>
      </c>
      <c r="G25" s="227">
        <f t="shared" si="3"/>
        <v>-4.4825900840805843E-4</v>
      </c>
      <c r="J25" s="291">
        <f>G25</f>
        <v>-4.4825900840805843E-4</v>
      </c>
      <c r="K25" s="34"/>
      <c r="P25" s="292"/>
      <c r="Q25" s="293">
        <f t="shared" si="4"/>
        <v>29541.294999999998</v>
      </c>
      <c r="R25" s="227">
        <f>+(P25-G25)^2</f>
        <v>2.009361386189758E-7</v>
      </c>
      <c r="S25" s="227">
        <v>1</v>
      </c>
      <c r="T25" s="227">
        <f>R25*S25</f>
        <v>2.009361386189758E-7</v>
      </c>
      <c r="V25" s="227">
        <f>V24+1000</f>
        <v>43000</v>
      </c>
      <c r="W25" s="227">
        <f>+D$11+D$12*V25+D$13*V25^2</f>
        <v>-1.6096661404043394E-2</v>
      </c>
    </row>
    <row r="26" spans="1:23" s="227" customFormat="1" ht="12.95" customHeight="1">
      <c r="A26" s="294" t="s">
        <v>67</v>
      </c>
      <c r="B26" s="232"/>
      <c r="C26" s="290">
        <v>44559.960400000004</v>
      </c>
      <c r="D26" s="339" t="s">
        <v>69</v>
      </c>
      <c r="E26" s="227">
        <f t="shared" si="1"/>
        <v>0</v>
      </c>
      <c r="F26" s="227">
        <f t="shared" si="2"/>
        <v>0</v>
      </c>
      <c r="G26" s="227">
        <f t="shared" si="3"/>
        <v>0</v>
      </c>
      <c r="J26" s="227">
        <f>G26</f>
        <v>0</v>
      </c>
      <c r="P26" s="292"/>
      <c r="Q26" s="293">
        <f t="shared" si="4"/>
        <v>29541.460400000004</v>
      </c>
      <c r="R26" s="227">
        <f>+(P26-G26)^2</f>
        <v>0</v>
      </c>
      <c r="S26" s="227">
        <v>1</v>
      </c>
      <c r="V26" s="227">
        <f t="shared" ref="V26:V37" si="5">V25+1000</f>
        <v>44000</v>
      </c>
      <c r="W26" s="227">
        <f t="shared" ref="W26:W37" si="6">+D$11+D$12*V26+D$13*V26^2</f>
        <v>-2.0845117289296222E-2</v>
      </c>
    </row>
    <row r="27" spans="1:23" s="227" customFormat="1" ht="12.95" customHeight="1">
      <c r="A27" s="295" t="s">
        <v>272</v>
      </c>
      <c r="B27" s="296" t="s">
        <v>87</v>
      </c>
      <c r="C27" s="295">
        <v>44559.960700000003</v>
      </c>
      <c r="D27" s="295" t="s">
        <v>264</v>
      </c>
      <c r="E27" s="227">
        <f t="shared" si="1"/>
        <v>9.0935687577047193E-4</v>
      </c>
      <c r="F27" s="227">
        <f t="shared" si="2"/>
        <v>0</v>
      </c>
      <c r="G27" s="227">
        <f t="shared" si="3"/>
        <v>2.9999999969732016E-4</v>
      </c>
      <c r="K27" s="227">
        <f>G27</f>
        <v>2.9999999969732016E-4</v>
      </c>
      <c r="O27" s="227">
        <f ca="1">+C$11+C$12*F27</f>
        <v>0.16478566022000038</v>
      </c>
      <c r="P27" s="292">
        <f>+D$11+D$12*F27+D$13*F27^2</f>
        <v>-3.849148752724213E-2</v>
      </c>
      <c r="Q27" s="293">
        <f t="shared" si="4"/>
        <v>29541.460700000003</v>
      </c>
      <c r="R27" s="227">
        <f>+(P27-G27)^2</f>
        <v>1.504779504552699E-3</v>
      </c>
      <c r="S27" s="34"/>
      <c r="T27" s="227">
        <f>R27*S27</f>
        <v>0</v>
      </c>
      <c r="V27" s="227">
        <f t="shared" si="5"/>
        <v>45000</v>
      </c>
      <c r="W27" s="227">
        <f t="shared" si="6"/>
        <v>-2.5833085256144334E-2</v>
      </c>
    </row>
    <row r="28" spans="1:23" s="227" customFormat="1" ht="12.95" customHeight="1">
      <c r="A28" s="294" t="s">
        <v>97</v>
      </c>
      <c r="B28" s="232" t="s">
        <v>87</v>
      </c>
      <c r="C28" s="21">
        <v>44559.961000000003</v>
      </c>
      <c r="D28" s="290"/>
      <c r="E28" s="227">
        <f t="shared" si="1"/>
        <v>1.8187137515409439E-3</v>
      </c>
      <c r="F28" s="227">
        <f t="shared" si="2"/>
        <v>0</v>
      </c>
      <c r="G28" s="227">
        <f t="shared" si="3"/>
        <v>5.9999999939464033E-4</v>
      </c>
      <c r="J28" s="291">
        <f>G28</f>
        <v>5.9999999939464033E-4</v>
      </c>
      <c r="K28" s="34"/>
      <c r="P28" s="292"/>
      <c r="Q28" s="293">
        <f t="shared" si="4"/>
        <v>29541.461000000003</v>
      </c>
      <c r="R28" s="227">
        <f>+(P28-G28)^2</f>
        <v>3.5999999927356839E-7</v>
      </c>
      <c r="S28" s="227">
        <v>1</v>
      </c>
      <c r="T28" s="227">
        <f>R28*S28</f>
        <v>3.5999999927356839E-7</v>
      </c>
      <c r="V28" s="227">
        <f t="shared" si="5"/>
        <v>46000</v>
      </c>
      <c r="W28" s="227">
        <f t="shared" si="6"/>
        <v>-3.1060565304587562E-2</v>
      </c>
    </row>
    <row r="29" spans="1:23" s="227" customFormat="1" ht="12.95" customHeight="1">
      <c r="A29" s="261" t="s">
        <v>100</v>
      </c>
      <c r="B29" s="232" t="s">
        <v>86</v>
      </c>
      <c r="C29" s="290">
        <v>45732.607600000003</v>
      </c>
      <c r="D29" s="339"/>
      <c r="E29" s="227">
        <f t="shared" si="1"/>
        <v>3554.5159841629052</v>
      </c>
      <c r="F29" s="227">
        <f t="shared" si="2"/>
        <v>3554.5</v>
      </c>
      <c r="G29" s="227">
        <f t="shared" si="3"/>
        <v>5.2732309995917603E-3</v>
      </c>
      <c r="K29" s="227">
        <f>G29</f>
        <v>5.2732309995917603E-3</v>
      </c>
      <c r="P29" s="292"/>
      <c r="Q29" s="293">
        <f t="shared" si="4"/>
        <v>30714.107600000003</v>
      </c>
      <c r="S29" s="227">
        <v>1</v>
      </c>
      <c r="V29" s="227">
        <f t="shared" si="5"/>
        <v>47000</v>
      </c>
      <c r="W29" s="227">
        <f t="shared" si="6"/>
        <v>-3.6527557434626046E-2</v>
      </c>
    </row>
    <row r="30" spans="1:23" s="227" customFormat="1" ht="12.95" customHeight="1">
      <c r="A30" s="261" t="s">
        <v>100</v>
      </c>
      <c r="B30" s="232" t="s">
        <v>86</v>
      </c>
      <c r="C30" s="290">
        <v>45738.546300000002</v>
      </c>
      <c r="D30" s="339"/>
      <c r="E30" s="227">
        <f t="shared" si="1"/>
        <v>3572.5173097748575</v>
      </c>
      <c r="F30" s="227">
        <f t="shared" si="2"/>
        <v>3572.5</v>
      </c>
      <c r="G30" s="227">
        <f t="shared" si="3"/>
        <v>5.710555000405293E-3</v>
      </c>
      <c r="J30" s="227">
        <f t="shared" ref="J30:J46" si="7">G30</f>
        <v>5.710555000405293E-3</v>
      </c>
      <c r="P30" s="292"/>
      <c r="Q30" s="293">
        <f t="shared" si="4"/>
        <v>30720.046300000002</v>
      </c>
      <c r="S30" s="227">
        <v>1</v>
      </c>
      <c r="V30" s="227">
        <f t="shared" si="5"/>
        <v>48000</v>
      </c>
      <c r="W30" s="227">
        <f t="shared" si="6"/>
        <v>-4.2234061646259757E-2</v>
      </c>
    </row>
    <row r="31" spans="1:23" s="227" customFormat="1" ht="12.95" customHeight="1">
      <c r="A31" s="261" t="s">
        <v>100</v>
      </c>
      <c r="B31" s="232" t="s">
        <v>87</v>
      </c>
      <c r="C31" s="290">
        <v>45745.640200000002</v>
      </c>
      <c r="D31" s="339"/>
      <c r="E31" s="227">
        <f t="shared" si="1"/>
        <v>3594.0202655999792</v>
      </c>
      <c r="F31" s="227">
        <f t="shared" si="2"/>
        <v>3594</v>
      </c>
      <c r="G31" s="227">
        <f t="shared" si="3"/>
        <v>6.6856919947895221E-3</v>
      </c>
      <c r="J31" s="227">
        <f t="shared" si="7"/>
        <v>6.6856919947895221E-3</v>
      </c>
      <c r="P31" s="292"/>
      <c r="Q31" s="293">
        <f t="shared" si="4"/>
        <v>30727.140200000002</v>
      </c>
      <c r="S31" s="227">
        <v>1</v>
      </c>
      <c r="V31" s="227">
        <f t="shared" si="5"/>
        <v>49000</v>
      </c>
      <c r="W31" s="227">
        <f t="shared" si="6"/>
        <v>-4.8180077939488697E-2</v>
      </c>
    </row>
    <row r="32" spans="1:23" s="227" customFormat="1" ht="12.95" customHeight="1">
      <c r="A32" s="261" t="s">
        <v>100</v>
      </c>
      <c r="B32" s="232" t="s">
        <v>87</v>
      </c>
      <c r="C32" s="21">
        <v>45752.567600000002</v>
      </c>
      <c r="D32" s="339"/>
      <c r="E32" s="227">
        <f t="shared" si="1"/>
        <v>3615.0185283585411</v>
      </c>
      <c r="F32" s="227">
        <f t="shared" si="2"/>
        <v>3615</v>
      </c>
      <c r="G32" s="227">
        <f t="shared" si="3"/>
        <v>6.1125700012780726E-3</v>
      </c>
      <c r="J32" s="227">
        <f t="shared" si="7"/>
        <v>6.1125700012780726E-3</v>
      </c>
      <c r="P32" s="292"/>
      <c r="Q32" s="293">
        <f t="shared" si="4"/>
        <v>30734.067600000002</v>
      </c>
      <c r="S32" s="227">
        <v>1</v>
      </c>
      <c r="V32" s="227">
        <f t="shared" si="5"/>
        <v>50000</v>
      </c>
      <c r="W32" s="227">
        <f t="shared" si="6"/>
        <v>-5.4365606314312753E-2</v>
      </c>
    </row>
    <row r="33" spans="1:23" s="227" customFormat="1" ht="12.95" customHeight="1">
      <c r="A33" s="295" t="s">
        <v>303</v>
      </c>
      <c r="B33" s="296" t="s">
        <v>86</v>
      </c>
      <c r="C33" s="295">
        <v>46006.428</v>
      </c>
      <c r="D33" s="295" t="s">
        <v>264</v>
      </c>
      <c r="E33" s="227">
        <f t="shared" si="1"/>
        <v>4384.5175298877148</v>
      </c>
      <c r="F33" s="227">
        <f t="shared" si="2"/>
        <v>4384.5</v>
      </c>
      <c r="G33" s="227">
        <f t="shared" si="3"/>
        <v>5.7831709927995689E-3</v>
      </c>
      <c r="J33" s="227">
        <f t="shared" si="7"/>
        <v>5.7831709927995689E-3</v>
      </c>
      <c r="O33" s="227">
        <f ca="1">+C$11+C$12*F33</f>
        <v>0.14653847968119421</v>
      </c>
      <c r="P33" s="292">
        <f>+D$11+D$12*F33+D$13*F33^2</f>
        <v>-1.5932141957090782E-2</v>
      </c>
      <c r="Q33" s="293">
        <f t="shared" si="4"/>
        <v>30987.928</v>
      </c>
      <c r="R33" s="227">
        <f>+(P33-G33)^2</f>
        <v>4.7155481651167555E-4</v>
      </c>
      <c r="S33" s="227">
        <v>1</v>
      </c>
      <c r="T33" s="34"/>
      <c r="V33" s="227">
        <f t="shared" si="5"/>
        <v>51000</v>
      </c>
      <c r="W33" s="227">
        <f t="shared" si="6"/>
        <v>-6.0790646770732093E-2</v>
      </c>
    </row>
    <row r="34" spans="1:23" s="227" customFormat="1" ht="12.95" customHeight="1">
      <c r="A34" s="31" t="s">
        <v>93</v>
      </c>
      <c r="B34" s="19" t="s">
        <v>86</v>
      </c>
      <c r="C34" s="27">
        <v>46006.428099999997</v>
      </c>
      <c r="D34" s="27"/>
      <c r="E34" s="227">
        <f t="shared" si="1"/>
        <v>4384.5178330066665</v>
      </c>
      <c r="F34" s="227">
        <f t="shared" si="2"/>
        <v>4384.5</v>
      </c>
      <c r="G34" s="227">
        <f t="shared" si="3"/>
        <v>5.8831709902733564E-3</v>
      </c>
      <c r="J34" s="227">
        <f t="shared" si="7"/>
        <v>5.8831709902733564E-3</v>
      </c>
      <c r="P34" s="292"/>
      <c r="Q34" s="293">
        <f t="shared" si="4"/>
        <v>30987.928099999997</v>
      </c>
      <c r="S34" s="227">
        <v>1</v>
      </c>
      <c r="V34" s="227">
        <f t="shared" si="5"/>
        <v>52000</v>
      </c>
      <c r="W34" s="227">
        <f t="shared" si="6"/>
        <v>-6.7455199308746661E-2</v>
      </c>
    </row>
    <row r="35" spans="1:23" s="227" customFormat="1" ht="12.95" customHeight="1">
      <c r="A35" s="295" t="s">
        <v>303</v>
      </c>
      <c r="B35" s="296" t="s">
        <v>87</v>
      </c>
      <c r="C35" s="295">
        <v>46022.428999999996</v>
      </c>
      <c r="D35" s="295" t="s">
        <v>264</v>
      </c>
      <c r="E35" s="227">
        <f t="shared" si="1"/>
        <v>4433.0195945006508</v>
      </c>
      <c r="F35" s="227">
        <f t="shared" si="2"/>
        <v>4433</v>
      </c>
      <c r="G35" s="227">
        <f t="shared" si="3"/>
        <v>6.4642939905752428E-3</v>
      </c>
      <c r="J35" s="227">
        <f t="shared" si="7"/>
        <v>6.4642939905752428E-3</v>
      </c>
      <c r="O35" s="227">
        <f ca="1">+C$11+C$12*F35</f>
        <v>0.14633663494265342</v>
      </c>
      <c r="P35" s="292">
        <f>+D$11+D$12*F35+D$13*F35^2</f>
        <v>-1.570834497453209E-2</v>
      </c>
      <c r="Q35" s="293">
        <f t="shared" si="4"/>
        <v>31003.928999999996</v>
      </c>
      <c r="R35" s="227">
        <f>+(P35-G35)^2</f>
        <v>4.91625918676996E-4</v>
      </c>
      <c r="S35" s="227">
        <v>1</v>
      </c>
      <c r="T35" s="34"/>
      <c r="V35" s="227">
        <f t="shared" si="5"/>
        <v>53000</v>
      </c>
      <c r="W35" s="227">
        <f t="shared" si="6"/>
        <v>-7.4359263928356456E-2</v>
      </c>
    </row>
    <row r="36" spans="1:23" s="227" customFormat="1" ht="12.95" customHeight="1">
      <c r="A36" s="31" t="s">
        <v>93</v>
      </c>
      <c r="B36" s="19" t="s">
        <v>94</v>
      </c>
      <c r="C36" s="27">
        <v>46022.429000000004</v>
      </c>
      <c r="D36" s="27"/>
      <c r="E36" s="227">
        <f t="shared" si="1"/>
        <v>4433.0195945006726</v>
      </c>
      <c r="F36" s="227">
        <f t="shared" si="2"/>
        <v>4433</v>
      </c>
      <c r="G36" s="227">
        <f t="shared" si="3"/>
        <v>6.4642939978512004E-3</v>
      </c>
      <c r="J36" s="227">
        <f t="shared" si="7"/>
        <v>6.4642939978512004E-3</v>
      </c>
      <c r="P36" s="292"/>
      <c r="Q36" s="293">
        <f t="shared" si="4"/>
        <v>31003.929000000004</v>
      </c>
      <c r="S36" s="227">
        <v>1</v>
      </c>
      <c r="V36" s="227">
        <f t="shared" si="5"/>
        <v>54000</v>
      </c>
      <c r="W36" s="227">
        <f t="shared" si="6"/>
        <v>-8.1502840629561424E-2</v>
      </c>
    </row>
    <row r="37" spans="1:23" s="227" customFormat="1" ht="12.95" customHeight="1">
      <c r="A37" s="261" t="s">
        <v>101</v>
      </c>
      <c r="B37" s="232"/>
      <c r="C37" s="290">
        <v>46024.738899999997</v>
      </c>
      <c r="D37" s="339"/>
      <c r="E37" s="227">
        <f t="shared" si="1"/>
        <v>4440.0213393321901</v>
      </c>
      <c r="F37" s="227">
        <f t="shared" si="2"/>
        <v>4440</v>
      </c>
      <c r="G37" s="227">
        <f t="shared" si="3"/>
        <v>7.0399199903476983E-3</v>
      </c>
      <c r="J37" s="291">
        <f t="shared" si="7"/>
        <v>7.0399199903476983E-3</v>
      </c>
      <c r="N37" s="34"/>
      <c r="P37" s="292"/>
      <c r="Q37" s="293">
        <f t="shared" si="4"/>
        <v>31006.238899999997</v>
      </c>
      <c r="R37" s="227">
        <f>+(P37-G37)^2</f>
        <v>4.9560473470497136E-5</v>
      </c>
      <c r="S37" s="227">
        <v>1</v>
      </c>
      <c r="T37" s="227">
        <f>R37*S37</f>
        <v>4.9560473470497136E-5</v>
      </c>
      <c r="V37" s="227">
        <f t="shared" si="5"/>
        <v>55000</v>
      </c>
      <c r="W37" s="227">
        <f t="shared" si="6"/>
        <v>-8.8885929412361564E-2</v>
      </c>
    </row>
    <row r="38" spans="1:23" s="227" customFormat="1" ht="12.95" customHeight="1">
      <c r="A38" s="261" t="s">
        <v>93</v>
      </c>
      <c r="B38" s="232"/>
      <c r="C38" s="290">
        <v>46036.285799999998</v>
      </c>
      <c r="D38" s="339"/>
      <c r="E38" s="227">
        <f t="shared" si="1"/>
        <v>4475.0221823969541</v>
      </c>
      <c r="F38" s="227">
        <f t="shared" si="2"/>
        <v>4475</v>
      </c>
      <c r="G38" s="227">
        <f t="shared" si="3"/>
        <v>7.3180499966838397E-3</v>
      </c>
      <c r="J38" s="227">
        <f t="shared" si="7"/>
        <v>7.3180499966838397E-3</v>
      </c>
      <c r="P38" s="292"/>
      <c r="Q38" s="293">
        <f t="shared" si="4"/>
        <v>31017.785799999998</v>
      </c>
      <c r="S38" s="227">
        <v>1</v>
      </c>
    </row>
    <row r="39" spans="1:23" s="227" customFormat="1" ht="12.95" customHeight="1">
      <c r="A39" s="31" t="s">
        <v>93</v>
      </c>
      <c r="B39" s="19" t="s">
        <v>86</v>
      </c>
      <c r="C39" s="27">
        <v>46036.449800000002</v>
      </c>
      <c r="D39" s="27"/>
      <c r="E39" s="227">
        <f t="shared" si="1"/>
        <v>4475.5192974895563</v>
      </c>
      <c r="F39" s="227">
        <f t="shared" si="2"/>
        <v>4475.5</v>
      </c>
      <c r="G39" s="227">
        <f t="shared" si="3"/>
        <v>6.3663089968031272E-3</v>
      </c>
      <c r="J39" s="227">
        <f t="shared" si="7"/>
        <v>6.3663089968031272E-3</v>
      </c>
      <c r="P39" s="292"/>
      <c r="Q39" s="293">
        <f t="shared" si="4"/>
        <v>31017.949800000002</v>
      </c>
      <c r="S39" s="227">
        <v>1</v>
      </c>
    </row>
    <row r="40" spans="1:23" s="227" customFormat="1" ht="12.95" customHeight="1">
      <c r="A40" s="31" t="s">
        <v>93</v>
      </c>
      <c r="B40" s="19" t="s">
        <v>94</v>
      </c>
      <c r="C40" s="27">
        <v>46036.615700000002</v>
      </c>
      <c r="D40" s="27"/>
      <c r="E40" s="227">
        <f t="shared" si="1"/>
        <v>4476.0221718423645</v>
      </c>
      <c r="F40" s="227">
        <f t="shared" si="2"/>
        <v>4476</v>
      </c>
      <c r="G40" s="227">
        <f t="shared" si="3"/>
        <v>7.3145679998560809E-3</v>
      </c>
      <c r="J40" s="227">
        <f t="shared" si="7"/>
        <v>7.3145679998560809E-3</v>
      </c>
      <c r="P40" s="292"/>
      <c r="Q40" s="293">
        <f t="shared" si="4"/>
        <v>31018.115700000002</v>
      </c>
      <c r="S40" s="227">
        <v>1</v>
      </c>
    </row>
    <row r="41" spans="1:23" s="227" customFormat="1" ht="12.95" customHeight="1">
      <c r="A41" s="261" t="s">
        <v>102</v>
      </c>
      <c r="B41" s="232" t="s">
        <v>87</v>
      </c>
      <c r="C41" s="290">
        <v>46100.287100000001</v>
      </c>
      <c r="D41" s="339"/>
      <c r="E41" s="227">
        <f t="shared" si="1"/>
        <v>4669.0222566368602</v>
      </c>
      <c r="F41" s="227">
        <f t="shared" si="2"/>
        <v>4669</v>
      </c>
      <c r="G41" s="227">
        <f t="shared" si="3"/>
        <v>7.3425419977866113E-3</v>
      </c>
      <c r="J41" s="227">
        <f t="shared" si="7"/>
        <v>7.3425419977866113E-3</v>
      </c>
      <c r="P41" s="292"/>
      <c r="Q41" s="293">
        <f t="shared" si="4"/>
        <v>31081.787100000001</v>
      </c>
      <c r="S41" s="227">
        <v>1</v>
      </c>
    </row>
    <row r="42" spans="1:23" s="227" customFormat="1" ht="12.95" customHeight="1">
      <c r="A42" s="261" t="s">
        <v>102</v>
      </c>
      <c r="B42" s="232" t="s">
        <v>86</v>
      </c>
      <c r="C42" s="290">
        <v>46107.3796</v>
      </c>
      <c r="D42" s="339"/>
      <c r="E42" s="227">
        <f t="shared" si="1"/>
        <v>4690.5209687965544</v>
      </c>
      <c r="F42" s="227">
        <f t="shared" si="2"/>
        <v>4690.5</v>
      </c>
      <c r="G42" s="227">
        <f t="shared" si="3"/>
        <v>6.9176789984339848E-3</v>
      </c>
      <c r="J42" s="227">
        <f t="shared" si="7"/>
        <v>6.9176789984339848E-3</v>
      </c>
      <c r="P42" s="292"/>
      <c r="Q42" s="293">
        <f t="shared" si="4"/>
        <v>31088.8796</v>
      </c>
      <c r="S42" s="227">
        <v>1</v>
      </c>
    </row>
    <row r="43" spans="1:23" s="227" customFormat="1" ht="12.95" customHeight="1">
      <c r="A43" s="261" t="s">
        <v>103</v>
      </c>
      <c r="B43" s="232" t="s">
        <v>86</v>
      </c>
      <c r="C43" s="290">
        <v>46429.697899999999</v>
      </c>
      <c r="D43" s="339"/>
      <c r="E43" s="227">
        <f t="shared" si="1"/>
        <v>5667.5288440877857</v>
      </c>
      <c r="F43" s="227">
        <f t="shared" si="2"/>
        <v>5667.5</v>
      </c>
      <c r="G43" s="227">
        <f t="shared" si="3"/>
        <v>9.5157649921020493E-3</v>
      </c>
      <c r="J43" s="291">
        <f t="shared" si="7"/>
        <v>9.5157649921020493E-3</v>
      </c>
      <c r="N43" s="34"/>
      <c r="P43" s="292"/>
      <c r="Q43" s="293">
        <f t="shared" si="4"/>
        <v>31411.197899999999</v>
      </c>
      <c r="R43" s="227">
        <f>+(P43-G43)^2</f>
        <v>9.0549783384914911E-5</v>
      </c>
      <c r="S43" s="227">
        <v>1</v>
      </c>
      <c r="T43" s="227">
        <f>R43*S43</f>
        <v>9.0549783384914911E-5</v>
      </c>
    </row>
    <row r="44" spans="1:23" s="227" customFormat="1" ht="12.95" customHeight="1">
      <c r="A44" s="261" t="s">
        <v>103</v>
      </c>
      <c r="B44" s="232" t="s">
        <v>86</v>
      </c>
      <c r="C44" s="290">
        <v>46436.625999999997</v>
      </c>
      <c r="D44" s="339"/>
      <c r="E44" s="227">
        <f t="shared" si="1"/>
        <v>5688.52922867905</v>
      </c>
      <c r="F44" s="227">
        <f t="shared" si="2"/>
        <v>5688.5</v>
      </c>
      <c r="G44" s="227">
        <f t="shared" si="3"/>
        <v>9.6426429954590276E-3</v>
      </c>
      <c r="J44" s="291">
        <f t="shared" si="7"/>
        <v>9.6426429954590276E-3</v>
      </c>
      <c r="N44" s="34"/>
      <c r="P44" s="292"/>
      <c r="Q44" s="293">
        <f t="shared" si="4"/>
        <v>31418.125999999997</v>
      </c>
      <c r="R44" s="227">
        <f>+(P44-G44)^2</f>
        <v>9.2980563937875043E-5</v>
      </c>
      <c r="S44" s="227">
        <v>1</v>
      </c>
      <c r="T44" s="227">
        <f>R44*S44</f>
        <v>9.2980563937875043E-5</v>
      </c>
    </row>
    <row r="45" spans="1:23" s="227" customFormat="1" ht="12.95" customHeight="1">
      <c r="A45" s="261" t="s">
        <v>104</v>
      </c>
      <c r="B45" s="232"/>
      <c r="C45" s="290">
        <v>46442.394899999999</v>
      </c>
      <c r="D45" s="339"/>
      <c r="E45" s="227">
        <f t="shared" si="1"/>
        <v>5706.0158582988088</v>
      </c>
      <c r="F45" s="227">
        <f t="shared" si="2"/>
        <v>5706</v>
      </c>
      <c r="G45" s="227">
        <f t="shared" si="3"/>
        <v>5.2317079971544445E-3</v>
      </c>
      <c r="J45" s="291">
        <f t="shared" si="7"/>
        <v>5.2317079971544445E-3</v>
      </c>
      <c r="N45" s="34"/>
      <c r="P45" s="292"/>
      <c r="Q45" s="293">
        <f t="shared" si="4"/>
        <v>31423.894899999999</v>
      </c>
      <c r="R45" s="227">
        <f>+(P45-G45)^2</f>
        <v>2.7370768567489769E-5</v>
      </c>
      <c r="S45" s="227">
        <v>1</v>
      </c>
      <c r="T45" s="227">
        <f>R45*S45</f>
        <v>2.7370768567489769E-5</v>
      </c>
    </row>
    <row r="46" spans="1:23" s="227" customFormat="1" ht="12.95" customHeight="1" thickBot="1">
      <c r="A46" s="261" t="s">
        <v>105</v>
      </c>
      <c r="B46" s="232" t="s">
        <v>86</v>
      </c>
      <c r="C46" s="290">
        <v>47864.787900000003</v>
      </c>
      <c r="D46" s="339"/>
      <c r="E46" s="227">
        <f t="shared" si="1"/>
        <v>10017.558711308173</v>
      </c>
      <c r="F46" s="297">
        <f t="shared" si="2"/>
        <v>10017.5</v>
      </c>
      <c r="G46" s="297">
        <f t="shared" si="3"/>
        <v>1.9369064997590613E-2</v>
      </c>
      <c r="J46" s="227">
        <f t="shared" si="7"/>
        <v>1.9369064997590613E-2</v>
      </c>
      <c r="P46" s="292"/>
      <c r="Q46" s="293">
        <f t="shared" si="4"/>
        <v>32846.287900000003</v>
      </c>
      <c r="S46" s="227">
        <v>1</v>
      </c>
    </row>
    <row r="47" spans="1:23" s="227" customFormat="1" ht="12.95" customHeight="1">
      <c r="A47" s="294" t="s">
        <v>81</v>
      </c>
      <c r="B47" s="49" t="s">
        <v>86</v>
      </c>
      <c r="C47" s="31">
        <v>50415.281000000003</v>
      </c>
      <c r="D47" s="340">
        <v>1.7999999999999999E-2</v>
      </c>
      <c r="E47" s="227">
        <f t="shared" si="1"/>
        <v>17748.586842742079</v>
      </c>
      <c r="F47" s="227">
        <f t="shared" si="2"/>
        <v>17748.5</v>
      </c>
      <c r="G47" s="227">
        <f t="shared" si="3"/>
        <v>2.8649722997215576E-2</v>
      </c>
      <c r="I47" s="227">
        <f>G47</f>
        <v>2.8649722997215576E-2</v>
      </c>
      <c r="P47" s="292"/>
      <c r="Q47" s="293">
        <f t="shared" si="4"/>
        <v>35396.781000000003</v>
      </c>
      <c r="R47" s="227">
        <f t="shared" ref="R47:R78" si="8">+(P47-G47)^2</f>
        <v>8.208066278171831E-4</v>
      </c>
      <c r="S47" s="227">
        <v>0.1</v>
      </c>
      <c r="T47" s="227">
        <f t="shared" ref="T47:T80" si="9">R47*S47</f>
        <v>8.2080662781718316E-5</v>
      </c>
    </row>
    <row r="48" spans="1:23" s="227" customFormat="1" ht="12.95" customHeight="1">
      <c r="A48" s="294" t="s">
        <v>81</v>
      </c>
      <c r="B48" s="49" t="s">
        <v>86</v>
      </c>
      <c r="C48" s="31">
        <v>50421.22</v>
      </c>
      <c r="D48" s="340">
        <v>1.0999999999999999E-2</v>
      </c>
      <c r="E48" s="227">
        <f t="shared" si="1"/>
        <v>17766.589077710909</v>
      </c>
      <c r="F48" s="227">
        <f t="shared" si="2"/>
        <v>17766.5</v>
      </c>
      <c r="G48" s="227">
        <f t="shared" si="3"/>
        <v>2.9387046997726429E-2</v>
      </c>
      <c r="I48" s="227">
        <f>G48</f>
        <v>2.9387046997726429E-2</v>
      </c>
      <c r="P48" s="292"/>
      <c r="Q48" s="293">
        <f t="shared" si="4"/>
        <v>35402.720000000001</v>
      </c>
      <c r="R48" s="227">
        <f t="shared" si="8"/>
        <v>8.6359853124658192E-4</v>
      </c>
      <c r="S48" s="227">
        <v>0.1</v>
      </c>
      <c r="T48" s="227">
        <f t="shared" si="9"/>
        <v>8.6359853124658202E-5</v>
      </c>
    </row>
    <row r="49" spans="1:20" s="227" customFormat="1" ht="12.95" customHeight="1">
      <c r="A49" s="294" t="s">
        <v>81</v>
      </c>
      <c r="B49" s="49" t="s">
        <v>87</v>
      </c>
      <c r="C49" s="31">
        <v>50434.245999999999</v>
      </c>
      <c r="D49" s="340">
        <v>1.2E-2</v>
      </c>
      <c r="E49" s="227">
        <f t="shared" si="1"/>
        <v>17806.073353296691</v>
      </c>
      <c r="F49" s="227">
        <f t="shared" si="2"/>
        <v>17806</v>
      </c>
      <c r="G49" s="227">
        <f t="shared" si="3"/>
        <v>2.419950799230719E-2</v>
      </c>
      <c r="I49" s="227">
        <f>G49</f>
        <v>2.419950799230719E-2</v>
      </c>
      <c r="P49" s="292"/>
      <c r="Q49" s="293">
        <f t="shared" si="4"/>
        <v>35415.745999999999</v>
      </c>
      <c r="R49" s="227">
        <f t="shared" si="8"/>
        <v>5.8561618706973954E-4</v>
      </c>
      <c r="S49" s="227">
        <v>0.1</v>
      </c>
      <c r="T49" s="227">
        <f t="shared" si="9"/>
        <v>5.8561618706973957E-5</v>
      </c>
    </row>
    <row r="50" spans="1:20" s="227" customFormat="1" ht="12.95" customHeight="1">
      <c r="A50" s="261" t="s">
        <v>106</v>
      </c>
      <c r="B50" s="232" t="s">
        <v>86</v>
      </c>
      <c r="C50" s="290">
        <v>51199.458500000001</v>
      </c>
      <c r="D50" s="339">
        <v>1E-4</v>
      </c>
      <c r="E50" s="227">
        <f t="shared" si="1"/>
        <v>20125.57751663863</v>
      </c>
      <c r="F50" s="227">
        <f t="shared" si="2"/>
        <v>20125.5</v>
      </c>
      <c r="G50" s="227">
        <f t="shared" si="3"/>
        <v>2.5573008999344893E-2</v>
      </c>
      <c r="J50" s="227">
        <f>G50</f>
        <v>2.5573008999344893E-2</v>
      </c>
      <c r="P50" s="292">
        <f t="shared" ref="P50:P81" si="10">+D$11+D$12*F50+D$13*F50^2</f>
        <v>2.7121053041957263E-2</v>
      </c>
      <c r="Q50" s="293">
        <f t="shared" si="4"/>
        <v>36180.958500000001</v>
      </c>
      <c r="R50" s="227">
        <f t="shared" si="8"/>
        <v>2.3964403578676504E-6</v>
      </c>
      <c r="S50" s="227">
        <v>1</v>
      </c>
      <c r="T50" s="227">
        <f t="shared" si="9"/>
        <v>2.3964403578676504E-6</v>
      </c>
    </row>
    <row r="51" spans="1:20" s="227" customFormat="1" ht="12.95" customHeight="1">
      <c r="A51" s="261" t="s">
        <v>106</v>
      </c>
      <c r="B51" s="232" t="s">
        <v>87</v>
      </c>
      <c r="C51" s="290">
        <v>51199.623699999996</v>
      </c>
      <c r="D51" s="339">
        <v>1E-4</v>
      </c>
      <c r="E51" s="227">
        <f t="shared" si="1"/>
        <v>20126.078269158712</v>
      </c>
      <c r="F51" s="227">
        <f t="shared" si="2"/>
        <v>20126</v>
      </c>
      <c r="G51" s="227">
        <f t="shared" si="3"/>
        <v>2.5821267990977503E-2</v>
      </c>
      <c r="J51" s="227">
        <f>G51</f>
        <v>2.5821267990977503E-2</v>
      </c>
      <c r="P51" s="292">
        <f t="shared" si="10"/>
        <v>2.7121478021651248E-2</v>
      </c>
      <c r="Q51" s="293">
        <f t="shared" si="4"/>
        <v>36181.123699999996</v>
      </c>
      <c r="R51" s="227">
        <f t="shared" si="8"/>
        <v>1.6905461238646193E-6</v>
      </c>
      <c r="S51" s="227">
        <v>1</v>
      </c>
      <c r="T51" s="227">
        <f t="shared" si="9"/>
        <v>1.6905461238646193E-6</v>
      </c>
    </row>
    <row r="52" spans="1:20" s="227" customFormat="1" ht="12.95" customHeight="1">
      <c r="A52" s="261" t="s">
        <v>106</v>
      </c>
      <c r="B52" s="232" t="s">
        <v>86</v>
      </c>
      <c r="C52" s="290">
        <v>51237.396999999997</v>
      </c>
      <c r="D52" s="339">
        <v>4.0000000000000001E-3</v>
      </c>
      <c r="E52" s="227">
        <f t="shared" si="1"/>
        <v>20240.576302859372</v>
      </c>
      <c r="F52" s="227">
        <f t="shared" si="2"/>
        <v>20240.5</v>
      </c>
      <c r="G52" s="227">
        <f t="shared" si="3"/>
        <v>2.5172578993078787E-2</v>
      </c>
      <c r="J52" s="227">
        <f>G52</f>
        <v>2.5172578993078787E-2</v>
      </c>
      <c r="P52" s="292">
        <f t="shared" si="10"/>
        <v>2.7217221483907074E-2</v>
      </c>
      <c r="Q52" s="293">
        <f t="shared" si="4"/>
        <v>36218.896999999997</v>
      </c>
      <c r="R52" s="227">
        <f t="shared" si="8"/>
        <v>4.1805629153005015E-6</v>
      </c>
      <c r="S52" s="227">
        <v>1</v>
      </c>
      <c r="T52" s="227">
        <f t="shared" si="9"/>
        <v>4.1805629153005015E-6</v>
      </c>
    </row>
    <row r="53" spans="1:20" s="227" customFormat="1" ht="12.95" customHeight="1">
      <c r="A53" s="294" t="s">
        <v>97</v>
      </c>
      <c r="B53" s="232" t="s">
        <v>87</v>
      </c>
      <c r="C53" s="290">
        <v>51241.522299999997</v>
      </c>
      <c r="D53" s="339">
        <v>2.0000000000000001E-4</v>
      </c>
      <c r="E53" s="227">
        <f t="shared" ref="E53:E84" si="11">+(C53-C$7)/C$8</f>
        <v>20253.080869270707</v>
      </c>
      <c r="F53" s="227">
        <f t="shared" ref="F53:F84" si="12">ROUND(2*E53,0)/2</f>
        <v>20253</v>
      </c>
      <c r="G53" s="227">
        <f t="shared" ref="G53:G84" si="13">+C53-(C$7+F53*C$8)</f>
        <v>2.6679053989937529E-2</v>
      </c>
      <c r="K53" s="291">
        <f>G53</f>
        <v>2.6679053989937529E-2</v>
      </c>
      <c r="P53" s="292">
        <f t="shared" si="10"/>
        <v>2.7227483714233329E-2</v>
      </c>
      <c r="Q53" s="293">
        <f t="shared" ref="Q53:Q84" si="14">+C53-15018.5</f>
        <v>36223.022299999997</v>
      </c>
      <c r="R53" s="227">
        <f t="shared" si="8"/>
        <v>3.0077516249116719E-7</v>
      </c>
      <c r="S53" s="227">
        <v>1</v>
      </c>
      <c r="T53" s="227">
        <f t="shared" si="9"/>
        <v>3.0077516249116719E-7</v>
      </c>
    </row>
    <row r="54" spans="1:20" s="227" customFormat="1" ht="12.95" customHeight="1">
      <c r="A54" s="294" t="s">
        <v>88</v>
      </c>
      <c r="B54" s="49" t="s">
        <v>86</v>
      </c>
      <c r="C54" s="31">
        <v>51457.777099999999</v>
      </c>
      <c r="D54" s="340"/>
      <c r="E54" s="227">
        <f t="shared" si="11"/>
        <v>20908.590167593306</v>
      </c>
      <c r="F54" s="227">
        <f t="shared" si="12"/>
        <v>20908.5</v>
      </c>
      <c r="G54" s="227">
        <f t="shared" si="13"/>
        <v>2.9746602995146532E-2</v>
      </c>
      <c r="J54" s="291">
        <f t="shared" ref="J54:J61" si="15">G54</f>
        <v>2.9746602995146532E-2</v>
      </c>
      <c r="N54" s="34"/>
      <c r="P54" s="292">
        <f t="shared" si="10"/>
        <v>2.7713197015934353E-2</v>
      </c>
      <c r="Q54" s="293">
        <f t="shared" si="14"/>
        <v>36439.277099999999</v>
      </c>
      <c r="R54" s="227">
        <f t="shared" si="8"/>
        <v>4.1347398762958388E-6</v>
      </c>
      <c r="S54" s="227">
        <v>1</v>
      </c>
      <c r="T54" s="227">
        <f t="shared" si="9"/>
        <v>4.1347398762958388E-6</v>
      </c>
    </row>
    <row r="55" spans="1:20" s="227" customFormat="1" ht="12.95" customHeight="1">
      <c r="A55" s="294" t="s">
        <v>88</v>
      </c>
      <c r="B55" s="49" t="s">
        <v>87</v>
      </c>
      <c r="C55" s="31">
        <v>51550.6443</v>
      </c>
      <c r="D55" s="340"/>
      <c r="E55" s="227">
        <f t="shared" si="11"/>
        <v>21190.088257389158</v>
      </c>
      <c r="F55" s="227">
        <f t="shared" si="12"/>
        <v>21190</v>
      </c>
      <c r="G55" s="227">
        <f t="shared" si="13"/>
        <v>2.9116419995261822E-2</v>
      </c>
      <c r="J55" s="291">
        <f t="shared" si="15"/>
        <v>2.9116419995261822E-2</v>
      </c>
      <c r="N55" s="34"/>
      <c r="P55" s="292">
        <f t="shared" si="10"/>
        <v>2.7890195765479131E-2</v>
      </c>
      <c r="Q55" s="293">
        <f t="shared" si="14"/>
        <v>36532.1443</v>
      </c>
      <c r="R55" s="227">
        <f t="shared" si="8"/>
        <v>1.5036258617061534E-6</v>
      </c>
      <c r="S55" s="227">
        <v>1</v>
      </c>
      <c r="T55" s="227">
        <f t="shared" si="9"/>
        <v>1.5036258617061534E-6</v>
      </c>
    </row>
    <row r="56" spans="1:20" s="227" customFormat="1" ht="12.95" customHeight="1">
      <c r="A56" s="261" t="s">
        <v>107</v>
      </c>
      <c r="B56" s="232"/>
      <c r="C56" s="290">
        <v>51591.392999999996</v>
      </c>
      <c r="D56" s="339"/>
      <c r="E56" s="227">
        <f t="shared" si="11"/>
        <v>21313.605292592798</v>
      </c>
      <c r="F56" s="227">
        <f t="shared" si="12"/>
        <v>21313.5</v>
      </c>
      <c r="G56" s="227">
        <f t="shared" si="13"/>
        <v>3.4736392990453169E-2</v>
      </c>
      <c r="J56" s="227">
        <f t="shared" si="15"/>
        <v>3.4736392990453169E-2</v>
      </c>
      <c r="P56" s="292">
        <f t="shared" si="10"/>
        <v>2.7961858960315208E-2</v>
      </c>
      <c r="Q56" s="293">
        <f t="shared" si="14"/>
        <v>36572.892999999996</v>
      </c>
      <c r="R56" s="227">
        <f t="shared" si="8"/>
        <v>4.5894311325497274E-5</v>
      </c>
      <c r="S56" s="227">
        <v>0.1</v>
      </c>
      <c r="T56" s="227">
        <f t="shared" si="9"/>
        <v>4.5894311325497281E-6</v>
      </c>
    </row>
    <row r="57" spans="1:20" s="227" customFormat="1" ht="12.95" customHeight="1">
      <c r="A57" s="261" t="s">
        <v>107</v>
      </c>
      <c r="B57" s="232"/>
      <c r="C57" s="290">
        <v>51596.341</v>
      </c>
      <c r="D57" s="339"/>
      <c r="E57" s="227">
        <f t="shared" si="11"/>
        <v>21328.603618678982</v>
      </c>
      <c r="F57" s="227">
        <f t="shared" si="12"/>
        <v>21328.5</v>
      </c>
      <c r="G57" s="227">
        <f t="shared" si="13"/>
        <v>3.4184162999736145E-2</v>
      </c>
      <c r="J57" s="227">
        <f t="shared" si="15"/>
        <v>3.4184162999736145E-2</v>
      </c>
      <c r="P57" s="292">
        <f t="shared" si="10"/>
        <v>2.7970314198901919E-2</v>
      </c>
      <c r="Q57" s="293">
        <f t="shared" si="14"/>
        <v>36577.841</v>
      </c>
      <c r="R57" s="227">
        <f t="shared" si="8"/>
        <v>3.8611916919628955E-5</v>
      </c>
      <c r="S57" s="227">
        <v>0.1</v>
      </c>
      <c r="T57" s="227">
        <f t="shared" si="9"/>
        <v>3.8611916919628961E-6</v>
      </c>
    </row>
    <row r="58" spans="1:20" s="227" customFormat="1" ht="12.95" customHeight="1">
      <c r="A58" s="261" t="s">
        <v>106</v>
      </c>
      <c r="B58" s="232" t="s">
        <v>87</v>
      </c>
      <c r="C58" s="290">
        <v>51597.485999999997</v>
      </c>
      <c r="D58" s="339"/>
      <c r="E58" s="227">
        <f t="shared" si="11"/>
        <v>21332.074330758333</v>
      </c>
      <c r="F58" s="227">
        <f t="shared" si="12"/>
        <v>21332</v>
      </c>
      <c r="G58" s="227">
        <f t="shared" si="13"/>
        <v>2.4521975989046041E-2</v>
      </c>
      <c r="J58" s="227">
        <f t="shared" si="15"/>
        <v>2.4521975989046041E-2</v>
      </c>
      <c r="P58" s="292">
        <f t="shared" si="10"/>
        <v>2.7972279333701847E-2</v>
      </c>
      <c r="Q58" s="293">
        <f t="shared" si="14"/>
        <v>36578.985999999997</v>
      </c>
      <c r="R58" s="227">
        <f t="shared" si="8"/>
        <v>1.1904593170143039E-5</v>
      </c>
      <c r="S58" s="227">
        <v>1</v>
      </c>
      <c r="T58" s="227">
        <f t="shared" si="9"/>
        <v>1.1904593170143039E-5</v>
      </c>
    </row>
    <row r="59" spans="1:20" s="227" customFormat="1" ht="12.95" customHeight="1">
      <c r="A59" s="261" t="s">
        <v>107</v>
      </c>
      <c r="B59" s="232"/>
      <c r="C59" s="290">
        <v>51602.444000000003</v>
      </c>
      <c r="D59" s="339"/>
      <c r="E59" s="227">
        <f t="shared" si="11"/>
        <v>21347.102968740412</v>
      </c>
      <c r="F59" s="227">
        <f t="shared" si="12"/>
        <v>21347</v>
      </c>
      <c r="G59" s="227">
        <f t="shared" si="13"/>
        <v>3.3969746000366285E-2</v>
      </c>
      <c r="J59" s="227">
        <f t="shared" si="15"/>
        <v>3.3969746000366285E-2</v>
      </c>
      <c r="P59" s="292">
        <f t="shared" si="10"/>
        <v>2.7980668107685916E-2</v>
      </c>
      <c r="Q59" s="293">
        <f t="shared" si="14"/>
        <v>36583.944000000003</v>
      </c>
      <c r="R59" s="227">
        <f t="shared" si="8"/>
        <v>3.5869054004592734E-5</v>
      </c>
      <c r="S59" s="227">
        <v>0.1</v>
      </c>
      <c r="T59" s="227">
        <f t="shared" si="9"/>
        <v>3.5869054004592736E-6</v>
      </c>
    </row>
    <row r="60" spans="1:20" s="227" customFormat="1" ht="12.95" customHeight="1">
      <c r="A60" s="261" t="s">
        <v>107</v>
      </c>
      <c r="B60" s="232"/>
      <c r="C60" s="290">
        <v>51625.362999999998</v>
      </c>
      <c r="D60" s="339"/>
      <c r="E60" s="227">
        <f t="shared" si="11"/>
        <v>21416.574802929765</v>
      </c>
      <c r="F60" s="227">
        <f t="shared" si="12"/>
        <v>21416.5</v>
      </c>
      <c r="G60" s="227">
        <f t="shared" si="13"/>
        <v>2.4677746994711924E-2</v>
      </c>
      <c r="J60" s="227">
        <f t="shared" si="15"/>
        <v>2.4677746994711924E-2</v>
      </c>
      <c r="P60" s="292">
        <f t="shared" si="10"/>
        <v>2.80188327965235E-2</v>
      </c>
      <c r="Q60" s="293">
        <f t="shared" si="14"/>
        <v>36606.862999999998</v>
      </c>
      <c r="R60" s="227">
        <f t="shared" si="8"/>
        <v>1.1162854335066902E-5</v>
      </c>
      <c r="S60" s="227">
        <v>0.1</v>
      </c>
      <c r="T60" s="227">
        <f t="shared" si="9"/>
        <v>1.1162854335066902E-6</v>
      </c>
    </row>
    <row r="61" spans="1:20" s="227" customFormat="1" ht="12.95" customHeight="1">
      <c r="A61" s="261" t="s">
        <v>107</v>
      </c>
      <c r="B61" s="232"/>
      <c r="C61" s="290">
        <v>51625.370999999999</v>
      </c>
      <c r="D61" s="339"/>
      <c r="E61" s="227">
        <f t="shared" si="11"/>
        <v>21416.599052446483</v>
      </c>
      <c r="F61" s="227">
        <f t="shared" si="12"/>
        <v>21416.5</v>
      </c>
      <c r="G61" s="227">
        <f t="shared" si="13"/>
        <v>3.2677746996341739E-2</v>
      </c>
      <c r="J61" s="227">
        <f t="shared" si="15"/>
        <v>3.2677746996341739E-2</v>
      </c>
      <c r="P61" s="292">
        <f t="shared" si="10"/>
        <v>2.80188327965235E-2</v>
      </c>
      <c r="Q61" s="293">
        <f t="shared" si="14"/>
        <v>36606.870999999999</v>
      </c>
      <c r="R61" s="227">
        <f t="shared" si="8"/>
        <v>2.1705481521268018E-5</v>
      </c>
      <c r="S61" s="227">
        <v>0.1</v>
      </c>
      <c r="T61" s="227">
        <f t="shared" si="9"/>
        <v>2.1705481521268021E-6</v>
      </c>
    </row>
    <row r="62" spans="1:20" s="227" customFormat="1" ht="12.95" customHeight="1">
      <c r="A62" s="261" t="s">
        <v>109</v>
      </c>
      <c r="B62" s="232"/>
      <c r="C62" s="290">
        <v>51628.343000000001</v>
      </c>
      <c r="D62" s="339"/>
      <c r="E62" s="227">
        <f t="shared" si="11"/>
        <v>21425.607747904876</v>
      </c>
      <c r="F62" s="227">
        <f t="shared" si="12"/>
        <v>21425.5</v>
      </c>
      <c r="G62" s="227">
        <f t="shared" si="13"/>
        <v>3.5546408995287493E-2</v>
      </c>
      <c r="I62" s="227">
        <f>G62</f>
        <v>3.5546408995287493E-2</v>
      </c>
      <c r="P62" s="292">
        <f t="shared" si="10"/>
        <v>2.8023690378802091E-2</v>
      </c>
      <c r="Q62" s="293">
        <f t="shared" si="14"/>
        <v>36609.843000000001</v>
      </c>
      <c r="R62" s="227">
        <f t="shared" si="8"/>
        <v>5.659129538281604E-5</v>
      </c>
      <c r="S62" s="227">
        <v>0.1</v>
      </c>
      <c r="T62" s="227">
        <f t="shared" si="9"/>
        <v>5.6591295382816045E-6</v>
      </c>
    </row>
    <row r="63" spans="1:20" s="227" customFormat="1" ht="12.95" customHeight="1">
      <c r="A63" s="261" t="s">
        <v>108</v>
      </c>
      <c r="B63" s="232"/>
      <c r="C63" s="290">
        <v>51749.41</v>
      </c>
      <c r="D63" s="339"/>
      <c r="E63" s="227">
        <f t="shared" si="11"/>
        <v>21792.584777871485</v>
      </c>
      <c r="F63" s="227">
        <f t="shared" si="12"/>
        <v>21792.5</v>
      </c>
      <c r="G63" s="227">
        <f t="shared" si="13"/>
        <v>2.7968515001703054E-2</v>
      </c>
      <c r="J63" s="227">
        <f t="shared" ref="J63:J68" si="16">G63</f>
        <v>2.7968515001703054E-2</v>
      </c>
      <c r="P63" s="292">
        <f t="shared" si="10"/>
        <v>2.820524641391399E-2</v>
      </c>
      <c r="Q63" s="293">
        <f t="shared" si="14"/>
        <v>36730.910000000003</v>
      </c>
      <c r="R63" s="227">
        <f t="shared" si="8"/>
        <v>5.604176152738408E-8</v>
      </c>
      <c r="S63" s="227">
        <v>0.1</v>
      </c>
      <c r="T63" s="227">
        <f t="shared" si="9"/>
        <v>5.6041761527384087E-9</v>
      </c>
    </row>
    <row r="64" spans="1:20" s="227" customFormat="1" ht="12.95" customHeight="1">
      <c r="A64" s="261" t="s">
        <v>108</v>
      </c>
      <c r="B64" s="232"/>
      <c r="C64" s="290">
        <v>51749.415000000001</v>
      </c>
      <c r="D64" s="339"/>
      <c r="E64" s="227">
        <f t="shared" si="11"/>
        <v>21792.599933819423</v>
      </c>
      <c r="F64" s="227">
        <f t="shared" si="12"/>
        <v>21792.5</v>
      </c>
      <c r="G64" s="227">
        <f t="shared" si="13"/>
        <v>3.2968514999083709E-2</v>
      </c>
      <c r="J64" s="227">
        <f t="shared" si="16"/>
        <v>3.2968514999083709E-2</v>
      </c>
      <c r="P64" s="292">
        <f t="shared" si="10"/>
        <v>2.820524641391399E-2</v>
      </c>
      <c r="Q64" s="293">
        <f t="shared" si="14"/>
        <v>36730.915000000001</v>
      </c>
      <c r="R64" s="227">
        <f t="shared" si="8"/>
        <v>2.268872761446474E-5</v>
      </c>
      <c r="S64" s="227">
        <v>0.1</v>
      </c>
      <c r="T64" s="227">
        <f t="shared" si="9"/>
        <v>2.2688727614464742E-6</v>
      </c>
    </row>
    <row r="65" spans="1:20" s="227" customFormat="1" ht="12.95" customHeight="1">
      <c r="A65" s="31" t="s">
        <v>90</v>
      </c>
      <c r="B65" s="49" t="s">
        <v>86</v>
      </c>
      <c r="C65" s="31">
        <v>51798.567300000002</v>
      </c>
      <c r="D65" s="31">
        <v>2.0000000000000001E-4</v>
      </c>
      <c r="E65" s="227">
        <f t="shared" si="11"/>
        <v>21941.589873852856</v>
      </c>
      <c r="F65" s="227">
        <f t="shared" si="12"/>
        <v>21941.5</v>
      </c>
      <c r="G65" s="227">
        <f t="shared" si="13"/>
        <v>2.9649696996784769E-2</v>
      </c>
      <c r="J65" s="227">
        <f t="shared" si="16"/>
        <v>2.9649696996784769E-2</v>
      </c>
      <c r="P65" s="292">
        <f t="shared" si="10"/>
        <v>2.8269749851322551E-2</v>
      </c>
      <c r="Q65" s="293">
        <f t="shared" si="14"/>
        <v>36780.067300000002</v>
      </c>
      <c r="R65" s="227">
        <f t="shared" si="8"/>
        <v>1.904254124269324E-6</v>
      </c>
      <c r="S65" s="227">
        <v>1</v>
      </c>
      <c r="T65" s="227">
        <f t="shared" si="9"/>
        <v>1.904254124269324E-6</v>
      </c>
    </row>
    <row r="66" spans="1:20" s="227" customFormat="1" ht="12.95" customHeight="1">
      <c r="A66" s="31" t="s">
        <v>90</v>
      </c>
      <c r="B66" s="49" t="s">
        <v>86</v>
      </c>
      <c r="C66" s="31">
        <v>51798.567499999997</v>
      </c>
      <c r="D66" s="31">
        <v>1E-4</v>
      </c>
      <c r="E66" s="227">
        <f t="shared" si="11"/>
        <v>21941.590480090759</v>
      </c>
      <c r="F66" s="227">
        <f t="shared" si="12"/>
        <v>21941.5</v>
      </c>
      <c r="G66" s="227">
        <f t="shared" si="13"/>
        <v>2.9849696991732344E-2</v>
      </c>
      <c r="J66" s="227">
        <f t="shared" si="16"/>
        <v>2.9849696991732344E-2</v>
      </c>
      <c r="P66" s="292">
        <f t="shared" si="10"/>
        <v>2.8269749851322551E-2</v>
      </c>
      <c r="Q66" s="293">
        <f t="shared" si="14"/>
        <v>36780.067499999997</v>
      </c>
      <c r="R66" s="227">
        <f t="shared" si="8"/>
        <v>2.4962329664890826E-6</v>
      </c>
      <c r="S66" s="227">
        <v>1</v>
      </c>
      <c r="T66" s="227">
        <f t="shared" si="9"/>
        <v>2.4962329664890826E-6</v>
      </c>
    </row>
    <row r="67" spans="1:20" s="227" customFormat="1" ht="12.95" customHeight="1">
      <c r="A67" s="31" t="s">
        <v>95</v>
      </c>
      <c r="B67" s="232" t="s">
        <v>87</v>
      </c>
      <c r="C67" s="290">
        <v>52203.523000000001</v>
      </c>
      <c r="D67" s="290">
        <v>2.0000000000000001E-4</v>
      </c>
      <c r="E67" s="227">
        <f t="shared" si="11"/>
        <v>23169.087375682797</v>
      </c>
      <c r="F67" s="227">
        <f t="shared" si="12"/>
        <v>23169</v>
      </c>
      <c r="G67" s="227">
        <f t="shared" si="13"/>
        <v>2.8825541994592641E-2</v>
      </c>
      <c r="J67" s="227">
        <f t="shared" si="16"/>
        <v>2.8825541994592641E-2</v>
      </c>
      <c r="P67" s="292">
        <f t="shared" si="10"/>
        <v>2.8598799375816539E-2</v>
      </c>
      <c r="Q67" s="293">
        <f t="shared" si="14"/>
        <v>37185.023000000001</v>
      </c>
      <c r="R67" s="227">
        <f t="shared" si="8"/>
        <v>5.141221516944463E-8</v>
      </c>
      <c r="S67" s="227">
        <v>1</v>
      </c>
      <c r="T67" s="227">
        <f t="shared" si="9"/>
        <v>5.141221516944463E-8</v>
      </c>
    </row>
    <row r="68" spans="1:20" s="227" customFormat="1" ht="12.95" customHeight="1">
      <c r="A68" s="31" t="s">
        <v>95</v>
      </c>
      <c r="B68" s="232" t="s">
        <v>87</v>
      </c>
      <c r="C68" s="290">
        <v>52271.480600000003</v>
      </c>
      <c r="D68" s="290">
        <v>5.0000000000000001E-4</v>
      </c>
      <c r="E68" s="227">
        <f t="shared" si="11"/>
        <v>23375.0797452935</v>
      </c>
      <c r="F68" s="227">
        <f t="shared" si="12"/>
        <v>23375</v>
      </c>
      <c r="G68" s="227">
        <f t="shared" si="13"/>
        <v>2.6308249995054211E-2</v>
      </c>
      <c r="J68" s="227">
        <f t="shared" si="16"/>
        <v>2.6308249995054211E-2</v>
      </c>
      <c r="P68" s="292">
        <f t="shared" si="10"/>
        <v>2.8618656643075085E-2</v>
      </c>
      <c r="Q68" s="293">
        <f t="shared" si="14"/>
        <v>37252.980600000003</v>
      </c>
      <c r="R68" s="227">
        <f t="shared" si="8"/>
        <v>5.3379788792190509E-6</v>
      </c>
      <c r="S68" s="227">
        <v>1</v>
      </c>
      <c r="T68" s="227">
        <f t="shared" si="9"/>
        <v>5.3379788792190509E-6</v>
      </c>
    </row>
    <row r="69" spans="1:20" s="227" customFormat="1" ht="12.95" customHeight="1">
      <c r="A69" s="298" t="s">
        <v>97</v>
      </c>
      <c r="B69" s="232" t="s">
        <v>87</v>
      </c>
      <c r="C69" s="290">
        <v>52311.068899999838</v>
      </c>
      <c r="D69" s="339">
        <v>2.9999999999999997E-4</v>
      </c>
      <c r="E69" s="227">
        <f t="shared" si="11"/>
        <v>23495.07938809762</v>
      </c>
      <c r="F69" s="227">
        <f t="shared" si="12"/>
        <v>23495</v>
      </c>
      <c r="G69" s="227">
        <f t="shared" si="13"/>
        <v>2.6190409836999606E-2</v>
      </c>
      <c r="K69" s="291">
        <f>G69</f>
        <v>2.6190409836999606E-2</v>
      </c>
      <c r="P69" s="292">
        <f t="shared" si="10"/>
        <v>2.8625539126909696E-2</v>
      </c>
      <c r="Q69" s="293">
        <f t="shared" si="14"/>
        <v>37292.568899999838</v>
      </c>
      <c r="R69" s="227">
        <f t="shared" si="8"/>
        <v>5.9298546585780198E-6</v>
      </c>
      <c r="S69" s="227">
        <v>1</v>
      </c>
      <c r="T69" s="227">
        <f t="shared" si="9"/>
        <v>5.9298546585780198E-6</v>
      </c>
    </row>
    <row r="70" spans="1:20" s="227" customFormat="1" ht="12.95" customHeight="1">
      <c r="A70" s="31" t="s">
        <v>95</v>
      </c>
      <c r="B70" s="232" t="s">
        <v>86</v>
      </c>
      <c r="C70" s="290">
        <v>52311.565600000002</v>
      </c>
      <c r="D70" s="290">
        <v>5.0000000000000001E-4</v>
      </c>
      <c r="E70" s="227">
        <f t="shared" si="11"/>
        <v>23496.584979966952</v>
      </c>
      <c r="F70" s="227">
        <f t="shared" si="12"/>
        <v>23496.5</v>
      </c>
      <c r="G70" s="227">
        <f t="shared" si="13"/>
        <v>2.8035186995111872E-2</v>
      </c>
      <c r="J70" s="227">
        <f>G70</f>
        <v>2.8035186995111872E-2</v>
      </c>
      <c r="P70" s="292">
        <f t="shared" si="10"/>
        <v>2.8625603332419189E-2</v>
      </c>
      <c r="Q70" s="293">
        <f t="shared" si="14"/>
        <v>37293.065600000002</v>
      </c>
      <c r="R70" s="227">
        <f t="shared" si="8"/>
        <v>3.4859145135938792E-7</v>
      </c>
      <c r="S70" s="227">
        <v>1</v>
      </c>
      <c r="T70" s="227">
        <f t="shared" si="9"/>
        <v>3.4859145135938792E-7</v>
      </c>
    </row>
    <row r="71" spans="1:20" s="227" customFormat="1" ht="12.95" customHeight="1">
      <c r="A71" s="298" t="s">
        <v>97</v>
      </c>
      <c r="B71" s="232" t="s">
        <v>87</v>
      </c>
      <c r="C71" s="290">
        <v>52313.048400000203</v>
      </c>
      <c r="D71" s="339">
        <v>2.0000000000000001E-4</v>
      </c>
      <c r="E71" s="227">
        <f t="shared" si="11"/>
        <v>23501.079627890071</v>
      </c>
      <c r="F71" s="227">
        <f t="shared" si="12"/>
        <v>23501</v>
      </c>
      <c r="G71" s="227">
        <f t="shared" si="13"/>
        <v>2.6269518202752806E-2</v>
      </c>
      <c r="K71" s="291">
        <f>G71</f>
        <v>2.6269518202752806E-2</v>
      </c>
      <c r="P71" s="292">
        <f t="shared" si="10"/>
        <v>2.8625792715534601E-2</v>
      </c>
      <c r="Q71" s="293">
        <f t="shared" si="14"/>
        <v>37294.548400000203</v>
      </c>
      <c r="R71" s="227">
        <f t="shared" si="8"/>
        <v>5.552029579585084E-6</v>
      </c>
      <c r="S71" s="227">
        <v>1</v>
      </c>
      <c r="T71" s="227">
        <f t="shared" si="9"/>
        <v>5.552029579585084E-6</v>
      </c>
    </row>
    <row r="72" spans="1:20" s="227" customFormat="1" ht="12.95" customHeight="1">
      <c r="A72" s="298" t="s">
        <v>97</v>
      </c>
      <c r="B72" s="232" t="s">
        <v>87</v>
      </c>
      <c r="C72" s="290">
        <v>52314.038699999917</v>
      </c>
      <c r="D72" s="339">
        <v>2.9999999999999997E-4</v>
      </c>
      <c r="E72" s="227">
        <f t="shared" si="11"/>
        <v>23504.081414939152</v>
      </c>
      <c r="F72" s="227">
        <f t="shared" si="12"/>
        <v>23504</v>
      </c>
      <c r="G72" s="227">
        <f t="shared" si="13"/>
        <v>2.6859071913349908E-2</v>
      </c>
      <c r="K72" s="291">
        <f>G72</f>
        <v>2.6859071913349908E-2</v>
      </c>
      <c r="P72" s="292">
        <f t="shared" si="10"/>
        <v>2.8625916276433919E-2</v>
      </c>
      <c r="Q72" s="293">
        <f t="shared" si="14"/>
        <v>37295.538699999917</v>
      </c>
      <c r="R72" s="227">
        <f t="shared" si="8"/>
        <v>3.1217390033617439E-6</v>
      </c>
      <c r="S72" s="227">
        <v>1</v>
      </c>
      <c r="T72" s="227">
        <f t="shared" si="9"/>
        <v>3.1217390033617439E-6</v>
      </c>
    </row>
    <row r="73" spans="1:20" s="227" customFormat="1" ht="12.95" customHeight="1">
      <c r="A73" s="31" t="s">
        <v>95</v>
      </c>
      <c r="B73" s="232" t="s">
        <v>86</v>
      </c>
      <c r="C73" s="290">
        <v>52547.449099999998</v>
      </c>
      <c r="D73" s="290">
        <v>2.0000000000000001E-4</v>
      </c>
      <c r="E73" s="227">
        <f t="shared" si="11"/>
        <v>24211.592589374348</v>
      </c>
      <c r="F73" s="227">
        <f t="shared" si="12"/>
        <v>24211.5</v>
      </c>
      <c r="G73" s="227">
        <f t="shared" si="13"/>
        <v>3.0545556990546174E-2</v>
      </c>
      <c r="J73" s="227">
        <f>G73</f>
        <v>3.0545556990546174E-2</v>
      </c>
      <c r="P73" s="292">
        <f t="shared" si="10"/>
        <v>2.8594857238302393E-2</v>
      </c>
      <c r="Q73" s="293">
        <f t="shared" si="14"/>
        <v>37528.949099999998</v>
      </c>
      <c r="R73" s="227">
        <f t="shared" si="8"/>
        <v>3.8052295234039501E-6</v>
      </c>
      <c r="S73" s="227">
        <v>1</v>
      </c>
      <c r="T73" s="227">
        <f t="shared" si="9"/>
        <v>3.8052295234039501E-6</v>
      </c>
    </row>
    <row r="74" spans="1:20" s="227" customFormat="1" ht="12.95" customHeight="1">
      <c r="A74" s="31" t="s">
        <v>95</v>
      </c>
      <c r="B74" s="232" t="s">
        <v>87</v>
      </c>
      <c r="C74" s="290">
        <v>52547.6132</v>
      </c>
      <c r="D74" s="290">
        <v>8.0000000000000004E-4</v>
      </c>
      <c r="E74" s="227">
        <f t="shared" si="11"/>
        <v>24212.090007585903</v>
      </c>
      <c r="F74" s="227">
        <f t="shared" si="12"/>
        <v>24212</v>
      </c>
      <c r="G74" s="227">
        <f t="shared" si="13"/>
        <v>2.9693815995415207E-2</v>
      </c>
      <c r="J74" s="227">
        <f>G74</f>
        <v>2.9693815995415207E-2</v>
      </c>
      <c r="P74" s="292">
        <f t="shared" si="10"/>
        <v>2.8594792894813675E-2</v>
      </c>
      <c r="Q74" s="293">
        <f t="shared" si="14"/>
        <v>37529.1132</v>
      </c>
      <c r="R74" s="227">
        <f t="shared" si="8"/>
        <v>1.2078517756558042E-6</v>
      </c>
      <c r="S74" s="227">
        <v>1</v>
      </c>
      <c r="T74" s="227">
        <f t="shared" si="9"/>
        <v>1.2078517756558042E-6</v>
      </c>
    </row>
    <row r="75" spans="1:20" s="227" customFormat="1" ht="12.95" customHeight="1">
      <c r="A75" s="31" t="s">
        <v>95</v>
      </c>
      <c r="B75" s="232" t="s">
        <v>87</v>
      </c>
      <c r="C75" s="290">
        <v>52548.273000000001</v>
      </c>
      <c r="D75" s="290">
        <v>5.0000000000000001E-4</v>
      </c>
      <c r="E75" s="227">
        <f t="shared" si="11"/>
        <v>24214.089986476702</v>
      </c>
      <c r="F75" s="227">
        <f t="shared" si="12"/>
        <v>24214</v>
      </c>
      <c r="G75" s="227">
        <f t="shared" si="13"/>
        <v>2.9686851994483732E-2</v>
      </c>
      <c r="J75" s="227">
        <f>G75</f>
        <v>2.9686851994483732E-2</v>
      </c>
      <c r="P75" s="292">
        <f t="shared" si="10"/>
        <v>2.8594534922078627E-2</v>
      </c>
      <c r="Q75" s="293">
        <f t="shared" si="14"/>
        <v>37529.773000000001</v>
      </c>
      <c r="R75" s="227">
        <f t="shared" si="8"/>
        <v>1.1931565866676597E-6</v>
      </c>
      <c r="S75" s="227">
        <v>1</v>
      </c>
      <c r="T75" s="227">
        <f t="shared" si="9"/>
        <v>1.1931565866676597E-6</v>
      </c>
    </row>
    <row r="76" spans="1:20" s="227" customFormat="1" ht="12.95" customHeight="1">
      <c r="A76" s="31" t="s">
        <v>95</v>
      </c>
      <c r="B76" s="232" t="s">
        <v>87</v>
      </c>
      <c r="C76" s="290">
        <v>52548.602099999996</v>
      </c>
      <c r="D76" s="290">
        <v>2.9999999999999997E-4</v>
      </c>
      <c r="E76" s="227">
        <f t="shared" si="11"/>
        <v>24215.087550970413</v>
      </c>
      <c r="F76" s="227">
        <f t="shared" si="12"/>
        <v>24215</v>
      </c>
      <c r="G76" s="227">
        <f t="shared" si="13"/>
        <v>2.88833699960378E-2</v>
      </c>
      <c r="J76" s="227">
        <f>G76</f>
        <v>2.88833699960378E-2</v>
      </c>
      <c r="P76" s="292">
        <f t="shared" si="10"/>
        <v>2.8594405576442994E-2</v>
      </c>
      <c r="Q76" s="293">
        <f t="shared" si="14"/>
        <v>37530.102099999996</v>
      </c>
      <c r="R76" s="227">
        <f t="shared" si="8"/>
        <v>8.3500435791763111E-8</v>
      </c>
      <c r="S76" s="227">
        <v>1</v>
      </c>
      <c r="T76" s="227">
        <f t="shared" si="9"/>
        <v>8.3500435791763111E-8</v>
      </c>
    </row>
    <row r="77" spans="1:20" s="227" customFormat="1" ht="12.95" customHeight="1">
      <c r="A77" s="31" t="s">
        <v>95</v>
      </c>
      <c r="B77" s="232" t="s">
        <v>86</v>
      </c>
      <c r="C77" s="290">
        <v>52591.3246</v>
      </c>
      <c r="D77" s="290">
        <v>4.0000000000000002E-4</v>
      </c>
      <c r="E77" s="227">
        <f t="shared" si="11"/>
        <v>24344.587548184762</v>
      </c>
      <c r="F77" s="227">
        <f t="shared" si="12"/>
        <v>24344.5</v>
      </c>
      <c r="G77" s="227">
        <f t="shared" si="13"/>
        <v>2.8882450998935383E-2</v>
      </c>
      <c r="J77" s="227">
        <f>G77</f>
        <v>2.8882450998935383E-2</v>
      </c>
      <c r="P77" s="292">
        <f t="shared" si="10"/>
        <v>2.8575631469476045E-2</v>
      </c>
      <c r="Q77" s="293">
        <f t="shared" si="14"/>
        <v>37572.8246</v>
      </c>
      <c r="R77" s="227">
        <f t="shared" si="8"/>
        <v>9.4138223657649159E-8</v>
      </c>
      <c r="S77" s="227">
        <v>1</v>
      </c>
      <c r="T77" s="227">
        <f t="shared" si="9"/>
        <v>9.4138223657649159E-8</v>
      </c>
    </row>
    <row r="78" spans="1:20" s="227" customFormat="1" ht="12.95" customHeight="1">
      <c r="A78" s="21" t="s">
        <v>91</v>
      </c>
      <c r="B78" s="299" t="s">
        <v>87</v>
      </c>
      <c r="C78" s="300">
        <v>52607.654999999999</v>
      </c>
      <c r="D78" s="300">
        <v>1E-4</v>
      </c>
      <c r="E78" s="227">
        <f t="shared" si="11"/>
        <v>24394.088086648309</v>
      </c>
      <c r="F78" s="227">
        <f t="shared" si="12"/>
        <v>24394</v>
      </c>
      <c r="G78" s="227">
        <f t="shared" si="13"/>
        <v>2.9060091997962445E-2</v>
      </c>
      <c r="K78" s="227">
        <f>G78</f>
        <v>2.9060091997962445E-2</v>
      </c>
      <c r="P78" s="292">
        <f t="shared" si="10"/>
        <v>2.8567394168027421E-2</v>
      </c>
      <c r="Q78" s="293">
        <f t="shared" si="14"/>
        <v>37589.154999999999</v>
      </c>
      <c r="R78" s="227">
        <f t="shared" si="8"/>
        <v>2.4275115162268157E-7</v>
      </c>
      <c r="S78" s="227">
        <v>1</v>
      </c>
      <c r="T78" s="227">
        <f t="shared" si="9"/>
        <v>2.4275115162268157E-7</v>
      </c>
    </row>
    <row r="79" spans="1:20" s="227" customFormat="1" ht="12.95" customHeight="1">
      <c r="A79" s="245" t="s">
        <v>84</v>
      </c>
      <c r="B79" s="49"/>
      <c r="C79" s="31">
        <v>52631.737905870934</v>
      </c>
      <c r="D79" s="340">
        <v>1E-4</v>
      </c>
      <c r="E79" s="227">
        <f t="shared" si="11"/>
        <v>24467.087940196187</v>
      </c>
      <c r="F79" s="227">
        <f t="shared" si="12"/>
        <v>24467</v>
      </c>
      <c r="G79" s="227">
        <f t="shared" si="13"/>
        <v>2.9011776932748035E-2</v>
      </c>
      <c r="K79" s="227">
        <f>G79</f>
        <v>2.9011776932748035E-2</v>
      </c>
      <c r="P79" s="292">
        <f t="shared" si="10"/>
        <v>2.8554175310122512E-2</v>
      </c>
      <c r="Q79" s="293">
        <f t="shared" si="14"/>
        <v>37613.237905870934</v>
      </c>
      <c r="R79" s="227">
        <f t="shared" ref="R79:R110" si="17">+(P79-G79)^2</f>
        <v>2.093992450295111E-7</v>
      </c>
      <c r="S79" s="227">
        <v>1</v>
      </c>
      <c r="T79" s="227">
        <f t="shared" si="9"/>
        <v>2.093992450295111E-7</v>
      </c>
    </row>
    <row r="80" spans="1:20" s="227" customFormat="1" ht="12.95" customHeight="1">
      <c r="A80" s="245" t="s">
        <v>89</v>
      </c>
      <c r="B80" s="49"/>
      <c r="C80" s="31">
        <v>52943.82675</v>
      </c>
      <c r="D80" s="340">
        <v>5.0000000000000002E-5</v>
      </c>
      <c r="E80" s="227">
        <f t="shared" si="11"/>
        <v>25413.088395350722</v>
      </c>
      <c r="F80" s="227">
        <f t="shared" si="12"/>
        <v>25413</v>
      </c>
      <c r="G80" s="227">
        <f t="shared" si="13"/>
        <v>2.9161933991417754E-2</v>
      </c>
      <c r="K80" s="227">
        <f>G80</f>
        <v>2.9161933991417754E-2</v>
      </c>
      <c r="P80" s="292">
        <f t="shared" si="10"/>
        <v>2.8267431688422454E-2</v>
      </c>
      <c r="Q80" s="293">
        <f t="shared" si="14"/>
        <v>37925.32675</v>
      </c>
      <c r="R80" s="227">
        <f t="shared" si="17"/>
        <v>8.0013437006389702E-7</v>
      </c>
      <c r="S80" s="227">
        <v>1</v>
      </c>
      <c r="T80" s="227">
        <f t="shared" si="9"/>
        <v>8.0013437006389702E-7</v>
      </c>
    </row>
    <row r="81" spans="1:21" s="227" customFormat="1" ht="12.95" customHeight="1">
      <c r="A81" s="295" t="s">
        <v>89</v>
      </c>
      <c r="B81" s="296" t="s">
        <v>87</v>
      </c>
      <c r="C81" s="295">
        <v>52943.827700000002</v>
      </c>
      <c r="D81" s="295" t="s">
        <v>264</v>
      </c>
      <c r="E81" s="227">
        <f t="shared" si="11"/>
        <v>25413.091274980838</v>
      </c>
      <c r="F81" s="227">
        <f t="shared" si="12"/>
        <v>25413</v>
      </c>
      <c r="G81" s="227">
        <f t="shared" si="13"/>
        <v>3.0111933992884587E-2</v>
      </c>
      <c r="K81" s="227">
        <f>G81</f>
        <v>3.0111933992884587E-2</v>
      </c>
      <c r="O81" s="227">
        <f ca="1">+C$11+C$12*F81</f>
        <v>5.9023178971812224E-2</v>
      </c>
      <c r="P81" s="292">
        <f t="shared" si="10"/>
        <v>2.8267431688422454E-2</v>
      </c>
      <c r="Q81" s="293">
        <f t="shared" si="14"/>
        <v>37925.327700000002</v>
      </c>
      <c r="R81" s="227">
        <f t="shared" si="17"/>
        <v>3.4021887511661224E-6</v>
      </c>
      <c r="S81" s="227">
        <v>1</v>
      </c>
      <c r="T81" s="34"/>
    </row>
    <row r="82" spans="1:21" s="227" customFormat="1" ht="12.95" customHeight="1">
      <c r="A82" s="21" t="s">
        <v>96</v>
      </c>
      <c r="B82" s="20" t="s">
        <v>86</v>
      </c>
      <c r="C82" s="30">
        <v>53083.211900000002</v>
      </c>
      <c r="D82" s="30">
        <v>2.0000000000000001E-4</v>
      </c>
      <c r="E82" s="227">
        <f t="shared" si="11"/>
        <v>25835.591210886334</v>
      </c>
      <c r="F82" s="227">
        <f t="shared" si="12"/>
        <v>25835.5</v>
      </c>
      <c r="G82" s="227">
        <f t="shared" si="13"/>
        <v>3.0090788997767959E-2</v>
      </c>
      <c r="K82" s="227">
        <f>G82</f>
        <v>3.0090788997767959E-2</v>
      </c>
      <c r="P82" s="292">
        <f t="shared" ref="P82:P113" si="18">+D$11+D$12*F82+D$13*F82^2</f>
        <v>2.8070125121016323E-2</v>
      </c>
      <c r="Q82" s="293">
        <f t="shared" si="14"/>
        <v>38064.711900000002</v>
      </c>
      <c r="R82" s="227">
        <f t="shared" si="17"/>
        <v>4.0830825028089488E-6</v>
      </c>
      <c r="S82" s="227">
        <v>1</v>
      </c>
      <c r="T82" s="227">
        <f t="shared" ref="T82:T103" si="19">R82*S82</f>
        <v>4.0830825028089488E-6</v>
      </c>
    </row>
    <row r="83" spans="1:21" s="227" customFormat="1" ht="12.95" customHeight="1">
      <c r="A83" s="34" t="s">
        <v>112</v>
      </c>
      <c r="B83" s="40"/>
      <c r="C83" s="328">
        <v>53360.483999999997</v>
      </c>
      <c r="D83" s="290">
        <v>1E-4</v>
      </c>
      <c r="E83" s="227">
        <f t="shared" si="11"/>
        <v>26676.05551371535</v>
      </c>
      <c r="F83" s="227">
        <f t="shared" si="12"/>
        <v>26676</v>
      </c>
      <c r="G83" s="227">
        <f t="shared" si="13"/>
        <v>1.8314167988137342E-2</v>
      </c>
      <c r="P83" s="292">
        <f t="shared" si="18"/>
        <v>2.7550486271528382E-2</v>
      </c>
      <c r="Q83" s="293">
        <f t="shared" si="14"/>
        <v>38341.983999999997</v>
      </c>
      <c r="R83" s="227">
        <f t="shared" si="17"/>
        <v>8.5309575432103611E-5</v>
      </c>
      <c r="T83" s="227">
        <f t="shared" si="19"/>
        <v>0</v>
      </c>
      <c r="U83" s="227">
        <f>G83</f>
        <v>1.8314167988137342E-2</v>
      </c>
    </row>
    <row r="84" spans="1:21" s="227" customFormat="1" ht="12.95" customHeight="1">
      <c r="A84" s="295" t="s">
        <v>456</v>
      </c>
      <c r="B84" s="296" t="s">
        <v>87</v>
      </c>
      <c r="C84" s="295">
        <v>53360.493999999999</v>
      </c>
      <c r="D84" s="295" t="s">
        <v>264</v>
      </c>
      <c r="E84" s="227">
        <f t="shared" si="11"/>
        <v>26676.085825611244</v>
      </c>
      <c r="F84" s="227">
        <f t="shared" si="12"/>
        <v>26676</v>
      </c>
      <c r="G84" s="227">
        <f t="shared" si="13"/>
        <v>2.831416799017461E-2</v>
      </c>
      <c r="J84" s="227">
        <f>G84</f>
        <v>2.831416799017461E-2</v>
      </c>
      <c r="O84" s="227">
        <f ca="1">+C$11+C$12*F84</f>
        <v>5.3766892275378841E-2</v>
      </c>
      <c r="P84" s="292">
        <f t="shared" si="18"/>
        <v>2.7550486271528382E-2</v>
      </c>
      <c r="Q84" s="293">
        <f t="shared" si="14"/>
        <v>38341.993999999999</v>
      </c>
      <c r="R84" s="227">
        <f t="shared" si="17"/>
        <v>5.8320976739445662E-7</v>
      </c>
      <c r="S84" s="227">
        <v>0.1</v>
      </c>
      <c r="T84" s="227">
        <f t="shared" si="19"/>
        <v>5.8320976739445663E-8</v>
      </c>
    </row>
    <row r="85" spans="1:21" s="227" customFormat="1" ht="12.95" customHeight="1">
      <c r="A85" s="34" t="s">
        <v>112</v>
      </c>
      <c r="B85" s="40"/>
      <c r="C85" s="290">
        <v>53407.339399999997</v>
      </c>
      <c r="D85" s="290">
        <v>3.0999999999999999E-3</v>
      </c>
      <c r="E85" s="227">
        <f t="shared" ref="E85:E116" si="20">+(C85-C$7)/C$8</f>
        <v>26818.083114381898</v>
      </c>
      <c r="F85" s="227">
        <f t="shared" ref="F85:F116" si="21">ROUND(2*E85,0)/2</f>
        <v>26818</v>
      </c>
      <c r="G85" s="227">
        <f t="shared" ref="G85:G116" si="22">+C85-(C$7+F85*C$8)</f>
        <v>2.7419723992352374E-2</v>
      </c>
      <c r="J85" s="227">
        <f>G85</f>
        <v>2.7419723992352374E-2</v>
      </c>
      <c r="P85" s="292">
        <f t="shared" si="18"/>
        <v>2.7445987054043428E-2</v>
      </c>
      <c r="Q85" s="293">
        <f t="shared" ref="Q85:Q116" si="23">+C85-15018.5</f>
        <v>38388.839399999997</v>
      </c>
      <c r="R85" s="227">
        <f t="shared" si="17"/>
        <v>6.8974840938808908E-10</v>
      </c>
      <c r="S85" s="227">
        <v>1</v>
      </c>
      <c r="T85" s="227">
        <f t="shared" si="19"/>
        <v>6.8974840938808908E-10</v>
      </c>
    </row>
    <row r="86" spans="1:21" s="227" customFormat="1" ht="12.95" customHeight="1">
      <c r="A86" s="245" t="s">
        <v>111</v>
      </c>
      <c r="B86" s="232"/>
      <c r="C86" s="301">
        <v>53699.964</v>
      </c>
      <c r="D86" s="339">
        <v>1E-4</v>
      </c>
      <c r="E86" s="227">
        <f t="shared" si="20"/>
        <v>27705.083755375446</v>
      </c>
      <c r="F86" s="227">
        <f t="shared" si="21"/>
        <v>27705</v>
      </c>
      <c r="G86" s="227">
        <f t="shared" si="22"/>
        <v>2.7631189994281158E-2</v>
      </c>
      <c r="K86" s="227">
        <f>G86</f>
        <v>2.7631189994281158E-2</v>
      </c>
      <c r="P86" s="292">
        <f t="shared" si="18"/>
        <v>2.6683930806928838E-2</v>
      </c>
      <c r="Q86" s="293">
        <f t="shared" si="23"/>
        <v>38681.464</v>
      </c>
      <c r="R86" s="227">
        <f t="shared" si="17"/>
        <v>8.9729996802337786E-7</v>
      </c>
      <c r="S86" s="227">
        <v>1</v>
      </c>
      <c r="T86" s="227">
        <f t="shared" si="19"/>
        <v>8.9729996802337786E-7</v>
      </c>
    </row>
    <row r="87" spans="1:21" s="227" customFormat="1" ht="12.95" customHeight="1">
      <c r="A87" s="302" t="s">
        <v>119</v>
      </c>
      <c r="B87" s="40" t="s">
        <v>87</v>
      </c>
      <c r="C87" s="41">
        <v>53742.5213</v>
      </c>
      <c r="D87" s="41">
        <v>2.0000000000000001E-4</v>
      </c>
      <c r="E87" s="227">
        <f t="shared" si="20"/>
        <v>27834.083000069688</v>
      </c>
      <c r="F87" s="227">
        <f t="shared" si="21"/>
        <v>27834</v>
      </c>
      <c r="G87" s="227">
        <f t="shared" si="22"/>
        <v>2.7382011998270173E-2</v>
      </c>
      <c r="K87" s="227">
        <f>G87</f>
        <v>2.7382011998270173E-2</v>
      </c>
      <c r="P87" s="292">
        <f t="shared" si="18"/>
        <v>2.6557406176871037E-2</v>
      </c>
      <c r="Q87" s="293">
        <f t="shared" si="23"/>
        <v>38724.0213</v>
      </c>
      <c r="R87" s="227">
        <f t="shared" si="17"/>
        <v>6.7997476068534259E-7</v>
      </c>
      <c r="S87" s="227">
        <v>1</v>
      </c>
      <c r="T87" s="227">
        <f t="shared" si="19"/>
        <v>6.7997476068534259E-7</v>
      </c>
    </row>
    <row r="88" spans="1:21" s="227" customFormat="1" ht="12.95" customHeight="1">
      <c r="A88" s="31" t="s">
        <v>116</v>
      </c>
      <c r="B88" s="40" t="s">
        <v>87</v>
      </c>
      <c r="C88" s="41">
        <v>53746.642800000001</v>
      </c>
      <c r="D88" s="41">
        <v>5.9999999999999995E-4</v>
      </c>
      <c r="E88" s="227">
        <f t="shared" si="20"/>
        <v>27846.576047960589</v>
      </c>
      <c r="F88" s="227">
        <f t="shared" si="21"/>
        <v>27846.5</v>
      </c>
      <c r="G88" s="227">
        <f t="shared" si="22"/>
        <v>2.508848699653754E-2</v>
      </c>
      <c r="K88" s="227">
        <f>G88</f>
        <v>2.508848699653754E-2</v>
      </c>
      <c r="P88" s="292">
        <f t="shared" si="18"/>
        <v>2.6544934219802391E-2</v>
      </c>
      <c r="Q88" s="293">
        <f t="shared" si="23"/>
        <v>38728.142800000001</v>
      </c>
      <c r="R88" s="227">
        <f t="shared" si="17"/>
        <v>2.1212385141558937E-6</v>
      </c>
      <c r="S88" s="227">
        <v>1</v>
      </c>
      <c r="T88" s="227">
        <f t="shared" si="19"/>
        <v>2.1212385141558937E-6</v>
      </c>
    </row>
    <row r="89" spans="1:21" s="227" customFormat="1" ht="12.95" customHeight="1">
      <c r="A89" s="34" t="s">
        <v>114</v>
      </c>
      <c r="B89" s="40"/>
      <c r="C89" s="290">
        <v>53760.335800000001</v>
      </c>
      <c r="D89" s="290">
        <v>6.9999999999999999E-4</v>
      </c>
      <c r="E89" s="227">
        <f t="shared" si="20"/>
        <v>27888.082127002213</v>
      </c>
      <c r="F89" s="227">
        <f t="shared" si="21"/>
        <v>27888</v>
      </c>
      <c r="G89" s="227">
        <f t="shared" si="22"/>
        <v>2.7093983997474425E-2</v>
      </c>
      <c r="J89" s="227">
        <f>G89</f>
        <v>2.7093983997474425E-2</v>
      </c>
      <c r="P89" s="292">
        <f t="shared" si="18"/>
        <v>2.6503258949047051E-2</v>
      </c>
      <c r="Q89" s="293">
        <f t="shared" si="23"/>
        <v>38741.835800000001</v>
      </c>
      <c r="R89" s="227">
        <f t="shared" si="17"/>
        <v>3.4895608283952278E-7</v>
      </c>
      <c r="S89" s="227">
        <v>1</v>
      </c>
      <c r="T89" s="227">
        <f t="shared" si="19"/>
        <v>3.4895608283952278E-7</v>
      </c>
    </row>
    <row r="90" spans="1:21" s="227" customFormat="1" ht="12.95" customHeight="1">
      <c r="A90" s="295" t="s">
        <v>490</v>
      </c>
      <c r="B90" s="296" t="s">
        <v>86</v>
      </c>
      <c r="C90" s="295">
        <v>53809.325900000003</v>
      </c>
      <c r="D90" s="295" t="s">
        <v>264</v>
      </c>
      <c r="E90" s="227">
        <f t="shared" si="20"/>
        <v>28036.580408084323</v>
      </c>
      <c r="F90" s="227">
        <f t="shared" si="21"/>
        <v>28036.5</v>
      </c>
      <c r="G90" s="227">
        <f t="shared" si="22"/>
        <v>2.6526907000516076E-2</v>
      </c>
      <c r="K90" s="227">
        <f>G90</f>
        <v>2.6526907000516076E-2</v>
      </c>
      <c r="O90" s="227">
        <f ca="1">+C$11+C$12*F90</f>
        <v>4.8104835228270665E-2</v>
      </c>
      <c r="P90" s="292">
        <f t="shared" si="18"/>
        <v>2.635075285868918E-2</v>
      </c>
      <c r="Q90" s="293">
        <f t="shared" si="23"/>
        <v>38790.825900000003</v>
      </c>
      <c r="R90" s="227">
        <f t="shared" si="17"/>
        <v>3.1030281682769933E-8</v>
      </c>
      <c r="S90" s="227">
        <v>1</v>
      </c>
      <c r="T90" s="227">
        <f t="shared" si="19"/>
        <v>3.1030281682769933E-8</v>
      </c>
    </row>
    <row r="91" spans="1:21" s="227" customFormat="1" ht="12.95" customHeight="1">
      <c r="A91" s="21" t="s">
        <v>118</v>
      </c>
      <c r="B91" s="232" t="s">
        <v>86</v>
      </c>
      <c r="C91" s="290">
        <v>53809.352899999998</v>
      </c>
      <c r="D91" s="290">
        <v>1E-4</v>
      </c>
      <c r="E91" s="227">
        <f t="shared" si="20"/>
        <v>28036.662250203208</v>
      </c>
      <c r="F91" s="227">
        <f t="shared" si="21"/>
        <v>28036.5</v>
      </c>
      <c r="G91" s="227">
        <f t="shared" si="22"/>
        <v>5.3526906995102763E-2</v>
      </c>
      <c r="P91" s="292">
        <f t="shared" si="18"/>
        <v>2.635075285868918E-2</v>
      </c>
      <c r="Q91" s="293">
        <f t="shared" si="23"/>
        <v>38790.852899999998</v>
      </c>
      <c r="R91" s="227">
        <f t="shared" si="17"/>
        <v>7.3854335364610907E-4</v>
      </c>
      <c r="T91" s="227">
        <f t="shared" si="19"/>
        <v>0</v>
      </c>
      <c r="U91" s="227">
        <f>G91</f>
        <v>5.3526906995102763E-2</v>
      </c>
    </row>
    <row r="92" spans="1:21" s="227" customFormat="1" ht="12.95" customHeight="1">
      <c r="A92" s="31" t="s">
        <v>116</v>
      </c>
      <c r="B92" s="40" t="s">
        <v>86</v>
      </c>
      <c r="C92" s="41">
        <v>54020.464099999997</v>
      </c>
      <c r="D92" s="41">
        <v>1E-4</v>
      </c>
      <c r="E92" s="227">
        <f t="shared" si="20"/>
        <v>28676.580321756024</v>
      </c>
      <c r="F92" s="227">
        <f t="shared" si="21"/>
        <v>28676.5</v>
      </c>
      <c r="G92" s="227">
        <f t="shared" si="22"/>
        <v>2.6498426988837309E-2</v>
      </c>
      <c r="K92" s="227">
        <f>G92</f>
        <v>2.6498426988837309E-2</v>
      </c>
      <c r="P92" s="292">
        <f t="shared" si="18"/>
        <v>2.5633053865015104E-2</v>
      </c>
      <c r="Q92" s="293">
        <f t="shared" si="23"/>
        <v>39001.964099999997</v>
      </c>
      <c r="R92" s="227">
        <f t="shared" si="17"/>
        <v>7.4887064343380153E-7</v>
      </c>
      <c r="S92" s="227">
        <v>1</v>
      </c>
      <c r="T92" s="227">
        <f t="shared" si="19"/>
        <v>7.4887064343380153E-7</v>
      </c>
    </row>
    <row r="93" spans="1:21" s="227" customFormat="1" ht="12.95" customHeight="1">
      <c r="A93" s="31" t="s">
        <v>116</v>
      </c>
      <c r="B93" s="40" t="s">
        <v>87</v>
      </c>
      <c r="C93" s="41">
        <v>54027.558400000002</v>
      </c>
      <c r="D93" s="41">
        <v>4.0000000000000002E-4</v>
      </c>
      <c r="E93" s="227">
        <f t="shared" si="20"/>
        <v>28698.084490056997</v>
      </c>
      <c r="F93" s="227">
        <f t="shared" si="21"/>
        <v>28698</v>
      </c>
      <c r="G93" s="227">
        <f t="shared" si="22"/>
        <v>2.7873563994944561E-2</v>
      </c>
      <c r="K93" s="227">
        <f>G93</f>
        <v>2.7873563994944561E-2</v>
      </c>
      <c r="P93" s="292">
        <f t="shared" si="18"/>
        <v>2.5607240464095127E-2</v>
      </c>
      <c r="Q93" s="293">
        <f t="shared" si="23"/>
        <v>39009.058400000002</v>
      </c>
      <c r="R93" s="227">
        <f t="shared" si="17"/>
        <v>5.1362223464818478E-6</v>
      </c>
      <c r="S93" s="227">
        <v>1</v>
      </c>
      <c r="T93" s="227">
        <f t="shared" si="19"/>
        <v>5.1362223464818478E-6</v>
      </c>
    </row>
    <row r="94" spans="1:21" s="227" customFormat="1" ht="12.95" customHeight="1">
      <c r="A94" s="245" t="s">
        <v>120</v>
      </c>
      <c r="B94" s="232"/>
      <c r="C94" s="290">
        <v>54134.609792267584</v>
      </c>
      <c r="D94" s="339">
        <v>1E-4</v>
      </c>
      <c r="E94" s="227">
        <f t="shared" si="20"/>
        <v>29022.577555782147</v>
      </c>
      <c r="F94" s="227">
        <f t="shared" si="21"/>
        <v>29022.5</v>
      </c>
      <c r="G94" s="227">
        <f t="shared" si="22"/>
        <v>2.5585922579921316E-2</v>
      </c>
      <c r="K94" s="227">
        <f>G94</f>
        <v>2.5585922579921316E-2</v>
      </c>
      <c r="P94" s="292">
        <f t="shared" si="18"/>
        <v>2.5204192354705723E-2</v>
      </c>
      <c r="Q94" s="293">
        <f t="shared" si="23"/>
        <v>39116.109792267584</v>
      </c>
      <c r="R94" s="227">
        <f t="shared" si="17"/>
        <v>1.4571796484314733E-7</v>
      </c>
      <c r="S94" s="227">
        <v>1</v>
      </c>
      <c r="T94" s="227">
        <f t="shared" si="19"/>
        <v>1.4571796484314733E-7</v>
      </c>
    </row>
    <row r="95" spans="1:21" s="227" customFormat="1" ht="12.95" customHeight="1">
      <c r="A95" s="21" t="s">
        <v>120</v>
      </c>
      <c r="B95" s="122" t="s">
        <v>86</v>
      </c>
      <c r="C95" s="21">
        <v>54134.609799999998</v>
      </c>
      <c r="D95" s="21">
        <v>1E-4</v>
      </c>
      <c r="E95" s="227">
        <f t="shared" si="20"/>
        <v>29022.57757922056</v>
      </c>
      <c r="F95" s="227">
        <f t="shared" si="21"/>
        <v>29022.5</v>
      </c>
      <c r="G95" s="227">
        <f t="shared" si="22"/>
        <v>2.5593654994736426E-2</v>
      </c>
      <c r="K95" s="227">
        <f>G95</f>
        <v>2.5593654994736426E-2</v>
      </c>
      <c r="P95" s="292">
        <f t="shared" si="18"/>
        <v>2.5204192354705723E-2</v>
      </c>
      <c r="Q95" s="293">
        <f t="shared" si="23"/>
        <v>39116.109799999998</v>
      </c>
      <c r="R95" s="227">
        <f t="shared" si="17"/>
        <v>1.5168114797968431E-7</v>
      </c>
      <c r="S95" s="227">
        <v>1</v>
      </c>
      <c r="T95" s="227">
        <f t="shared" si="19"/>
        <v>1.5168114797968431E-7</v>
      </c>
    </row>
    <row r="96" spans="1:21" s="227" customFormat="1" ht="12.95" customHeight="1">
      <c r="A96" s="21" t="s">
        <v>117</v>
      </c>
      <c r="B96" s="122" t="s">
        <v>87</v>
      </c>
      <c r="C96" s="21">
        <v>54173.374499999998</v>
      </c>
      <c r="D96" s="21">
        <v>2.9999999999999997E-4</v>
      </c>
      <c r="E96" s="227">
        <f t="shared" si="20"/>
        <v>29140.080734279712</v>
      </c>
      <c r="F96" s="227">
        <f t="shared" si="21"/>
        <v>29140</v>
      </c>
      <c r="G96" s="227">
        <f t="shared" si="22"/>
        <v>2.6634519992512651E-2</v>
      </c>
      <c r="K96" s="227">
        <f>G96</f>
        <v>2.6634519992512651E-2</v>
      </c>
      <c r="P96" s="292">
        <f t="shared" si="18"/>
        <v>2.5052030905302364E-2</v>
      </c>
      <c r="Q96" s="293">
        <f t="shared" si="23"/>
        <v>39154.874499999998</v>
      </c>
      <c r="R96" s="227">
        <f t="shared" si="17"/>
        <v>2.5042717111396472E-6</v>
      </c>
      <c r="S96" s="227">
        <v>1</v>
      </c>
      <c r="T96" s="227">
        <f t="shared" si="19"/>
        <v>2.5042717111396472E-6</v>
      </c>
    </row>
    <row r="97" spans="1:20" s="227" customFormat="1" ht="12.95" customHeight="1">
      <c r="A97" s="21" t="s">
        <v>121</v>
      </c>
      <c r="B97" s="122" t="s">
        <v>87</v>
      </c>
      <c r="C97" s="21">
        <v>54472.2644</v>
      </c>
      <c r="D97" s="21">
        <v>2.9999999999999997E-4</v>
      </c>
      <c r="E97" s="227">
        <f t="shared" si="20"/>
        <v>30046.072687404965</v>
      </c>
      <c r="F97" s="227">
        <f t="shared" si="21"/>
        <v>30046</v>
      </c>
      <c r="G97" s="227">
        <f t="shared" si="22"/>
        <v>2.3979827994480729E-2</v>
      </c>
      <c r="J97" s="227">
        <f>G97</f>
        <v>2.3979827994480729E-2</v>
      </c>
      <c r="P97" s="292">
        <f t="shared" si="18"/>
        <v>2.3767720307245915E-2</v>
      </c>
      <c r="Q97" s="293">
        <f t="shared" si="23"/>
        <v>39453.7644</v>
      </c>
      <c r="R97" s="227">
        <f t="shared" si="17"/>
        <v>4.4989670984101581E-8</v>
      </c>
      <c r="S97" s="227">
        <v>1</v>
      </c>
      <c r="T97" s="227">
        <f t="shared" si="19"/>
        <v>4.4989670984101581E-8</v>
      </c>
    </row>
    <row r="98" spans="1:20" s="227" customFormat="1" ht="12.95" customHeight="1">
      <c r="A98" s="21" t="s">
        <v>121</v>
      </c>
      <c r="B98" s="122" t="s">
        <v>86</v>
      </c>
      <c r="C98" s="21">
        <v>54510.366699999999</v>
      </c>
      <c r="D98" s="21">
        <v>1E-3</v>
      </c>
      <c r="E98" s="227">
        <f t="shared" si="20"/>
        <v>30161.567982480385</v>
      </c>
      <c r="F98" s="227">
        <f t="shared" si="21"/>
        <v>30161.5</v>
      </c>
      <c r="G98" s="227">
        <f t="shared" si="22"/>
        <v>2.2427656993386336E-2</v>
      </c>
      <c r="J98" s="227">
        <f>G98</f>
        <v>2.2427656993386336E-2</v>
      </c>
      <c r="P98" s="292">
        <f t="shared" si="18"/>
        <v>2.3589862762513791E-2</v>
      </c>
      <c r="Q98" s="293">
        <f t="shared" si="23"/>
        <v>39491.866699999999</v>
      </c>
      <c r="R98" s="227">
        <f t="shared" si="17"/>
        <v>1.3507222497931407E-6</v>
      </c>
      <c r="S98" s="227">
        <v>1</v>
      </c>
      <c r="T98" s="227">
        <f t="shared" si="19"/>
        <v>1.3507222497931407E-6</v>
      </c>
    </row>
    <row r="99" spans="1:20" s="227" customFormat="1" ht="12.95" customHeight="1">
      <c r="A99" s="126" t="s">
        <v>122</v>
      </c>
      <c r="B99" s="303" t="s">
        <v>86</v>
      </c>
      <c r="C99" s="126">
        <v>54544.348599999998</v>
      </c>
      <c r="D99" s="126">
        <v>1E-4</v>
      </c>
      <c r="E99" s="227">
        <f t="shared" si="20"/>
        <v>30264.573563973456</v>
      </c>
      <c r="F99" s="227">
        <f t="shared" si="21"/>
        <v>30264.5</v>
      </c>
      <c r="G99" s="227">
        <f t="shared" si="22"/>
        <v>2.4269010995340068E-2</v>
      </c>
      <c r="K99" s="227">
        <f t="shared" ref="K99:K104" si="24">G99</f>
        <v>2.4269010995340068E-2</v>
      </c>
      <c r="P99" s="292">
        <f t="shared" si="18"/>
        <v>2.3428558700232763E-2</v>
      </c>
      <c r="Q99" s="293">
        <f t="shared" si="23"/>
        <v>39525.848599999998</v>
      </c>
      <c r="R99" s="227">
        <f t="shared" si="17"/>
        <v>7.0636006035113675E-7</v>
      </c>
      <c r="S99" s="227">
        <v>1</v>
      </c>
      <c r="T99" s="227">
        <f t="shared" si="19"/>
        <v>7.0636006035113675E-7</v>
      </c>
    </row>
    <row r="100" spans="1:20" s="227" customFormat="1" ht="12.95" customHeight="1">
      <c r="A100" s="126" t="s">
        <v>122</v>
      </c>
      <c r="B100" s="303" t="s">
        <v>87</v>
      </c>
      <c r="C100" s="126">
        <v>54556.390299999999</v>
      </c>
      <c r="D100" s="126">
        <v>1E-4</v>
      </c>
      <c r="E100" s="227">
        <f t="shared" si="20"/>
        <v>30301.074239646838</v>
      </c>
      <c r="F100" s="227">
        <f t="shared" si="21"/>
        <v>30301</v>
      </c>
      <c r="G100" s="227">
        <f t="shared" si="22"/>
        <v>2.4491917996783741E-2</v>
      </c>
      <c r="K100" s="227">
        <f t="shared" si="24"/>
        <v>2.4491917996783741E-2</v>
      </c>
      <c r="P100" s="292">
        <f t="shared" si="18"/>
        <v>2.3370787784128003E-2</v>
      </c>
      <c r="Q100" s="293">
        <f t="shared" si="23"/>
        <v>39537.890299999999</v>
      </c>
      <c r="R100" s="227">
        <f t="shared" si="17"/>
        <v>1.2569329537295008E-6</v>
      </c>
      <c r="S100" s="227">
        <v>1</v>
      </c>
      <c r="T100" s="227">
        <f t="shared" si="19"/>
        <v>1.2569329537295008E-6</v>
      </c>
    </row>
    <row r="101" spans="1:20" s="227" customFormat="1" ht="12.95" customHeight="1">
      <c r="A101" s="126" t="s">
        <v>122</v>
      </c>
      <c r="B101" s="303" t="s">
        <v>87</v>
      </c>
      <c r="C101" s="126">
        <v>54706.496700000003</v>
      </c>
      <c r="D101" s="126">
        <v>2.9999999999999997E-4</v>
      </c>
      <c r="E101" s="227">
        <f t="shared" si="20"/>
        <v>30756.075196563095</v>
      </c>
      <c r="F101" s="227">
        <f t="shared" si="21"/>
        <v>30756</v>
      </c>
      <c r="G101" s="227">
        <f t="shared" si="22"/>
        <v>2.4807608002447523E-2</v>
      </c>
      <c r="K101" s="227">
        <f t="shared" si="24"/>
        <v>2.4807608002447523E-2</v>
      </c>
      <c r="P101" s="292">
        <f t="shared" si="18"/>
        <v>2.2623848446055528E-2</v>
      </c>
      <c r="Q101" s="293">
        <f t="shared" si="23"/>
        <v>39687.996700000003</v>
      </c>
      <c r="R101" s="227">
        <f t="shared" si="17"/>
        <v>4.7688058001333643E-6</v>
      </c>
      <c r="S101" s="227">
        <v>1</v>
      </c>
      <c r="T101" s="227">
        <f t="shared" si="19"/>
        <v>4.7688058001333643E-6</v>
      </c>
    </row>
    <row r="102" spans="1:20" s="227" customFormat="1" ht="12.95" customHeight="1">
      <c r="A102" s="126" t="s">
        <v>122</v>
      </c>
      <c r="B102" s="303" t="s">
        <v>87</v>
      </c>
      <c r="C102" s="126">
        <v>54803.486199999999</v>
      </c>
      <c r="D102" s="126">
        <v>2.9999999999999997E-4</v>
      </c>
      <c r="E102" s="227">
        <f t="shared" si="20"/>
        <v>31050.068759201502</v>
      </c>
      <c r="F102" s="227">
        <f t="shared" si="21"/>
        <v>31050</v>
      </c>
      <c r="G102" s="227">
        <f t="shared" si="22"/>
        <v>2.2683899995172396E-2</v>
      </c>
      <c r="K102" s="227">
        <f t="shared" si="24"/>
        <v>2.2683899995172396E-2</v>
      </c>
      <c r="P102" s="292">
        <f t="shared" si="18"/>
        <v>2.2114839721196544E-2</v>
      </c>
      <c r="Q102" s="293">
        <f t="shared" si="23"/>
        <v>39784.986199999999</v>
      </c>
      <c r="R102" s="227">
        <f t="shared" si="17"/>
        <v>3.2382959541747191E-7</v>
      </c>
      <c r="S102" s="227">
        <v>1</v>
      </c>
      <c r="T102" s="227">
        <f t="shared" si="19"/>
        <v>3.2382959541747191E-7</v>
      </c>
    </row>
    <row r="103" spans="1:20" s="227" customFormat="1" ht="12.95" customHeight="1">
      <c r="A103" s="21" t="s">
        <v>130</v>
      </c>
      <c r="B103" s="122" t="s">
        <v>86</v>
      </c>
      <c r="C103" s="21">
        <v>54830.703600000001</v>
      </c>
      <c r="D103" s="21">
        <v>4.0000000000000002E-4</v>
      </c>
      <c r="E103" s="227">
        <f t="shared" si="20"/>
        <v>31132.56985872006</v>
      </c>
      <c r="F103" s="227">
        <f t="shared" si="21"/>
        <v>31132.5</v>
      </c>
      <c r="G103" s="227">
        <f t="shared" si="22"/>
        <v>2.304663499671733E-2</v>
      </c>
      <c r="K103" s="227">
        <f t="shared" si="24"/>
        <v>2.304663499671733E-2</v>
      </c>
      <c r="P103" s="292">
        <f t="shared" si="18"/>
        <v>2.1968285867918991E-2</v>
      </c>
      <c r="Q103" s="293">
        <f t="shared" si="23"/>
        <v>39812.203600000001</v>
      </c>
      <c r="R103" s="227">
        <f t="shared" si="17"/>
        <v>1.1628368435801374E-6</v>
      </c>
      <c r="S103" s="227">
        <v>1</v>
      </c>
      <c r="T103" s="227">
        <f t="shared" si="19"/>
        <v>1.1628368435801374E-6</v>
      </c>
    </row>
    <row r="104" spans="1:20" s="227" customFormat="1" ht="12.95" customHeight="1">
      <c r="A104" s="295" t="s">
        <v>543</v>
      </c>
      <c r="B104" s="296" t="s">
        <v>87</v>
      </c>
      <c r="C104" s="295">
        <v>54842.414299999997</v>
      </c>
      <c r="D104" s="295" t="s">
        <v>260</v>
      </c>
      <c r="E104" s="227">
        <f t="shared" si="20"/>
        <v>31168.067210639481</v>
      </c>
      <c r="F104" s="227">
        <f t="shared" si="21"/>
        <v>31168</v>
      </c>
      <c r="G104" s="227">
        <f t="shared" si="22"/>
        <v>2.2173023993673269E-2</v>
      </c>
      <c r="K104" s="227">
        <f t="shared" si="24"/>
        <v>2.2173023993673269E-2</v>
      </c>
      <c r="O104" s="227">
        <f ca="1">+C$11+C$12*F104</f>
        <v>3.5072323914033809E-2</v>
      </c>
      <c r="P104" s="292">
        <f t="shared" si="18"/>
        <v>2.1904721642696162E-2</v>
      </c>
      <c r="Q104" s="293">
        <f t="shared" si="23"/>
        <v>39823.914299999997</v>
      </c>
      <c r="R104" s="227">
        <f t="shared" si="17"/>
        <v>7.1986151539842458E-8</v>
      </c>
      <c r="S104" s="227">
        <v>1</v>
      </c>
      <c r="T104" s="34"/>
    </row>
    <row r="105" spans="1:20" s="227" customFormat="1" ht="12.95" customHeight="1">
      <c r="A105" s="21" t="s">
        <v>131</v>
      </c>
      <c r="B105" s="122" t="s">
        <v>86</v>
      </c>
      <c r="C105" s="21">
        <v>54843.239500000003</v>
      </c>
      <c r="D105" s="21">
        <v>4.0000000000000002E-4</v>
      </c>
      <c r="E105" s="227">
        <f t="shared" si="20"/>
        <v>31170.568548288313</v>
      </c>
      <c r="F105" s="227">
        <f t="shared" si="21"/>
        <v>31170.5</v>
      </c>
      <c r="G105" s="227">
        <f t="shared" si="22"/>
        <v>2.2614319001149852E-2</v>
      </c>
      <c r="J105" s="227">
        <f>G105</f>
        <v>2.2614319001149852E-2</v>
      </c>
      <c r="P105" s="292">
        <f t="shared" si="18"/>
        <v>2.1900233911983355E-2</v>
      </c>
      <c r="Q105" s="293">
        <f t="shared" si="23"/>
        <v>39824.739500000003</v>
      </c>
      <c r="R105" s="227">
        <f t="shared" si="17"/>
        <v>5.0991751456992367E-7</v>
      </c>
      <c r="S105" s="227">
        <v>1</v>
      </c>
      <c r="T105" s="227">
        <f>R105*S105</f>
        <v>5.0991751456992367E-7</v>
      </c>
    </row>
    <row r="106" spans="1:20" s="227" customFormat="1" ht="12.95" customHeight="1">
      <c r="A106" s="295" t="s">
        <v>543</v>
      </c>
      <c r="B106" s="296" t="s">
        <v>87</v>
      </c>
      <c r="C106" s="295">
        <v>54843.404399999999</v>
      </c>
      <c r="D106" s="295" t="s">
        <v>260</v>
      </c>
      <c r="E106" s="227">
        <f t="shared" si="20"/>
        <v>31171.068391451518</v>
      </c>
      <c r="F106" s="227">
        <f t="shared" si="21"/>
        <v>31171</v>
      </c>
      <c r="G106" s="227">
        <f t="shared" si="22"/>
        <v>2.2562577993085142E-2</v>
      </c>
      <c r="K106" s="227">
        <f>G106</f>
        <v>2.2562577993085142E-2</v>
      </c>
      <c r="O106" s="227">
        <f ca="1">+C$11+C$12*F106</f>
        <v>3.5059838672474586E-2</v>
      </c>
      <c r="P106" s="292">
        <f t="shared" si="18"/>
        <v>2.1899336186206736E-2</v>
      </c>
      <c r="Q106" s="293">
        <f t="shared" si="23"/>
        <v>39824.904399999999</v>
      </c>
      <c r="R106" s="227">
        <f t="shared" si="17"/>
        <v>4.398896943913332E-7</v>
      </c>
      <c r="S106" s="227">
        <v>1</v>
      </c>
      <c r="T106" s="34"/>
    </row>
    <row r="107" spans="1:20" s="227" customFormat="1" ht="12.95" customHeight="1">
      <c r="A107" s="21" t="s">
        <v>131</v>
      </c>
      <c r="B107" s="122" t="s">
        <v>87</v>
      </c>
      <c r="C107" s="21">
        <v>54843.404799999997</v>
      </c>
      <c r="D107" s="126">
        <v>2.0000000000000001E-4</v>
      </c>
      <c r="E107" s="227">
        <f t="shared" si="20"/>
        <v>31171.069603927346</v>
      </c>
      <c r="F107" s="227">
        <f t="shared" si="21"/>
        <v>31171</v>
      </c>
      <c r="G107" s="227">
        <f t="shared" si="22"/>
        <v>2.296257799025625E-2</v>
      </c>
      <c r="J107" s="227">
        <f>G107</f>
        <v>2.296257799025625E-2</v>
      </c>
      <c r="P107" s="292">
        <f t="shared" si="18"/>
        <v>2.1899336186206736E-2</v>
      </c>
      <c r="Q107" s="293">
        <f t="shared" si="23"/>
        <v>39824.904799999997</v>
      </c>
      <c r="R107" s="227">
        <f t="shared" si="17"/>
        <v>1.130483133878465E-6</v>
      </c>
      <c r="S107" s="227">
        <v>1</v>
      </c>
      <c r="T107" s="227">
        <f t="shared" ref="T107:T144" si="25">R107*S107</f>
        <v>1.130483133878465E-6</v>
      </c>
    </row>
    <row r="108" spans="1:20" s="227" customFormat="1" ht="12.95" customHeight="1">
      <c r="A108" s="21" t="s">
        <v>131</v>
      </c>
      <c r="B108" s="122" t="s">
        <v>86</v>
      </c>
      <c r="C108" s="21">
        <v>54843.568899999998</v>
      </c>
      <c r="D108" s="126">
        <v>2.9999999999999997E-4</v>
      </c>
      <c r="E108" s="227">
        <f t="shared" si="20"/>
        <v>31171.567022138901</v>
      </c>
      <c r="F108" s="227">
        <f t="shared" si="21"/>
        <v>31171.5</v>
      </c>
      <c r="G108" s="227">
        <f t="shared" si="22"/>
        <v>2.2110836995125283E-2</v>
      </c>
      <c r="J108" s="227">
        <f>G108</f>
        <v>2.2110836995125283E-2</v>
      </c>
      <c r="P108" s="292">
        <f t="shared" si="18"/>
        <v>2.1898438400552098E-2</v>
      </c>
      <c r="Q108" s="293">
        <f t="shared" si="23"/>
        <v>39825.068899999998</v>
      </c>
      <c r="R108" s="227">
        <f t="shared" si="17"/>
        <v>4.511316297666416E-8</v>
      </c>
      <c r="S108" s="227">
        <v>1</v>
      </c>
      <c r="T108" s="227">
        <f t="shared" si="25"/>
        <v>4.511316297666416E-8</v>
      </c>
    </row>
    <row r="109" spans="1:20" s="227" customFormat="1" ht="12.95" customHeight="1">
      <c r="A109" s="21" t="s">
        <v>132</v>
      </c>
      <c r="B109" s="122" t="s">
        <v>86</v>
      </c>
      <c r="C109" s="21">
        <v>54844.2284</v>
      </c>
      <c r="D109" s="126">
        <v>2.0000000000000001E-4</v>
      </c>
      <c r="E109" s="227">
        <f t="shared" si="20"/>
        <v>31173.566091672823</v>
      </c>
      <c r="F109" s="227">
        <f t="shared" si="21"/>
        <v>31173.5</v>
      </c>
      <c r="G109" s="227">
        <f t="shared" si="22"/>
        <v>2.1803872994496487E-2</v>
      </c>
      <c r="J109" s="227">
        <f>G109</f>
        <v>2.1803872994496487E-2</v>
      </c>
      <c r="P109" s="292">
        <f t="shared" si="18"/>
        <v>2.1894846659153325E-2</v>
      </c>
      <c r="Q109" s="293">
        <f t="shared" si="23"/>
        <v>39825.7284</v>
      </c>
      <c r="R109" s="227">
        <f t="shared" si="17"/>
        <v>8.2762076610947518E-9</v>
      </c>
      <c r="S109" s="227">
        <v>1</v>
      </c>
      <c r="T109" s="227">
        <f t="shared" si="25"/>
        <v>8.2762076610947518E-9</v>
      </c>
    </row>
    <row r="110" spans="1:20" s="227" customFormat="1" ht="12.95" customHeight="1">
      <c r="A110" s="295" t="s">
        <v>567</v>
      </c>
      <c r="B110" s="296" t="s">
        <v>87</v>
      </c>
      <c r="C110" s="295">
        <v>54883.981200000002</v>
      </c>
      <c r="D110" s="295" t="s">
        <v>264</v>
      </c>
      <c r="E110" s="227">
        <f t="shared" si="20"/>
        <v>31294.064365164832</v>
      </c>
      <c r="F110" s="227">
        <f t="shared" si="21"/>
        <v>31294</v>
      </c>
      <c r="G110" s="227">
        <f t="shared" si="22"/>
        <v>2.123429199855309E-2</v>
      </c>
      <c r="K110" s="227">
        <f t="shared" ref="K110:K115" si="26">G110</f>
        <v>2.123429199855309E-2</v>
      </c>
      <c r="L110" s="34"/>
      <c r="O110" s="227">
        <f ca="1">+C$11+C$12*F110</f>
        <v>3.4547943768546391E-2</v>
      </c>
      <c r="P110" s="292">
        <f t="shared" si="18"/>
        <v>2.1676676491019869E-2</v>
      </c>
      <c r="Q110" s="293">
        <f t="shared" si="23"/>
        <v>39865.481200000002</v>
      </c>
      <c r="R110" s="227">
        <f t="shared" si="17"/>
        <v>1.9570403917509026E-7</v>
      </c>
      <c r="S110" s="227">
        <v>1</v>
      </c>
      <c r="T110" s="227">
        <f t="shared" si="25"/>
        <v>1.9570403917509026E-7</v>
      </c>
    </row>
    <row r="111" spans="1:20" s="227" customFormat="1" ht="12.95" customHeight="1">
      <c r="A111" s="302" t="s">
        <v>126</v>
      </c>
      <c r="B111" s="303" t="s">
        <v>87</v>
      </c>
      <c r="C111" s="126">
        <v>55059.488599999997</v>
      </c>
      <c r="D111" s="126">
        <v>1E-4</v>
      </c>
      <c r="E111" s="227">
        <f t="shared" si="20"/>
        <v>31826.060568830228</v>
      </c>
      <c r="F111" s="227">
        <f t="shared" si="21"/>
        <v>31826</v>
      </c>
      <c r="G111" s="227">
        <f t="shared" si="22"/>
        <v>1.9981867990281899E-2</v>
      </c>
      <c r="K111" s="227">
        <f t="shared" si="26"/>
        <v>1.9981867990281899E-2</v>
      </c>
      <c r="P111" s="292">
        <f t="shared" si="18"/>
        <v>2.067189786332467E-2</v>
      </c>
      <c r="Q111" s="293">
        <f t="shared" si="23"/>
        <v>40040.988599999997</v>
      </c>
      <c r="R111" s="227">
        <f t="shared" ref="R111:R142" si="27">+(P111-G111)^2</f>
        <v>4.761412256914237E-7</v>
      </c>
      <c r="S111" s="227">
        <v>1</v>
      </c>
      <c r="T111" s="227">
        <f t="shared" si="25"/>
        <v>4.761412256914237E-7</v>
      </c>
    </row>
    <row r="112" spans="1:20" s="227" customFormat="1" ht="12.95" customHeight="1">
      <c r="A112" s="302" t="s">
        <v>126</v>
      </c>
      <c r="B112" s="303" t="s">
        <v>86</v>
      </c>
      <c r="C112" s="126">
        <v>55068.561300000001</v>
      </c>
      <c r="D112" s="126">
        <v>2.0000000000000001E-4</v>
      </c>
      <c r="E112" s="227">
        <f t="shared" si="20"/>
        <v>31853.561642613997</v>
      </c>
      <c r="F112" s="227">
        <f t="shared" si="21"/>
        <v>31853.5</v>
      </c>
      <c r="G112" s="227">
        <f t="shared" si="22"/>
        <v>2.0336112997028977E-2</v>
      </c>
      <c r="K112" s="227">
        <f t="shared" si="26"/>
        <v>2.0336112997028977E-2</v>
      </c>
      <c r="O112" s="227">
        <f t="shared" ref="O112:O143" ca="1" si="28">+C$11+C$12*F112</f>
        <v>3.221944621775108E-2</v>
      </c>
      <c r="P112" s="292">
        <f t="shared" si="18"/>
        <v>2.0618116522089266E-2</v>
      </c>
      <c r="Q112" s="293">
        <f t="shared" si="23"/>
        <v>40050.061300000001</v>
      </c>
      <c r="R112" s="227">
        <f t="shared" si="27"/>
        <v>7.95259881464295E-8</v>
      </c>
      <c r="S112" s="227">
        <v>1</v>
      </c>
      <c r="T112" s="227">
        <f t="shared" si="25"/>
        <v>7.95259881464295E-8</v>
      </c>
    </row>
    <row r="113" spans="1:20" s="227" customFormat="1" ht="12.95" customHeight="1">
      <c r="A113" s="302" t="s">
        <v>126</v>
      </c>
      <c r="B113" s="303" t="s">
        <v>86</v>
      </c>
      <c r="C113" s="126">
        <v>55100.561300000001</v>
      </c>
      <c r="D113" s="126">
        <v>2.9999999999999997E-4</v>
      </c>
      <c r="E113" s="227">
        <f t="shared" si="20"/>
        <v>31950.559709460711</v>
      </c>
      <c r="F113" s="227">
        <f t="shared" si="21"/>
        <v>31950.5</v>
      </c>
      <c r="G113" s="227">
        <f t="shared" si="22"/>
        <v>1.9698358999448828E-2</v>
      </c>
      <c r="K113" s="227">
        <f t="shared" si="26"/>
        <v>1.9698358999448828E-2</v>
      </c>
      <c r="O113" s="227">
        <f t="shared" ca="1" si="28"/>
        <v>3.1815756740669499E-2</v>
      </c>
      <c r="P113" s="292">
        <f t="shared" si="18"/>
        <v>2.0426968830086836E-2</v>
      </c>
      <c r="Q113" s="293">
        <f t="shared" si="23"/>
        <v>40082.061300000001</v>
      </c>
      <c r="R113" s="227">
        <f t="shared" si="27"/>
        <v>5.3087228530234652E-7</v>
      </c>
      <c r="S113" s="227">
        <v>1</v>
      </c>
      <c r="T113" s="227">
        <f t="shared" si="25"/>
        <v>5.3087228530234652E-7</v>
      </c>
    </row>
    <row r="114" spans="1:20" s="227" customFormat="1" ht="12.95" customHeight="1">
      <c r="A114" s="21" t="s">
        <v>124</v>
      </c>
      <c r="B114" s="122" t="s">
        <v>86</v>
      </c>
      <c r="C114" s="21">
        <v>55135.863599999997</v>
      </c>
      <c r="D114" s="21">
        <v>5.9999999999999995E-4</v>
      </c>
      <c r="E114" s="227">
        <f t="shared" si="20"/>
        <v>32057.567673687034</v>
      </c>
      <c r="F114" s="227">
        <f t="shared" si="21"/>
        <v>32057.5</v>
      </c>
      <c r="G114" s="227">
        <f t="shared" si="22"/>
        <v>2.2325784993881825E-2</v>
      </c>
      <c r="K114" s="227">
        <f t="shared" si="26"/>
        <v>2.2325784993881825E-2</v>
      </c>
      <c r="O114" s="227">
        <f t="shared" ca="1" si="28"/>
        <v>3.137044979172382E-2</v>
      </c>
      <c r="P114" s="292">
        <f t="shared" ref="P114:P145" si="29">+D$11+D$12*F114+D$13*F114^2</f>
        <v>2.0213501155596794E-2</v>
      </c>
      <c r="Q114" s="293">
        <f t="shared" si="23"/>
        <v>40117.363599999997</v>
      </c>
      <c r="R114" s="227">
        <f t="shared" si="27"/>
        <v>4.4617430134801441E-6</v>
      </c>
      <c r="S114" s="227">
        <v>1</v>
      </c>
      <c r="T114" s="227">
        <f t="shared" si="25"/>
        <v>4.4617430134801441E-6</v>
      </c>
    </row>
    <row r="115" spans="1:20" s="227" customFormat="1" ht="12.95" customHeight="1">
      <c r="A115" s="304" t="s">
        <v>125</v>
      </c>
      <c r="B115" s="122"/>
      <c r="C115" s="21">
        <v>55149.717499999999</v>
      </c>
      <c r="D115" s="21">
        <v>1E-4</v>
      </c>
      <c r="E115" s="227">
        <f t="shared" si="20"/>
        <v>32099.561471133533</v>
      </c>
      <c r="F115" s="227">
        <f t="shared" si="21"/>
        <v>32099.5</v>
      </c>
      <c r="G115" s="227">
        <f t="shared" si="22"/>
        <v>2.0279540993215051E-2</v>
      </c>
      <c r="K115" s="227">
        <f t="shared" si="26"/>
        <v>2.0279540993215051E-2</v>
      </c>
      <c r="O115" s="227">
        <f t="shared" ca="1" si="28"/>
        <v>3.119565640989469E-2</v>
      </c>
      <c r="P115" s="292">
        <f t="shared" si="29"/>
        <v>2.0128960672493645E-2</v>
      </c>
      <c r="Q115" s="293">
        <f t="shared" si="23"/>
        <v>40131.217499999999</v>
      </c>
      <c r="R115" s="227">
        <f t="shared" si="27"/>
        <v>2.2674432988561238E-8</v>
      </c>
      <c r="S115" s="227">
        <v>1</v>
      </c>
      <c r="T115" s="227">
        <f t="shared" si="25"/>
        <v>2.2674432988561238E-8</v>
      </c>
    </row>
    <row r="116" spans="1:20" s="227" customFormat="1" ht="12.95" customHeight="1">
      <c r="A116" s="21" t="s">
        <v>132</v>
      </c>
      <c r="B116" s="122" t="s">
        <v>87</v>
      </c>
      <c r="C116" s="21">
        <v>55194.4182</v>
      </c>
      <c r="D116" s="21">
        <v>1E-4</v>
      </c>
      <c r="E116" s="227">
        <f t="shared" si="20"/>
        <v>32235.057767592752</v>
      </c>
      <c r="F116" s="227">
        <f t="shared" si="21"/>
        <v>32235</v>
      </c>
      <c r="G116" s="227">
        <f t="shared" si="22"/>
        <v>1.9057729994528927E-2</v>
      </c>
      <c r="J116" s="227">
        <f>G116</f>
        <v>1.9057729994528927E-2</v>
      </c>
      <c r="O116" s="227">
        <f t="shared" ca="1" si="28"/>
        <v>3.0631739666136415E-2</v>
      </c>
      <c r="P116" s="292">
        <f t="shared" si="29"/>
        <v>1.9853336688577472E-2</v>
      </c>
      <c r="Q116" s="293">
        <f t="shared" si="23"/>
        <v>40175.9182</v>
      </c>
      <c r="R116" s="227">
        <f t="shared" si="27"/>
        <v>6.3299001161485528E-7</v>
      </c>
      <c r="S116" s="227">
        <v>1</v>
      </c>
      <c r="T116" s="227">
        <f t="shared" si="25"/>
        <v>6.3299001161485528E-7</v>
      </c>
    </row>
    <row r="117" spans="1:20" s="227" customFormat="1" ht="12.95" customHeight="1">
      <c r="A117" s="302" t="s">
        <v>126</v>
      </c>
      <c r="B117" s="303" t="s">
        <v>86</v>
      </c>
      <c r="C117" s="126">
        <v>55212.4</v>
      </c>
      <c r="D117" s="126">
        <v>2.0000000000000001E-4</v>
      </c>
      <c r="E117" s="227">
        <f t="shared" ref="E117:E148" si="30">+(C117-C$7)/C$8</f>
        <v>32289.564012543513</v>
      </c>
      <c r="F117" s="227">
        <f t="shared" ref="F117:F148" si="31">ROUND(2*E117,0)/2</f>
        <v>32289.5</v>
      </c>
      <c r="G117" s="227">
        <f t="shared" ref="G117:G148" si="32">+C117-(C$7+F117*C$8)</f>
        <v>2.1117960997798946E-2</v>
      </c>
      <c r="K117" s="227">
        <f>G117</f>
        <v>2.1117960997798946E-2</v>
      </c>
      <c r="O117" s="227">
        <f t="shared" ca="1" si="28"/>
        <v>3.0404924444477149E-2</v>
      </c>
      <c r="P117" s="292">
        <f t="shared" si="29"/>
        <v>1.9741236783605787E-2</v>
      </c>
      <c r="Q117" s="293">
        <f t="shared" ref="Q117:Q148" si="33">+C117-15018.5</f>
        <v>40193.9</v>
      </c>
      <c r="R117" s="227">
        <f t="shared" si="27"/>
        <v>1.8953695619457713E-6</v>
      </c>
      <c r="S117" s="227">
        <v>1</v>
      </c>
      <c r="T117" s="227">
        <f t="shared" si="25"/>
        <v>1.8953695619457713E-6</v>
      </c>
    </row>
    <row r="118" spans="1:20" s="227" customFormat="1" ht="12.95" customHeight="1">
      <c r="A118" s="302" t="s">
        <v>126</v>
      </c>
      <c r="B118" s="303" t="s">
        <v>86</v>
      </c>
      <c r="C118" s="126">
        <v>55213.388800000001</v>
      </c>
      <c r="D118" s="126">
        <v>1E-4</v>
      </c>
      <c r="E118" s="227">
        <f t="shared" si="30"/>
        <v>32292.561252809075</v>
      </c>
      <c r="F118" s="227">
        <f t="shared" si="31"/>
        <v>32292.5</v>
      </c>
      <c r="G118" s="227">
        <f t="shared" si="32"/>
        <v>2.0207514993671793E-2</v>
      </c>
      <c r="K118" s="227">
        <f>G118</f>
        <v>2.0207514993671793E-2</v>
      </c>
      <c r="O118" s="227">
        <f t="shared" ca="1" si="28"/>
        <v>3.0392439202917926E-2</v>
      </c>
      <c r="P118" s="292">
        <f t="shared" si="29"/>
        <v>1.9735045488717809E-2</v>
      </c>
      <c r="Q118" s="293">
        <f t="shared" si="33"/>
        <v>40194.888800000001</v>
      </c>
      <c r="R118" s="227">
        <f t="shared" si="27"/>
        <v>2.2322743311146324E-7</v>
      </c>
      <c r="S118" s="227">
        <v>1</v>
      </c>
      <c r="T118" s="227">
        <f t="shared" si="25"/>
        <v>2.2322743311146324E-7</v>
      </c>
    </row>
    <row r="119" spans="1:20" s="227" customFormat="1" ht="12.95" customHeight="1">
      <c r="A119" s="21" t="s">
        <v>132</v>
      </c>
      <c r="B119" s="122" t="s">
        <v>87</v>
      </c>
      <c r="C119" s="21">
        <v>55263.366099999999</v>
      </c>
      <c r="D119" s="21">
        <v>1E-3</v>
      </c>
      <c r="E119" s="227">
        <f t="shared" si="30"/>
        <v>32444.051924253396</v>
      </c>
      <c r="F119" s="227">
        <f t="shared" si="31"/>
        <v>32444</v>
      </c>
      <c r="G119" s="227">
        <f t="shared" si="32"/>
        <v>1.7129991996625904E-2</v>
      </c>
      <c r="J119" s="227">
        <f>G119</f>
        <v>1.7129991996625904E-2</v>
      </c>
      <c r="O119" s="227">
        <f t="shared" ca="1" si="28"/>
        <v>2.9761934504177107E-2</v>
      </c>
      <c r="P119" s="292">
        <f t="shared" si="29"/>
        <v>1.9419581997168089E-2</v>
      </c>
      <c r="Q119" s="293">
        <f t="shared" si="33"/>
        <v>40244.866099999999</v>
      </c>
      <c r="R119" s="227">
        <f t="shared" si="27"/>
        <v>5.2422223705827646E-6</v>
      </c>
      <c r="S119" s="227">
        <v>1</v>
      </c>
      <c r="T119" s="227">
        <f t="shared" si="25"/>
        <v>5.2422223705827646E-6</v>
      </c>
    </row>
    <row r="120" spans="1:20" s="227" customFormat="1" ht="12.95" customHeight="1">
      <c r="A120" s="291" t="s">
        <v>127</v>
      </c>
      <c r="B120" s="122" t="s">
        <v>87</v>
      </c>
      <c r="C120" s="21">
        <v>55476.813000000002</v>
      </c>
      <c r="D120" s="21">
        <v>8.9999999999999998E-4</v>
      </c>
      <c r="E120" s="227">
        <f t="shared" si="30"/>
        <v>33091.049945329156</v>
      </c>
      <c r="F120" s="227">
        <f t="shared" si="31"/>
        <v>33091</v>
      </c>
      <c r="G120" s="227">
        <f t="shared" si="32"/>
        <v>1.6477138000482228E-2</v>
      </c>
      <c r="K120" s="227">
        <f>G120</f>
        <v>1.6477138000482228E-2</v>
      </c>
      <c r="O120" s="227">
        <f t="shared" ca="1" si="28"/>
        <v>2.7069284074571098E-2</v>
      </c>
      <c r="P120" s="292">
        <f t="shared" si="29"/>
        <v>1.801048556938073E-2</v>
      </c>
      <c r="Q120" s="293">
        <f t="shared" si="33"/>
        <v>40458.313000000002</v>
      </c>
      <c r="R120" s="227">
        <f t="shared" si="27"/>
        <v>2.3511547670469468E-6</v>
      </c>
      <c r="S120" s="227">
        <v>1</v>
      </c>
      <c r="T120" s="227">
        <f t="shared" si="25"/>
        <v>2.3511547670469468E-6</v>
      </c>
    </row>
    <row r="121" spans="1:20" s="227" customFormat="1" ht="12.95" customHeight="1">
      <c r="A121" s="295" t="s">
        <v>128</v>
      </c>
      <c r="B121" s="296" t="s">
        <v>86</v>
      </c>
      <c r="C121" s="295">
        <v>55483.5766</v>
      </c>
      <c r="D121" s="295" t="s">
        <v>264</v>
      </c>
      <c r="E121" s="227">
        <f t="shared" si="30"/>
        <v>33111.551699233038</v>
      </c>
      <c r="F121" s="227">
        <f t="shared" si="31"/>
        <v>33111.5</v>
      </c>
      <c r="G121" s="227">
        <f t="shared" si="32"/>
        <v>1.7055756994523108E-2</v>
      </c>
      <c r="K121" s="291">
        <f>G121</f>
        <v>1.7055756994523108E-2</v>
      </c>
      <c r="O121" s="227">
        <f t="shared" ca="1" si="28"/>
        <v>2.6983968257249746E-2</v>
      </c>
      <c r="P121" s="292">
        <f t="shared" si="29"/>
        <v>1.796420006203206E-2</v>
      </c>
      <c r="Q121" s="293">
        <f t="shared" si="33"/>
        <v>40465.0766</v>
      </c>
      <c r="R121" s="227">
        <f t="shared" si="27"/>
        <v>8.2526880690507364E-7</v>
      </c>
      <c r="S121" s="227">
        <v>1</v>
      </c>
      <c r="T121" s="227">
        <f t="shared" si="25"/>
        <v>8.2526880690507364E-7</v>
      </c>
    </row>
    <row r="122" spans="1:20" s="227" customFormat="1" ht="12.95" customHeight="1">
      <c r="A122" s="291" t="s">
        <v>128</v>
      </c>
      <c r="B122" s="122" t="s">
        <v>86</v>
      </c>
      <c r="C122" s="21">
        <v>55483.576639999999</v>
      </c>
      <c r="D122" s="126">
        <v>2.0000000000000001E-4</v>
      </c>
      <c r="E122" s="227">
        <f t="shared" si="30"/>
        <v>33111.551820480621</v>
      </c>
      <c r="F122" s="227">
        <f t="shared" si="31"/>
        <v>33111.5</v>
      </c>
      <c r="G122" s="227">
        <f t="shared" si="32"/>
        <v>1.7095756993512623E-2</v>
      </c>
      <c r="K122" s="291">
        <f>G122</f>
        <v>1.7095756993512623E-2</v>
      </c>
      <c r="O122" s="227">
        <f t="shared" ca="1" si="28"/>
        <v>2.6983968257249746E-2</v>
      </c>
      <c r="P122" s="292">
        <f t="shared" si="29"/>
        <v>1.796420006203206E-2</v>
      </c>
      <c r="Q122" s="293">
        <f t="shared" si="33"/>
        <v>40465.076639999999</v>
      </c>
      <c r="R122" s="227">
        <f t="shared" si="27"/>
        <v>7.5419336325945496E-7</v>
      </c>
      <c r="S122" s="227">
        <v>1</v>
      </c>
      <c r="T122" s="227">
        <f t="shared" si="25"/>
        <v>7.5419336325945496E-7</v>
      </c>
    </row>
    <row r="123" spans="1:20" s="227" customFormat="1" ht="12.95" customHeight="1">
      <c r="A123" s="295" t="s">
        <v>128</v>
      </c>
      <c r="B123" s="296" t="s">
        <v>86</v>
      </c>
      <c r="C123" s="295">
        <v>55483.576800000003</v>
      </c>
      <c r="D123" s="295" t="s">
        <v>264</v>
      </c>
      <c r="E123" s="227">
        <f t="shared" si="30"/>
        <v>33111.552305470963</v>
      </c>
      <c r="F123" s="227">
        <f t="shared" si="31"/>
        <v>33111.5</v>
      </c>
      <c r="G123" s="227">
        <f t="shared" si="32"/>
        <v>1.7255756996746641E-2</v>
      </c>
      <c r="K123" s="291">
        <f>G123</f>
        <v>1.7255756996746641E-2</v>
      </c>
      <c r="O123" s="227">
        <f t="shared" ca="1" si="28"/>
        <v>2.6983968257249746E-2</v>
      </c>
      <c r="P123" s="292">
        <f t="shared" si="29"/>
        <v>1.796420006203206E-2</v>
      </c>
      <c r="Q123" s="293">
        <f t="shared" si="33"/>
        <v>40465.076800000003</v>
      </c>
      <c r="R123" s="227">
        <f t="shared" si="27"/>
        <v>5.0189157675100043E-7</v>
      </c>
      <c r="S123" s="227">
        <v>1</v>
      </c>
      <c r="T123" s="227">
        <f t="shared" si="25"/>
        <v>5.0189157675100043E-7</v>
      </c>
    </row>
    <row r="124" spans="1:20" s="227" customFormat="1" ht="12.95" customHeight="1">
      <c r="A124" s="291" t="s">
        <v>128</v>
      </c>
      <c r="B124" s="122" t="s">
        <v>86</v>
      </c>
      <c r="C124" s="21">
        <v>55483.576849999998</v>
      </c>
      <c r="D124" s="21">
        <v>2.9999999999999997E-4</v>
      </c>
      <c r="E124" s="227">
        <f t="shared" si="30"/>
        <v>33111.552457030426</v>
      </c>
      <c r="F124" s="227">
        <f t="shared" si="31"/>
        <v>33111.5</v>
      </c>
      <c r="G124" s="227">
        <f t="shared" si="32"/>
        <v>1.7305756991845556E-2</v>
      </c>
      <c r="K124" s="291">
        <f>G124</f>
        <v>1.7305756991845556E-2</v>
      </c>
      <c r="O124" s="227">
        <f t="shared" ca="1" si="28"/>
        <v>2.6983968257249746E-2</v>
      </c>
      <c r="P124" s="292">
        <f t="shared" si="29"/>
        <v>1.796420006203206E-2</v>
      </c>
      <c r="Q124" s="293">
        <f t="shared" si="33"/>
        <v>40465.076849999998</v>
      </c>
      <c r="R124" s="227">
        <f t="shared" si="27"/>
        <v>4.3354727667662949E-7</v>
      </c>
      <c r="S124" s="227">
        <v>1</v>
      </c>
      <c r="T124" s="227">
        <f t="shared" si="25"/>
        <v>4.3354727667662949E-7</v>
      </c>
    </row>
    <row r="125" spans="1:20" s="227" customFormat="1" ht="12.95" customHeight="1">
      <c r="A125" s="21" t="s">
        <v>133</v>
      </c>
      <c r="B125" s="122" t="s">
        <v>86</v>
      </c>
      <c r="C125" s="21">
        <v>55584.360800000002</v>
      </c>
      <c r="D125" s="126">
        <v>2.0000000000000001E-4</v>
      </c>
      <c r="E125" s="227">
        <f t="shared" si="30"/>
        <v>33417.047717004687</v>
      </c>
      <c r="F125" s="227">
        <f t="shared" si="31"/>
        <v>33417</v>
      </c>
      <c r="G125" s="227">
        <f t="shared" si="32"/>
        <v>1.5742005998617969E-2</v>
      </c>
      <c r="J125" s="227">
        <f>G125</f>
        <v>1.5742005998617969E-2</v>
      </c>
      <c r="O125" s="227">
        <f t="shared" ca="1" si="28"/>
        <v>2.571255449180207E-2</v>
      </c>
      <c r="P125" s="292">
        <f t="shared" si="29"/>
        <v>1.7262506247684301E-2</v>
      </c>
      <c r="Q125" s="293">
        <f t="shared" si="33"/>
        <v>40565.860800000002</v>
      </c>
      <c r="R125" s="227">
        <f t="shared" si="27"/>
        <v>2.3119210074107749E-6</v>
      </c>
      <c r="S125" s="227">
        <v>1</v>
      </c>
      <c r="T125" s="227">
        <f t="shared" si="25"/>
        <v>2.3119210074107749E-6</v>
      </c>
    </row>
    <row r="126" spans="1:20" s="227" customFormat="1" ht="12.95" customHeight="1">
      <c r="A126" s="295" t="s">
        <v>128</v>
      </c>
      <c r="B126" s="296" t="s">
        <v>86</v>
      </c>
      <c r="C126" s="295">
        <v>55600.361700000001</v>
      </c>
      <c r="D126" s="295" t="s">
        <v>264</v>
      </c>
      <c r="E126" s="227">
        <f t="shared" si="30"/>
        <v>33465.549478498673</v>
      </c>
      <c r="F126" s="227">
        <f t="shared" si="31"/>
        <v>33465.5</v>
      </c>
      <c r="G126" s="227">
        <f t="shared" si="32"/>
        <v>1.6323128998919856E-2</v>
      </c>
      <c r="K126" s="291">
        <f t="shared" ref="K126:K150" si="34">G126</f>
        <v>1.6323128998919856E-2</v>
      </c>
      <c r="O126" s="227">
        <f t="shared" ca="1" si="28"/>
        <v>2.5510709753261279E-2</v>
      </c>
      <c r="P126" s="292">
        <f t="shared" si="29"/>
        <v>1.7149051956560746E-2</v>
      </c>
      <c r="Q126" s="293">
        <f t="shared" si="33"/>
        <v>40581.861700000001</v>
      </c>
      <c r="R126" s="227">
        <f t="shared" si="27"/>
        <v>6.8214873195827533E-7</v>
      </c>
      <c r="S126" s="227">
        <v>1</v>
      </c>
      <c r="T126" s="227">
        <f t="shared" si="25"/>
        <v>6.8214873195827533E-7</v>
      </c>
    </row>
    <row r="127" spans="1:20" s="227" customFormat="1" ht="12.95" customHeight="1">
      <c r="A127" s="291" t="s">
        <v>128</v>
      </c>
      <c r="B127" s="122" t="s">
        <v>86</v>
      </c>
      <c r="C127" s="21">
        <v>55600.36176</v>
      </c>
      <c r="D127" s="21">
        <v>2.9999999999999997E-4</v>
      </c>
      <c r="E127" s="227">
        <f t="shared" si="30"/>
        <v>33465.549660370045</v>
      </c>
      <c r="F127" s="227">
        <f t="shared" si="31"/>
        <v>33465.5</v>
      </c>
      <c r="G127" s="227">
        <f t="shared" si="32"/>
        <v>1.6383128997404128E-2</v>
      </c>
      <c r="K127" s="291">
        <f t="shared" si="34"/>
        <v>1.6383128997404128E-2</v>
      </c>
      <c r="O127" s="227">
        <f t="shared" ca="1" si="28"/>
        <v>2.5510709753261279E-2</v>
      </c>
      <c r="P127" s="292">
        <f t="shared" si="29"/>
        <v>1.7149051956560746E-2</v>
      </c>
      <c r="Q127" s="293">
        <f t="shared" si="33"/>
        <v>40581.86176</v>
      </c>
      <c r="R127" s="227">
        <f t="shared" si="27"/>
        <v>5.8663797936322948E-7</v>
      </c>
      <c r="S127" s="227">
        <v>1</v>
      </c>
      <c r="T127" s="227">
        <f t="shared" si="25"/>
        <v>5.8663797936322948E-7</v>
      </c>
    </row>
    <row r="128" spans="1:20" s="227" customFormat="1" ht="12.95" customHeight="1">
      <c r="A128" s="295" t="s">
        <v>128</v>
      </c>
      <c r="B128" s="296" t="s">
        <v>86</v>
      </c>
      <c r="C128" s="295">
        <v>55600.362200000003</v>
      </c>
      <c r="D128" s="295" t="s">
        <v>264</v>
      </c>
      <c r="E128" s="227">
        <f t="shared" si="30"/>
        <v>33465.550994093472</v>
      </c>
      <c r="F128" s="227">
        <f t="shared" si="31"/>
        <v>33465.5</v>
      </c>
      <c r="G128" s="227">
        <f t="shared" si="32"/>
        <v>1.6823129000840709E-2</v>
      </c>
      <c r="K128" s="291">
        <f t="shared" si="34"/>
        <v>1.6823129000840709E-2</v>
      </c>
      <c r="O128" s="227">
        <f t="shared" ca="1" si="28"/>
        <v>2.5510709753261279E-2</v>
      </c>
      <c r="P128" s="292">
        <f t="shared" si="29"/>
        <v>1.7149051956560746E-2</v>
      </c>
      <c r="Q128" s="293">
        <f t="shared" si="33"/>
        <v>40581.862200000003</v>
      </c>
      <c r="R128" s="227">
        <f t="shared" si="27"/>
        <v>1.062257730652853E-7</v>
      </c>
      <c r="S128" s="227">
        <v>1</v>
      </c>
      <c r="T128" s="227">
        <f t="shared" si="25"/>
        <v>1.062257730652853E-7</v>
      </c>
    </row>
    <row r="129" spans="1:21" s="227" customFormat="1" ht="12.95" customHeight="1">
      <c r="A129" s="291" t="s">
        <v>128</v>
      </c>
      <c r="B129" s="122" t="s">
        <v>86</v>
      </c>
      <c r="C129" s="21">
        <v>55600.362260000002</v>
      </c>
      <c r="D129" s="21">
        <v>2.0000000000000001E-4</v>
      </c>
      <c r="E129" s="227">
        <f t="shared" si="30"/>
        <v>33465.551175964843</v>
      </c>
      <c r="F129" s="227">
        <f t="shared" si="31"/>
        <v>33465.5</v>
      </c>
      <c r="G129" s="227">
        <f t="shared" si="32"/>
        <v>1.6883128999324981E-2</v>
      </c>
      <c r="K129" s="291">
        <f t="shared" si="34"/>
        <v>1.6883128999324981E-2</v>
      </c>
      <c r="O129" s="227">
        <f t="shared" ca="1" si="28"/>
        <v>2.5510709753261279E-2</v>
      </c>
      <c r="P129" s="292">
        <f t="shared" si="29"/>
        <v>1.7149051956560746E-2</v>
      </c>
      <c r="Q129" s="293">
        <f t="shared" si="33"/>
        <v>40581.862260000002</v>
      </c>
      <c r="R129" s="227">
        <f t="shared" si="27"/>
        <v>7.0715019185014307E-8</v>
      </c>
      <c r="S129" s="227">
        <v>1</v>
      </c>
      <c r="T129" s="227">
        <f t="shared" si="25"/>
        <v>7.0715019185014307E-8</v>
      </c>
    </row>
    <row r="130" spans="1:21" s="227" customFormat="1" ht="12.95" customHeight="1">
      <c r="A130" s="295" t="s">
        <v>128</v>
      </c>
      <c r="B130" s="296" t="s">
        <v>86</v>
      </c>
      <c r="C130" s="295">
        <v>55600.362699999998</v>
      </c>
      <c r="D130" s="295" t="s">
        <v>264</v>
      </c>
      <c r="E130" s="227">
        <f t="shared" si="30"/>
        <v>33465.552509688256</v>
      </c>
      <c r="F130" s="227">
        <f t="shared" si="31"/>
        <v>33465.5</v>
      </c>
      <c r="G130" s="227">
        <f t="shared" si="32"/>
        <v>1.7323128995485604E-2</v>
      </c>
      <c r="K130" s="291">
        <f t="shared" si="34"/>
        <v>1.7323128995485604E-2</v>
      </c>
      <c r="O130" s="227">
        <f t="shared" ca="1" si="28"/>
        <v>2.5510709753261279E-2</v>
      </c>
      <c r="P130" s="292">
        <f t="shared" si="29"/>
        <v>1.7149051956560746E-2</v>
      </c>
      <c r="Q130" s="293">
        <f t="shared" si="33"/>
        <v>40581.862699999998</v>
      </c>
      <c r="R130" s="227">
        <f t="shared" si="27"/>
        <v>3.0302815480846543E-8</v>
      </c>
      <c r="S130" s="227">
        <v>1</v>
      </c>
      <c r="T130" s="227">
        <f t="shared" si="25"/>
        <v>3.0302815480846543E-8</v>
      </c>
    </row>
    <row r="131" spans="1:21" s="227" customFormat="1" ht="12.95" customHeight="1">
      <c r="A131" s="291" t="s">
        <v>128</v>
      </c>
      <c r="B131" s="122" t="s">
        <v>86</v>
      </c>
      <c r="C131" s="21">
        <v>55600.362760000004</v>
      </c>
      <c r="D131" s="21">
        <v>2.0000000000000001E-4</v>
      </c>
      <c r="E131" s="227">
        <f t="shared" si="30"/>
        <v>33465.552691559649</v>
      </c>
      <c r="F131" s="227">
        <f t="shared" si="31"/>
        <v>33465.5</v>
      </c>
      <c r="G131" s="227">
        <f t="shared" si="32"/>
        <v>1.7383129001245834E-2</v>
      </c>
      <c r="K131" s="291">
        <f t="shared" si="34"/>
        <v>1.7383129001245834E-2</v>
      </c>
      <c r="O131" s="227">
        <f t="shared" ca="1" si="28"/>
        <v>2.5510709753261279E-2</v>
      </c>
      <c r="P131" s="292">
        <f t="shared" si="29"/>
        <v>1.7149051956560746E-2</v>
      </c>
      <c r="Q131" s="293">
        <f t="shared" si="33"/>
        <v>40581.862760000004</v>
      </c>
      <c r="R131" s="227">
        <f t="shared" si="27"/>
        <v>5.4792062848504765E-8</v>
      </c>
      <c r="S131" s="227">
        <v>1</v>
      </c>
      <c r="T131" s="227">
        <f t="shared" si="25"/>
        <v>5.4792062848504765E-8</v>
      </c>
    </row>
    <row r="132" spans="1:21" ht="12.95" customHeight="1">
      <c r="A132" s="295" t="s">
        <v>128</v>
      </c>
      <c r="B132" s="296" t="s">
        <v>87</v>
      </c>
      <c r="C132" s="295">
        <v>55622.298900000002</v>
      </c>
      <c r="D132" s="295" t="s">
        <v>264</v>
      </c>
      <c r="E132" s="227">
        <f t="shared" si="30"/>
        <v>33532.045290749607</v>
      </c>
      <c r="F132" s="227">
        <f t="shared" si="31"/>
        <v>33532</v>
      </c>
      <c r="G132" s="227">
        <f t="shared" si="32"/>
        <v>1.4941575995180756E-2</v>
      </c>
      <c r="H132" s="227"/>
      <c r="I132" s="227"/>
      <c r="J132" s="227"/>
      <c r="K132" s="291">
        <f t="shared" si="34"/>
        <v>1.4941575995180756E-2</v>
      </c>
      <c r="L132" s="227"/>
      <c r="M132" s="227"/>
      <c r="N132" s="227"/>
      <c r="O132" s="227">
        <f t="shared" ca="1" si="28"/>
        <v>2.5233953565365147E-2</v>
      </c>
      <c r="P132" s="292">
        <f t="shared" si="29"/>
        <v>1.6992575083894013E-2</v>
      </c>
      <c r="Q132" s="293">
        <f t="shared" si="33"/>
        <v>40603.798900000002</v>
      </c>
      <c r="R132" s="227">
        <f t="shared" si="27"/>
        <v>4.20659726190261E-6</v>
      </c>
      <c r="S132" s="227">
        <v>1</v>
      </c>
      <c r="T132" s="227">
        <f t="shared" si="25"/>
        <v>4.20659726190261E-6</v>
      </c>
      <c r="U132" s="227"/>
    </row>
    <row r="133" spans="1:21" s="227" customFormat="1" ht="12.95" customHeight="1">
      <c r="A133" s="291" t="s">
        <v>128</v>
      </c>
      <c r="B133" s="122" t="s">
        <v>87</v>
      </c>
      <c r="C133" s="21">
        <v>55622.298920000001</v>
      </c>
      <c r="D133" s="21">
        <v>2.0000000000000001E-4</v>
      </c>
      <c r="E133" s="227">
        <f t="shared" si="30"/>
        <v>33532.045351373396</v>
      </c>
      <c r="F133" s="227">
        <f t="shared" si="31"/>
        <v>33532</v>
      </c>
      <c r="G133" s="227">
        <f t="shared" si="32"/>
        <v>1.4961575994675513E-2</v>
      </c>
      <c r="K133" s="291">
        <f t="shared" si="34"/>
        <v>1.4961575994675513E-2</v>
      </c>
      <c r="O133" s="227">
        <f t="shared" ca="1" si="28"/>
        <v>2.5233953565365147E-2</v>
      </c>
      <c r="P133" s="292">
        <f t="shared" si="29"/>
        <v>1.6992575083894013E-2</v>
      </c>
      <c r="Q133" s="293">
        <f t="shared" si="33"/>
        <v>40603.798920000001</v>
      </c>
      <c r="R133" s="227">
        <f t="shared" si="27"/>
        <v>4.1249573004063734E-6</v>
      </c>
      <c r="S133" s="227">
        <v>1</v>
      </c>
      <c r="T133" s="227">
        <f t="shared" si="25"/>
        <v>4.1249573004063734E-6</v>
      </c>
    </row>
    <row r="134" spans="1:21" ht="12.95" customHeight="1">
      <c r="A134" s="295" t="s">
        <v>128</v>
      </c>
      <c r="B134" s="296" t="s">
        <v>87</v>
      </c>
      <c r="C134" s="295">
        <v>55622.299599999998</v>
      </c>
      <c r="D134" s="295" t="s">
        <v>264</v>
      </c>
      <c r="E134" s="227">
        <f t="shared" si="30"/>
        <v>33532.047412582309</v>
      </c>
      <c r="F134" s="227">
        <f t="shared" si="31"/>
        <v>33532</v>
      </c>
      <c r="G134" s="227">
        <f t="shared" si="32"/>
        <v>1.5641575992049184E-2</v>
      </c>
      <c r="H134" s="227"/>
      <c r="I134" s="227"/>
      <c r="J134" s="227"/>
      <c r="K134" s="291">
        <f t="shared" si="34"/>
        <v>1.5641575992049184E-2</v>
      </c>
      <c r="L134" s="227"/>
      <c r="M134" s="227"/>
      <c r="N134" s="227"/>
      <c r="O134" s="227">
        <f t="shared" ca="1" si="28"/>
        <v>2.5233953565365147E-2</v>
      </c>
      <c r="P134" s="292">
        <f t="shared" si="29"/>
        <v>1.6992575083894013E-2</v>
      </c>
      <c r="Q134" s="293">
        <f t="shared" si="33"/>
        <v>40603.799599999998</v>
      </c>
      <c r="R134" s="227">
        <f t="shared" si="27"/>
        <v>1.8251985461655525E-6</v>
      </c>
      <c r="S134" s="227">
        <v>1</v>
      </c>
      <c r="T134" s="227">
        <f t="shared" si="25"/>
        <v>1.8251985461655525E-6</v>
      </c>
      <c r="U134" s="227"/>
    </row>
    <row r="135" spans="1:21" ht="12.95" customHeight="1">
      <c r="A135" s="291" t="s">
        <v>128</v>
      </c>
      <c r="B135" s="122" t="s">
        <v>87</v>
      </c>
      <c r="C135" s="21">
        <v>55622.299619999998</v>
      </c>
      <c r="D135" s="21">
        <v>2.0000000000000001E-4</v>
      </c>
      <c r="E135" s="227">
        <f t="shared" si="30"/>
        <v>33532.047473206097</v>
      </c>
      <c r="F135" s="227">
        <f t="shared" si="31"/>
        <v>33532</v>
      </c>
      <c r="G135" s="227">
        <f t="shared" si="32"/>
        <v>1.5661575991543941E-2</v>
      </c>
      <c r="H135" s="227"/>
      <c r="I135" s="227"/>
      <c r="J135" s="227"/>
      <c r="K135" s="291">
        <f t="shared" si="34"/>
        <v>1.5661575991543941E-2</v>
      </c>
      <c r="L135" s="227"/>
      <c r="M135" s="227"/>
      <c r="N135" s="227"/>
      <c r="O135" s="227">
        <f t="shared" ca="1" si="28"/>
        <v>2.5233953565365147E-2</v>
      </c>
      <c r="P135" s="292">
        <f t="shared" si="29"/>
        <v>1.6992575083894013E-2</v>
      </c>
      <c r="Q135" s="293">
        <f t="shared" si="33"/>
        <v>40603.799619999998</v>
      </c>
      <c r="R135" s="227">
        <f t="shared" si="27"/>
        <v>1.7715585838367139E-6</v>
      </c>
      <c r="S135" s="227">
        <v>1</v>
      </c>
      <c r="T135" s="227">
        <f t="shared" si="25"/>
        <v>1.7715585838367139E-6</v>
      </c>
      <c r="U135" s="227"/>
    </row>
    <row r="136" spans="1:21" ht="12.95" customHeight="1">
      <c r="A136" s="295" t="s">
        <v>128</v>
      </c>
      <c r="B136" s="296" t="s">
        <v>87</v>
      </c>
      <c r="C136" s="295">
        <v>55622.299800000001</v>
      </c>
      <c r="D136" s="295" t="s">
        <v>264</v>
      </c>
      <c r="E136" s="227">
        <f t="shared" si="30"/>
        <v>33532.048018820235</v>
      </c>
      <c r="F136" s="227">
        <f t="shared" si="31"/>
        <v>33532</v>
      </c>
      <c r="G136" s="227">
        <f t="shared" si="32"/>
        <v>1.5841575994272716E-2</v>
      </c>
      <c r="H136" s="227"/>
      <c r="I136" s="227"/>
      <c r="J136" s="227"/>
      <c r="K136" s="291">
        <f t="shared" si="34"/>
        <v>1.5841575994272716E-2</v>
      </c>
      <c r="L136" s="227"/>
      <c r="M136" s="227"/>
      <c r="N136" s="227"/>
      <c r="O136" s="227">
        <f t="shared" ca="1" si="28"/>
        <v>2.5233953565365147E-2</v>
      </c>
      <c r="P136" s="292">
        <f t="shared" si="29"/>
        <v>1.6992575083894013E-2</v>
      </c>
      <c r="Q136" s="293">
        <f t="shared" si="33"/>
        <v>40603.799800000001</v>
      </c>
      <c r="R136" s="227">
        <f t="shared" si="27"/>
        <v>1.3247989043090527E-6</v>
      </c>
      <c r="S136" s="227">
        <v>1</v>
      </c>
      <c r="T136" s="227">
        <f t="shared" si="25"/>
        <v>1.3247989043090527E-6</v>
      </c>
      <c r="U136" s="227"/>
    </row>
    <row r="137" spans="1:21" s="227" customFormat="1" ht="12.95" customHeight="1">
      <c r="A137" s="291" t="s">
        <v>128</v>
      </c>
      <c r="B137" s="122" t="s">
        <v>87</v>
      </c>
      <c r="C137" s="21">
        <v>55622.29982</v>
      </c>
      <c r="D137" s="21">
        <v>2.0000000000000001E-4</v>
      </c>
      <c r="E137" s="227">
        <f t="shared" si="30"/>
        <v>33532.048079444023</v>
      </c>
      <c r="F137" s="227">
        <f t="shared" si="31"/>
        <v>33532</v>
      </c>
      <c r="G137" s="227">
        <f t="shared" si="32"/>
        <v>1.5861575993767474E-2</v>
      </c>
      <c r="K137" s="291">
        <f t="shared" si="34"/>
        <v>1.5861575993767474E-2</v>
      </c>
      <c r="O137" s="227">
        <f t="shared" ca="1" si="28"/>
        <v>2.5233953565365147E-2</v>
      </c>
      <c r="P137" s="292">
        <f t="shared" si="29"/>
        <v>1.6992575083894013E-2</v>
      </c>
      <c r="Q137" s="293">
        <f t="shared" si="33"/>
        <v>40603.79982</v>
      </c>
      <c r="R137" s="227">
        <f t="shared" si="27"/>
        <v>1.2791589418670585E-6</v>
      </c>
      <c r="S137" s="227">
        <v>1</v>
      </c>
      <c r="T137" s="227">
        <f t="shared" si="25"/>
        <v>1.2791589418670585E-6</v>
      </c>
    </row>
    <row r="138" spans="1:21" s="227" customFormat="1" ht="12.95" customHeight="1">
      <c r="A138" s="21" t="s">
        <v>134</v>
      </c>
      <c r="B138" s="122" t="s">
        <v>86</v>
      </c>
      <c r="C138" s="21">
        <v>55804.572</v>
      </c>
      <c r="D138" s="341">
        <v>4.0000000000000001E-3</v>
      </c>
      <c r="E138" s="227">
        <f t="shared" si="30"/>
        <v>34084.549613817035</v>
      </c>
      <c r="F138" s="227">
        <f t="shared" si="31"/>
        <v>34084.5</v>
      </c>
      <c r="G138" s="227">
        <f t="shared" si="32"/>
        <v>1.6367770993383601E-2</v>
      </c>
      <c r="K138" s="291">
        <f t="shared" si="34"/>
        <v>1.6367770993383601E-2</v>
      </c>
      <c r="M138" s="291"/>
      <c r="O138" s="227">
        <f t="shared" ca="1" si="28"/>
        <v>2.2934588244874682E-2</v>
      </c>
      <c r="P138" s="292">
        <f t="shared" si="29"/>
        <v>1.5651566604574035E-2</v>
      </c>
      <c r="Q138" s="293">
        <f t="shared" si="33"/>
        <v>40786.072</v>
      </c>
      <c r="R138" s="227">
        <f t="shared" si="27"/>
        <v>5.1294872655008388E-7</v>
      </c>
      <c r="S138" s="227">
        <v>1</v>
      </c>
      <c r="T138" s="227">
        <f t="shared" si="25"/>
        <v>5.1294872655008388E-7</v>
      </c>
    </row>
    <row r="139" spans="1:21" ht="12.95" customHeight="1">
      <c r="A139" s="295" t="s">
        <v>646</v>
      </c>
      <c r="B139" s="296" t="s">
        <v>87</v>
      </c>
      <c r="C139" s="295">
        <v>55867.087299999999</v>
      </c>
      <c r="D139" s="295" t="s">
        <v>264</v>
      </c>
      <c r="E139" s="227">
        <f t="shared" si="30"/>
        <v>34274.045340327735</v>
      </c>
      <c r="F139" s="227">
        <f t="shared" si="31"/>
        <v>34274</v>
      </c>
      <c r="G139" s="227">
        <f t="shared" si="32"/>
        <v>1.4957931998651475E-2</v>
      </c>
      <c r="H139" s="227"/>
      <c r="I139" s="227"/>
      <c r="J139" s="227"/>
      <c r="K139" s="227">
        <f t="shared" si="34"/>
        <v>1.4957931998651475E-2</v>
      </c>
      <c r="M139" s="227"/>
      <c r="N139" s="227"/>
      <c r="O139" s="227">
        <f t="shared" ca="1" si="28"/>
        <v>2.2145937153050355E-2</v>
      </c>
      <c r="P139" s="292">
        <f t="shared" si="29"/>
        <v>1.5174780122761772E-2</v>
      </c>
      <c r="Q139" s="293">
        <f t="shared" si="33"/>
        <v>40848.587299999999</v>
      </c>
      <c r="R139" s="227">
        <f t="shared" si="27"/>
        <v>4.7023108930154803E-8</v>
      </c>
      <c r="S139" s="227">
        <v>1</v>
      </c>
      <c r="T139" s="227">
        <f t="shared" si="25"/>
        <v>4.7023108930154803E-8</v>
      </c>
      <c r="U139" s="227"/>
    </row>
    <row r="140" spans="1:21" ht="12.95" customHeight="1">
      <c r="A140" s="295" t="s">
        <v>646</v>
      </c>
      <c r="B140" s="296" t="s">
        <v>86</v>
      </c>
      <c r="C140" s="295">
        <v>55867.253199999999</v>
      </c>
      <c r="D140" s="295" t="s">
        <v>264</v>
      </c>
      <c r="E140" s="227">
        <f t="shared" si="30"/>
        <v>34274.548214680544</v>
      </c>
      <c r="F140" s="227">
        <f t="shared" si="31"/>
        <v>34274.5</v>
      </c>
      <c r="G140" s="227">
        <f t="shared" si="32"/>
        <v>1.5906190994428471E-2</v>
      </c>
      <c r="H140" s="227"/>
      <c r="I140" s="227"/>
      <c r="J140" s="227"/>
      <c r="K140" s="227">
        <f t="shared" si="34"/>
        <v>1.5906190994428471E-2</v>
      </c>
      <c r="M140" s="227"/>
      <c r="N140" s="227"/>
      <c r="O140" s="227">
        <f t="shared" ca="1" si="28"/>
        <v>2.2143856279457141E-2</v>
      </c>
      <c r="P140" s="292">
        <f t="shared" si="29"/>
        <v>1.517351073411255E-2</v>
      </c>
      <c r="Q140" s="293">
        <f t="shared" si="33"/>
        <v>40848.753199999999</v>
      </c>
      <c r="R140" s="227">
        <f t="shared" si="27"/>
        <v>5.3682036385660585E-7</v>
      </c>
      <c r="S140" s="227">
        <v>1</v>
      </c>
      <c r="T140" s="227">
        <f t="shared" si="25"/>
        <v>5.3682036385660585E-7</v>
      </c>
      <c r="U140" s="227"/>
    </row>
    <row r="141" spans="1:21" ht="12.95" customHeight="1">
      <c r="A141" s="21" t="s">
        <v>135</v>
      </c>
      <c r="B141" s="122" t="s">
        <v>86</v>
      </c>
      <c r="C141" s="21">
        <v>55874.841999999997</v>
      </c>
      <c r="D141" s="21">
        <v>2.9999999999999997E-4</v>
      </c>
      <c r="E141" s="227">
        <f t="shared" si="30"/>
        <v>34297.551306233232</v>
      </c>
      <c r="F141" s="227">
        <f t="shared" si="31"/>
        <v>34297.5</v>
      </c>
      <c r="G141" s="227">
        <f t="shared" si="32"/>
        <v>1.6926104995945934E-2</v>
      </c>
      <c r="H141" s="227"/>
      <c r="I141" s="227"/>
      <c r="J141" s="227"/>
      <c r="K141" s="227">
        <f t="shared" si="34"/>
        <v>1.6926104995945934E-2</v>
      </c>
      <c r="L141" s="227"/>
      <c r="M141" s="227"/>
      <c r="N141" s="227"/>
      <c r="O141" s="227">
        <f t="shared" ca="1" si="28"/>
        <v>2.2048136094169779E-2</v>
      </c>
      <c r="P141" s="292">
        <f t="shared" si="29"/>
        <v>1.5115054128107569E-2</v>
      </c>
      <c r="Q141" s="293">
        <f t="shared" si="33"/>
        <v>40856.341999999997</v>
      </c>
      <c r="R141" s="227">
        <f t="shared" si="27"/>
        <v>3.2799052458980959E-6</v>
      </c>
      <c r="S141" s="227">
        <v>1</v>
      </c>
      <c r="T141" s="227">
        <f t="shared" si="25"/>
        <v>3.2799052458980959E-6</v>
      </c>
      <c r="U141" s="227"/>
    </row>
    <row r="142" spans="1:21" s="227" customFormat="1" ht="12.95" customHeight="1">
      <c r="A142" s="291" t="s">
        <v>252</v>
      </c>
      <c r="B142" s="122" t="s">
        <v>87</v>
      </c>
      <c r="C142" s="21">
        <v>55877.643960000001</v>
      </c>
      <c r="D142" s="21">
        <v>1E-4</v>
      </c>
      <c r="E142" s="227">
        <f t="shared" si="30"/>
        <v>34306.044578213929</v>
      </c>
      <c r="F142" s="227">
        <f t="shared" si="31"/>
        <v>34306</v>
      </c>
      <c r="G142" s="227">
        <f t="shared" si="32"/>
        <v>1.4706507994560525E-2</v>
      </c>
      <c r="K142" s="291">
        <f t="shared" si="34"/>
        <v>1.4706507994560525E-2</v>
      </c>
      <c r="O142" s="227">
        <f t="shared" ca="1" si="28"/>
        <v>2.2012761243085294E-2</v>
      </c>
      <c r="P142" s="292">
        <f t="shared" si="29"/>
        <v>1.5093418535121444E-2</v>
      </c>
      <c r="Q142" s="293">
        <f t="shared" si="33"/>
        <v>40859.143960000001</v>
      </c>
      <c r="R142" s="227">
        <f t="shared" si="27"/>
        <v>1.4969976639714307E-7</v>
      </c>
      <c r="S142" s="227">
        <v>1</v>
      </c>
      <c r="T142" s="227">
        <f t="shared" si="25"/>
        <v>1.4969976639714307E-7</v>
      </c>
    </row>
    <row r="143" spans="1:21" ht="12.95" customHeight="1">
      <c r="A143" s="291" t="s">
        <v>252</v>
      </c>
      <c r="B143" s="122" t="s">
        <v>87</v>
      </c>
      <c r="C143" s="21">
        <v>55877.644160000003</v>
      </c>
      <c r="D143" s="21">
        <v>1E-4</v>
      </c>
      <c r="E143" s="227">
        <f t="shared" si="30"/>
        <v>34306.045184451854</v>
      </c>
      <c r="F143" s="227">
        <f t="shared" si="31"/>
        <v>34306</v>
      </c>
      <c r="G143" s="227">
        <f t="shared" si="32"/>
        <v>1.4906507996784057E-2</v>
      </c>
      <c r="H143" s="227"/>
      <c r="I143" s="227"/>
      <c r="J143" s="227"/>
      <c r="K143" s="291">
        <f t="shared" si="34"/>
        <v>1.4906507996784057E-2</v>
      </c>
      <c r="L143" s="227"/>
      <c r="M143" s="227"/>
      <c r="N143" s="227"/>
      <c r="O143" s="227">
        <f t="shared" ca="1" si="28"/>
        <v>2.2012761243085294E-2</v>
      </c>
      <c r="P143" s="292">
        <f t="shared" si="29"/>
        <v>1.5093418535121444E-2</v>
      </c>
      <c r="Q143" s="293">
        <f t="shared" si="33"/>
        <v>40859.144160000003</v>
      </c>
      <c r="R143" s="227">
        <f t="shared" ref="R143:R164" si="35">+(P143-G143)^2</f>
        <v>3.4935549341571821E-8</v>
      </c>
      <c r="S143" s="227">
        <v>1</v>
      </c>
      <c r="T143" s="227">
        <f t="shared" si="25"/>
        <v>3.4935549341571821E-8</v>
      </c>
      <c r="U143" s="227"/>
    </row>
    <row r="144" spans="1:21" ht="12.95" customHeight="1">
      <c r="A144" s="291" t="s">
        <v>252</v>
      </c>
      <c r="B144" s="122" t="s">
        <v>87</v>
      </c>
      <c r="C144" s="21">
        <v>55877.644160000003</v>
      </c>
      <c r="D144" s="21">
        <v>1E-4</v>
      </c>
      <c r="E144" s="227">
        <f t="shared" si="30"/>
        <v>34306.045184451854</v>
      </c>
      <c r="F144" s="227">
        <f t="shared" si="31"/>
        <v>34306</v>
      </c>
      <c r="G144" s="227">
        <f t="shared" si="32"/>
        <v>1.4906507996784057E-2</v>
      </c>
      <c r="H144" s="227"/>
      <c r="I144" s="227"/>
      <c r="J144" s="227"/>
      <c r="K144" s="291">
        <f t="shared" si="34"/>
        <v>1.4906507996784057E-2</v>
      </c>
      <c r="L144" s="227"/>
      <c r="M144" s="227"/>
      <c r="N144" s="227"/>
      <c r="O144" s="227">
        <f t="shared" ref="O144:O175" ca="1" si="36">+C$11+C$12*F144</f>
        <v>2.2012761243085294E-2</v>
      </c>
      <c r="P144" s="292">
        <f t="shared" si="29"/>
        <v>1.5093418535121444E-2</v>
      </c>
      <c r="Q144" s="293">
        <f t="shared" si="33"/>
        <v>40859.144160000003</v>
      </c>
      <c r="R144" s="227">
        <f t="shared" si="35"/>
        <v>3.4935549341571821E-8</v>
      </c>
      <c r="S144" s="227">
        <v>1</v>
      </c>
      <c r="T144" s="227">
        <f t="shared" si="25"/>
        <v>3.4935549341571821E-8</v>
      </c>
      <c r="U144" s="227"/>
    </row>
    <row r="145" spans="1:21" ht="12.95" customHeight="1">
      <c r="A145" s="295" t="s">
        <v>666</v>
      </c>
      <c r="B145" s="296" t="s">
        <v>86</v>
      </c>
      <c r="C145" s="295">
        <v>55896.284599999999</v>
      </c>
      <c r="D145" s="295" t="s">
        <v>264</v>
      </c>
      <c r="E145" s="227">
        <f t="shared" si="30"/>
        <v>34362.547892113471</v>
      </c>
      <c r="F145" s="227">
        <f t="shared" si="31"/>
        <v>34362.5</v>
      </c>
      <c r="G145" s="227">
        <f t="shared" si="32"/>
        <v>1.5799774992046878E-2</v>
      </c>
      <c r="H145" s="227"/>
      <c r="I145" s="227"/>
      <c r="J145" s="227"/>
      <c r="K145" s="227">
        <f t="shared" si="34"/>
        <v>1.5799774992046878E-2</v>
      </c>
      <c r="L145" s="227"/>
      <c r="M145" s="227"/>
      <c r="N145" s="227"/>
      <c r="O145" s="227">
        <f t="shared" ca="1" si="36"/>
        <v>2.1777622527053231E-2</v>
      </c>
      <c r="P145" s="292">
        <f t="shared" si="29"/>
        <v>1.4949165671800935E-2</v>
      </c>
      <c r="Q145" s="293">
        <f t="shared" si="33"/>
        <v>40877.784599999999</v>
      </c>
      <c r="R145" s="227">
        <f t="shared" si="35"/>
        <v>7.2353621568926535E-7</v>
      </c>
      <c r="S145" s="227">
        <v>1</v>
      </c>
      <c r="U145" s="227"/>
    </row>
    <row r="146" spans="1:21" ht="12.95" customHeight="1">
      <c r="A146" s="295" t="s">
        <v>646</v>
      </c>
      <c r="B146" s="296" t="s">
        <v>87</v>
      </c>
      <c r="C146" s="295">
        <v>55907.004999999997</v>
      </c>
      <c r="D146" s="295" t="s">
        <v>264</v>
      </c>
      <c r="E146" s="227">
        <f t="shared" si="30"/>
        <v>34395.043456982952</v>
      </c>
      <c r="F146" s="227">
        <f t="shared" si="31"/>
        <v>34395</v>
      </c>
      <c r="G146" s="227">
        <f t="shared" si="32"/>
        <v>1.4336609994643368E-2</v>
      </c>
      <c r="H146" s="227"/>
      <c r="I146" s="227"/>
      <c r="J146" s="227"/>
      <c r="K146" s="227">
        <f t="shared" si="34"/>
        <v>1.4336609994643368E-2</v>
      </c>
      <c r="M146" s="227"/>
      <c r="N146" s="227"/>
      <c r="O146" s="227">
        <f t="shared" ca="1" si="36"/>
        <v>2.1642365743494985E-2</v>
      </c>
      <c r="P146" s="292">
        <f t="shared" ref="P146:P177" si="37">+D$11+D$12*F146+D$13*F146^2</f>
        <v>1.4865841966693355E-2</v>
      </c>
      <c r="Q146" s="293">
        <f t="shared" si="33"/>
        <v>40888.504999999997</v>
      </c>
      <c r="R146" s="227">
        <f t="shared" si="35"/>
        <v>2.8008648023991838E-7</v>
      </c>
      <c r="S146" s="227">
        <v>1</v>
      </c>
      <c r="T146" s="227">
        <f t="shared" ref="T146:T177" si="38">R146*S146</f>
        <v>2.8008648023991838E-7</v>
      </c>
      <c r="U146" s="227"/>
    </row>
    <row r="147" spans="1:21" ht="12.95" customHeight="1">
      <c r="A147" s="291" t="s">
        <v>252</v>
      </c>
      <c r="B147" s="122" t="s">
        <v>87</v>
      </c>
      <c r="C147" s="21">
        <v>55958.46933</v>
      </c>
      <c r="D147" s="21">
        <v>2.0000000000000001E-4</v>
      </c>
      <c r="E147" s="227">
        <f t="shared" si="30"/>
        <v>34551.04159828175</v>
      </c>
      <c r="F147" s="227">
        <f t="shared" si="31"/>
        <v>34551</v>
      </c>
      <c r="G147" s="227">
        <f t="shared" si="32"/>
        <v>1.372341799287824E-2</v>
      </c>
      <c r="H147" s="227"/>
      <c r="I147" s="227"/>
      <c r="J147" s="227"/>
      <c r="K147" s="291">
        <f t="shared" si="34"/>
        <v>1.372341799287824E-2</v>
      </c>
      <c r="L147" s="227"/>
      <c r="M147" s="227"/>
      <c r="N147" s="227"/>
      <c r="O147" s="227">
        <f t="shared" ca="1" si="36"/>
        <v>2.099313318241533E-2</v>
      </c>
      <c r="P147" s="292">
        <f t="shared" si="37"/>
        <v>1.4462366636041252E-2</v>
      </c>
      <c r="Q147" s="293">
        <f t="shared" si="33"/>
        <v>40939.96933</v>
      </c>
      <c r="R147" s="227">
        <f t="shared" si="35"/>
        <v>5.460450972324566E-7</v>
      </c>
      <c r="S147" s="227">
        <v>1</v>
      </c>
      <c r="T147" s="227">
        <f t="shared" si="38"/>
        <v>5.460450972324566E-7</v>
      </c>
      <c r="U147" s="227"/>
    </row>
    <row r="148" spans="1:21" ht="12.95" customHeight="1">
      <c r="A148" s="291" t="s">
        <v>252</v>
      </c>
      <c r="B148" s="122" t="s">
        <v>87</v>
      </c>
      <c r="C148" s="21">
        <v>55958.469929999999</v>
      </c>
      <c r="D148" s="21">
        <v>2.0000000000000001E-4</v>
      </c>
      <c r="E148" s="227">
        <f t="shared" si="30"/>
        <v>34551.043416995504</v>
      </c>
      <c r="F148" s="227">
        <f t="shared" si="31"/>
        <v>34551</v>
      </c>
      <c r="G148" s="227">
        <f t="shared" si="32"/>
        <v>1.432341799227288E-2</v>
      </c>
      <c r="H148" s="227"/>
      <c r="I148" s="227"/>
      <c r="J148" s="227"/>
      <c r="K148" s="291">
        <f t="shared" si="34"/>
        <v>1.432341799227288E-2</v>
      </c>
      <c r="L148" s="227"/>
      <c r="M148" s="227"/>
      <c r="N148" s="227"/>
      <c r="O148" s="227">
        <f t="shared" ca="1" si="36"/>
        <v>2.099313318241533E-2</v>
      </c>
      <c r="P148" s="292">
        <f t="shared" si="37"/>
        <v>1.4462366636041252E-2</v>
      </c>
      <c r="Q148" s="293">
        <f t="shared" si="33"/>
        <v>40939.969929999999</v>
      </c>
      <c r="R148" s="227">
        <f t="shared" si="35"/>
        <v>1.9306725605069887E-8</v>
      </c>
      <c r="S148" s="227">
        <v>1</v>
      </c>
      <c r="T148" s="227">
        <f t="shared" si="38"/>
        <v>1.9306725605069887E-8</v>
      </c>
      <c r="U148" s="227"/>
    </row>
    <row r="149" spans="1:21" ht="12.95" customHeight="1">
      <c r="A149" s="291" t="s">
        <v>252</v>
      </c>
      <c r="B149" s="122" t="s">
        <v>87</v>
      </c>
      <c r="C149" s="21">
        <v>55958.470730000001</v>
      </c>
      <c r="D149" s="21">
        <v>2.9999999999999997E-4</v>
      </c>
      <c r="E149" s="227">
        <f t="shared" ref="E149:E180" si="39">+(C149-C$7)/C$8</f>
        <v>34551.045841947183</v>
      </c>
      <c r="F149" s="227">
        <f t="shared" ref="F149:F180" si="40">ROUND(2*E149,0)/2</f>
        <v>34551</v>
      </c>
      <c r="G149" s="227">
        <f t="shared" ref="G149:G164" si="41">+C149-(C$7+F149*C$8)</f>
        <v>1.5123417993891053E-2</v>
      </c>
      <c r="H149" s="227"/>
      <c r="I149" s="227"/>
      <c r="J149" s="227"/>
      <c r="K149" s="291">
        <f t="shared" si="34"/>
        <v>1.5123417993891053E-2</v>
      </c>
      <c r="L149" s="227"/>
      <c r="M149" s="227"/>
      <c r="N149" s="227"/>
      <c r="O149" s="227">
        <f t="shared" ca="1" si="36"/>
        <v>2.099313318241533E-2</v>
      </c>
      <c r="P149" s="292">
        <f t="shared" si="37"/>
        <v>1.4462366636041252E-2</v>
      </c>
      <c r="Q149" s="293">
        <f t="shared" ref="Q149:Q180" si="42">+C149-15018.5</f>
        <v>40939.970730000001</v>
      </c>
      <c r="R149" s="227">
        <f t="shared" si="35"/>
        <v>4.3698889771506592E-7</v>
      </c>
      <c r="S149" s="227">
        <v>1</v>
      </c>
      <c r="T149" s="227">
        <f t="shared" si="38"/>
        <v>4.3698889771506592E-7</v>
      </c>
      <c r="U149" s="227"/>
    </row>
    <row r="150" spans="1:21" ht="12.95" customHeight="1">
      <c r="A150" s="291" t="s">
        <v>252</v>
      </c>
      <c r="B150" s="122" t="s">
        <v>87</v>
      </c>
      <c r="C150" s="21">
        <v>56009.274140000001</v>
      </c>
      <c r="D150" s="21">
        <v>2.0000000000000001E-4</v>
      </c>
      <c r="E150" s="227">
        <f t="shared" si="39"/>
        <v>34705.040609422838</v>
      </c>
      <c r="F150" s="227">
        <f t="shared" si="40"/>
        <v>34705</v>
      </c>
      <c r="G150" s="227">
        <f t="shared" si="41"/>
        <v>1.3397189999523107E-2</v>
      </c>
      <c r="H150" s="227"/>
      <c r="I150" s="227"/>
      <c r="J150" s="227"/>
      <c r="K150" s="291">
        <f t="shared" si="34"/>
        <v>1.3397189999523107E-2</v>
      </c>
      <c r="L150" s="227"/>
      <c r="M150" s="227"/>
      <c r="N150" s="227"/>
      <c r="O150" s="227">
        <f t="shared" ca="1" si="36"/>
        <v>2.0352224115708473E-2</v>
      </c>
      <c r="P150" s="292">
        <f t="shared" si="37"/>
        <v>1.4058346912650899E-2</v>
      </c>
      <c r="Q150" s="293">
        <f t="shared" si="42"/>
        <v>40990.774140000001</v>
      </c>
      <c r="R150" s="227">
        <f t="shared" si="35"/>
        <v>4.3712846377667027E-7</v>
      </c>
      <c r="S150" s="227">
        <v>1</v>
      </c>
      <c r="T150" s="227">
        <f t="shared" si="38"/>
        <v>4.3712846377667027E-7</v>
      </c>
      <c r="U150" s="227"/>
    </row>
    <row r="151" spans="1:21" ht="12.95" customHeight="1">
      <c r="A151" s="291" t="s">
        <v>253</v>
      </c>
      <c r="B151" s="122" t="s">
        <v>87</v>
      </c>
      <c r="C151" s="21">
        <v>56015.378100000002</v>
      </c>
      <c r="D151" s="21">
        <v>5.0000000000000001E-4</v>
      </c>
      <c r="E151" s="227">
        <f t="shared" si="39"/>
        <v>34723.542869426266</v>
      </c>
      <c r="F151" s="227">
        <f t="shared" si="40"/>
        <v>34723.5</v>
      </c>
      <c r="G151" s="227">
        <f t="shared" si="41"/>
        <v>1.414277299772948E-2</v>
      </c>
      <c r="H151" s="227"/>
      <c r="I151" s="227"/>
      <c r="J151" s="227">
        <f>G151</f>
        <v>1.414277299772948E-2</v>
      </c>
      <c r="K151" s="227"/>
      <c r="L151" s="227"/>
      <c r="M151" s="227"/>
      <c r="N151" s="227"/>
      <c r="O151" s="227">
        <f t="shared" ca="1" si="36"/>
        <v>2.0275231792759946E-2</v>
      </c>
      <c r="P151" s="292">
        <f t="shared" si="37"/>
        <v>1.4009429904284915E-2</v>
      </c>
      <c r="Q151" s="293">
        <f t="shared" si="42"/>
        <v>40996.878100000002</v>
      </c>
      <c r="R151" s="227">
        <f t="shared" si="35"/>
        <v>1.778038056936616E-8</v>
      </c>
      <c r="S151" s="227">
        <v>1</v>
      </c>
      <c r="T151" s="227">
        <f t="shared" si="38"/>
        <v>1.778038056936616E-8</v>
      </c>
      <c r="U151" s="227"/>
    </row>
    <row r="152" spans="1:21" ht="12.95" customHeight="1">
      <c r="A152" s="291" t="s">
        <v>252</v>
      </c>
      <c r="B152" s="122" t="s">
        <v>87</v>
      </c>
      <c r="C152" s="21">
        <v>56177.525090000003</v>
      </c>
      <c r="D152" s="21">
        <v>2.0000000000000001E-4</v>
      </c>
      <c r="E152" s="227">
        <f t="shared" si="39"/>
        <v>35215.041137395448</v>
      </c>
      <c r="F152" s="227">
        <f t="shared" si="40"/>
        <v>35215</v>
      </c>
      <c r="G152" s="227">
        <f t="shared" si="41"/>
        <v>1.3571370000136085E-2</v>
      </c>
      <c r="H152" s="227"/>
      <c r="I152" s="227"/>
      <c r="J152" s="227"/>
      <c r="K152" s="291">
        <f t="shared" ref="K152:K164" si="43">G152</f>
        <v>1.3571370000136085E-2</v>
      </c>
      <c r="L152" s="227"/>
      <c r="M152" s="227"/>
      <c r="N152" s="227"/>
      <c r="O152" s="227">
        <f t="shared" ca="1" si="36"/>
        <v>1.8229733050640379E-2</v>
      </c>
      <c r="P152" s="292">
        <f t="shared" si="37"/>
        <v>1.2679805331351712E-2</v>
      </c>
      <c r="Q152" s="293">
        <f t="shared" si="42"/>
        <v>41159.025090000003</v>
      </c>
      <c r="R152" s="227">
        <f t="shared" si="35"/>
        <v>7.9488755862458799E-7</v>
      </c>
      <c r="S152" s="227">
        <v>1</v>
      </c>
      <c r="T152" s="227">
        <f t="shared" si="38"/>
        <v>7.9488755862458799E-7</v>
      </c>
      <c r="U152" s="227"/>
    </row>
    <row r="153" spans="1:21" ht="12.95" customHeight="1">
      <c r="A153" s="305" t="s">
        <v>257</v>
      </c>
      <c r="B153" s="306"/>
      <c r="C153" s="305">
        <v>56177.525199999996</v>
      </c>
      <c r="D153" s="305">
        <v>1E-4</v>
      </c>
      <c r="E153" s="227">
        <f t="shared" si="39"/>
        <v>35215.041470826283</v>
      </c>
      <c r="F153" s="227">
        <f t="shared" si="40"/>
        <v>35215</v>
      </c>
      <c r="G153" s="227">
        <f t="shared" si="41"/>
        <v>1.3681369993719272E-2</v>
      </c>
      <c r="H153" s="227"/>
      <c r="I153" s="227"/>
      <c r="K153" s="291">
        <f t="shared" si="43"/>
        <v>1.3681369993719272E-2</v>
      </c>
      <c r="L153" s="227"/>
      <c r="M153" s="227"/>
      <c r="N153" s="227"/>
      <c r="O153" s="227">
        <f t="shared" ca="1" si="36"/>
        <v>1.8229733050640379E-2</v>
      </c>
      <c r="P153" s="292">
        <f t="shared" si="37"/>
        <v>1.2679805331351712E-2</v>
      </c>
      <c r="Q153" s="293">
        <f t="shared" si="42"/>
        <v>41159.025199999996</v>
      </c>
      <c r="R153" s="227">
        <f t="shared" si="35"/>
        <v>1.0031317729034445E-6</v>
      </c>
      <c r="S153" s="227">
        <v>1</v>
      </c>
      <c r="T153" s="227">
        <f t="shared" si="38"/>
        <v>1.0031317729034445E-6</v>
      </c>
      <c r="U153" s="227"/>
    </row>
    <row r="154" spans="1:21" ht="12.95" customHeight="1">
      <c r="A154" s="291" t="s">
        <v>252</v>
      </c>
      <c r="B154" s="122" t="s">
        <v>87</v>
      </c>
      <c r="C154" s="21">
        <v>56177.525269999998</v>
      </c>
      <c r="D154" s="21">
        <v>2.0000000000000001E-4</v>
      </c>
      <c r="E154" s="227">
        <f t="shared" si="39"/>
        <v>35215.041683009556</v>
      </c>
      <c r="F154" s="227">
        <f t="shared" si="40"/>
        <v>35215</v>
      </c>
      <c r="G154" s="227">
        <f t="shared" si="41"/>
        <v>1.3751369995588902E-2</v>
      </c>
      <c r="H154" s="227"/>
      <c r="I154" s="227"/>
      <c r="J154" s="227"/>
      <c r="K154" s="291">
        <f t="shared" si="43"/>
        <v>1.3751369995588902E-2</v>
      </c>
      <c r="L154" s="227"/>
      <c r="M154" s="227"/>
      <c r="N154" s="227"/>
      <c r="O154" s="227">
        <f t="shared" ca="1" si="36"/>
        <v>1.8229733050640379E-2</v>
      </c>
      <c r="P154" s="292">
        <f t="shared" si="37"/>
        <v>1.2679805331351712E-2</v>
      </c>
      <c r="Q154" s="293">
        <f t="shared" si="42"/>
        <v>41159.025269999998</v>
      </c>
      <c r="R154" s="227">
        <f t="shared" si="35"/>
        <v>1.148250829641762E-6</v>
      </c>
      <c r="S154" s="227">
        <v>1</v>
      </c>
      <c r="T154" s="227">
        <f t="shared" si="38"/>
        <v>1.148250829641762E-6</v>
      </c>
      <c r="U154" s="227"/>
    </row>
    <row r="155" spans="1:21" ht="12.95" customHeight="1">
      <c r="A155" s="291" t="s">
        <v>252</v>
      </c>
      <c r="B155" s="122" t="s">
        <v>87</v>
      </c>
      <c r="C155" s="21">
        <v>56177.525329999997</v>
      </c>
      <c r="D155" s="21">
        <v>1E-4</v>
      </c>
      <c r="E155" s="227">
        <f t="shared" si="39"/>
        <v>35215.041864880928</v>
      </c>
      <c r="F155" s="227">
        <f t="shared" si="40"/>
        <v>35215</v>
      </c>
      <c r="G155" s="227">
        <f t="shared" si="41"/>
        <v>1.3811369994073175E-2</v>
      </c>
      <c r="H155" s="227"/>
      <c r="I155" s="227"/>
      <c r="K155" s="291">
        <f t="shared" si="43"/>
        <v>1.3811369994073175E-2</v>
      </c>
      <c r="L155" s="227"/>
      <c r="M155" s="227"/>
      <c r="N155" s="227"/>
      <c r="O155" s="227">
        <f t="shared" ca="1" si="36"/>
        <v>1.8229733050640379E-2</v>
      </c>
      <c r="P155" s="292">
        <f t="shared" si="37"/>
        <v>1.2679805331351712E-2</v>
      </c>
      <c r="Q155" s="293">
        <f t="shared" si="42"/>
        <v>41159.025329999997</v>
      </c>
      <c r="R155" s="227">
        <f t="shared" si="35"/>
        <v>1.2804385859199374E-6</v>
      </c>
      <c r="S155" s="227">
        <v>1</v>
      </c>
      <c r="T155" s="227">
        <f t="shared" si="38"/>
        <v>1.2804385859199374E-6</v>
      </c>
      <c r="U155" s="227"/>
    </row>
    <row r="156" spans="1:21" ht="12.95" customHeight="1">
      <c r="A156" s="305" t="s">
        <v>257</v>
      </c>
      <c r="B156" s="306"/>
      <c r="C156" s="305">
        <v>56177.525430000002</v>
      </c>
      <c r="D156" s="305">
        <v>1E-4</v>
      </c>
      <c r="E156" s="227">
        <f t="shared" si="39"/>
        <v>35215.042167999905</v>
      </c>
      <c r="F156" s="227">
        <f t="shared" si="40"/>
        <v>35215</v>
      </c>
      <c r="G156" s="227">
        <f t="shared" si="41"/>
        <v>1.391136999882292E-2</v>
      </c>
      <c r="H156" s="227"/>
      <c r="I156" s="227"/>
      <c r="K156" s="291">
        <f t="shared" si="43"/>
        <v>1.391136999882292E-2</v>
      </c>
      <c r="L156" s="227"/>
      <c r="M156" s="227"/>
      <c r="N156" s="227"/>
      <c r="O156" s="227">
        <f t="shared" ca="1" si="36"/>
        <v>1.8229733050640379E-2</v>
      </c>
      <c r="P156" s="292">
        <f t="shared" si="37"/>
        <v>1.2679805331351712E-2</v>
      </c>
      <c r="Q156" s="293">
        <f t="shared" si="42"/>
        <v>41159.025430000002</v>
      </c>
      <c r="R156" s="227">
        <f t="shared" si="35"/>
        <v>1.5167515301634665E-6</v>
      </c>
      <c r="S156" s="227">
        <v>1</v>
      </c>
      <c r="T156" s="227">
        <f t="shared" si="38"/>
        <v>1.5167515301634665E-6</v>
      </c>
      <c r="U156" s="227"/>
    </row>
    <row r="157" spans="1:21" ht="12.95" customHeight="1">
      <c r="A157" s="291" t="s">
        <v>252</v>
      </c>
      <c r="B157" s="122" t="s">
        <v>87</v>
      </c>
      <c r="C157" s="21">
        <v>56177.525560000002</v>
      </c>
      <c r="D157" s="21">
        <v>1E-4</v>
      </c>
      <c r="E157" s="227">
        <f t="shared" si="39"/>
        <v>35215.04256205455</v>
      </c>
      <c r="F157" s="227">
        <f t="shared" si="40"/>
        <v>35215</v>
      </c>
      <c r="G157" s="227">
        <f t="shared" si="41"/>
        <v>1.4041369999176823E-2</v>
      </c>
      <c r="H157" s="227"/>
      <c r="I157" s="227"/>
      <c r="K157" s="291">
        <f t="shared" si="43"/>
        <v>1.4041369999176823E-2</v>
      </c>
      <c r="L157" s="227"/>
      <c r="M157" s="227"/>
      <c r="N157" s="227"/>
      <c r="O157" s="227">
        <f t="shared" ca="1" si="36"/>
        <v>1.8229733050640379E-2</v>
      </c>
      <c r="P157" s="292">
        <f t="shared" si="37"/>
        <v>1.2679805331351712E-2</v>
      </c>
      <c r="Q157" s="293">
        <f t="shared" si="42"/>
        <v>41159.025560000002</v>
      </c>
      <c r="R157" s="227">
        <f t="shared" si="35"/>
        <v>1.853858344669703E-6</v>
      </c>
      <c r="S157" s="227">
        <v>1</v>
      </c>
      <c r="T157" s="227">
        <f t="shared" si="38"/>
        <v>1.853858344669703E-6</v>
      </c>
      <c r="U157" s="227"/>
    </row>
    <row r="158" spans="1:21" ht="12.95" customHeight="1">
      <c r="A158" s="291" t="s">
        <v>250</v>
      </c>
      <c r="B158" s="303" t="s">
        <v>86</v>
      </c>
      <c r="C158" s="126">
        <v>56181.483899999999</v>
      </c>
      <c r="D158" s="126">
        <v>1E-4</v>
      </c>
      <c r="E158" s="227">
        <f t="shared" si="39"/>
        <v>35227.041041052107</v>
      </c>
      <c r="F158" s="227">
        <f t="shared" si="40"/>
        <v>35227</v>
      </c>
      <c r="G158" s="227">
        <f t="shared" si="41"/>
        <v>1.3539585990656633E-2</v>
      </c>
      <c r="H158" s="227"/>
      <c r="I158" s="227"/>
      <c r="J158" s="227"/>
      <c r="K158" s="227">
        <f t="shared" si="43"/>
        <v>1.3539585990656633E-2</v>
      </c>
      <c r="L158" s="227"/>
      <c r="M158" s="227"/>
      <c r="N158" s="227"/>
      <c r="O158" s="227">
        <f t="shared" ca="1" si="36"/>
        <v>1.8179792084403484E-2</v>
      </c>
      <c r="P158" s="292">
        <f t="shared" si="37"/>
        <v>1.264661890701102E-2</v>
      </c>
      <c r="Q158" s="293">
        <f t="shared" si="42"/>
        <v>41162.983899999999</v>
      </c>
      <c r="R158" s="227">
        <f t="shared" si="35"/>
        <v>7.9739021247455068E-7</v>
      </c>
      <c r="S158" s="227">
        <v>1</v>
      </c>
      <c r="T158" s="227">
        <f t="shared" si="38"/>
        <v>7.9739021247455068E-7</v>
      </c>
      <c r="U158" s="227"/>
    </row>
    <row r="159" spans="1:21" ht="12.95" customHeight="1">
      <c r="A159" s="291" t="s">
        <v>249</v>
      </c>
      <c r="B159" s="122" t="s">
        <v>86</v>
      </c>
      <c r="C159" s="21">
        <v>56230.801599999999</v>
      </c>
      <c r="D159" s="21">
        <v>3.0000000000000003E-4</v>
      </c>
      <c r="E159" s="227">
        <f t="shared" si="39"/>
        <v>35376.53233984355</v>
      </c>
      <c r="F159" s="227">
        <f t="shared" si="40"/>
        <v>35376.5</v>
      </c>
      <c r="G159" s="227">
        <f t="shared" si="41"/>
        <v>1.0669026996765751E-2</v>
      </c>
      <c r="H159" s="227"/>
      <c r="I159" s="227"/>
      <c r="J159" s="227"/>
      <c r="K159" s="227">
        <f t="shared" si="43"/>
        <v>1.0669026996765751E-2</v>
      </c>
      <c r="L159" s="227"/>
      <c r="M159" s="227"/>
      <c r="N159" s="227"/>
      <c r="O159" s="227">
        <f t="shared" ca="1" si="36"/>
        <v>1.7557610880035462E-2</v>
      </c>
      <c r="P159" s="292">
        <f t="shared" si="37"/>
        <v>1.2230279950644934E-2</v>
      </c>
      <c r="Q159" s="293">
        <f t="shared" si="42"/>
        <v>41212.301599999999</v>
      </c>
      <c r="R159" s="227">
        <f t="shared" si="35"/>
        <v>2.4375107859964746E-6</v>
      </c>
      <c r="S159" s="227">
        <v>1</v>
      </c>
      <c r="T159" s="227">
        <f t="shared" si="38"/>
        <v>2.4375107859964746E-6</v>
      </c>
      <c r="U159" s="227"/>
    </row>
    <row r="160" spans="1:21" ht="12.95" customHeight="1">
      <c r="A160" s="295" t="s">
        <v>712</v>
      </c>
      <c r="B160" s="296" t="s">
        <v>86</v>
      </c>
      <c r="C160" s="295">
        <v>56243.999499999998</v>
      </c>
      <c r="D160" s="295" t="s">
        <v>264</v>
      </c>
      <c r="E160" s="227">
        <f t="shared" si="39"/>
        <v>35416.537676919681</v>
      </c>
      <c r="F160" s="227">
        <f t="shared" si="40"/>
        <v>35416.5</v>
      </c>
      <c r="G160" s="227">
        <f t="shared" si="41"/>
        <v>1.2429746995621826E-2</v>
      </c>
      <c r="H160" s="227"/>
      <c r="I160" s="227"/>
      <c r="J160" s="227"/>
      <c r="K160" s="227">
        <f t="shared" si="43"/>
        <v>1.2429746995621826E-2</v>
      </c>
      <c r="M160" s="227"/>
      <c r="N160" s="227"/>
      <c r="O160" s="227">
        <f t="shared" ca="1" si="36"/>
        <v>1.7391140992579129E-2</v>
      </c>
      <c r="P160" s="292">
        <f t="shared" si="37"/>
        <v>1.2117977161363092E-2</v>
      </c>
      <c r="Q160" s="293">
        <f t="shared" si="42"/>
        <v>41225.499499999998</v>
      </c>
      <c r="R160" s="227">
        <f t="shared" si="35"/>
        <v>9.7200429553719061E-8</v>
      </c>
      <c r="S160" s="227">
        <v>1</v>
      </c>
      <c r="T160" s="227">
        <f t="shared" si="38"/>
        <v>9.7200429553719061E-8</v>
      </c>
      <c r="U160" s="227"/>
    </row>
    <row r="161" spans="1:21" ht="12.95" customHeight="1">
      <c r="A161" s="295" t="s">
        <v>712</v>
      </c>
      <c r="B161" s="296" t="s">
        <v>87</v>
      </c>
      <c r="C161" s="295">
        <v>56244.165200000003</v>
      </c>
      <c r="D161" s="295" t="s">
        <v>264</v>
      </c>
      <c r="E161" s="227">
        <f t="shared" si="39"/>
        <v>35417.039945034587</v>
      </c>
      <c r="F161" s="227">
        <f t="shared" si="40"/>
        <v>35417</v>
      </c>
      <c r="G161" s="227">
        <f t="shared" si="41"/>
        <v>1.3178005996451247E-2</v>
      </c>
      <c r="H161" s="227"/>
      <c r="I161" s="227"/>
      <c r="J161" s="227"/>
      <c r="K161" s="227">
        <f t="shared" si="43"/>
        <v>1.3178005996451247E-2</v>
      </c>
      <c r="M161" s="227"/>
      <c r="N161" s="227"/>
      <c r="O161" s="227">
        <f t="shared" ca="1" si="36"/>
        <v>1.7389060118985944E-2</v>
      </c>
      <c r="P161" s="292">
        <f t="shared" si="37"/>
        <v>1.2116570951437255E-2</v>
      </c>
      <c r="Q161" s="293">
        <f t="shared" si="42"/>
        <v>41225.665200000003</v>
      </c>
      <c r="R161" s="227">
        <f t="shared" si="35"/>
        <v>1.1266443547838552E-6</v>
      </c>
      <c r="S161" s="227">
        <v>1</v>
      </c>
      <c r="T161" s="227">
        <f t="shared" si="38"/>
        <v>1.1266443547838552E-6</v>
      </c>
      <c r="U161" s="227"/>
    </row>
    <row r="162" spans="1:21" ht="12.95" customHeight="1">
      <c r="A162" s="295" t="s">
        <v>712</v>
      </c>
      <c r="B162" s="296" t="s">
        <v>86</v>
      </c>
      <c r="C162" s="295">
        <v>56244.3295</v>
      </c>
      <c r="D162" s="295" t="s">
        <v>264</v>
      </c>
      <c r="E162" s="227">
        <f t="shared" si="39"/>
        <v>35417.537969484045</v>
      </c>
      <c r="F162" s="227">
        <f t="shared" si="40"/>
        <v>35417.5</v>
      </c>
      <c r="G162" s="227">
        <f t="shared" si="41"/>
        <v>1.2526264996267855E-2</v>
      </c>
      <c r="H162" s="227"/>
      <c r="I162" s="227"/>
      <c r="J162" s="227"/>
      <c r="K162" s="227">
        <f t="shared" si="43"/>
        <v>1.2526264996267855E-2</v>
      </c>
      <c r="M162" s="227"/>
      <c r="N162" s="227"/>
      <c r="O162" s="227">
        <f t="shared" ca="1" si="36"/>
        <v>1.7386979245392731E-2</v>
      </c>
      <c r="P162" s="292">
        <f t="shared" si="37"/>
        <v>1.2115164681633372E-2</v>
      </c>
      <c r="Q162" s="293">
        <f t="shared" si="42"/>
        <v>41225.8295</v>
      </c>
      <c r="R162" s="227">
        <f t="shared" si="35"/>
        <v>1.6900346869257069E-7</v>
      </c>
      <c r="S162" s="227">
        <v>1</v>
      </c>
      <c r="T162" s="227">
        <f t="shared" si="38"/>
        <v>1.6900346869257069E-7</v>
      </c>
      <c r="U162" s="227"/>
    </row>
    <row r="163" spans="1:21" ht="12.95" customHeight="1">
      <c r="A163" s="291" t="s">
        <v>252</v>
      </c>
      <c r="B163" s="122" t="s">
        <v>86</v>
      </c>
      <c r="C163" s="21">
        <v>56291.505039999996</v>
      </c>
      <c r="D163" s="21">
        <v>1E-4</v>
      </c>
      <c r="E163" s="227">
        <f t="shared" si="39"/>
        <v>35560.535975185594</v>
      </c>
      <c r="F163" s="227">
        <f t="shared" si="40"/>
        <v>35560.5</v>
      </c>
      <c r="G163" s="227">
        <f t="shared" si="41"/>
        <v>1.186833899555495E-2</v>
      </c>
      <c r="H163" s="227"/>
      <c r="I163" s="227"/>
      <c r="K163" s="291">
        <f t="shared" si="43"/>
        <v>1.186833899555495E-2</v>
      </c>
      <c r="L163" s="227"/>
      <c r="M163" s="227"/>
      <c r="N163" s="227"/>
      <c r="O163" s="227">
        <f t="shared" ca="1" si="36"/>
        <v>1.6791849397736369E-2</v>
      </c>
      <c r="P163" s="292">
        <f t="shared" si="37"/>
        <v>1.1710514063891508E-2</v>
      </c>
      <c r="Q163" s="293">
        <f t="shared" si="42"/>
        <v>41273.005039999996</v>
      </c>
      <c r="R163" s="227">
        <f t="shared" si="35"/>
        <v>2.490870905457004E-8</v>
      </c>
      <c r="S163" s="227">
        <v>1</v>
      </c>
      <c r="T163" s="227">
        <f t="shared" si="38"/>
        <v>2.490870905457004E-8</v>
      </c>
      <c r="U163" s="227"/>
    </row>
    <row r="164" spans="1:21" ht="12.95" customHeight="1">
      <c r="A164" s="291" t="s">
        <v>252</v>
      </c>
      <c r="B164" s="122" t="s">
        <v>86</v>
      </c>
      <c r="C164" s="21">
        <v>56291.505149999997</v>
      </c>
      <c r="D164" s="21">
        <v>1E-4</v>
      </c>
      <c r="E164" s="227">
        <f t="shared" si="39"/>
        <v>35560.536308616451</v>
      </c>
      <c r="F164" s="227">
        <f t="shared" si="40"/>
        <v>35560.5</v>
      </c>
      <c r="G164" s="227">
        <f t="shared" si="41"/>
        <v>1.1978338996414095E-2</v>
      </c>
      <c r="H164" s="227"/>
      <c r="I164" s="227"/>
      <c r="K164" s="291">
        <f t="shared" si="43"/>
        <v>1.1978338996414095E-2</v>
      </c>
      <c r="L164" s="227"/>
      <c r="M164" s="227"/>
      <c r="N164" s="227"/>
      <c r="O164" s="227">
        <f t="shared" ca="1" si="36"/>
        <v>1.6791849397736369E-2</v>
      </c>
      <c r="P164" s="292">
        <f t="shared" si="37"/>
        <v>1.1710514063891508E-2</v>
      </c>
      <c r="Q164" s="293">
        <f t="shared" si="42"/>
        <v>41273.005149999997</v>
      </c>
      <c r="R164" s="227">
        <f t="shared" si="35"/>
        <v>7.1730194480728159E-8</v>
      </c>
      <c r="S164" s="227">
        <v>1</v>
      </c>
      <c r="T164" s="227">
        <f t="shared" si="38"/>
        <v>7.1730194480728159E-8</v>
      </c>
      <c r="U164" s="227"/>
    </row>
    <row r="165" spans="1:21" ht="12.95" customHeight="1">
      <c r="A165" s="302" t="s">
        <v>255</v>
      </c>
      <c r="B165" s="303" t="s">
        <v>87</v>
      </c>
      <c r="C165" s="21">
        <v>56354.331700000002</v>
      </c>
      <c r="D165" s="126">
        <v>4.0000000000000002E-4</v>
      </c>
      <c r="E165" s="227">
        <f t="shared" si="39"/>
        <v>35750.975492886726</v>
      </c>
      <c r="F165" s="227">
        <f t="shared" si="40"/>
        <v>35751</v>
      </c>
      <c r="H165" s="227"/>
      <c r="I165" s="227"/>
      <c r="J165" s="227"/>
      <c r="K165" s="227"/>
      <c r="L165" s="227"/>
      <c r="M165" s="227"/>
      <c r="N165" s="227"/>
      <c r="O165" s="227">
        <f t="shared" ca="1" si="36"/>
        <v>1.5999036558725643E-2</v>
      </c>
      <c r="P165" s="292">
        <f t="shared" si="37"/>
        <v>1.1163843216823982E-2</v>
      </c>
      <c r="Q165" s="293">
        <f t="shared" si="42"/>
        <v>41335.831700000002</v>
      </c>
      <c r="R165" s="227">
        <f>+(P165-U165)^2</f>
        <v>3.7051727225025929E-4</v>
      </c>
      <c r="S165" s="227">
        <v>1</v>
      </c>
      <c r="T165" s="227">
        <f t="shared" si="38"/>
        <v>3.7051727225025929E-4</v>
      </c>
      <c r="U165" s="227">
        <f>+C165-(C$7+F165*C$8)</f>
        <v>-8.0849820005823858E-3</v>
      </c>
    </row>
    <row r="166" spans="1:21" ht="12.95" customHeight="1">
      <c r="A166" s="245" t="s">
        <v>254</v>
      </c>
      <c r="B166" s="122"/>
      <c r="C166" s="21">
        <v>56600.787400000001</v>
      </c>
      <c r="D166" s="21">
        <v>1E-4</v>
      </c>
      <c r="E166" s="227">
        <f t="shared" si="39"/>
        <v>36498.029444866537</v>
      </c>
      <c r="F166" s="227">
        <f t="shared" si="40"/>
        <v>36498</v>
      </c>
      <c r="G166" s="227">
        <f t="shared" ref="G166:G197" si="44">+C166-(C$7+F166*C$8)</f>
        <v>9.713963998365216E-3</v>
      </c>
      <c r="H166" s="227"/>
      <c r="I166" s="227"/>
      <c r="J166" s="227"/>
      <c r="K166" s="227">
        <f>G166</f>
        <v>9.713963998365216E-3</v>
      </c>
      <c r="L166" s="227"/>
      <c r="M166" s="227"/>
      <c r="N166" s="227"/>
      <c r="O166" s="227">
        <f t="shared" ca="1" si="36"/>
        <v>1.289021141047883E-2</v>
      </c>
      <c r="P166" s="292">
        <f t="shared" si="37"/>
        <v>8.9363381248208085E-3</v>
      </c>
      <c r="Q166" s="293">
        <f t="shared" si="42"/>
        <v>41582.287400000001</v>
      </c>
      <c r="R166" s="227">
        <f t="shared" ref="R166:R197" si="45">+(P166-G166)^2</f>
        <v>6.0470199920570286E-7</v>
      </c>
      <c r="S166" s="227">
        <v>1</v>
      </c>
      <c r="T166" s="227">
        <f t="shared" si="38"/>
        <v>6.0470199920570286E-7</v>
      </c>
      <c r="U166" s="227"/>
    </row>
    <row r="167" spans="1:21" ht="12.95" customHeight="1">
      <c r="A167" s="302" t="s">
        <v>255</v>
      </c>
      <c r="B167" s="303" t="s">
        <v>87</v>
      </c>
      <c r="C167" s="21">
        <v>56650.272799999999</v>
      </c>
      <c r="D167" s="126">
        <v>1.1000000000000001E-3</v>
      </c>
      <c r="E167" s="227">
        <f t="shared" si="39"/>
        <v>36648.029074152044</v>
      </c>
      <c r="F167" s="227">
        <f t="shared" si="40"/>
        <v>36648</v>
      </c>
      <c r="G167" s="227">
        <f t="shared" si="44"/>
        <v>9.5916639911592938E-3</v>
      </c>
      <c r="H167" s="227"/>
      <c r="I167" s="227"/>
      <c r="J167" s="227">
        <f>G167</f>
        <v>9.5916639911592938E-3</v>
      </c>
      <c r="K167" s="227"/>
      <c r="L167" s="227"/>
      <c r="M167" s="227"/>
      <c r="N167" s="227"/>
      <c r="O167" s="227">
        <f t="shared" ca="1" si="36"/>
        <v>1.2265949332517623E-2</v>
      </c>
      <c r="P167" s="292">
        <f t="shared" si="37"/>
        <v>8.4729347704143865E-3</v>
      </c>
      <c r="Q167" s="293">
        <f t="shared" si="42"/>
        <v>41631.772799999999</v>
      </c>
      <c r="R167" s="227">
        <f t="shared" si="45"/>
        <v>1.2515550693485077E-6</v>
      </c>
      <c r="S167" s="227">
        <v>1</v>
      </c>
      <c r="T167" s="227">
        <f t="shared" si="38"/>
        <v>1.2515550693485077E-6</v>
      </c>
      <c r="U167" s="227"/>
    </row>
    <row r="168" spans="1:21" ht="12.95" customHeight="1">
      <c r="A168" s="302" t="s">
        <v>255</v>
      </c>
      <c r="B168" s="303" t="s">
        <v>87</v>
      </c>
      <c r="C168" s="21">
        <v>56650.438099999999</v>
      </c>
      <c r="D168" s="126">
        <v>1.9E-3</v>
      </c>
      <c r="E168" s="227">
        <f t="shared" si="39"/>
        <v>36648.530129791099</v>
      </c>
      <c r="F168" s="227">
        <f t="shared" si="40"/>
        <v>36648.5</v>
      </c>
      <c r="G168" s="227">
        <f t="shared" si="44"/>
        <v>9.9399229948176071E-3</v>
      </c>
      <c r="H168" s="227"/>
      <c r="I168" s="227"/>
      <c r="J168" s="227">
        <f>G168</f>
        <v>9.9399229948176071E-3</v>
      </c>
      <c r="K168" s="227"/>
      <c r="L168" s="227"/>
      <c r="M168" s="227"/>
      <c r="N168" s="227"/>
      <c r="O168" s="227">
        <f t="shared" ca="1" si="36"/>
        <v>1.226386845892441E-2</v>
      </c>
      <c r="P168" s="292">
        <f t="shared" si="37"/>
        <v>8.4713810809242951E-3</v>
      </c>
      <c r="Q168" s="293">
        <f t="shared" si="42"/>
        <v>41631.938099999999</v>
      </c>
      <c r="R168" s="227">
        <f t="shared" si="45"/>
        <v>2.1566153528614317E-6</v>
      </c>
      <c r="S168" s="227">
        <v>1</v>
      </c>
      <c r="T168" s="227">
        <f t="shared" si="38"/>
        <v>2.1566153528614317E-6</v>
      </c>
      <c r="U168" s="227"/>
    </row>
    <row r="169" spans="1:21" ht="12.95" customHeight="1">
      <c r="A169" s="302" t="s">
        <v>255</v>
      </c>
      <c r="B169" s="303" t="s">
        <v>87</v>
      </c>
      <c r="C169" s="21">
        <v>56650.602400000003</v>
      </c>
      <c r="D169" s="126">
        <v>1.5E-3</v>
      </c>
      <c r="E169" s="227">
        <f t="shared" si="39"/>
        <v>36649.028154240572</v>
      </c>
      <c r="F169" s="227">
        <f t="shared" si="40"/>
        <v>36649</v>
      </c>
      <c r="G169" s="227">
        <f t="shared" si="44"/>
        <v>9.2881820019101724E-3</v>
      </c>
      <c r="H169" s="227"/>
      <c r="I169" s="227"/>
      <c r="J169" s="227">
        <f>G169</f>
        <v>9.2881820019101724E-3</v>
      </c>
      <c r="K169" s="227"/>
      <c r="L169" s="227"/>
      <c r="M169" s="227"/>
      <c r="N169" s="227"/>
      <c r="O169" s="227">
        <f t="shared" ca="1" si="36"/>
        <v>1.2261787585331196E-2</v>
      </c>
      <c r="P169" s="292">
        <f t="shared" si="37"/>
        <v>8.4698273315561845E-3</v>
      </c>
      <c r="Q169" s="293">
        <f t="shared" si="42"/>
        <v>41632.102400000003</v>
      </c>
      <c r="R169" s="227">
        <f t="shared" si="45"/>
        <v>6.6970436649018419E-7</v>
      </c>
      <c r="S169" s="227">
        <v>1</v>
      </c>
      <c r="T169" s="227">
        <f t="shared" si="38"/>
        <v>6.6970436649018419E-7</v>
      </c>
      <c r="U169" s="227"/>
    </row>
    <row r="170" spans="1:21" ht="12.95" customHeight="1">
      <c r="A170" s="295" t="s">
        <v>750</v>
      </c>
      <c r="B170" s="296" t="s">
        <v>86</v>
      </c>
      <c r="C170" s="295">
        <v>56670.559000000001</v>
      </c>
      <c r="D170" s="295" t="s">
        <v>264</v>
      </c>
      <c r="E170" s="227">
        <f t="shared" si="39"/>
        <v>36709.520392391605</v>
      </c>
      <c r="F170" s="227">
        <f t="shared" si="40"/>
        <v>36709.5</v>
      </c>
      <c r="G170" s="227">
        <f t="shared" si="44"/>
        <v>6.7275209949002601E-3</v>
      </c>
      <c r="H170" s="227"/>
      <c r="I170" s="291">
        <f>G170</f>
        <v>6.7275209949002601E-3</v>
      </c>
      <c r="J170" s="227"/>
      <c r="L170" s="227"/>
      <c r="M170" s="227"/>
      <c r="N170" s="227"/>
      <c r="O170" s="227">
        <f t="shared" ca="1" si="36"/>
        <v>1.2010001880553511E-2</v>
      </c>
      <c r="P170" s="292">
        <f t="shared" si="37"/>
        <v>8.2813816983461075E-3</v>
      </c>
      <c r="Q170" s="293">
        <f t="shared" si="42"/>
        <v>41652.059000000001</v>
      </c>
      <c r="R170" s="227">
        <f t="shared" si="45"/>
        <v>2.4144830857132236E-6</v>
      </c>
      <c r="S170" s="227">
        <v>0.1</v>
      </c>
      <c r="T170" s="227">
        <f t="shared" si="38"/>
        <v>2.4144830857132238E-7</v>
      </c>
      <c r="U170" s="227"/>
    </row>
    <row r="171" spans="1:21" ht="12.95" customHeight="1">
      <c r="A171" s="305" t="s">
        <v>258</v>
      </c>
      <c r="B171" s="306" t="s">
        <v>86</v>
      </c>
      <c r="C171" s="307">
        <v>56692.334940000001</v>
      </c>
      <c r="D171" s="305">
        <v>1E-4</v>
      </c>
      <c r="E171" s="227">
        <f t="shared" si="39"/>
        <v>36775.52739500942</v>
      </c>
      <c r="F171" s="227">
        <f t="shared" si="40"/>
        <v>36775.5</v>
      </c>
      <c r="G171" s="227">
        <f t="shared" si="44"/>
        <v>9.0377089945832267E-3</v>
      </c>
      <c r="H171" s="227"/>
      <c r="I171" s="227"/>
      <c r="K171" s="291">
        <f t="shared" ref="K171:K186" si="46">G171</f>
        <v>9.0377089945832267E-3</v>
      </c>
      <c r="L171" s="227"/>
      <c r="M171" s="227"/>
      <c r="N171" s="227"/>
      <c r="O171" s="227">
        <f t="shared" ca="1" si="36"/>
        <v>1.1735326566250592E-2</v>
      </c>
      <c r="P171" s="292">
        <f t="shared" si="37"/>
        <v>8.0748048007504569E-3</v>
      </c>
      <c r="Q171" s="293">
        <f t="shared" si="42"/>
        <v>41673.834940000001</v>
      </c>
      <c r="R171" s="227">
        <f t="shared" si="45"/>
        <v>9.2718448650073638E-7</v>
      </c>
      <c r="S171" s="227">
        <v>1</v>
      </c>
      <c r="T171" s="227">
        <f t="shared" si="38"/>
        <v>9.2718448650073638E-7</v>
      </c>
      <c r="U171" s="227"/>
    </row>
    <row r="172" spans="1:21" ht="12.95" customHeight="1">
      <c r="A172" s="305" t="s">
        <v>258</v>
      </c>
      <c r="B172" s="306" t="s">
        <v>86</v>
      </c>
      <c r="C172" s="307">
        <v>56692.335059999998</v>
      </c>
      <c r="D172" s="305">
        <v>2.0000000000000001E-4</v>
      </c>
      <c r="E172" s="227">
        <f t="shared" si="39"/>
        <v>36775.527758752156</v>
      </c>
      <c r="F172" s="227">
        <f t="shared" si="40"/>
        <v>36775.5</v>
      </c>
      <c r="G172" s="227">
        <f t="shared" si="44"/>
        <v>9.1577089915517718E-3</v>
      </c>
      <c r="H172" s="227"/>
      <c r="I172" s="227"/>
      <c r="K172" s="291">
        <f t="shared" si="46"/>
        <v>9.1577089915517718E-3</v>
      </c>
      <c r="L172" s="227"/>
      <c r="M172" s="227"/>
      <c r="N172" s="227"/>
      <c r="O172" s="227">
        <f t="shared" ca="1" si="36"/>
        <v>1.1735326566250592E-2</v>
      </c>
      <c r="P172" s="292">
        <f t="shared" si="37"/>
        <v>8.0748048007504569E-3</v>
      </c>
      <c r="Q172" s="293">
        <f t="shared" si="42"/>
        <v>41673.835059999998</v>
      </c>
      <c r="R172" s="227">
        <f t="shared" si="45"/>
        <v>1.1726814864550504E-6</v>
      </c>
      <c r="S172" s="227">
        <v>1</v>
      </c>
      <c r="T172" s="227">
        <f t="shared" si="38"/>
        <v>1.1726814864550504E-6</v>
      </c>
      <c r="U172" s="227"/>
    </row>
    <row r="173" spans="1:21" ht="12.95" customHeight="1">
      <c r="A173" s="305" t="s">
        <v>258</v>
      </c>
      <c r="B173" s="306" t="s">
        <v>86</v>
      </c>
      <c r="C173" s="307">
        <v>56692.33539</v>
      </c>
      <c r="D173" s="305">
        <v>1E-4</v>
      </c>
      <c r="E173" s="227">
        <f t="shared" si="39"/>
        <v>36775.528759044733</v>
      </c>
      <c r="F173" s="227">
        <f t="shared" si="40"/>
        <v>36775.5</v>
      </c>
      <c r="G173" s="227">
        <f t="shared" si="44"/>
        <v>9.487708994129207E-3</v>
      </c>
      <c r="H173" s="227"/>
      <c r="I173" s="227"/>
      <c r="K173" s="291">
        <f t="shared" si="46"/>
        <v>9.487708994129207E-3</v>
      </c>
      <c r="L173" s="227"/>
      <c r="M173" s="227"/>
      <c r="N173" s="227"/>
      <c r="O173" s="227">
        <f t="shared" ca="1" si="36"/>
        <v>1.1735326566250592E-2</v>
      </c>
      <c r="P173" s="292">
        <f t="shared" si="37"/>
        <v>8.0748048007504569E-3</v>
      </c>
      <c r="Q173" s="293">
        <f t="shared" si="42"/>
        <v>41673.83539</v>
      </c>
      <c r="R173" s="227">
        <f t="shared" si="45"/>
        <v>1.9962982596672565E-6</v>
      </c>
      <c r="S173" s="227">
        <v>1</v>
      </c>
      <c r="T173" s="227">
        <f t="shared" si="38"/>
        <v>1.9962982596672565E-6</v>
      </c>
      <c r="U173" s="227"/>
    </row>
    <row r="174" spans="1:21" ht="12.95" customHeight="1">
      <c r="A174" s="305" t="s">
        <v>258</v>
      </c>
      <c r="B174" s="306" t="s">
        <v>86</v>
      </c>
      <c r="C174" s="307">
        <v>56692.335859999999</v>
      </c>
      <c r="D174" s="305">
        <v>1E-4</v>
      </c>
      <c r="E174" s="227">
        <f t="shared" si="39"/>
        <v>36775.530183703835</v>
      </c>
      <c r="F174" s="227">
        <f t="shared" si="40"/>
        <v>36775.5</v>
      </c>
      <c r="G174" s="227">
        <f t="shared" si="44"/>
        <v>9.9577089931699447E-3</v>
      </c>
      <c r="H174" s="227"/>
      <c r="I174" s="227"/>
      <c r="K174" s="291">
        <f t="shared" si="46"/>
        <v>9.9577089931699447E-3</v>
      </c>
      <c r="L174" s="227"/>
      <c r="M174" s="227"/>
      <c r="N174" s="227"/>
      <c r="O174" s="227">
        <f t="shared" ca="1" si="36"/>
        <v>1.1735326566250592E-2</v>
      </c>
      <c r="P174" s="292">
        <f t="shared" si="37"/>
        <v>8.0748048007504569E-3</v>
      </c>
      <c r="Q174" s="293">
        <f t="shared" si="42"/>
        <v>41673.835859999999</v>
      </c>
      <c r="R174" s="227">
        <f t="shared" si="45"/>
        <v>3.5453281978308837E-6</v>
      </c>
      <c r="S174" s="227">
        <v>1</v>
      </c>
      <c r="T174" s="227">
        <f t="shared" si="38"/>
        <v>3.5453281978308837E-6</v>
      </c>
      <c r="U174" s="227"/>
    </row>
    <row r="175" spans="1:21" ht="12.95" customHeight="1">
      <c r="A175" s="305" t="s">
        <v>258</v>
      </c>
      <c r="B175" s="306" t="s">
        <v>87</v>
      </c>
      <c r="C175" s="307">
        <v>56714.272239999998</v>
      </c>
      <c r="D175" s="305">
        <v>4.0000000000000002E-4</v>
      </c>
      <c r="E175" s="227">
        <f t="shared" si="39"/>
        <v>36842.023510379302</v>
      </c>
      <c r="F175" s="227">
        <f t="shared" si="40"/>
        <v>36842</v>
      </c>
      <c r="G175" s="227">
        <f t="shared" si="44"/>
        <v>7.7561559955938719E-3</v>
      </c>
      <c r="H175" s="227"/>
      <c r="I175" s="227"/>
      <c r="K175" s="291">
        <f t="shared" si="46"/>
        <v>7.7561559955938719E-3</v>
      </c>
      <c r="L175" s="227"/>
      <c r="M175" s="227"/>
      <c r="N175" s="227"/>
      <c r="O175" s="227">
        <f t="shared" ca="1" si="36"/>
        <v>1.1458570378354432E-2</v>
      </c>
      <c r="P175" s="292">
        <f t="shared" si="37"/>
        <v>7.8656077262433954E-3</v>
      </c>
      <c r="Q175" s="293">
        <f t="shared" si="42"/>
        <v>41695.772239999998</v>
      </c>
      <c r="R175" s="227">
        <f t="shared" si="45"/>
        <v>1.1979681342175845E-8</v>
      </c>
      <c r="S175" s="227">
        <v>1</v>
      </c>
      <c r="T175" s="227">
        <f t="shared" si="38"/>
        <v>1.1979681342175845E-8</v>
      </c>
      <c r="U175" s="227"/>
    </row>
    <row r="176" spans="1:21" ht="12.95" customHeight="1">
      <c r="A176" s="305" t="s">
        <v>258</v>
      </c>
      <c r="B176" s="306" t="s">
        <v>87</v>
      </c>
      <c r="C176" s="307">
        <v>56714.272669999998</v>
      </c>
      <c r="D176" s="305">
        <v>2.0000000000000001E-4</v>
      </c>
      <c r="E176" s="227">
        <f t="shared" si="39"/>
        <v>36842.02481379082</v>
      </c>
      <c r="F176" s="227">
        <f t="shared" si="40"/>
        <v>36842</v>
      </c>
      <c r="G176" s="227">
        <f t="shared" si="44"/>
        <v>8.1861559956450947E-3</v>
      </c>
      <c r="H176" s="227"/>
      <c r="I176" s="227"/>
      <c r="K176" s="291">
        <f t="shared" si="46"/>
        <v>8.1861559956450947E-3</v>
      </c>
      <c r="L176" s="227"/>
      <c r="M176" s="227"/>
      <c r="N176" s="227"/>
      <c r="O176" s="227">
        <f t="shared" ref="O176:O207" ca="1" si="47">+C$11+C$12*F176</f>
        <v>1.1458570378354432E-2</v>
      </c>
      <c r="P176" s="292">
        <f t="shared" si="37"/>
        <v>7.8656077262433954E-3</v>
      </c>
      <c r="Q176" s="293">
        <f t="shared" si="42"/>
        <v>41695.772669999998</v>
      </c>
      <c r="R176" s="227">
        <f t="shared" si="45"/>
        <v>1.0275119301642434E-7</v>
      </c>
      <c r="S176" s="227">
        <v>1</v>
      </c>
      <c r="T176" s="227">
        <f t="shared" si="38"/>
        <v>1.0275119301642434E-7</v>
      </c>
      <c r="U176" s="227"/>
    </row>
    <row r="177" spans="1:21" ht="12.95" customHeight="1">
      <c r="A177" s="305" t="s">
        <v>258</v>
      </c>
      <c r="B177" s="306" t="s">
        <v>87</v>
      </c>
      <c r="C177" s="307">
        <v>56714.272830000002</v>
      </c>
      <c r="D177" s="305">
        <v>2.0000000000000001E-4</v>
      </c>
      <c r="E177" s="227">
        <f t="shared" si="39"/>
        <v>36842.025298781169</v>
      </c>
      <c r="F177" s="227">
        <f t="shared" si="40"/>
        <v>36842</v>
      </c>
      <c r="G177" s="227">
        <f t="shared" si="44"/>
        <v>8.3461559988791123E-3</v>
      </c>
      <c r="H177" s="227"/>
      <c r="I177" s="227"/>
      <c r="K177" s="291">
        <f t="shared" si="46"/>
        <v>8.3461559988791123E-3</v>
      </c>
      <c r="L177" s="227"/>
      <c r="M177" s="227"/>
      <c r="N177" s="227"/>
      <c r="O177" s="227">
        <f t="shared" ca="1" si="47"/>
        <v>1.1458570378354432E-2</v>
      </c>
      <c r="P177" s="292">
        <f t="shared" si="37"/>
        <v>7.8656077262433954E-3</v>
      </c>
      <c r="Q177" s="293">
        <f t="shared" si="42"/>
        <v>41695.772830000002</v>
      </c>
      <c r="R177" s="227">
        <f t="shared" si="45"/>
        <v>2.3092664233317126E-7</v>
      </c>
      <c r="S177" s="227">
        <v>1</v>
      </c>
      <c r="T177" s="227">
        <f t="shared" si="38"/>
        <v>2.3092664233317126E-7</v>
      </c>
      <c r="U177" s="227"/>
    </row>
    <row r="178" spans="1:21" ht="12.95" customHeight="1">
      <c r="A178" s="305" t="s">
        <v>258</v>
      </c>
      <c r="B178" s="306" t="s">
        <v>87</v>
      </c>
      <c r="C178" s="307">
        <v>56714.272949999999</v>
      </c>
      <c r="D178" s="305">
        <v>2.0000000000000001E-4</v>
      </c>
      <c r="E178" s="227">
        <f t="shared" si="39"/>
        <v>36842.025662523905</v>
      </c>
      <c r="F178" s="227">
        <f t="shared" si="40"/>
        <v>36842</v>
      </c>
      <c r="G178" s="227">
        <f t="shared" si="44"/>
        <v>8.4661559958476573E-3</v>
      </c>
      <c r="H178" s="227"/>
      <c r="I178" s="227"/>
      <c r="K178" s="291">
        <f t="shared" si="46"/>
        <v>8.4661559958476573E-3</v>
      </c>
      <c r="L178" s="227"/>
      <c r="M178" s="227"/>
      <c r="N178" s="227"/>
      <c r="O178" s="227">
        <f t="shared" ca="1" si="47"/>
        <v>1.1458570378354432E-2</v>
      </c>
      <c r="P178" s="292">
        <f t="shared" ref="P178:P214" si="48">+D$11+D$12*F178+D$13*F178^2</f>
        <v>7.8656077262433954E-3</v>
      </c>
      <c r="Q178" s="293">
        <f t="shared" si="42"/>
        <v>41695.772949999999</v>
      </c>
      <c r="R178" s="227">
        <f t="shared" si="45"/>
        <v>3.6065822412467321E-7</v>
      </c>
      <c r="S178" s="227">
        <v>1</v>
      </c>
      <c r="T178" s="227">
        <f t="shared" ref="T178:T209" si="49">R178*S178</f>
        <v>3.6065822412467321E-7</v>
      </c>
      <c r="U178" s="227"/>
    </row>
    <row r="179" spans="1:21" ht="12.95" customHeight="1">
      <c r="A179" s="308" t="s">
        <v>753</v>
      </c>
      <c r="B179" s="309" t="s">
        <v>86</v>
      </c>
      <c r="C179" s="310">
        <v>56943.384879999998</v>
      </c>
      <c r="D179" s="310">
        <v>1E-4</v>
      </c>
      <c r="E179" s="227">
        <f t="shared" si="39"/>
        <v>37536.507359446397</v>
      </c>
      <c r="F179" s="227">
        <f t="shared" si="40"/>
        <v>37536.5</v>
      </c>
      <c r="G179" s="227">
        <f t="shared" si="44"/>
        <v>2.4279069912154227E-3</v>
      </c>
      <c r="H179" s="227"/>
      <c r="I179" s="227"/>
      <c r="J179" s="227"/>
      <c r="K179" s="227">
        <f t="shared" si="46"/>
        <v>2.4279069912154227E-3</v>
      </c>
      <c r="M179" s="227"/>
      <c r="N179" s="227"/>
      <c r="O179" s="227">
        <f t="shared" ca="1" si="47"/>
        <v>8.568236957394032E-3</v>
      </c>
      <c r="P179" s="292">
        <f t="shared" si="48"/>
        <v>5.61754246740509E-3</v>
      </c>
      <c r="Q179" s="293">
        <f t="shared" si="42"/>
        <v>41924.884879999998</v>
      </c>
      <c r="R179" s="227">
        <f t="shared" si="45"/>
        <v>1.0173774470967686E-5</v>
      </c>
      <c r="S179" s="227">
        <v>1</v>
      </c>
      <c r="T179" s="227">
        <f t="shared" si="49"/>
        <v>1.0173774470967686E-5</v>
      </c>
      <c r="U179" s="227"/>
    </row>
    <row r="180" spans="1:21" ht="12.95" customHeight="1">
      <c r="A180" s="308" t="s">
        <v>753</v>
      </c>
      <c r="B180" s="309" t="s">
        <v>86</v>
      </c>
      <c r="C180" s="310">
        <v>56943.387410000003</v>
      </c>
      <c r="D180" s="310">
        <v>2.0000000000000001E-4</v>
      </c>
      <c r="E180" s="227">
        <f t="shared" si="39"/>
        <v>37536.51502835608</v>
      </c>
      <c r="F180" s="227">
        <f t="shared" si="40"/>
        <v>37536.5</v>
      </c>
      <c r="G180" s="227">
        <f t="shared" si="44"/>
        <v>4.9579069964238442E-3</v>
      </c>
      <c r="H180" s="227"/>
      <c r="I180" s="227"/>
      <c r="J180" s="227"/>
      <c r="K180" s="227">
        <f t="shared" si="46"/>
        <v>4.9579069964238442E-3</v>
      </c>
      <c r="M180" s="227"/>
      <c r="N180" s="227"/>
      <c r="O180" s="227">
        <f t="shared" ca="1" si="47"/>
        <v>8.568236957394032E-3</v>
      </c>
      <c r="P180" s="292">
        <f t="shared" si="48"/>
        <v>5.61754246740509E-3</v>
      </c>
      <c r="Q180" s="293">
        <f t="shared" si="42"/>
        <v>41924.887410000003</v>
      </c>
      <c r="R180" s="227">
        <f t="shared" si="45"/>
        <v>4.3511895457664993E-7</v>
      </c>
      <c r="S180" s="227">
        <v>1</v>
      </c>
      <c r="T180" s="227">
        <f t="shared" si="49"/>
        <v>4.3511895457664993E-7</v>
      </c>
      <c r="U180" s="227"/>
    </row>
    <row r="181" spans="1:21" ht="12.95" customHeight="1">
      <c r="A181" s="308" t="s">
        <v>753</v>
      </c>
      <c r="B181" s="309" t="s">
        <v>86</v>
      </c>
      <c r="C181" s="310">
        <v>56943.38768</v>
      </c>
      <c r="D181" s="310">
        <v>1E-4</v>
      </c>
      <c r="E181" s="227">
        <f t="shared" ref="E181:E214" si="50">+(C181-C$7)/C$8</f>
        <v>37536.515846777256</v>
      </c>
      <c r="F181" s="227">
        <f t="shared" ref="F181:F212" si="51">ROUND(2*E181,0)/2</f>
        <v>37536.5</v>
      </c>
      <c r="G181" s="227">
        <f t="shared" si="44"/>
        <v>5.2279069932410493E-3</v>
      </c>
      <c r="H181" s="227"/>
      <c r="I181" s="227"/>
      <c r="J181" s="227"/>
      <c r="K181" s="227">
        <f t="shared" si="46"/>
        <v>5.2279069932410493E-3</v>
      </c>
      <c r="M181" s="227"/>
      <c r="N181" s="227"/>
      <c r="O181" s="227">
        <f t="shared" ca="1" si="47"/>
        <v>8.568236957394032E-3</v>
      </c>
      <c r="P181" s="292">
        <f t="shared" si="48"/>
        <v>5.61754246740509E-3</v>
      </c>
      <c r="Q181" s="293">
        <f t="shared" ref="Q181:Q214" si="52">+C181-15018.5</f>
        <v>41924.88768</v>
      </c>
      <c r="R181" s="227">
        <f t="shared" si="45"/>
        <v>1.5181580272703679E-7</v>
      </c>
      <c r="S181" s="227">
        <v>1</v>
      </c>
      <c r="T181" s="227">
        <f t="shared" si="49"/>
        <v>1.5181580272703679E-7</v>
      </c>
      <c r="U181" s="227"/>
    </row>
    <row r="182" spans="1:21" ht="12.95" customHeight="1">
      <c r="A182" s="308" t="s">
        <v>753</v>
      </c>
      <c r="B182" s="309" t="s">
        <v>86</v>
      </c>
      <c r="C182" s="310">
        <v>56943.388140000003</v>
      </c>
      <c r="D182" s="310">
        <v>1E-4</v>
      </c>
      <c r="E182" s="227">
        <f t="shared" si="50"/>
        <v>37536.517241124478</v>
      </c>
      <c r="F182" s="227">
        <f t="shared" si="51"/>
        <v>37536.5</v>
      </c>
      <c r="G182" s="227">
        <f t="shared" si="44"/>
        <v>5.6879069961723872E-3</v>
      </c>
      <c r="H182" s="227"/>
      <c r="I182" s="227"/>
      <c r="J182" s="227"/>
      <c r="K182" s="227">
        <f t="shared" si="46"/>
        <v>5.6879069961723872E-3</v>
      </c>
      <c r="M182" s="227"/>
      <c r="N182" s="227"/>
      <c r="O182" s="227">
        <f t="shared" ca="1" si="47"/>
        <v>8.568236957394032E-3</v>
      </c>
      <c r="P182" s="292">
        <f t="shared" si="48"/>
        <v>5.61754246740509E-3</v>
      </c>
      <c r="Q182" s="293">
        <f t="shared" si="52"/>
        <v>41924.888140000003</v>
      </c>
      <c r="R182" s="227">
        <f t="shared" si="45"/>
        <v>4.9511669086437886E-9</v>
      </c>
      <c r="S182" s="227">
        <v>1</v>
      </c>
      <c r="T182" s="227">
        <f t="shared" si="49"/>
        <v>4.9511669086437886E-9</v>
      </c>
      <c r="U182" s="227"/>
    </row>
    <row r="183" spans="1:21" ht="12.95" customHeight="1">
      <c r="A183" s="308" t="s">
        <v>753</v>
      </c>
      <c r="B183" s="309" t="s">
        <v>86</v>
      </c>
      <c r="C183" s="310">
        <v>56985.284829999997</v>
      </c>
      <c r="D183" s="310">
        <v>2.0000000000000001E-4</v>
      </c>
      <c r="E183" s="227">
        <f t="shared" si="50"/>
        <v>37663.514051664337</v>
      </c>
      <c r="F183" s="227">
        <f t="shared" si="51"/>
        <v>37663.5</v>
      </c>
      <c r="G183" s="227">
        <f t="shared" si="44"/>
        <v>4.6356929888133891E-3</v>
      </c>
      <c r="H183" s="227"/>
      <c r="I183" s="227"/>
      <c r="J183" s="227"/>
      <c r="K183" s="227">
        <f t="shared" si="46"/>
        <v>4.6356929888133891E-3</v>
      </c>
      <c r="M183" s="227"/>
      <c r="N183" s="227"/>
      <c r="O183" s="227">
        <f t="shared" ca="1" si="47"/>
        <v>8.0396950647202148E-3</v>
      </c>
      <c r="P183" s="292">
        <f t="shared" si="48"/>
        <v>5.1939549727172962E-3</v>
      </c>
      <c r="Q183" s="293">
        <f t="shared" si="52"/>
        <v>41966.784829999997</v>
      </c>
      <c r="R183" s="227">
        <f t="shared" si="45"/>
        <v>3.1165644267232624E-7</v>
      </c>
      <c r="S183" s="227">
        <v>1</v>
      </c>
      <c r="T183" s="227">
        <f t="shared" si="49"/>
        <v>3.1165644267232624E-7</v>
      </c>
      <c r="U183" s="227"/>
    </row>
    <row r="184" spans="1:21" ht="12.95" customHeight="1">
      <c r="A184" s="308" t="s">
        <v>753</v>
      </c>
      <c r="B184" s="309" t="s">
        <v>86</v>
      </c>
      <c r="C184" s="310">
        <v>56985.284899999999</v>
      </c>
      <c r="D184" s="310">
        <v>2.0000000000000001E-4</v>
      </c>
      <c r="E184" s="227">
        <f t="shared" si="50"/>
        <v>37663.51426384761</v>
      </c>
      <c r="F184" s="227">
        <f t="shared" si="51"/>
        <v>37663.5</v>
      </c>
      <c r="G184" s="227">
        <f t="shared" si="44"/>
        <v>4.7056929906830192E-3</v>
      </c>
      <c r="H184" s="227"/>
      <c r="I184" s="227"/>
      <c r="J184" s="227"/>
      <c r="K184" s="227">
        <f t="shared" si="46"/>
        <v>4.7056929906830192E-3</v>
      </c>
      <c r="M184" s="227"/>
      <c r="N184" s="227"/>
      <c r="O184" s="227">
        <f t="shared" ca="1" si="47"/>
        <v>8.0396950647202148E-3</v>
      </c>
      <c r="P184" s="292">
        <f t="shared" si="48"/>
        <v>5.1939549727172962E-3</v>
      </c>
      <c r="Q184" s="293">
        <f t="shared" si="52"/>
        <v>41966.784899999999</v>
      </c>
      <c r="R184" s="227">
        <f t="shared" si="45"/>
        <v>2.3839976310004071E-7</v>
      </c>
      <c r="S184" s="227">
        <v>1</v>
      </c>
      <c r="T184" s="227">
        <f t="shared" si="49"/>
        <v>2.3839976310004071E-7</v>
      </c>
    </row>
    <row r="185" spans="1:21" ht="12.95" customHeight="1">
      <c r="A185" s="308" t="s">
        <v>753</v>
      </c>
      <c r="B185" s="309" t="s">
        <v>86</v>
      </c>
      <c r="C185" s="310">
        <v>56985.28501</v>
      </c>
      <c r="D185" s="310">
        <v>2.0000000000000001E-4</v>
      </c>
      <c r="E185" s="227">
        <f t="shared" si="50"/>
        <v>37663.514597278467</v>
      </c>
      <c r="F185" s="227">
        <f t="shared" si="51"/>
        <v>37663.5</v>
      </c>
      <c r="G185" s="227">
        <f t="shared" si="44"/>
        <v>4.8156929915421642E-3</v>
      </c>
      <c r="H185" s="227"/>
      <c r="I185" s="227"/>
      <c r="J185" s="227"/>
      <c r="K185" s="227">
        <f t="shared" si="46"/>
        <v>4.8156929915421642E-3</v>
      </c>
      <c r="M185" s="227"/>
      <c r="N185" s="227"/>
      <c r="O185" s="227">
        <f t="shared" ca="1" si="47"/>
        <v>8.0396950647202148E-3</v>
      </c>
      <c r="P185" s="292">
        <f t="shared" si="48"/>
        <v>5.1939549727172962E-3</v>
      </c>
      <c r="Q185" s="293">
        <f t="shared" si="52"/>
        <v>41966.78501</v>
      </c>
      <c r="R185" s="227">
        <f t="shared" si="45"/>
        <v>1.4308212640253591E-7</v>
      </c>
      <c r="S185" s="227">
        <v>1</v>
      </c>
      <c r="T185" s="227">
        <f t="shared" si="49"/>
        <v>1.4308212640253591E-7</v>
      </c>
    </row>
    <row r="186" spans="1:21" ht="12.95" customHeight="1">
      <c r="A186" s="304" t="s">
        <v>751</v>
      </c>
      <c r="B186" s="122"/>
      <c r="C186" s="21">
        <v>57308.917699999998</v>
      </c>
      <c r="D186" s="21">
        <v>2.9999999999999997E-4</v>
      </c>
      <c r="E186" s="227">
        <f t="shared" si="50"/>
        <v>38644.506637853534</v>
      </c>
      <c r="F186" s="227">
        <f t="shared" si="51"/>
        <v>38644.5</v>
      </c>
      <c r="G186" s="227">
        <f t="shared" si="44"/>
        <v>2.1898509949096479E-3</v>
      </c>
      <c r="H186" s="227"/>
      <c r="I186" s="227"/>
      <c r="J186" s="227"/>
      <c r="K186" s="227">
        <f t="shared" si="46"/>
        <v>2.1898509949096479E-3</v>
      </c>
      <c r="M186" s="227"/>
      <c r="N186" s="227"/>
      <c r="O186" s="227">
        <f t="shared" ca="1" si="47"/>
        <v>3.9570210748539059E-3</v>
      </c>
      <c r="P186" s="292">
        <f t="shared" si="48"/>
        <v>1.7918231373162952E-3</v>
      </c>
      <c r="Q186" s="293">
        <f t="shared" si="52"/>
        <v>42290.417699999998</v>
      </c>
      <c r="R186" s="227">
        <f t="shared" si="45"/>
        <v>1.5842617542035425E-7</v>
      </c>
      <c r="S186" s="227">
        <v>1</v>
      </c>
      <c r="T186" s="227">
        <f t="shared" si="49"/>
        <v>1.5842617542035425E-7</v>
      </c>
      <c r="U186" s="227"/>
    </row>
    <row r="187" spans="1:21" ht="12.95" customHeight="1">
      <c r="A187" s="311" t="s">
        <v>55</v>
      </c>
      <c r="B187" s="312" t="s">
        <v>86</v>
      </c>
      <c r="C187" s="313">
        <v>57369.288</v>
      </c>
      <c r="D187" s="342">
        <v>3.0000000000000001E-3</v>
      </c>
      <c r="E187" s="227">
        <f t="shared" si="50"/>
        <v>38827.50046269592</v>
      </c>
      <c r="F187" s="227">
        <f t="shared" si="51"/>
        <v>38827.5</v>
      </c>
      <c r="G187" s="227">
        <f t="shared" si="44"/>
        <v>1.5264499234035611E-4</v>
      </c>
      <c r="H187" s="227"/>
      <c r="I187" s="227">
        <f>G187</f>
        <v>1.5264499234035611E-4</v>
      </c>
      <c r="J187" s="227"/>
      <c r="M187" s="227"/>
      <c r="N187" s="227"/>
      <c r="O187" s="227">
        <f t="shared" ca="1" si="47"/>
        <v>3.195421339741239E-3</v>
      </c>
      <c r="P187" s="292">
        <f t="shared" si="48"/>
        <v>1.1316652171947106E-3</v>
      </c>
      <c r="Q187" s="293">
        <f t="shared" si="52"/>
        <v>42350.788</v>
      </c>
      <c r="R187" s="227">
        <f t="shared" si="45"/>
        <v>9.5848060067387077E-7</v>
      </c>
      <c r="S187" s="227">
        <v>0.1</v>
      </c>
      <c r="T187" s="227">
        <f t="shared" si="49"/>
        <v>9.5848060067387087E-8</v>
      </c>
    </row>
    <row r="188" spans="1:21" ht="12.95" customHeight="1">
      <c r="A188" s="308" t="s">
        <v>753</v>
      </c>
      <c r="B188" s="309" t="s">
        <v>86</v>
      </c>
      <c r="C188" s="310">
        <v>57402.280059999997</v>
      </c>
      <c r="D188" s="310">
        <v>1E-4</v>
      </c>
      <c r="E188" s="227">
        <f t="shared" si="50"/>
        <v>38927.505651486252</v>
      </c>
      <c r="F188" s="227">
        <f t="shared" si="51"/>
        <v>38927.5</v>
      </c>
      <c r="G188" s="227">
        <f t="shared" si="44"/>
        <v>1.86444499559002E-3</v>
      </c>
      <c r="H188" s="227"/>
      <c r="I188" s="227"/>
      <c r="J188" s="227"/>
      <c r="K188" s="227">
        <f t="shared" ref="K188:K214" si="53">G188</f>
        <v>1.86444499559002E-3</v>
      </c>
      <c r="M188" s="227"/>
      <c r="N188" s="227"/>
      <c r="O188" s="227">
        <f t="shared" ca="1" si="47"/>
        <v>2.7792466211004341E-3</v>
      </c>
      <c r="P188" s="292">
        <f t="shared" si="48"/>
        <v>7.6753408838681203E-4</v>
      </c>
      <c r="Q188" s="293">
        <f t="shared" si="52"/>
        <v>42383.780059999997</v>
      </c>
      <c r="R188" s="227">
        <f t="shared" si="45"/>
        <v>1.2032135383413646E-6</v>
      </c>
      <c r="S188" s="227">
        <v>1</v>
      </c>
      <c r="T188" s="227">
        <f t="shared" si="49"/>
        <v>1.2032135383413646E-6</v>
      </c>
    </row>
    <row r="189" spans="1:21" ht="12.95" customHeight="1">
      <c r="A189" s="308" t="s">
        <v>753</v>
      </c>
      <c r="B189" s="309" t="s">
        <v>86</v>
      </c>
      <c r="C189" s="310">
        <v>57402.280169999998</v>
      </c>
      <c r="D189" s="310">
        <v>1E-4</v>
      </c>
      <c r="E189" s="227">
        <f t="shared" si="50"/>
        <v>38927.505984917108</v>
      </c>
      <c r="F189" s="227">
        <f t="shared" si="51"/>
        <v>38927.5</v>
      </c>
      <c r="G189" s="227">
        <f t="shared" si="44"/>
        <v>1.974444996449165E-3</v>
      </c>
      <c r="H189" s="227"/>
      <c r="I189" s="227"/>
      <c r="J189" s="227"/>
      <c r="K189" s="227">
        <f t="shared" si="53"/>
        <v>1.974444996449165E-3</v>
      </c>
      <c r="M189" s="227"/>
      <c r="N189" s="227"/>
      <c r="O189" s="227">
        <f t="shared" ca="1" si="47"/>
        <v>2.7792466211004341E-3</v>
      </c>
      <c r="P189" s="292">
        <f t="shared" si="48"/>
        <v>7.6753408838681203E-4</v>
      </c>
      <c r="Q189" s="293">
        <f t="shared" si="52"/>
        <v>42383.780169999998</v>
      </c>
      <c r="R189" s="227">
        <f t="shared" si="45"/>
        <v>1.4566339399998935E-6</v>
      </c>
      <c r="S189" s="227">
        <v>1</v>
      </c>
      <c r="T189" s="227">
        <f t="shared" si="49"/>
        <v>1.4566339399998935E-6</v>
      </c>
    </row>
    <row r="190" spans="1:21" ht="12.95" customHeight="1">
      <c r="A190" s="308" t="s">
        <v>753</v>
      </c>
      <c r="B190" s="309" t="s">
        <v>86</v>
      </c>
      <c r="C190" s="310">
        <v>57657.623</v>
      </c>
      <c r="D190" s="310">
        <v>1E-4</v>
      </c>
      <c r="E190" s="227">
        <f t="shared" si="50"/>
        <v>39701.498512828657</v>
      </c>
      <c r="F190" s="227">
        <f t="shared" si="51"/>
        <v>39701.5</v>
      </c>
      <c r="G190" s="227">
        <f t="shared" si="44"/>
        <v>-4.9062300240620971E-4</v>
      </c>
      <c r="H190" s="227"/>
      <c r="I190" s="227"/>
      <c r="J190" s="227"/>
      <c r="K190" s="227">
        <f t="shared" si="53"/>
        <v>-4.9062300240620971E-4</v>
      </c>
      <c r="M190" s="227"/>
      <c r="N190" s="227"/>
      <c r="O190" s="227">
        <f t="shared" ca="1" si="47"/>
        <v>-4.4194570117941923E-4</v>
      </c>
      <c r="P190" s="292">
        <f t="shared" si="48"/>
        <v>-2.1318529360409011E-3</v>
      </c>
      <c r="Q190" s="293">
        <f t="shared" si="52"/>
        <v>42639.123</v>
      </c>
      <c r="R190" s="227">
        <f t="shared" si="45"/>
        <v>2.6936356950585333E-6</v>
      </c>
      <c r="S190" s="227">
        <v>1</v>
      </c>
      <c r="T190" s="227">
        <f t="shared" si="49"/>
        <v>2.6936356950585333E-6</v>
      </c>
    </row>
    <row r="191" spans="1:21" ht="12.95" customHeight="1">
      <c r="A191" s="308" t="s">
        <v>753</v>
      </c>
      <c r="B191" s="309" t="s">
        <v>86</v>
      </c>
      <c r="C191" s="310">
        <v>57657.623440000003</v>
      </c>
      <c r="D191" s="310">
        <v>2.0000000000000001E-4</v>
      </c>
      <c r="E191" s="227">
        <f t="shared" si="50"/>
        <v>39701.499846552084</v>
      </c>
      <c r="F191" s="227">
        <f t="shared" si="51"/>
        <v>39701.5</v>
      </c>
      <c r="G191" s="227">
        <f t="shared" si="44"/>
        <v>-5.0622998969629407E-5</v>
      </c>
      <c r="H191" s="227"/>
      <c r="I191" s="227"/>
      <c r="J191" s="227"/>
      <c r="K191" s="227">
        <f t="shared" si="53"/>
        <v>-5.0622998969629407E-5</v>
      </c>
      <c r="M191" s="227"/>
      <c r="N191" s="227"/>
      <c r="O191" s="227">
        <f t="shared" ca="1" si="47"/>
        <v>-4.4194570117941923E-4</v>
      </c>
      <c r="P191" s="292">
        <f t="shared" si="48"/>
        <v>-2.1318529360409011E-3</v>
      </c>
      <c r="Q191" s="293">
        <f t="shared" si="52"/>
        <v>42639.123440000003</v>
      </c>
      <c r="R191" s="227">
        <f t="shared" si="45"/>
        <v>4.3315180509616899E-6</v>
      </c>
      <c r="S191" s="227">
        <v>1</v>
      </c>
      <c r="T191" s="227">
        <f t="shared" si="49"/>
        <v>4.3315180509616899E-6</v>
      </c>
    </row>
    <row r="192" spans="1:21" ht="12.95" customHeight="1">
      <c r="A192" s="308" t="s">
        <v>753</v>
      </c>
      <c r="B192" s="309" t="s">
        <v>86</v>
      </c>
      <c r="C192" s="310">
        <v>57657.623500000002</v>
      </c>
      <c r="D192" s="310">
        <v>1E-4</v>
      </c>
      <c r="E192" s="227">
        <f t="shared" si="50"/>
        <v>39701.500028423456</v>
      </c>
      <c r="F192" s="227">
        <f t="shared" si="51"/>
        <v>39701.5</v>
      </c>
      <c r="G192" s="227">
        <f t="shared" si="44"/>
        <v>9.3769995146431029E-6</v>
      </c>
      <c r="H192" s="227"/>
      <c r="I192" s="227"/>
      <c r="J192" s="227"/>
      <c r="K192" s="227">
        <f t="shared" si="53"/>
        <v>9.3769995146431029E-6</v>
      </c>
      <c r="M192" s="227"/>
      <c r="N192" s="227"/>
      <c r="O192" s="227">
        <f t="shared" ca="1" si="47"/>
        <v>-4.4194570117941923E-4</v>
      </c>
      <c r="P192" s="292">
        <f t="shared" si="48"/>
        <v>-2.1318529360409011E-3</v>
      </c>
      <c r="Q192" s="293">
        <f t="shared" si="52"/>
        <v>42639.123500000002</v>
      </c>
      <c r="R192" s="227">
        <f t="shared" si="45"/>
        <v>4.5848656369192004E-6</v>
      </c>
      <c r="S192" s="227">
        <v>1</v>
      </c>
      <c r="T192" s="227">
        <f t="shared" si="49"/>
        <v>4.5848656369192004E-6</v>
      </c>
    </row>
    <row r="193" spans="1:21" ht="12.95" customHeight="1">
      <c r="A193" s="308" t="s">
        <v>753</v>
      </c>
      <c r="B193" s="309" t="s">
        <v>86</v>
      </c>
      <c r="C193" s="310">
        <v>57657.623970000001</v>
      </c>
      <c r="D193" s="310">
        <v>2.9999999999999997E-4</v>
      </c>
      <c r="E193" s="227">
        <f t="shared" si="50"/>
        <v>39701.501453082557</v>
      </c>
      <c r="F193" s="227">
        <f t="shared" si="51"/>
        <v>39701.5</v>
      </c>
      <c r="G193" s="227">
        <f t="shared" si="44"/>
        <v>4.7937699855538085E-4</v>
      </c>
      <c r="H193" s="227"/>
      <c r="I193" s="227"/>
      <c r="J193" s="227"/>
      <c r="K193" s="227">
        <f t="shared" si="53"/>
        <v>4.7937699855538085E-4</v>
      </c>
      <c r="M193" s="227"/>
      <c r="N193" s="227"/>
      <c r="O193" s="227">
        <f t="shared" ca="1" si="47"/>
        <v>-4.4194570117941923E-4</v>
      </c>
      <c r="P193" s="292">
        <f t="shared" si="48"/>
        <v>-2.1318529360409011E-3</v>
      </c>
      <c r="Q193" s="293">
        <f t="shared" si="52"/>
        <v>42639.123970000001</v>
      </c>
      <c r="R193" s="227">
        <f t="shared" si="45"/>
        <v>6.8185217713317027E-6</v>
      </c>
      <c r="S193" s="227">
        <v>1</v>
      </c>
      <c r="T193" s="227">
        <f t="shared" si="49"/>
        <v>6.8185217713317027E-6</v>
      </c>
    </row>
    <row r="194" spans="1:21" ht="12.95" customHeight="1">
      <c r="A194" s="304" t="s">
        <v>752</v>
      </c>
      <c r="C194" s="290">
        <v>57672.798000000003</v>
      </c>
      <c r="D194" s="290">
        <v>2.0000000000000001E-4</v>
      </c>
      <c r="E194" s="227">
        <f t="shared" si="50"/>
        <v>39747.496814841128</v>
      </c>
      <c r="F194" s="227">
        <f t="shared" si="51"/>
        <v>39747.5</v>
      </c>
      <c r="G194" s="227">
        <f t="shared" si="44"/>
        <v>-1.0507949991733767E-3</v>
      </c>
      <c r="H194" s="227"/>
      <c r="I194" s="227"/>
      <c r="J194" s="227"/>
      <c r="K194" s="227">
        <f t="shared" si="53"/>
        <v>-1.0507949991733767E-3</v>
      </c>
      <c r="M194" s="227"/>
      <c r="N194" s="227"/>
      <c r="O194" s="227">
        <f t="shared" ca="1" si="47"/>
        <v>-6.3338607175419948E-4</v>
      </c>
      <c r="P194" s="292">
        <f t="shared" si="48"/>
        <v>-2.3086851250156692E-3</v>
      </c>
      <c r="Q194" s="293">
        <f t="shared" si="52"/>
        <v>42654.298000000003</v>
      </c>
      <c r="R194" s="227">
        <f t="shared" si="45"/>
        <v>1.5822875686915385E-6</v>
      </c>
      <c r="S194" s="227">
        <v>1</v>
      </c>
      <c r="T194" s="227">
        <f t="shared" si="49"/>
        <v>1.5822875686915385E-6</v>
      </c>
      <c r="U194" s="227"/>
    </row>
    <row r="195" spans="1:21" ht="12.95" customHeight="1">
      <c r="A195" s="329" t="s">
        <v>54</v>
      </c>
      <c r="B195" s="330" t="s">
        <v>87</v>
      </c>
      <c r="C195" s="329">
        <v>57705.292699999998</v>
      </c>
      <c r="D195" s="329" t="s">
        <v>755</v>
      </c>
      <c r="E195" s="227">
        <f t="shared" si="50"/>
        <v>39845.994411177489</v>
      </c>
      <c r="F195" s="227">
        <f t="shared" si="51"/>
        <v>39846</v>
      </c>
      <c r="G195" s="227">
        <f t="shared" si="44"/>
        <v>-1.8437720063957386E-3</v>
      </c>
      <c r="H195" s="227"/>
      <c r="I195" s="227"/>
      <c r="J195" s="227"/>
      <c r="K195" s="227">
        <f t="shared" si="53"/>
        <v>-1.8437720063957386E-3</v>
      </c>
      <c r="M195" s="227"/>
      <c r="N195" s="227"/>
      <c r="O195" s="227">
        <f t="shared" ca="1" si="47"/>
        <v>-1.0433181696153926E-3</v>
      </c>
      <c r="P195" s="292">
        <f t="shared" si="48"/>
        <v>-2.6890411777705792E-3</v>
      </c>
      <c r="Q195" s="293">
        <f t="shared" si="52"/>
        <v>42686.792699999998</v>
      </c>
      <c r="R195" s="227">
        <f t="shared" si="45"/>
        <v>7.1447997207670961E-7</v>
      </c>
      <c r="S195" s="227">
        <v>1</v>
      </c>
      <c r="T195" s="227">
        <f t="shared" si="49"/>
        <v>7.1447997207670961E-7</v>
      </c>
    </row>
    <row r="196" spans="1:21" ht="12.95" customHeight="1">
      <c r="A196" s="316" t="s">
        <v>793</v>
      </c>
      <c r="B196" s="317" t="s">
        <v>87</v>
      </c>
      <c r="C196" s="318">
        <v>57735.312899999786</v>
      </c>
      <c r="D196" s="318">
        <v>2.0000000000000001E-4</v>
      </c>
      <c r="E196" s="227">
        <f t="shared" si="50"/>
        <v>39936.991328875338</v>
      </c>
      <c r="F196" s="227">
        <f t="shared" si="51"/>
        <v>39937</v>
      </c>
      <c r="G196" s="227">
        <f t="shared" si="44"/>
        <v>-2.860634216631297E-3</v>
      </c>
      <c r="H196" s="227"/>
      <c r="I196" s="227"/>
      <c r="J196" s="227"/>
      <c r="K196" s="227">
        <f t="shared" si="53"/>
        <v>-2.860634216631297E-3</v>
      </c>
      <c r="M196" s="227"/>
      <c r="N196" s="227"/>
      <c r="O196" s="227">
        <f t="shared" ca="1" si="47"/>
        <v>-1.4220371635785267E-3</v>
      </c>
      <c r="P196" s="292">
        <f t="shared" si="48"/>
        <v>-3.0425012428028919E-3</v>
      </c>
      <c r="Q196" s="293">
        <f t="shared" si="52"/>
        <v>42716.812899999786</v>
      </c>
      <c r="R196" s="227">
        <f t="shared" si="45"/>
        <v>3.307561520849958E-8</v>
      </c>
      <c r="S196" s="227">
        <v>1</v>
      </c>
      <c r="T196" s="227">
        <f t="shared" si="49"/>
        <v>3.307561520849958E-8</v>
      </c>
    </row>
    <row r="197" spans="1:21" ht="12.95" customHeight="1">
      <c r="A197" s="316" t="s">
        <v>793</v>
      </c>
      <c r="B197" s="317" t="s">
        <v>87</v>
      </c>
      <c r="C197" s="318">
        <v>57735.313329999801</v>
      </c>
      <c r="D197" s="318">
        <v>1E-4</v>
      </c>
      <c r="E197" s="227">
        <f t="shared" si="50"/>
        <v>39936.992632286907</v>
      </c>
      <c r="F197" s="227">
        <f t="shared" si="51"/>
        <v>39937</v>
      </c>
      <c r="G197" s="227">
        <f t="shared" si="44"/>
        <v>-2.4306342020281591E-3</v>
      </c>
      <c r="H197" s="227"/>
      <c r="I197" s="227"/>
      <c r="J197" s="227"/>
      <c r="K197" s="227">
        <f t="shared" si="53"/>
        <v>-2.4306342020281591E-3</v>
      </c>
      <c r="M197" s="227"/>
      <c r="N197" s="227"/>
      <c r="O197" s="227">
        <f t="shared" ca="1" si="47"/>
        <v>-1.4220371635785267E-3</v>
      </c>
      <c r="P197" s="292">
        <f t="shared" si="48"/>
        <v>-3.0425012428028919E-3</v>
      </c>
      <c r="Q197" s="293">
        <f t="shared" si="52"/>
        <v>42716.813329999801</v>
      </c>
      <c r="R197" s="227">
        <f t="shared" si="45"/>
        <v>3.7438127558642861E-7</v>
      </c>
      <c r="S197" s="227">
        <v>1</v>
      </c>
      <c r="T197" s="227">
        <f t="shared" si="49"/>
        <v>3.7438127558642861E-7</v>
      </c>
    </row>
    <row r="198" spans="1:21" ht="12.95" customHeight="1">
      <c r="A198" s="316" t="s">
        <v>793</v>
      </c>
      <c r="B198" s="317" t="s">
        <v>87</v>
      </c>
      <c r="C198" s="318">
        <v>57735.313509999774</v>
      </c>
      <c r="D198" s="318">
        <v>1E-4</v>
      </c>
      <c r="E198" s="227">
        <f t="shared" si="50"/>
        <v>39936.993177900949</v>
      </c>
      <c r="F198" s="227">
        <f t="shared" si="51"/>
        <v>39937</v>
      </c>
      <c r="G198" s="227">
        <f t="shared" ref="G198:G214" si="54">+C198-(C$7+F198*C$8)</f>
        <v>-2.2506342284032144E-3</v>
      </c>
      <c r="H198" s="227"/>
      <c r="I198" s="227"/>
      <c r="J198" s="227"/>
      <c r="K198" s="227">
        <f t="shared" si="53"/>
        <v>-2.2506342284032144E-3</v>
      </c>
      <c r="M198" s="227"/>
      <c r="N198" s="227"/>
      <c r="O198" s="227">
        <f t="shared" ca="1" si="47"/>
        <v>-1.4220371635785267E-3</v>
      </c>
      <c r="P198" s="292">
        <f t="shared" si="48"/>
        <v>-3.0425012428028919E-3</v>
      </c>
      <c r="Q198" s="293">
        <f t="shared" si="52"/>
        <v>42716.813509999774</v>
      </c>
      <c r="R198" s="227">
        <f t="shared" ref="R198:R214" si="55">+(P198-G198)^2</f>
        <v>6.2705336849425911E-7</v>
      </c>
      <c r="S198" s="227">
        <v>1</v>
      </c>
      <c r="T198" s="227">
        <f t="shared" si="49"/>
        <v>6.2705336849425911E-7</v>
      </c>
    </row>
    <row r="199" spans="1:21" ht="12.95" customHeight="1">
      <c r="A199" s="316" t="s">
        <v>793</v>
      </c>
      <c r="B199" s="317" t="s">
        <v>87</v>
      </c>
      <c r="C199" s="318">
        <v>57735.313589999918</v>
      </c>
      <c r="D199" s="318">
        <v>1E-4</v>
      </c>
      <c r="E199" s="227">
        <f t="shared" si="50"/>
        <v>39936.993420396553</v>
      </c>
      <c r="F199" s="227">
        <f t="shared" si="51"/>
        <v>39937</v>
      </c>
      <c r="G199" s="227">
        <f t="shared" si="54"/>
        <v>-2.1706340849050321E-3</v>
      </c>
      <c r="H199" s="227"/>
      <c r="I199" s="227"/>
      <c r="J199" s="227"/>
      <c r="K199" s="227">
        <f t="shared" si="53"/>
        <v>-2.1706340849050321E-3</v>
      </c>
      <c r="M199" s="227"/>
      <c r="N199" s="227"/>
      <c r="O199" s="227">
        <f t="shared" ca="1" si="47"/>
        <v>-1.4220371635785267E-3</v>
      </c>
      <c r="P199" s="292">
        <f t="shared" si="48"/>
        <v>-3.0425012428028919E-3</v>
      </c>
      <c r="Q199" s="293">
        <f t="shared" si="52"/>
        <v>42716.813589999918</v>
      </c>
      <c r="R199" s="227">
        <f t="shared" si="55"/>
        <v>7.6015234102089171E-7</v>
      </c>
      <c r="S199" s="227">
        <v>1</v>
      </c>
      <c r="T199" s="227">
        <f t="shared" si="49"/>
        <v>7.6015234102089171E-7</v>
      </c>
    </row>
    <row r="200" spans="1:21" ht="12.95" customHeight="1">
      <c r="A200" s="304" t="s">
        <v>754</v>
      </c>
      <c r="C200" s="290">
        <v>58002.86</v>
      </c>
      <c r="D200" s="290">
        <v>4.0000000000000002E-4</v>
      </c>
      <c r="E200" s="227">
        <f t="shared" si="50"/>
        <v>40747.977312952389</v>
      </c>
      <c r="F200" s="227">
        <f t="shared" si="51"/>
        <v>40748</v>
      </c>
      <c r="G200" s="227">
        <f t="shared" si="54"/>
        <v>-7.4845360068138689E-3</v>
      </c>
      <c r="H200" s="227"/>
      <c r="I200" s="227"/>
      <c r="J200" s="227"/>
      <c r="K200" s="227">
        <f t="shared" si="53"/>
        <v>-7.4845360068138689E-3</v>
      </c>
      <c r="M200" s="227"/>
      <c r="N200" s="227"/>
      <c r="O200" s="227">
        <f t="shared" ca="1" si="47"/>
        <v>-4.7972141317554617E-3</v>
      </c>
      <c r="P200" s="292">
        <f t="shared" si="48"/>
        <v>-6.2801725942594477E-3</v>
      </c>
      <c r="Q200" s="293">
        <f t="shared" si="52"/>
        <v>42984.36</v>
      </c>
      <c r="R200" s="227">
        <f t="shared" si="55"/>
        <v>1.4504912294997308E-6</v>
      </c>
      <c r="S200" s="227">
        <v>1</v>
      </c>
      <c r="T200" s="227">
        <f t="shared" si="49"/>
        <v>1.4504912294997308E-6</v>
      </c>
      <c r="U200" s="227"/>
    </row>
    <row r="201" spans="1:21" ht="12.95" customHeight="1">
      <c r="A201" s="331" t="s">
        <v>792</v>
      </c>
      <c r="B201" s="332" t="s">
        <v>87</v>
      </c>
      <c r="C201" s="333">
        <v>58066.5311</v>
      </c>
      <c r="D201" s="333">
        <v>6.9999999999999994E-5</v>
      </c>
      <c r="E201" s="227">
        <f t="shared" si="50"/>
        <v>40940.976488390006</v>
      </c>
      <c r="F201" s="227">
        <f t="shared" si="51"/>
        <v>40941</v>
      </c>
      <c r="G201" s="227">
        <f t="shared" si="54"/>
        <v>-7.7565620085806586E-3</v>
      </c>
      <c r="H201" s="227"/>
      <c r="I201" s="227"/>
      <c r="J201" s="227"/>
      <c r="K201" s="227">
        <f t="shared" si="53"/>
        <v>-7.7565620085806586E-3</v>
      </c>
      <c r="M201" s="227"/>
      <c r="N201" s="227"/>
      <c r="O201" s="227">
        <f t="shared" ca="1" si="47"/>
        <v>-5.6004313387322258E-3</v>
      </c>
      <c r="P201" s="292">
        <f t="shared" si="48"/>
        <v>-7.0738718839067349E-3</v>
      </c>
      <c r="Q201" s="293">
        <f t="shared" si="52"/>
        <v>43048.0311</v>
      </c>
      <c r="R201" s="227">
        <f t="shared" si="55"/>
        <v>4.6606580632729742E-7</v>
      </c>
      <c r="S201" s="227">
        <v>1</v>
      </c>
      <c r="T201" s="227">
        <f t="shared" si="49"/>
        <v>4.6606580632729742E-7</v>
      </c>
    </row>
    <row r="202" spans="1:21" ht="12.95" customHeight="1">
      <c r="A202" s="331" t="s">
        <v>792</v>
      </c>
      <c r="B202" s="332" t="s">
        <v>86</v>
      </c>
      <c r="C202" s="333">
        <v>58168.304080000002</v>
      </c>
      <c r="D202" s="333">
        <v>1E-4</v>
      </c>
      <c r="E202" s="227">
        <f t="shared" si="50"/>
        <v>41249.469685803429</v>
      </c>
      <c r="F202" s="227">
        <f t="shared" si="51"/>
        <v>41249.5</v>
      </c>
      <c r="G202" s="227">
        <f t="shared" si="54"/>
        <v>-1.0000759000831749E-2</v>
      </c>
      <c r="H202" s="227"/>
      <c r="I202" s="227"/>
      <c r="J202" s="227"/>
      <c r="K202" s="227">
        <f t="shared" si="53"/>
        <v>-1.0000759000831749E-2</v>
      </c>
      <c r="M202" s="227"/>
      <c r="N202" s="227"/>
      <c r="O202" s="227">
        <f t="shared" ca="1" si="47"/>
        <v>-6.8843303457390981E-3</v>
      </c>
      <c r="P202" s="292">
        <f t="shared" si="48"/>
        <v>-8.3610848042775798E-3</v>
      </c>
      <c r="Q202" s="293">
        <f t="shared" si="52"/>
        <v>43149.804080000002</v>
      </c>
      <c r="R202" s="227">
        <f t="shared" si="55"/>
        <v>2.688531470845561E-6</v>
      </c>
      <c r="S202" s="227">
        <v>1</v>
      </c>
      <c r="T202" s="227">
        <f t="shared" si="49"/>
        <v>2.688531470845561E-6</v>
      </c>
    </row>
    <row r="203" spans="1:21" ht="12.95" customHeight="1">
      <c r="A203" s="238" t="s">
        <v>791</v>
      </c>
      <c r="C203" s="290">
        <v>58767.894999999997</v>
      </c>
      <c r="D203" s="290">
        <v>1E-4</v>
      </c>
      <c r="E203" s="227">
        <f t="shared" si="50"/>
        <v>43066.94344014227</v>
      </c>
      <c r="F203" s="227">
        <f t="shared" si="51"/>
        <v>43067</v>
      </c>
      <c r="G203" s="227">
        <f t="shared" si="54"/>
        <v>-1.8659294008102734E-2</v>
      </c>
      <c r="H203" s="227"/>
      <c r="I203" s="227"/>
      <c r="J203" s="227"/>
      <c r="K203" s="227">
        <f t="shared" si="53"/>
        <v>-1.8659294008102734E-2</v>
      </c>
      <c r="M203" s="227"/>
      <c r="N203" s="227"/>
      <c r="O203" s="227">
        <f t="shared" ca="1" si="47"/>
        <v>-1.444830585703577E-2</v>
      </c>
      <c r="P203" s="292">
        <f t="shared" si="48"/>
        <v>-1.6407321878489062E-2</v>
      </c>
      <c r="Q203" s="293">
        <f t="shared" si="52"/>
        <v>43749.394999999997</v>
      </c>
      <c r="R203" s="227">
        <f t="shared" si="55"/>
        <v>5.0713784725567362E-6</v>
      </c>
      <c r="S203" s="227">
        <v>1</v>
      </c>
      <c r="T203" s="227">
        <f t="shared" si="49"/>
        <v>5.0713784725567362E-6</v>
      </c>
    </row>
    <row r="204" spans="1:21" ht="12.95" customHeight="1">
      <c r="A204" s="316" t="s">
        <v>794</v>
      </c>
      <c r="B204" s="317" t="s">
        <v>87</v>
      </c>
      <c r="C204" s="318">
        <v>58853.998500000002</v>
      </c>
      <c r="D204" s="318" t="s">
        <v>214</v>
      </c>
      <c r="E204" s="227">
        <f t="shared" si="50"/>
        <v>43327.939472915285</v>
      </c>
      <c r="F204" s="227">
        <f t="shared" si="51"/>
        <v>43328</v>
      </c>
      <c r="G204" s="227">
        <f t="shared" si="54"/>
        <v>-1.9968096006778069E-2</v>
      </c>
      <c r="H204" s="227"/>
      <c r="I204" s="227"/>
      <c r="J204" s="227"/>
      <c r="K204" s="227">
        <f t="shared" si="53"/>
        <v>-1.9968096006778069E-2</v>
      </c>
      <c r="M204" s="227"/>
      <c r="N204" s="227"/>
      <c r="O204" s="227">
        <f t="shared" ca="1" si="47"/>
        <v>-1.5534521872688251E-2</v>
      </c>
      <c r="P204" s="292">
        <f t="shared" si="48"/>
        <v>-1.7627758786917913E-2</v>
      </c>
      <c r="Q204" s="293">
        <f t="shared" si="52"/>
        <v>43835.498500000002</v>
      </c>
      <c r="R204" s="227">
        <f t="shared" si="55"/>
        <v>5.4771783026627627E-6</v>
      </c>
      <c r="S204" s="227">
        <v>1</v>
      </c>
      <c r="T204" s="227">
        <f t="shared" si="49"/>
        <v>5.4771783026627627E-6</v>
      </c>
    </row>
    <row r="205" spans="1:21" ht="12.95" customHeight="1">
      <c r="A205" s="319" t="s">
        <v>796</v>
      </c>
      <c r="B205" s="320" t="s">
        <v>86</v>
      </c>
      <c r="C205" s="321">
        <v>59213.4234</v>
      </c>
      <c r="D205" s="321">
        <v>1E-4</v>
      </c>
      <c r="E205" s="227">
        <f t="shared" si="50"/>
        <v>44417.42448780821</v>
      </c>
      <c r="F205" s="227">
        <f t="shared" si="51"/>
        <v>44417.5</v>
      </c>
      <c r="G205" s="227">
        <f t="shared" si="54"/>
        <v>-2.4911735003115609E-2</v>
      </c>
      <c r="H205" s="227"/>
      <c r="I205" s="227"/>
      <c r="J205" s="227"/>
      <c r="K205" s="227">
        <f t="shared" si="53"/>
        <v>-2.4911735003115609E-2</v>
      </c>
      <c r="M205" s="227"/>
      <c r="N205" s="227"/>
      <c r="O205" s="227">
        <f t="shared" ca="1" si="47"/>
        <v>-2.006874543227985E-2</v>
      </c>
      <c r="P205" s="292">
        <f t="shared" si="48"/>
        <v>-2.2898469994808601E-2</v>
      </c>
      <c r="Q205" s="293">
        <f t="shared" si="52"/>
        <v>44194.9234</v>
      </c>
      <c r="R205" s="227">
        <f t="shared" si="55"/>
        <v>4.0532359936734175E-6</v>
      </c>
      <c r="S205" s="227">
        <v>1</v>
      </c>
      <c r="T205" s="227">
        <f t="shared" si="49"/>
        <v>4.0532359936734175E-6</v>
      </c>
    </row>
    <row r="206" spans="1:21" ht="12.95" customHeight="1">
      <c r="A206" s="319" t="s">
        <v>796</v>
      </c>
      <c r="B206" s="320" t="s">
        <v>87</v>
      </c>
      <c r="C206" s="321">
        <v>59213.587</v>
      </c>
      <c r="D206" s="321">
        <v>1E-4</v>
      </c>
      <c r="E206" s="227">
        <f t="shared" si="50"/>
        <v>44417.920390424966</v>
      </c>
      <c r="F206" s="227">
        <f t="shared" si="51"/>
        <v>44418</v>
      </c>
      <c r="G206" s="227">
        <f t="shared" si="54"/>
        <v>-2.6263476007443387E-2</v>
      </c>
      <c r="H206" s="227"/>
      <c r="I206" s="227"/>
      <c r="J206" s="227"/>
      <c r="K206" s="227">
        <f t="shared" si="53"/>
        <v>-2.6263476007443387E-2</v>
      </c>
      <c r="M206" s="227"/>
      <c r="N206" s="227"/>
      <c r="O206" s="227">
        <f t="shared" ca="1" si="47"/>
        <v>-2.0070826305873063E-2</v>
      </c>
      <c r="P206" s="292">
        <f t="shared" si="48"/>
        <v>-2.2900954128857676E-2</v>
      </c>
      <c r="Q206" s="293">
        <f t="shared" si="52"/>
        <v>44195.087</v>
      </c>
      <c r="R206" s="227">
        <f t="shared" si="55"/>
        <v>1.1306553383967581E-5</v>
      </c>
      <c r="S206" s="227">
        <v>1</v>
      </c>
      <c r="T206" s="227">
        <f t="shared" si="49"/>
        <v>1.1306553383967581E-5</v>
      </c>
    </row>
    <row r="207" spans="1:21" ht="12.95" customHeight="1">
      <c r="A207" s="222" t="s">
        <v>797</v>
      </c>
      <c r="B207" s="223" t="s">
        <v>87</v>
      </c>
      <c r="C207" s="323">
        <v>59239.978999999817</v>
      </c>
      <c r="D207" s="224"/>
      <c r="E207" s="227">
        <f t="shared" si="50"/>
        <v>44497.919546056241</v>
      </c>
      <c r="F207" s="227">
        <f t="shared" si="51"/>
        <v>44498</v>
      </c>
      <c r="G207" s="227">
        <f t="shared" si="54"/>
        <v>-2.6542036182945594E-2</v>
      </c>
      <c r="H207" s="227"/>
      <c r="I207" s="227"/>
      <c r="J207" s="227"/>
      <c r="K207" s="227">
        <f t="shared" si="53"/>
        <v>-2.6542036182945594E-2</v>
      </c>
      <c r="M207" s="227"/>
      <c r="N207" s="227"/>
      <c r="O207" s="227">
        <f t="shared" ca="1" si="47"/>
        <v>-2.0403766080785701E-2</v>
      </c>
      <c r="P207" s="292">
        <f t="shared" si="48"/>
        <v>-2.3299186805611355E-2</v>
      </c>
      <c r="Q207" s="293">
        <f t="shared" si="52"/>
        <v>44221.478999999817</v>
      </c>
      <c r="R207" s="227">
        <f t="shared" si="55"/>
        <v>1.0516072084077064E-5</v>
      </c>
      <c r="S207" s="227">
        <v>1</v>
      </c>
      <c r="T207" s="227">
        <f t="shared" si="49"/>
        <v>1.0516072084077064E-5</v>
      </c>
    </row>
    <row r="208" spans="1:21" ht="12.95" customHeight="1">
      <c r="A208" s="222" t="s">
        <v>797</v>
      </c>
      <c r="B208" s="223" t="s">
        <v>87</v>
      </c>
      <c r="C208" s="323">
        <v>59240.145000000019</v>
      </c>
      <c r="D208" s="224"/>
      <c r="E208" s="227">
        <f t="shared" si="50"/>
        <v>44498.422723528616</v>
      </c>
      <c r="F208" s="227">
        <f t="shared" si="51"/>
        <v>44498.5</v>
      </c>
      <c r="G208" s="227">
        <f t="shared" si="54"/>
        <v>-2.5493776985967997E-2</v>
      </c>
      <c r="H208" s="227"/>
      <c r="I208" s="227"/>
      <c r="J208" s="227"/>
      <c r="K208" s="227">
        <f t="shared" si="53"/>
        <v>-2.5493776985967997E-2</v>
      </c>
      <c r="M208" s="227"/>
      <c r="N208" s="227"/>
      <c r="O208" s="227">
        <f t="shared" ref="O208:O214" ca="1" si="56">+C$11+C$12*F208</f>
        <v>-2.0405846954378914E-2</v>
      </c>
      <c r="P208" s="292">
        <f t="shared" si="48"/>
        <v>-2.3301680580021716E-2</v>
      </c>
      <c r="Q208" s="293">
        <f t="shared" si="52"/>
        <v>44221.645000000019</v>
      </c>
      <c r="R208" s="227">
        <f t="shared" si="55"/>
        <v>4.8052866529626028E-6</v>
      </c>
      <c r="S208" s="227">
        <v>1</v>
      </c>
      <c r="T208" s="227">
        <f t="shared" si="49"/>
        <v>4.8052866529626028E-6</v>
      </c>
    </row>
    <row r="209" spans="1:20" ht="12.95" customHeight="1">
      <c r="A209" s="222" t="s">
        <v>798</v>
      </c>
      <c r="B209" s="223" t="s">
        <v>86</v>
      </c>
      <c r="C209" s="323">
        <v>59480.472699999998</v>
      </c>
      <c r="D209" s="224">
        <v>1E-4</v>
      </c>
      <c r="E209" s="227">
        <f t="shared" si="50"/>
        <v>45226.901545707216</v>
      </c>
      <c r="F209" s="227">
        <f t="shared" si="51"/>
        <v>45227</v>
      </c>
      <c r="G209" s="227">
        <f t="shared" si="54"/>
        <v>-3.2480414003657643E-2</v>
      </c>
      <c r="H209" s="227"/>
      <c r="I209" s="227"/>
      <c r="J209" s="227"/>
      <c r="K209" s="227">
        <f t="shared" si="53"/>
        <v>-3.2480414003657643E-2</v>
      </c>
      <c r="M209" s="227"/>
      <c r="N209" s="227"/>
      <c r="O209" s="227">
        <f t="shared" ca="1" si="56"/>
        <v>-2.3437679779677173E-2</v>
      </c>
      <c r="P209" s="292">
        <f t="shared" si="48"/>
        <v>-2.6998709514906127E-2</v>
      </c>
      <c r="Q209" s="293">
        <f t="shared" si="52"/>
        <v>44461.972699999998</v>
      </c>
      <c r="R209" s="227">
        <f t="shared" si="55"/>
        <v>3.0049084101998511E-5</v>
      </c>
      <c r="S209" s="227">
        <v>1</v>
      </c>
      <c r="T209" s="227">
        <f t="shared" si="49"/>
        <v>3.0049084101998511E-5</v>
      </c>
    </row>
    <row r="210" spans="1:20" ht="12.95" customHeight="1">
      <c r="A210" s="225" t="s">
        <v>801</v>
      </c>
      <c r="B210" s="327" t="s">
        <v>87</v>
      </c>
      <c r="C210" s="325">
        <v>59505.8194</v>
      </c>
      <c r="D210" s="343">
        <v>4.0000000000000002E-4</v>
      </c>
      <c r="E210" s="227">
        <f t="shared" si="50"/>
        <v>45303.732198861711</v>
      </c>
      <c r="F210" s="227">
        <f t="shared" si="51"/>
        <v>45303.5</v>
      </c>
      <c r="G210" s="227">
        <f t="shared" si="54"/>
        <v>7.6603212997724768E-2</v>
      </c>
      <c r="H210" s="227"/>
      <c r="I210" s="227"/>
      <c r="J210" s="227"/>
      <c r="K210" s="227">
        <f t="shared" si="53"/>
        <v>7.6603212997724768E-2</v>
      </c>
      <c r="M210" s="227"/>
      <c r="N210" s="227"/>
      <c r="O210" s="227">
        <f t="shared" ca="1" si="56"/>
        <v>-2.3756053439437402E-2</v>
      </c>
      <c r="P210" s="292">
        <f t="shared" si="48"/>
        <v>-2.739431049083374E-2</v>
      </c>
      <c r="Q210" s="293">
        <f t="shared" si="52"/>
        <v>44487.3194</v>
      </c>
      <c r="R210" s="227">
        <f t="shared" si="55"/>
        <v>1.0815484891753279E-2</v>
      </c>
      <c r="S210" s="227">
        <v>1</v>
      </c>
      <c r="T210" s="227">
        <f t="shared" ref="T210:T214" si="57">R210*S210</f>
        <v>1.0815484891753279E-2</v>
      </c>
    </row>
    <row r="211" spans="1:20" ht="12.95" customHeight="1">
      <c r="A211" s="238" t="s">
        <v>795</v>
      </c>
      <c r="C211" s="290">
        <v>59515.775500000003</v>
      </c>
      <c r="D211" s="290">
        <v>2.9999999999999997E-4</v>
      </c>
      <c r="E211" s="227">
        <f t="shared" si="50"/>
        <v>45333.911025528367</v>
      </c>
      <c r="F211" s="227">
        <f t="shared" si="51"/>
        <v>45334</v>
      </c>
      <c r="G211" s="227">
        <f t="shared" si="54"/>
        <v>-2.9352988000027835E-2</v>
      </c>
      <c r="H211" s="227"/>
      <c r="I211" s="227"/>
      <c r="J211" s="227"/>
      <c r="K211" s="227">
        <f t="shared" si="53"/>
        <v>-2.9352988000027835E-2</v>
      </c>
      <c r="M211" s="227"/>
      <c r="N211" s="227"/>
      <c r="O211" s="227">
        <f t="shared" ca="1" si="56"/>
        <v>-2.3882986728622851E-2</v>
      </c>
      <c r="P211" s="292">
        <f t="shared" si="48"/>
        <v>-2.7552424579585177E-2</v>
      </c>
      <c r="Q211" s="293">
        <f t="shared" si="52"/>
        <v>44497.275500000003</v>
      </c>
      <c r="R211" s="227">
        <f t="shared" si="55"/>
        <v>3.2420286310361639E-6</v>
      </c>
      <c r="S211" s="227">
        <v>1</v>
      </c>
      <c r="T211" s="227">
        <f t="shared" si="57"/>
        <v>3.2420286310361639E-6</v>
      </c>
    </row>
    <row r="212" spans="1:20" ht="12.95" customHeight="1">
      <c r="A212" s="224" t="s">
        <v>799</v>
      </c>
      <c r="B212" s="223" t="s">
        <v>86</v>
      </c>
      <c r="C212" s="323">
        <v>59542.665399999998</v>
      </c>
      <c r="D212" s="224">
        <v>5.9999999999999995E-4</v>
      </c>
      <c r="E212" s="227">
        <f t="shared" si="50"/>
        <v>45415.419410456518</v>
      </c>
      <c r="F212" s="227">
        <f t="shared" si="51"/>
        <v>45415.5</v>
      </c>
      <c r="G212" s="227">
        <f t="shared" si="54"/>
        <v>-2.6586771004076581E-2</v>
      </c>
      <c r="H212" s="227"/>
      <c r="I212" s="227"/>
      <c r="J212" s="227"/>
      <c r="K212" s="227">
        <f t="shared" si="53"/>
        <v>-2.6586771004076581E-2</v>
      </c>
      <c r="M212" s="227"/>
      <c r="N212" s="227"/>
      <c r="O212" s="227">
        <f t="shared" ca="1" si="56"/>
        <v>-2.4222169124315102E-2</v>
      </c>
      <c r="P212" s="292">
        <f t="shared" si="48"/>
        <v>-2.7976019294143367E-2</v>
      </c>
      <c r="Q212" s="293">
        <f t="shared" si="52"/>
        <v>44524.165399999998</v>
      </c>
      <c r="R212" s="227">
        <f t="shared" si="55"/>
        <v>1.930010811453488E-6</v>
      </c>
      <c r="S212" s="227">
        <v>1</v>
      </c>
      <c r="T212" s="227">
        <f t="shared" si="57"/>
        <v>1.930010811453488E-6</v>
      </c>
    </row>
    <row r="213" spans="1:20" ht="12.95" customHeight="1">
      <c r="A213" s="224" t="s">
        <v>799</v>
      </c>
      <c r="B213" s="223" t="s">
        <v>86</v>
      </c>
      <c r="C213" s="323">
        <v>59609.303099999997</v>
      </c>
      <c r="D213" s="224">
        <v>2.0000000000000001E-4</v>
      </c>
      <c r="E213" s="227">
        <f t="shared" si="50"/>
        <v>45617.410912928746</v>
      </c>
      <c r="F213" s="227">
        <f t="shared" ref="F213:F216" si="58">ROUND(2*E213,0)/2</f>
        <v>45617.5</v>
      </c>
      <c r="G213" s="227">
        <f t="shared" si="54"/>
        <v>-2.9390135008725338E-2</v>
      </c>
      <c r="H213" s="227"/>
      <c r="I213" s="227"/>
      <c r="J213" s="227"/>
      <c r="K213" s="227">
        <f t="shared" si="53"/>
        <v>-2.9390135008725338E-2</v>
      </c>
      <c r="M213" s="227"/>
      <c r="N213" s="227"/>
      <c r="O213" s="227">
        <f t="shared" ca="1" si="56"/>
        <v>-2.5062842055969536E-2</v>
      </c>
      <c r="P213" s="292">
        <f t="shared" si="48"/>
        <v>-2.9032768557696875E-2</v>
      </c>
      <c r="Q213" s="293">
        <f t="shared" si="52"/>
        <v>44590.803099999997</v>
      </c>
      <c r="R213" s="227">
        <f t="shared" si="55"/>
        <v>1.2771078032067844E-7</v>
      </c>
      <c r="S213" s="227">
        <v>1</v>
      </c>
      <c r="T213" s="227">
        <f t="shared" si="57"/>
        <v>1.2771078032067844E-7</v>
      </c>
    </row>
    <row r="214" spans="1:20" ht="12.95" customHeight="1">
      <c r="A214" s="322" t="s">
        <v>800</v>
      </c>
      <c r="B214" s="326" t="s">
        <v>87</v>
      </c>
      <c r="C214" s="324">
        <v>59794.538600000087</v>
      </c>
      <c r="D214" s="224">
        <v>1E-4</v>
      </c>
      <c r="E214" s="227">
        <f t="shared" si="50"/>
        <v>46178.894832034792</v>
      </c>
      <c r="F214" s="227">
        <f t="shared" si="58"/>
        <v>46179</v>
      </c>
      <c r="G214" s="227">
        <f t="shared" si="54"/>
        <v>-3.469527792185545E-2</v>
      </c>
      <c r="H214" s="227"/>
      <c r="I214" s="227"/>
      <c r="J214" s="227"/>
      <c r="K214" s="227">
        <f t="shared" si="53"/>
        <v>-3.469527792185545E-2</v>
      </c>
      <c r="M214" s="227"/>
      <c r="N214" s="227"/>
      <c r="O214" s="227">
        <f t="shared" ca="1" si="56"/>
        <v>-2.7399663101137645E-2</v>
      </c>
      <c r="P214" s="292">
        <f t="shared" si="48"/>
        <v>-3.2021557667864853E-2</v>
      </c>
      <c r="Q214" s="293">
        <f t="shared" si="52"/>
        <v>44776.038600000087</v>
      </c>
      <c r="R214" s="227">
        <f t="shared" si="55"/>
        <v>7.1487799965995417E-6</v>
      </c>
      <c r="S214" s="227">
        <v>1</v>
      </c>
      <c r="T214" s="227">
        <f t="shared" si="57"/>
        <v>7.1487799965995417E-6</v>
      </c>
    </row>
    <row r="215" spans="1:20" ht="12.95" customHeight="1">
      <c r="A215" s="334" t="s">
        <v>802</v>
      </c>
      <c r="B215" s="335" t="s">
        <v>86</v>
      </c>
      <c r="C215" s="224">
        <v>59991.3246</v>
      </c>
      <c r="D215" s="224">
        <v>1E-4</v>
      </c>
      <c r="E215" s="227">
        <f t="shared" ref="E215:E216" si="59">+(C215-C$7)/C$8</f>
        <v>46775.39050648758</v>
      </c>
      <c r="F215" s="227">
        <f t="shared" si="58"/>
        <v>46775.5</v>
      </c>
      <c r="G215" s="227">
        <f t="shared" ref="G215:G216" si="60">+C215-(C$7+F215*C$8)</f>
        <v>-3.6122291006904561E-2</v>
      </c>
      <c r="H215" s="227"/>
      <c r="I215" s="227"/>
      <c r="J215" s="227"/>
      <c r="K215" s="227">
        <f t="shared" ref="K215:K216" si="61">G215</f>
        <v>-3.6122291006904561E-2</v>
      </c>
      <c r="M215" s="227"/>
      <c r="N215" s="227"/>
      <c r="O215" s="227">
        <f t="shared" ref="O215:O216" ca="1" si="62">+C$11+C$12*F215</f>
        <v>-2.9882145297830065E-2</v>
      </c>
      <c r="P215" s="292">
        <f t="shared" ref="P215:P216" si="63">+D$11+D$12*F215+D$13*F215^2</f>
        <v>-3.5279368204668593E-2</v>
      </c>
      <c r="Q215" s="293">
        <f t="shared" ref="Q215:Q216" si="64">+C215-15018.5</f>
        <v>44972.8246</v>
      </c>
      <c r="R215" s="227">
        <f t="shared" ref="R215:R216" si="65">+(P215-G215)^2</f>
        <v>7.1051885052933693E-7</v>
      </c>
      <c r="S215" s="227">
        <v>1</v>
      </c>
      <c r="T215" s="227">
        <f t="shared" ref="T215:T216" si="66">R215*S215</f>
        <v>7.1051885052933693E-7</v>
      </c>
    </row>
    <row r="216" spans="1:20" ht="12.95" customHeight="1">
      <c r="A216" s="334" t="s">
        <v>802</v>
      </c>
      <c r="B216" s="335" t="s">
        <v>87</v>
      </c>
      <c r="C216" s="224">
        <v>59991.4879</v>
      </c>
      <c r="D216" s="224">
        <v>1E-4</v>
      </c>
      <c r="E216" s="227">
        <f t="shared" si="59"/>
        <v>46775.885499747455</v>
      </c>
      <c r="F216" s="227">
        <f t="shared" si="58"/>
        <v>46776</v>
      </c>
      <c r="G216" s="227">
        <f t="shared" si="60"/>
        <v>-3.7774032003653701E-2</v>
      </c>
      <c r="H216" s="227"/>
      <c r="I216" s="227"/>
      <c r="J216" s="227"/>
      <c r="K216" s="227">
        <f t="shared" si="61"/>
        <v>-3.7774032003653701E-2</v>
      </c>
      <c r="M216" s="227"/>
      <c r="N216" s="227"/>
      <c r="O216" s="227">
        <f t="shared" ca="1" si="62"/>
        <v>-2.9884226171423278E-2</v>
      </c>
      <c r="P216" s="292">
        <f t="shared" si="63"/>
        <v>-3.5282134723461867E-2</v>
      </c>
      <c r="Q216" s="293">
        <f t="shared" si="64"/>
        <v>44972.9879</v>
      </c>
      <c r="R216" s="227">
        <f t="shared" si="65"/>
        <v>6.2095520550274643E-6</v>
      </c>
      <c r="S216" s="227">
        <v>1</v>
      </c>
      <c r="T216" s="227">
        <f t="shared" si="66"/>
        <v>6.2095520550274643E-6</v>
      </c>
    </row>
    <row r="217" spans="1:20" ht="12.95" customHeight="1">
      <c r="A217" s="360" t="s">
        <v>807</v>
      </c>
      <c r="B217" s="361" t="s">
        <v>87</v>
      </c>
      <c r="C217" s="324">
        <v>60179.528400000185</v>
      </c>
      <c r="D217" s="360">
        <v>1E-4</v>
      </c>
      <c r="E217" s="227">
        <f t="shared" ref="E217:E218" si="67">+(C217-C$7)/C$8</f>
        <v>47345.87190565082</v>
      </c>
      <c r="F217" s="227">
        <f t="shared" ref="F217:F218" si="68">ROUND(2*E217,0)/2</f>
        <v>47346</v>
      </c>
      <c r="G217" s="227">
        <f t="shared" ref="G217:G218" si="69">+C217-(C$7+F217*C$8)</f>
        <v>-4.22587718203431E-2</v>
      </c>
      <c r="H217" s="227"/>
      <c r="I217" s="227"/>
      <c r="J217" s="227"/>
      <c r="K217" s="227">
        <f t="shared" ref="K217:K218" si="70">G217</f>
        <v>-4.22587718203431E-2</v>
      </c>
      <c r="M217" s="227"/>
      <c r="N217" s="227"/>
      <c r="O217" s="227">
        <f t="shared" ref="O217:O218" ca="1" si="71">+C$11+C$12*F217</f>
        <v>-3.2256422067675872E-2</v>
      </c>
      <c r="P217" s="292">
        <f t="shared" ref="P217:P218" si="72">+D$11+D$12*F217+D$13*F217^2</f>
        <v>-3.8474909015915437E-2</v>
      </c>
      <c r="Q217" s="293">
        <f t="shared" ref="Q217:Q218" si="73">+C217-15018.5</f>
        <v>45161.028400000185</v>
      </c>
      <c r="R217" s="227">
        <f t="shared" ref="R217:R218" si="74">+(P217-G217)^2</f>
        <v>1.4317617722731174E-5</v>
      </c>
      <c r="S217" s="227">
        <v>1</v>
      </c>
      <c r="T217" s="227">
        <f t="shared" ref="T217:T218" si="75">R217*S217</f>
        <v>1.4317617722731174E-5</v>
      </c>
    </row>
    <row r="218" spans="1:20" ht="12.95" customHeight="1">
      <c r="A218" s="222" t="s">
        <v>808</v>
      </c>
      <c r="B218" s="335" t="s">
        <v>87</v>
      </c>
      <c r="C218" s="324">
        <v>60345.4689</v>
      </c>
      <c r="D218" s="362">
        <v>1E-4</v>
      </c>
      <c r="E218" s="227">
        <f t="shared" si="67"/>
        <v>47848.869021637045</v>
      </c>
      <c r="F218" s="227">
        <f t="shared" si="68"/>
        <v>47849</v>
      </c>
      <c r="G218" s="227">
        <f t="shared" si="69"/>
        <v>-4.3210218005697243E-2</v>
      </c>
      <c r="H218" s="227"/>
      <c r="I218" s="227"/>
      <c r="J218" s="227"/>
      <c r="K218" s="227">
        <f t="shared" si="70"/>
        <v>-4.3210218005697243E-2</v>
      </c>
      <c r="M218" s="227"/>
      <c r="N218" s="227"/>
      <c r="O218" s="227">
        <f t="shared" ca="1" si="71"/>
        <v>-3.434978090243912E-2</v>
      </c>
      <c r="P218" s="292">
        <f t="shared" si="72"/>
        <v>-4.1357026905628813E-2</v>
      </c>
      <c r="Q218" s="293">
        <f t="shared" si="73"/>
        <v>45326.9689</v>
      </c>
      <c r="R218" s="227">
        <f t="shared" si="74"/>
        <v>3.4343172533728369E-6</v>
      </c>
      <c r="S218" s="227">
        <v>1</v>
      </c>
      <c r="T218" s="227">
        <f t="shared" si="75"/>
        <v>3.4343172533728369E-6</v>
      </c>
    </row>
    <row r="219" spans="1:20" ht="12.95" customHeight="1">
      <c r="C219" s="290"/>
      <c r="D219" s="290"/>
      <c r="P219" s="257"/>
    </row>
    <row r="220" spans="1:20" ht="12.95" customHeight="1">
      <c r="C220" s="290"/>
      <c r="D220" s="290"/>
      <c r="P220" s="257"/>
    </row>
    <row r="221" spans="1:20" ht="12.95" customHeight="1">
      <c r="C221" s="290"/>
      <c r="D221" s="338"/>
      <c r="P221" s="257"/>
    </row>
    <row r="222" spans="1:20" ht="12.95" customHeight="1">
      <c r="C222" s="290"/>
      <c r="D222" s="338"/>
      <c r="P222" s="257"/>
    </row>
    <row r="223" spans="1:20" ht="12.95" customHeight="1">
      <c r="C223" s="290"/>
      <c r="D223" s="338"/>
      <c r="P223" s="257"/>
    </row>
    <row r="224" spans="1:20" ht="12.95" customHeight="1">
      <c r="C224" s="290"/>
      <c r="D224" s="338"/>
      <c r="P224" s="257"/>
    </row>
    <row r="225" spans="3:16" ht="12.95" customHeight="1">
      <c r="C225" s="290"/>
      <c r="D225" s="338"/>
      <c r="P225" s="257"/>
    </row>
    <row r="226" spans="3:16" ht="12.95" customHeight="1">
      <c r="C226" s="290"/>
      <c r="D226" s="338"/>
      <c r="P226" s="257"/>
    </row>
    <row r="227" spans="3:16" ht="12.95" customHeight="1">
      <c r="C227" s="290"/>
      <c r="D227" s="338"/>
      <c r="P227" s="257"/>
    </row>
    <row r="228" spans="3:16" ht="12.95" customHeight="1">
      <c r="C228" s="290"/>
      <c r="D228" s="338"/>
      <c r="P228" s="257"/>
    </row>
    <row r="229" spans="3:16" ht="12.95" customHeight="1">
      <c r="C229" s="290"/>
      <c r="D229" s="338"/>
      <c r="P229" s="257"/>
    </row>
    <row r="230" spans="3:16" ht="12.95" customHeight="1">
      <c r="C230" s="290"/>
      <c r="D230" s="338"/>
      <c r="P230" s="257"/>
    </row>
    <row r="231" spans="3:16" ht="12.95" customHeight="1">
      <c r="C231" s="290"/>
      <c r="D231" s="338"/>
      <c r="P231" s="257"/>
    </row>
    <row r="232" spans="3:16" ht="12.95" customHeight="1">
      <c r="C232" s="290"/>
      <c r="D232" s="338"/>
      <c r="P232" s="257"/>
    </row>
    <row r="233" spans="3:16" ht="12.95" customHeight="1">
      <c r="C233" s="290"/>
      <c r="D233" s="338"/>
      <c r="P233" s="257"/>
    </row>
    <row r="234" spans="3:16" ht="12.95" customHeight="1">
      <c r="C234" s="290"/>
      <c r="D234" s="338"/>
      <c r="P234" s="257"/>
    </row>
    <row r="235" spans="3:16" ht="12.95" customHeight="1">
      <c r="C235" s="290"/>
      <c r="D235" s="338"/>
      <c r="P235" s="257"/>
    </row>
    <row r="236" spans="3:16" ht="12.95" customHeight="1">
      <c r="C236" s="290"/>
      <c r="D236" s="338"/>
      <c r="P236" s="257"/>
    </row>
    <row r="237" spans="3:16" ht="12.95" customHeight="1">
      <c r="C237" s="290"/>
      <c r="D237" s="338"/>
      <c r="P237" s="257"/>
    </row>
    <row r="238" spans="3:16" ht="12.95" customHeight="1">
      <c r="C238" s="290"/>
      <c r="D238" s="338"/>
      <c r="P238" s="257"/>
    </row>
    <row r="239" spans="3:16" ht="12.95" customHeight="1">
      <c r="C239" s="290"/>
      <c r="D239" s="338"/>
      <c r="P239" s="257"/>
    </row>
    <row r="240" spans="3:16" ht="12.95" customHeight="1">
      <c r="C240" s="290"/>
      <c r="D240" s="338"/>
      <c r="P240" s="257"/>
    </row>
    <row r="241" spans="3:16" ht="12.95" customHeight="1">
      <c r="C241" s="290"/>
      <c r="D241" s="338"/>
      <c r="P241" s="257"/>
    </row>
    <row r="242" spans="3:16" ht="12.95" customHeight="1">
      <c r="C242" s="290"/>
      <c r="D242" s="338"/>
      <c r="P242" s="257"/>
    </row>
    <row r="243" spans="3:16" ht="12.95" customHeight="1">
      <c r="C243" s="290"/>
      <c r="D243" s="338"/>
      <c r="P243" s="257"/>
    </row>
    <row r="244" spans="3:16" ht="12.95" customHeight="1">
      <c r="C244" s="290"/>
      <c r="D244" s="338"/>
      <c r="P244" s="257"/>
    </row>
    <row r="245" spans="3:16" ht="12.95" customHeight="1">
      <c r="C245" s="290"/>
      <c r="D245" s="290"/>
      <c r="P245" s="257"/>
    </row>
    <row r="246" spans="3:16" ht="12.95" customHeight="1">
      <c r="C246" s="290"/>
      <c r="D246" s="290"/>
      <c r="P246" s="257"/>
    </row>
    <row r="247" spans="3:16" ht="12.95" customHeight="1">
      <c r="C247" s="290"/>
      <c r="D247" s="290"/>
      <c r="P247" s="257"/>
    </row>
    <row r="248" spans="3:16" ht="12.95" customHeight="1">
      <c r="C248" s="290"/>
      <c r="D248" s="290"/>
      <c r="P248" s="257"/>
    </row>
    <row r="249" spans="3:16" ht="12.95" customHeight="1">
      <c r="C249" s="290"/>
      <c r="D249" s="290"/>
      <c r="P249" s="257"/>
    </row>
    <row r="250" spans="3:16" ht="12.95" customHeight="1">
      <c r="C250" s="290"/>
      <c r="D250" s="290"/>
      <c r="P250" s="257"/>
    </row>
    <row r="251" spans="3:16" ht="12.95" customHeight="1">
      <c r="C251" s="290"/>
      <c r="D251" s="290"/>
      <c r="P251" s="257"/>
    </row>
    <row r="252" spans="3:16" ht="12.95" customHeight="1">
      <c r="C252" s="290"/>
      <c r="D252" s="290"/>
      <c r="P252" s="257"/>
    </row>
    <row r="253" spans="3:16" ht="12.95" customHeight="1">
      <c r="C253" s="290"/>
      <c r="D253" s="290"/>
      <c r="P253" s="257"/>
    </row>
    <row r="254" spans="3:16" ht="12.95" customHeight="1">
      <c r="C254" s="290"/>
      <c r="D254" s="290"/>
      <c r="P254" s="257"/>
    </row>
    <row r="255" spans="3:16" ht="12.95" customHeight="1">
      <c r="C255" s="290"/>
      <c r="D255" s="290"/>
      <c r="P255" s="257"/>
    </row>
    <row r="256" spans="3:16" ht="12.95" customHeight="1">
      <c r="C256" s="290"/>
      <c r="D256" s="290"/>
      <c r="P256" s="257"/>
    </row>
    <row r="257" spans="3:16" ht="12.95" customHeight="1">
      <c r="C257" s="290"/>
      <c r="D257" s="290"/>
      <c r="P257" s="257"/>
    </row>
    <row r="258" spans="3:16" ht="12.95" customHeight="1">
      <c r="C258" s="290"/>
      <c r="D258" s="290"/>
      <c r="P258" s="257"/>
    </row>
    <row r="259" spans="3:16" ht="12.95" customHeight="1">
      <c r="C259" s="290"/>
      <c r="D259" s="290"/>
      <c r="P259" s="257"/>
    </row>
    <row r="260" spans="3:16" ht="12.95" customHeight="1">
      <c r="C260" s="290"/>
      <c r="D260" s="290"/>
      <c r="P260" s="257"/>
    </row>
    <row r="261" spans="3:16" ht="12.95" customHeight="1">
      <c r="C261" s="290"/>
      <c r="D261" s="290"/>
      <c r="P261" s="257"/>
    </row>
    <row r="262" spans="3:16" ht="12.95" customHeight="1">
      <c r="C262" s="290"/>
      <c r="D262" s="290"/>
      <c r="P262" s="257"/>
    </row>
    <row r="263" spans="3:16" ht="12.95" customHeight="1">
      <c r="C263" s="290"/>
      <c r="D263" s="290"/>
      <c r="P263" s="257"/>
    </row>
    <row r="264" spans="3:16" ht="12.95" customHeight="1">
      <c r="C264" s="290"/>
      <c r="D264" s="290"/>
      <c r="P264" s="257"/>
    </row>
    <row r="265" spans="3:16" ht="12.95" customHeight="1">
      <c r="C265" s="290"/>
      <c r="D265" s="290"/>
      <c r="P265" s="257"/>
    </row>
    <row r="266" spans="3:16" ht="12.95" customHeight="1">
      <c r="C266" s="290"/>
      <c r="D266" s="290"/>
      <c r="P266" s="257"/>
    </row>
    <row r="267" spans="3:16" ht="12.95" customHeight="1">
      <c r="C267" s="290"/>
      <c r="D267" s="290"/>
      <c r="P267" s="257"/>
    </row>
    <row r="268" spans="3:16" ht="12.95" customHeight="1">
      <c r="P268" s="257"/>
    </row>
    <row r="269" spans="3:16" ht="12.95" customHeight="1">
      <c r="P269" s="257"/>
    </row>
    <row r="270" spans="3:16" ht="12.95" customHeight="1">
      <c r="P270" s="257"/>
    </row>
    <row r="271" spans="3:16" ht="12.95" customHeight="1">
      <c r="P271" s="257"/>
    </row>
    <row r="272" spans="3:16" ht="12.95" customHeight="1">
      <c r="P272" s="257"/>
    </row>
    <row r="273" spans="16:16" ht="12.95" customHeight="1">
      <c r="P273" s="257"/>
    </row>
    <row r="274" spans="16:16" ht="12.95" customHeight="1">
      <c r="P274" s="257"/>
    </row>
    <row r="275" spans="16:16" ht="12.95" customHeight="1">
      <c r="P275" s="257"/>
    </row>
    <row r="276" spans="16:16" ht="12.95" customHeight="1">
      <c r="P276" s="257"/>
    </row>
    <row r="277" spans="16:16" ht="12.95" customHeight="1">
      <c r="P277" s="257"/>
    </row>
    <row r="278" spans="16:16" ht="12.95" customHeight="1">
      <c r="P278" s="257"/>
    </row>
    <row r="279" spans="16:16" ht="12.95" customHeight="1">
      <c r="P279" s="257"/>
    </row>
    <row r="280" spans="16:16" ht="12.95" customHeight="1">
      <c r="P280" s="257"/>
    </row>
    <row r="281" spans="16:16" ht="12.95" customHeight="1">
      <c r="P281" s="257"/>
    </row>
    <row r="282" spans="16:16" ht="12.95" customHeight="1">
      <c r="P282" s="257"/>
    </row>
    <row r="283" spans="16:16" ht="12.95" customHeight="1">
      <c r="P283" s="257"/>
    </row>
    <row r="284" spans="16:16" ht="12.95" customHeight="1">
      <c r="P284" s="257"/>
    </row>
    <row r="285" spans="16:16" ht="12.95" customHeight="1">
      <c r="P285" s="257"/>
    </row>
    <row r="286" spans="16:16" ht="12.95" customHeight="1">
      <c r="P286" s="257"/>
    </row>
    <row r="287" spans="16:16" ht="12.95" customHeight="1">
      <c r="P287" s="257"/>
    </row>
    <row r="288" spans="16:16" ht="12.95" customHeight="1">
      <c r="P288" s="257"/>
    </row>
    <row r="289" spans="16:16" ht="12.95" customHeight="1">
      <c r="P289" s="257"/>
    </row>
    <row r="290" spans="16:16" ht="12.95" customHeight="1">
      <c r="P290" s="257"/>
    </row>
    <row r="291" spans="16:16" ht="12.95" customHeight="1">
      <c r="P291" s="257"/>
    </row>
    <row r="292" spans="16:16" ht="12.95" customHeight="1">
      <c r="P292" s="257"/>
    </row>
    <row r="293" spans="16:16" ht="12.95" customHeight="1">
      <c r="P293" s="257"/>
    </row>
    <row r="294" spans="16:16" ht="12.95" customHeight="1">
      <c r="P294" s="257"/>
    </row>
    <row r="295" spans="16:16" ht="12.95" customHeight="1">
      <c r="P295" s="257"/>
    </row>
    <row r="296" spans="16:16" ht="12.95" customHeight="1">
      <c r="P296" s="257"/>
    </row>
    <row r="297" spans="16:16" ht="12.95" customHeight="1">
      <c r="P297" s="257"/>
    </row>
    <row r="298" spans="16:16" ht="12.95" customHeight="1">
      <c r="P298" s="257"/>
    </row>
    <row r="299" spans="16:16" ht="12.95" customHeight="1">
      <c r="P299" s="257"/>
    </row>
    <row r="300" spans="16:16" ht="12.95" customHeight="1">
      <c r="P300" s="257"/>
    </row>
    <row r="301" spans="16:16" ht="12.95" customHeight="1">
      <c r="P301" s="257"/>
    </row>
    <row r="302" spans="16:16" ht="12.95" customHeight="1">
      <c r="P302" s="257"/>
    </row>
    <row r="303" spans="16:16" ht="12.95" customHeight="1">
      <c r="P303" s="257"/>
    </row>
    <row r="304" spans="16:16" ht="12.95" customHeight="1">
      <c r="P304" s="257"/>
    </row>
    <row r="305" spans="16:16" ht="12.95" customHeight="1">
      <c r="P305" s="257"/>
    </row>
    <row r="306" spans="16:16" ht="12.95" customHeight="1">
      <c r="P306" s="257"/>
    </row>
    <row r="307" spans="16:16" ht="12.95" customHeight="1">
      <c r="P307" s="257"/>
    </row>
  </sheetData>
  <protectedRanges>
    <protectedRange sqref="A198:D204" name="Range1"/>
  </protectedRanges>
  <sortState xmlns:xlrd2="http://schemas.microsoft.com/office/spreadsheetml/2017/richdata2" ref="A21:U214">
    <sortCondition ref="C21:C214"/>
  </sortState>
  <phoneticPr fontId="26" type="noConversion"/>
  <hyperlinks>
    <hyperlink ref="H2866" r:id="rId1" display="http://vsolj.cetus-net.org/bulletin.html" xr:uid="{00000000-0004-0000-0100-000000000000}"/>
    <hyperlink ref="H64970" r:id="rId2" display="http://vsolj.cetus-net.org/bulletin.html" xr:uid="{00000000-0004-0000-0100-000001000000}"/>
    <hyperlink ref="H64963" r:id="rId3" display="https://www.aavso.org/ejaavso" xr:uid="{00000000-0004-0000-0100-000002000000}"/>
    <hyperlink ref="I64970" r:id="rId4" display="http://vsolj.cetus-net.org/bulletin.html" xr:uid="{00000000-0004-0000-0100-000003000000}"/>
    <hyperlink ref="AQ58621" r:id="rId5" display="http://cdsbib.u-strasbg.fr/cgi-bin/cdsbib?1990RMxAA..21..381G" xr:uid="{00000000-0004-0000-0100-000004000000}"/>
    <hyperlink ref="H64967" r:id="rId6" display="https://www.aavso.org/ejaavso" xr:uid="{00000000-0004-0000-0100-000005000000}"/>
    <hyperlink ref="AP5985" r:id="rId7" display="http://cdsbib.u-strasbg.fr/cgi-bin/cdsbib?1990RMxAA..21..381G" xr:uid="{00000000-0004-0000-0100-000006000000}"/>
    <hyperlink ref="AP5988" r:id="rId8" display="http://cdsbib.u-strasbg.fr/cgi-bin/cdsbib?1990RMxAA..21..381G" xr:uid="{00000000-0004-0000-0100-000007000000}"/>
    <hyperlink ref="AP5986" r:id="rId9" display="http://cdsbib.u-strasbg.fr/cgi-bin/cdsbib?1990RMxAA..21..381G" xr:uid="{00000000-0004-0000-0100-000008000000}"/>
    <hyperlink ref="AP5970" r:id="rId10" display="http://cdsbib.u-strasbg.fr/cgi-bin/cdsbib?1990RMxAA..21..381G" xr:uid="{00000000-0004-0000-0100-000009000000}"/>
    <hyperlink ref="AQ6199" r:id="rId11" display="http://cdsbib.u-strasbg.fr/cgi-bin/cdsbib?1990RMxAA..21..381G" xr:uid="{00000000-0004-0000-0100-00000A000000}"/>
    <hyperlink ref="AQ6203" r:id="rId12" display="http://cdsbib.u-strasbg.fr/cgi-bin/cdsbib?1990RMxAA..21..381G" xr:uid="{00000000-0004-0000-0100-00000B000000}"/>
    <hyperlink ref="AQ347" r:id="rId13" display="http://cdsbib.u-strasbg.fr/cgi-bin/cdsbib?1990RMxAA..21..381G" xr:uid="{00000000-0004-0000-0100-00000C000000}"/>
    <hyperlink ref="I3091" r:id="rId14" display="http://vsolj.cetus-net.org/bulletin.html" xr:uid="{00000000-0004-0000-0100-00000D000000}"/>
    <hyperlink ref="H3091" r:id="rId15" display="http://vsolj.cetus-net.org/bulletin.html" xr:uid="{00000000-0004-0000-0100-00000E000000}"/>
    <hyperlink ref="AQ1008" r:id="rId16" display="http://cdsbib.u-strasbg.fr/cgi-bin/cdsbib?1990RMxAA..21..381G" xr:uid="{00000000-0004-0000-0100-00000F000000}"/>
    <hyperlink ref="AQ1007" r:id="rId17" display="http://cdsbib.u-strasbg.fr/cgi-bin/cdsbib?1990RMxAA..21..381G" xr:uid="{00000000-0004-0000-0100-000010000000}"/>
    <hyperlink ref="AP4261" r:id="rId18" display="http://cdsbib.u-strasbg.fr/cgi-bin/cdsbib?1990RMxAA..21..381G" xr:uid="{00000000-0004-0000-0100-000011000000}"/>
    <hyperlink ref="AP4279" r:id="rId19" display="http://cdsbib.u-strasbg.fr/cgi-bin/cdsbib?1990RMxAA..21..381G" xr:uid="{00000000-0004-0000-0100-000012000000}"/>
    <hyperlink ref="AP4280" r:id="rId20" display="http://cdsbib.u-strasbg.fr/cgi-bin/cdsbib?1990RMxAA..21..381G" xr:uid="{00000000-0004-0000-0100-000013000000}"/>
    <hyperlink ref="AP4276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CH2534"/>
  <sheetViews>
    <sheetView workbookViewId="0">
      <pane xSplit="14" ySplit="22" topLeftCell="O199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95" customHeight="1"/>
  <cols>
    <col min="1" max="1" width="16.42578125" style="34" customWidth="1"/>
    <col min="2" max="2" width="5.140625" style="232" customWidth="1"/>
    <col min="3" max="3" width="11.85546875" style="34" customWidth="1"/>
    <col min="4" max="4" width="10.42578125" style="34" customWidth="1"/>
    <col min="5" max="5" width="11.5703125" style="34" customWidth="1"/>
    <col min="6" max="6" width="16.4257812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26" width="10.28515625" style="34" customWidth="1"/>
    <col min="27" max="27" width="12.140625" style="34" customWidth="1"/>
    <col min="28" max="28" width="9.42578125" style="34" customWidth="1"/>
    <col min="29" max="31" width="10.42578125" style="34" customWidth="1"/>
    <col min="32" max="32" width="10.5703125" style="34" customWidth="1"/>
    <col min="33" max="33" width="10.28515625" style="34" customWidth="1"/>
    <col min="34" max="37" width="9.42578125" style="34" customWidth="1"/>
    <col min="38" max="52" width="10.28515625" style="34" customWidth="1"/>
    <col min="53" max="53" width="11.85546875" style="34" customWidth="1"/>
    <col min="54" max="54" width="14.7109375" style="34" customWidth="1"/>
    <col min="55" max="86" width="10.28515625" style="34" customWidth="1"/>
    <col min="87" max="16384" width="10.28515625" style="34"/>
  </cols>
  <sheetData>
    <row r="1" spans="1:64" customFormat="1" ht="21" thickBot="1">
      <c r="A1" s="1" t="s">
        <v>115</v>
      </c>
      <c r="V1" s="6" t="s">
        <v>65</v>
      </c>
      <c r="W1" s="8" t="s">
        <v>77</v>
      </c>
      <c r="AA1" s="159" t="s">
        <v>24</v>
      </c>
      <c r="AB1" s="160"/>
      <c r="AC1" s="160" t="s">
        <v>25</v>
      </c>
      <c r="AD1" s="160" t="s">
        <v>26</v>
      </c>
      <c r="AE1" s="98"/>
      <c r="AM1" s="106"/>
      <c r="AW1" s="161" t="s">
        <v>65</v>
      </c>
      <c r="AX1" s="162" t="s">
        <v>20</v>
      </c>
      <c r="AY1" s="8" t="s">
        <v>27</v>
      </c>
      <c r="AZ1" s="163" t="s">
        <v>28</v>
      </c>
      <c r="BA1" s="164" t="s">
        <v>29</v>
      </c>
      <c r="BB1" s="163" t="s">
        <v>30</v>
      </c>
      <c r="BC1" s="164" t="s">
        <v>31</v>
      </c>
      <c r="BD1" s="163" t="s">
        <v>32</v>
      </c>
      <c r="BE1" s="165" t="s">
        <v>757</v>
      </c>
      <c r="BF1" s="164" t="s">
        <v>758</v>
      </c>
      <c r="BG1" s="163" t="s">
        <v>759</v>
      </c>
      <c r="BH1" s="165" t="s">
        <v>760</v>
      </c>
      <c r="BI1" s="164" t="s">
        <v>761</v>
      </c>
      <c r="BJ1" s="163" t="s">
        <v>762</v>
      </c>
      <c r="BK1" s="165" t="s">
        <v>763</v>
      </c>
      <c r="BL1" s="164" t="s">
        <v>188</v>
      </c>
    </row>
    <row r="2" spans="1:64" ht="12.95" customHeight="1" thickBot="1">
      <c r="A2" s="34" t="s">
        <v>80</v>
      </c>
      <c r="B2" s="34" t="s">
        <v>85</v>
      </c>
      <c r="E2" s="359" t="s">
        <v>804</v>
      </c>
      <c r="F2" s="357" t="s">
        <v>803</v>
      </c>
      <c r="V2" s="227">
        <v>20000</v>
      </c>
      <c r="W2" s="227">
        <f t="shared" ref="W2:W20" si="0">+D$11+D$12*V2+D$13*V2^2</f>
        <v>9.1352977498758998E-3</v>
      </c>
      <c r="AA2" s="228" t="s">
        <v>0</v>
      </c>
      <c r="AB2" s="229">
        <f>C7</f>
        <v>44559.960400000004</v>
      </c>
      <c r="AC2" s="230" t="s">
        <v>1</v>
      </c>
      <c r="AD2" s="229">
        <f>C8</f>
        <v>0.32990348200000003</v>
      </c>
      <c r="AE2" s="231" t="s">
        <v>21</v>
      </c>
      <c r="AL2" s="232"/>
      <c r="AO2" s="34" t="s">
        <v>767</v>
      </c>
      <c r="AP2" s="34" t="s">
        <v>768</v>
      </c>
      <c r="AW2" s="34">
        <v>-5000</v>
      </c>
      <c r="AX2" s="34">
        <f t="shared" ref="AX2:AX65" si="1">AB$3+AB$4*AW2+AB$5*AW2^2+AZ2</f>
        <v>-6.7553601911797753E-3</v>
      </c>
      <c r="AY2" s="34">
        <f t="shared" ref="AY2:AY65" si="2">AB$3+AB$4*AW2+AB$5*AW2^2</f>
        <v>1.8878980470828501E-2</v>
      </c>
      <c r="AZ2" s="227">
        <f t="shared" ref="AZ2:AZ65" si="3">$AB$6*($AB$11/BA2*BB2+$AB$12)</f>
        <v>-2.5634340662008277E-2</v>
      </c>
      <c r="BA2" s="34">
        <f t="shared" ref="BA2:BA65" si="4">1+$AB$7*COS(BC2)</f>
        <v>0.92595885674589573</v>
      </c>
      <c r="BB2" s="34">
        <f t="shared" ref="BB2:BB65" si="5">SIN(BC2+RADIANS($AB$9))</f>
        <v>-0.91210930669085677</v>
      </c>
      <c r="BC2" s="34">
        <f t="shared" ref="BC2:BC65" si="6">2*ATAN(BD2)</f>
        <v>-2.9271711812305123</v>
      </c>
      <c r="BD2" s="34">
        <f t="shared" ref="BD2:BD65" si="7">SQRT((1+$AB$7)/(1-$AB$7))*TAN(BE2/2)</f>
        <v>-9.2916597323519081</v>
      </c>
      <c r="BE2" s="34">
        <f t="shared" ref="BE2:BK17" si="8">$BL2+$AB$7*SIN(BF2)</f>
        <v>9.6559678149169397</v>
      </c>
      <c r="BF2" s="34">
        <f t="shared" si="8"/>
        <v>9.6559678179135044</v>
      </c>
      <c r="BG2" s="34">
        <f t="shared" si="8"/>
        <v>9.655967777287815</v>
      </c>
      <c r="BH2" s="34">
        <f t="shared" si="8"/>
        <v>9.6559683280671766</v>
      </c>
      <c r="BI2" s="34">
        <f t="shared" si="8"/>
        <v>9.6559608609286158</v>
      </c>
      <c r="BJ2" s="34">
        <f t="shared" si="8"/>
        <v>9.6560620970635949</v>
      </c>
      <c r="BK2" s="34">
        <f t="shared" si="8"/>
        <v>9.6546897876467774</v>
      </c>
      <c r="BL2" s="34">
        <f t="shared" ref="BL2:BL65" si="9">RADIANS($AB$9)+$AB$18*(AW2-AB$15)</f>
        <v>9.6733309188792589</v>
      </c>
    </row>
    <row r="3" spans="1:64" ht="12.95" customHeight="1" thickBot="1">
      <c r="A3" s="233"/>
      <c r="B3" s="34"/>
      <c r="C3" s="226" t="s">
        <v>13</v>
      </c>
      <c r="E3" s="350" t="s">
        <v>142</v>
      </c>
      <c r="F3" s="351">
        <v>1</v>
      </c>
      <c r="V3" s="227">
        <v>21000</v>
      </c>
      <c r="W3" s="227">
        <f t="shared" si="0"/>
        <v>8.0301305619476984E-3</v>
      </c>
      <c r="AA3" s="234" t="s">
        <v>40</v>
      </c>
      <c r="AB3" s="235">
        <f t="shared" ref="AB3:AB10" si="10">AC3*AD3</f>
        <v>1.9681858846215282E-2</v>
      </c>
      <c r="AC3" s="236">
        <v>1.9681858846215281</v>
      </c>
      <c r="AD3" s="34">
        <v>0.01</v>
      </c>
      <c r="AE3" s="237"/>
      <c r="AF3" s="236">
        <v>1.7813840659551923</v>
      </c>
      <c r="AG3" s="236">
        <v>1.7343844100397112</v>
      </c>
      <c r="AH3" s="236">
        <v>1.4587207211974407</v>
      </c>
      <c r="AI3" s="236">
        <v>1.7683715264997735</v>
      </c>
      <c r="AJ3" s="236">
        <v>1.9681858846215281</v>
      </c>
      <c r="AK3" s="236">
        <v>2.6877268508476844</v>
      </c>
      <c r="AL3" s="236"/>
      <c r="AM3" s="236"/>
      <c r="AO3" s="34">
        <f>AVERAGE(AF3:AM3)</f>
        <v>1.8997955765268884</v>
      </c>
      <c r="AP3" s="34">
        <f>STDEV(AF3:AM3)</f>
        <v>0.41921697867763352</v>
      </c>
      <c r="AW3" s="34">
        <v>-4500</v>
      </c>
      <c r="AX3" s="34">
        <f t="shared" si="1"/>
        <v>-6.1727020112689775E-3</v>
      </c>
      <c r="AY3" s="34">
        <f t="shared" si="2"/>
        <v>1.9021179644057667E-2</v>
      </c>
      <c r="AZ3" s="227">
        <f t="shared" si="3"/>
        <v>-2.5193881655326645E-2</v>
      </c>
      <c r="BA3" s="34">
        <f t="shared" si="4"/>
        <v>0.92652745443709283</v>
      </c>
      <c r="BB3" s="34">
        <f t="shared" si="5"/>
        <v>-0.89817474490971483</v>
      </c>
      <c r="BC3" s="34">
        <f t="shared" si="6"/>
        <v>-2.894370930091859</v>
      </c>
      <c r="BD3" s="34">
        <f t="shared" si="7"/>
        <v>-8.0486583067735147</v>
      </c>
      <c r="BE3" s="34">
        <f t="shared" si="8"/>
        <v>9.6912783910245253</v>
      </c>
      <c r="BF3" s="34">
        <f t="shared" si="8"/>
        <v>9.6912783942839553</v>
      </c>
      <c r="BG3" s="34">
        <f t="shared" si="8"/>
        <v>9.6912783496961818</v>
      </c>
      <c r="BH3" s="34">
        <f t="shared" si="8"/>
        <v>9.6912789596402309</v>
      </c>
      <c r="BI3" s="34">
        <f t="shared" si="8"/>
        <v>9.6912706158429938</v>
      </c>
      <c r="BJ3" s="34">
        <f t="shared" si="8"/>
        <v>9.6913847573906793</v>
      </c>
      <c r="BK3" s="34">
        <f t="shared" si="8"/>
        <v>9.689823630716301</v>
      </c>
      <c r="BL3" s="34">
        <f t="shared" si="9"/>
        <v>9.7112346517988541</v>
      </c>
    </row>
    <row r="4" spans="1:64" ht="12.95" customHeight="1" thickTop="1" thickBot="1">
      <c r="A4" s="238" t="s">
        <v>56</v>
      </c>
      <c r="B4" s="34"/>
      <c r="C4" s="239">
        <v>44559.960400000004</v>
      </c>
      <c r="D4" s="347">
        <v>0.32991700000000002</v>
      </c>
      <c r="E4" s="358" t="s">
        <v>143</v>
      </c>
      <c r="F4" s="352">
        <f ca="1">NOW()+15018.5+$C$5/24</f>
        <v>60678.79209224537</v>
      </c>
      <c r="V4" s="227">
        <v>22000</v>
      </c>
      <c r="W4" s="227">
        <f t="shared" si="0"/>
        <v>6.8699310756279511E-3</v>
      </c>
      <c r="AA4" s="241" t="s">
        <v>41</v>
      </c>
      <c r="AB4" s="242">
        <f t="shared" si="10"/>
        <v>2.2994929098491028E-8</v>
      </c>
      <c r="AC4" s="243">
        <v>2.2994929098491029E-2</v>
      </c>
      <c r="AD4" s="244">
        <v>9.9999999999999995E-7</v>
      </c>
      <c r="AE4" s="237"/>
      <c r="AF4" s="243">
        <v>0.36948884846524294</v>
      </c>
      <c r="AG4" s="243">
        <v>0.25011002146755551</v>
      </c>
      <c r="AH4" s="243">
        <v>0.54418870863791924</v>
      </c>
      <c r="AI4" s="243">
        <v>0.45107952923456962</v>
      </c>
      <c r="AJ4" s="243">
        <v>2.2994929098491029E-2</v>
      </c>
      <c r="AK4" s="243">
        <v>8.853409357357464E-2</v>
      </c>
      <c r="AL4" s="243"/>
      <c r="AM4" s="243"/>
      <c r="AO4" s="34">
        <f t="shared" ref="AO4:AO14" si="11">AVERAGE(AF4:AM4)</f>
        <v>0.28773268841289212</v>
      </c>
      <c r="AP4" s="34">
        <f t="shared" ref="AP4:AP14" si="12">STDEV(AF4:AM4)</f>
        <v>0.20509391842930672</v>
      </c>
      <c r="AW4" s="34">
        <v>-4000</v>
      </c>
      <c r="AX4" s="34">
        <f t="shared" si="1"/>
        <v>-5.5720722688461267E-3</v>
      </c>
      <c r="AY4" s="34">
        <f t="shared" si="2"/>
        <v>1.9149620742688951E-2</v>
      </c>
      <c r="AZ4" s="227">
        <f t="shared" si="3"/>
        <v>-2.4721693011535078E-2</v>
      </c>
      <c r="BA4" s="34">
        <f t="shared" si="4"/>
        <v>0.92717599402922357</v>
      </c>
      <c r="BB4" s="34">
        <f t="shared" si="5"/>
        <v>-0.88325374581321914</v>
      </c>
      <c r="BC4" s="34">
        <f t="shared" si="6"/>
        <v>-2.8615275613283004</v>
      </c>
      <c r="BD4" s="34">
        <f t="shared" si="7"/>
        <v>-7.0944583620439037</v>
      </c>
      <c r="BE4" s="34">
        <f t="shared" si="8"/>
        <v>9.7266121681348388</v>
      </c>
      <c r="BF4" s="34">
        <f t="shared" si="8"/>
        <v>9.7266121715880658</v>
      </c>
      <c r="BG4" s="34">
        <f t="shared" si="8"/>
        <v>9.7266121238591126</v>
      </c>
      <c r="BH4" s="34">
        <f t="shared" si="8"/>
        <v>9.7266127835470577</v>
      </c>
      <c r="BI4" s="34">
        <f t="shared" si="8"/>
        <v>9.7266036656516057</v>
      </c>
      <c r="BJ4" s="34">
        <f t="shared" si="8"/>
        <v>9.7267296911933343</v>
      </c>
      <c r="BK4" s="34">
        <f t="shared" si="8"/>
        <v>9.7249882311666038</v>
      </c>
      <c r="BL4" s="34">
        <f t="shared" si="9"/>
        <v>9.7491383847184476</v>
      </c>
    </row>
    <row r="5" spans="1:64" ht="12.95" customHeight="1" thickTop="1">
      <c r="A5" s="34" t="s">
        <v>225</v>
      </c>
      <c r="B5" s="34"/>
      <c r="C5" s="245">
        <v>-9.5</v>
      </c>
      <c r="D5" s="246" t="s">
        <v>226</v>
      </c>
      <c r="E5" s="350" t="s">
        <v>144</v>
      </c>
      <c r="F5" s="352">
        <f ca="1">ROUND(2*($F$4-$C$7)/$C$8,0)/2+$F$3</f>
        <v>48860</v>
      </c>
      <c r="V5" s="227">
        <v>23000</v>
      </c>
      <c r="W5" s="227">
        <f t="shared" si="0"/>
        <v>5.6546992909166562E-3</v>
      </c>
      <c r="AA5" s="241" t="s">
        <v>23</v>
      </c>
      <c r="AB5" s="242">
        <f t="shared" si="10"/>
        <v>-2.7516149195773003E-11</v>
      </c>
      <c r="AC5" s="243">
        <v>-2.7516149195773005</v>
      </c>
      <c r="AD5" s="34">
        <v>9.9999999999999994E-12</v>
      </c>
      <c r="AE5" s="237"/>
      <c r="AF5" s="243">
        <v>-3.4080999150965301</v>
      </c>
      <c r="AG5" s="243">
        <v>-3.0630366608811848</v>
      </c>
      <c r="AH5" s="243">
        <v>-2.9585650887825721</v>
      </c>
      <c r="AI5" s="243">
        <v>-3.4052818052172809</v>
      </c>
      <c r="AJ5" s="243">
        <v>-2.7516149195773005</v>
      </c>
      <c r="AK5" s="243">
        <v>-4.1185543972266627</v>
      </c>
      <c r="AL5" s="243"/>
      <c r="AM5" s="243"/>
      <c r="AO5" s="34">
        <f t="shared" si="11"/>
        <v>-3.2841921311302555</v>
      </c>
      <c r="AP5" s="34">
        <f t="shared" si="12"/>
        <v>0.48265048185579817</v>
      </c>
      <c r="AW5" s="34">
        <v>-3500</v>
      </c>
      <c r="AX5" s="34">
        <f t="shared" si="1"/>
        <v>-4.9539544247015378E-3</v>
      </c>
      <c r="AY5" s="34">
        <f t="shared" si="2"/>
        <v>1.9264303766722345E-2</v>
      </c>
      <c r="AZ5" s="227">
        <f t="shared" si="3"/>
        <v>-2.4218258191423883E-2</v>
      </c>
      <c r="BA5" s="34">
        <f t="shared" si="4"/>
        <v>0.92790421941216839</v>
      </c>
      <c r="BB5" s="34">
        <f t="shared" si="5"/>
        <v>-0.86735578864797036</v>
      </c>
      <c r="BC5" s="34">
        <f t="shared" si="6"/>
        <v>-2.8286353858959337</v>
      </c>
      <c r="BD5" s="34">
        <f t="shared" si="7"/>
        <v>-6.3384039534002401</v>
      </c>
      <c r="BE5" s="34">
        <f t="shared" si="8"/>
        <v>9.761972189076408</v>
      </c>
      <c r="BF5" s="34">
        <f t="shared" si="8"/>
        <v>9.7619721926531664</v>
      </c>
      <c r="BG5" s="34">
        <f t="shared" si="8"/>
        <v>9.7619721426350274</v>
      </c>
      <c r="BH5" s="34">
        <f t="shared" si="8"/>
        <v>9.7619728420992598</v>
      </c>
      <c r="BI5" s="34">
        <f t="shared" si="8"/>
        <v>9.7619630606590686</v>
      </c>
      <c r="BJ5" s="34">
        <f t="shared" si="8"/>
        <v>9.7620998492154722</v>
      </c>
      <c r="BK5" s="34">
        <f t="shared" si="8"/>
        <v>9.7601875238189191</v>
      </c>
      <c r="BL5" s="34">
        <f t="shared" si="9"/>
        <v>9.7870421176380429</v>
      </c>
    </row>
    <row r="6" spans="1:64" ht="12.95" customHeight="1">
      <c r="A6" s="238" t="s">
        <v>57</v>
      </c>
      <c r="B6" s="34"/>
      <c r="E6" s="350" t="s">
        <v>145</v>
      </c>
      <c r="F6" s="352">
        <f ca="1">ROUND(2*($F$4-$C$15)/$C$16,0)/2+$F$3</f>
        <v>1011.5</v>
      </c>
      <c r="V6" s="227">
        <v>24000</v>
      </c>
      <c r="W6" s="227">
        <f t="shared" si="0"/>
        <v>4.3844352078138173E-3</v>
      </c>
      <c r="AA6" s="241" t="s">
        <v>42</v>
      </c>
      <c r="AB6" s="242">
        <f t="shared" si="10"/>
        <v>2.8317626061992153E-2</v>
      </c>
      <c r="AC6" s="243">
        <v>2.8317626061992152</v>
      </c>
      <c r="AD6" s="34">
        <v>0.01</v>
      </c>
      <c r="AE6" s="237" t="s">
        <v>21</v>
      </c>
      <c r="AF6" s="243">
        <v>2.5792486922310491</v>
      </c>
      <c r="AG6" s="243">
        <v>2.6686665160381819</v>
      </c>
      <c r="AH6" s="243">
        <v>2.006589807641018</v>
      </c>
      <c r="AI6" s="243">
        <v>2.3396545201113832</v>
      </c>
      <c r="AJ6" s="243">
        <v>2.8317626061992152</v>
      </c>
      <c r="AK6" s="243">
        <v>3.4034366457055949</v>
      </c>
      <c r="AL6" s="243"/>
      <c r="AM6" s="243"/>
      <c r="AO6" s="34">
        <f t="shared" si="11"/>
        <v>2.6382264646544069</v>
      </c>
      <c r="AP6" s="34">
        <f t="shared" si="12"/>
        <v>0.47233841812581262</v>
      </c>
      <c r="AW6" s="34">
        <v>-3000</v>
      </c>
      <c r="AX6" s="34">
        <f t="shared" si="1"/>
        <v>-4.3188627211315292E-3</v>
      </c>
      <c r="AY6" s="34">
        <f t="shared" si="2"/>
        <v>1.9365228716157853E-2</v>
      </c>
      <c r="AZ6" s="34">
        <f t="shared" si="3"/>
        <v>-2.3684091437289383E-2</v>
      </c>
      <c r="BA6" s="34">
        <f t="shared" si="4"/>
        <v>0.92871183765254339</v>
      </c>
      <c r="BB6" s="34">
        <f t="shared" si="5"/>
        <v>-0.85049086870218371</v>
      </c>
      <c r="BC6" s="34">
        <f t="shared" si="6"/>
        <v>-2.7956887216235469</v>
      </c>
      <c r="BD6" s="34">
        <f t="shared" si="7"/>
        <v>-5.7241862503983114</v>
      </c>
      <c r="BE6" s="34">
        <f t="shared" si="8"/>
        <v>9.7973614862174117</v>
      </c>
      <c r="BF6" s="34">
        <f t="shared" si="8"/>
        <v>9.7973614898484129</v>
      </c>
      <c r="BG6" s="34">
        <f t="shared" si="8"/>
        <v>9.7973614384013352</v>
      </c>
      <c r="BH6" s="34">
        <f t="shared" si="8"/>
        <v>9.7973621673466393</v>
      </c>
      <c r="BI6" s="34">
        <f t="shared" si="8"/>
        <v>9.7973518390581678</v>
      </c>
      <c r="BJ6" s="34">
        <f t="shared" si="8"/>
        <v>9.7974981825190497</v>
      </c>
      <c r="BK6" s="34">
        <f t="shared" si="8"/>
        <v>9.7954253936584035</v>
      </c>
      <c r="BL6" s="34">
        <f t="shared" si="9"/>
        <v>9.8249458505576381</v>
      </c>
    </row>
    <row r="7" spans="1:64" ht="12.95" customHeight="1">
      <c r="A7" s="34" t="s">
        <v>58</v>
      </c>
      <c r="B7" s="34"/>
      <c r="C7" s="34">
        <v>44559.960400000004</v>
      </c>
      <c r="E7" s="350" t="s">
        <v>805</v>
      </c>
      <c r="F7" s="353">
        <f ca="1">+$C$15+$C$16*$F$6-15018.5-$C$5/24</f>
        <v>45661.069401987676</v>
      </c>
      <c r="V7" s="227">
        <v>25000</v>
      </c>
      <c r="W7" s="227">
        <f t="shared" si="0"/>
        <v>3.059138826319429E-3</v>
      </c>
      <c r="Y7" s="34">
        <f>-AB7</f>
        <v>-7.577644986472111E-2</v>
      </c>
      <c r="Z7" s="34">
        <f>Y7/AD7</f>
        <v>-7.577644986472111E-2</v>
      </c>
      <c r="AA7" s="247" t="s">
        <v>48</v>
      </c>
      <c r="AB7" s="248">
        <f t="shared" si="10"/>
        <v>7.577644986472111E-2</v>
      </c>
      <c r="AC7" s="243">
        <v>7.577644986472111E-2</v>
      </c>
      <c r="AD7" s="34">
        <v>1</v>
      </c>
      <c r="AE7" s="237"/>
      <c r="AF7" s="243">
        <v>0.13844755398873068</v>
      </c>
      <c r="AG7" s="243">
        <v>0.14803600754311752</v>
      </c>
      <c r="AH7" s="243">
        <v>0.24522189696947677</v>
      </c>
      <c r="AI7" s="243">
        <v>0.11435956346344604</v>
      </c>
      <c r="AJ7" s="243">
        <v>7.577644986472111E-2</v>
      </c>
      <c r="AK7" s="243">
        <v>6.7663249738473814E-4</v>
      </c>
      <c r="AL7" s="243"/>
      <c r="AM7" s="243"/>
      <c r="AO7" s="34">
        <f t="shared" si="11"/>
        <v>0.12041968405447946</v>
      </c>
      <c r="AP7" s="34">
        <f t="shared" si="12"/>
        <v>8.1279025071146413E-2</v>
      </c>
      <c r="AW7" s="34">
        <v>-2500</v>
      </c>
      <c r="AX7" s="34">
        <f t="shared" si="1"/>
        <v>-3.6673422887079782E-3</v>
      </c>
      <c r="AY7" s="34">
        <f t="shared" si="2"/>
        <v>1.9452395590995472E-2</v>
      </c>
      <c r="AZ7" s="34">
        <f t="shared" si="3"/>
        <v>-2.311973787970345E-2</v>
      </c>
      <c r="BA7" s="34">
        <f t="shared" si="4"/>
        <v>0.92959851721890496</v>
      </c>
      <c r="BB7" s="34">
        <f t="shared" si="5"/>
        <v>-0.8326695242609492</v>
      </c>
      <c r="BC7" s="34">
        <f t="shared" si="6"/>
        <v>-2.7626818945004858</v>
      </c>
      <c r="BD7" s="34">
        <f t="shared" si="7"/>
        <v>-5.2149842755058256</v>
      </c>
      <c r="BE7" s="34">
        <f t="shared" si="8"/>
        <v>9.8327830800286886</v>
      </c>
      <c r="BF7" s="34">
        <f t="shared" si="8"/>
        <v>9.8327830836476959</v>
      </c>
      <c r="BG7" s="34">
        <f t="shared" si="8"/>
        <v>9.8327830316177778</v>
      </c>
      <c r="BH7" s="34">
        <f t="shared" si="8"/>
        <v>9.8327837796440694</v>
      </c>
      <c r="BI7" s="34">
        <f t="shared" si="8"/>
        <v>9.8327730254058299</v>
      </c>
      <c r="BJ7" s="34">
        <f t="shared" si="8"/>
        <v>9.8329276419452487</v>
      </c>
      <c r="BK7" s="34">
        <f t="shared" si="8"/>
        <v>9.8307056702532734</v>
      </c>
      <c r="BL7" s="34">
        <f t="shared" si="9"/>
        <v>9.8628495834772316</v>
      </c>
    </row>
    <row r="8" spans="1:64" ht="12.95" customHeight="1">
      <c r="A8" s="34" t="s">
        <v>59</v>
      </c>
      <c r="B8" s="34"/>
      <c r="C8" s="34">
        <v>0.32990348200000003</v>
      </c>
      <c r="E8" s="354" t="s">
        <v>806</v>
      </c>
      <c r="F8" s="355">
        <f ca="1">+($C$15+$C$16*$F$6)-($C$16/2)-15018.5-$C$5/24</f>
        <v>45660.9044520608</v>
      </c>
      <c r="V8" s="227">
        <v>26000</v>
      </c>
      <c r="W8" s="227">
        <f t="shared" si="0"/>
        <v>1.6788101464334966E-3</v>
      </c>
      <c r="Y8" s="34">
        <f>AB8</f>
        <v>74.864139791771734</v>
      </c>
      <c r="Z8" s="34">
        <f>Y8/AD8</f>
        <v>7.4864139791771738</v>
      </c>
      <c r="AA8" s="241" t="s">
        <v>2</v>
      </c>
      <c r="AB8" s="248">
        <f t="shared" si="10"/>
        <v>74.864139791771734</v>
      </c>
      <c r="AC8" s="243">
        <v>7.4864139791771729</v>
      </c>
      <c r="AD8" s="34">
        <v>10</v>
      </c>
      <c r="AE8" s="237" t="s">
        <v>22</v>
      </c>
      <c r="AF8" s="243">
        <v>7.8436274363419054</v>
      </c>
      <c r="AG8" s="243">
        <v>7.9066922962068951</v>
      </c>
      <c r="AH8" s="243">
        <v>7.2717913675615655</v>
      </c>
      <c r="AI8" s="243">
        <v>7.2756839565749498</v>
      </c>
      <c r="AJ8" s="243">
        <v>7.4864139791771729</v>
      </c>
      <c r="AK8" s="243">
        <v>8.1013559991826565</v>
      </c>
      <c r="AL8" s="243"/>
      <c r="AM8" s="243"/>
      <c r="AO8" s="34">
        <f t="shared" si="11"/>
        <v>7.6475941725075245</v>
      </c>
      <c r="AP8" s="34">
        <f t="shared" si="12"/>
        <v>0.35127900171343041</v>
      </c>
      <c r="AW8" s="34">
        <v>-2000</v>
      </c>
      <c r="AX8" s="34">
        <f t="shared" si="1"/>
        <v>-2.9999692675364738E-3</v>
      </c>
      <c r="AY8" s="34">
        <f t="shared" si="2"/>
        <v>1.9525804391235208E-2</v>
      </c>
      <c r="AZ8" s="34">
        <f t="shared" si="3"/>
        <v>-2.2525773658771682E-2</v>
      </c>
      <c r="BA8" s="34">
        <f t="shared" si="4"/>
        <v>0.93056388600692019</v>
      </c>
      <c r="BB8" s="34">
        <f t="shared" si="5"/>
        <v>-0.81390286589916938</v>
      </c>
      <c r="BC8" s="34">
        <f t="shared" si="6"/>
        <v>-2.7296092401278225</v>
      </c>
      <c r="BD8" s="34">
        <f t="shared" si="7"/>
        <v>-4.7857054402789503</v>
      </c>
      <c r="BE8" s="34">
        <f t="shared" si="8"/>
        <v>9.8682399775753105</v>
      </c>
      <c r="BF8" s="34">
        <f t="shared" si="8"/>
        <v>9.8682399811209898</v>
      </c>
      <c r="BG8" s="34">
        <f t="shared" si="8"/>
        <v>9.8682399293189622</v>
      </c>
      <c r="BH8" s="34">
        <f t="shared" si="8"/>
        <v>9.8682406861417427</v>
      </c>
      <c r="BI8" s="34">
        <f t="shared" si="8"/>
        <v>9.8682296290586287</v>
      </c>
      <c r="BJ8" s="34">
        <f t="shared" si="8"/>
        <v>9.8683911773903681</v>
      </c>
      <c r="BK8" s="34">
        <f t="shared" si="8"/>
        <v>9.8660321222535572</v>
      </c>
      <c r="BL8" s="34">
        <f t="shared" si="9"/>
        <v>9.9007533163968269</v>
      </c>
    </row>
    <row r="9" spans="1:64" ht="12.95" customHeight="1">
      <c r="A9" s="249" t="s">
        <v>141</v>
      </c>
      <c r="B9" s="34"/>
      <c r="C9" s="250">
        <v>137</v>
      </c>
      <c r="D9" s="249" t="str">
        <f>"F"&amp;C9</f>
        <v>F137</v>
      </c>
      <c r="E9" s="249" t="str">
        <f>"G"&amp;C9</f>
        <v>G137</v>
      </c>
      <c r="V9" s="227">
        <v>27000</v>
      </c>
      <c r="W9" s="227">
        <f t="shared" si="0"/>
        <v>2.4344916815602011E-4</v>
      </c>
      <c r="Y9" s="34">
        <f>AB9+180</f>
        <v>281.91606541580086</v>
      </c>
      <c r="Z9" s="34">
        <f>Y9/AD9</f>
        <v>28.191606541580086</v>
      </c>
      <c r="AA9" s="251" t="s">
        <v>3</v>
      </c>
      <c r="AB9" s="248">
        <f t="shared" si="10"/>
        <v>101.91606541580086</v>
      </c>
      <c r="AC9" s="243">
        <v>10.191606541580086</v>
      </c>
      <c r="AD9" s="34">
        <v>10</v>
      </c>
      <c r="AE9" s="237" t="s">
        <v>53</v>
      </c>
      <c r="AF9" s="243">
        <v>8.5927166629053513</v>
      </c>
      <c r="AG9" s="243">
        <v>8.9699556513736702</v>
      </c>
      <c r="AH9" s="243">
        <v>8.991796231214666</v>
      </c>
      <c r="AI9" s="243">
        <v>9.0969681662837516</v>
      </c>
      <c r="AJ9" s="243">
        <v>10.191606541580086</v>
      </c>
      <c r="AK9" s="243">
        <v>27.042609059609326</v>
      </c>
      <c r="AL9" s="243"/>
      <c r="AM9" s="243"/>
      <c r="AO9" s="34">
        <f t="shared" si="11"/>
        <v>12.147608718827806</v>
      </c>
      <c r="AP9" s="34">
        <f t="shared" si="12"/>
        <v>7.3169293621497049</v>
      </c>
      <c r="AW9" s="34">
        <v>-1500</v>
      </c>
      <c r="AX9" s="34">
        <f t="shared" si="1"/>
        <v>-2.3173509410837068E-3</v>
      </c>
      <c r="AY9" s="34">
        <f t="shared" si="2"/>
        <v>1.9585455116877055E-2</v>
      </c>
      <c r="AZ9" s="34">
        <f t="shared" si="3"/>
        <v>-2.1902806057960762E-2</v>
      </c>
      <c r="BA9" s="34">
        <f t="shared" si="4"/>
        <v>0.93160752916373513</v>
      </c>
      <c r="BB9" s="34">
        <f t="shared" si="5"/>
        <v>-0.79420260808981158</v>
      </c>
      <c r="BC9" s="34">
        <f t="shared" si="6"/>
        <v>-2.6964651053513613</v>
      </c>
      <c r="BD9" s="34">
        <f t="shared" si="7"/>
        <v>-4.4186601105326302</v>
      </c>
      <c r="BE9" s="34">
        <f t="shared" si="8"/>
        <v>9.9037351709290267</v>
      </c>
      <c r="BF9" s="34">
        <f t="shared" si="8"/>
        <v>9.9037351743465365</v>
      </c>
      <c r="BG9" s="34">
        <f t="shared" si="8"/>
        <v>9.9037351235283886</v>
      </c>
      <c r="BH9" s="34">
        <f t="shared" si="8"/>
        <v>9.903735879191192</v>
      </c>
      <c r="BI9" s="34">
        <f t="shared" si="8"/>
        <v>9.903724642561313</v>
      </c>
      <c r="BJ9" s="34">
        <f t="shared" si="8"/>
        <v>9.9038917368799133</v>
      </c>
      <c r="BK9" s="34">
        <f t="shared" si="8"/>
        <v>9.9014084519773409</v>
      </c>
      <c r="BL9" s="34">
        <f t="shared" si="9"/>
        <v>9.9386570493164221</v>
      </c>
    </row>
    <row r="10" spans="1:64" ht="12.95" customHeight="1" thickBot="1">
      <c r="B10" s="34"/>
      <c r="C10" s="252" t="s">
        <v>75</v>
      </c>
      <c r="D10" s="252" t="s">
        <v>76</v>
      </c>
      <c r="V10" s="227">
        <v>28000</v>
      </c>
      <c r="W10" s="227">
        <f t="shared" si="0"/>
        <v>-1.246944108513004E-3</v>
      </c>
      <c r="Y10" s="253"/>
      <c r="AA10" s="254" t="s">
        <v>50</v>
      </c>
      <c r="AB10" s="255">
        <f t="shared" si="10"/>
        <v>8554.4226490658821</v>
      </c>
      <c r="AC10" s="256">
        <v>0.85544226490658826</v>
      </c>
      <c r="AD10" s="34">
        <v>10000</v>
      </c>
      <c r="AE10" s="237" t="s">
        <v>49</v>
      </c>
      <c r="AF10" s="256">
        <v>0.4027032359528579</v>
      </c>
      <c r="AG10" s="256">
        <v>0.40024269836718385</v>
      </c>
      <c r="AH10" s="256">
        <v>0.7419866081083204</v>
      </c>
      <c r="AI10" s="256">
        <v>0.82325379284440958</v>
      </c>
      <c r="AJ10" s="256">
        <v>0.85544226490658826</v>
      </c>
      <c r="AK10" s="256">
        <v>3.4202358580332932</v>
      </c>
      <c r="AL10" s="256"/>
      <c r="AM10" s="256"/>
      <c r="AO10" s="34">
        <f t="shared" si="11"/>
        <v>1.1073107430354423</v>
      </c>
      <c r="AP10" s="34">
        <f t="shared" si="12"/>
        <v>1.1509671890373745</v>
      </c>
      <c r="AW10" s="34">
        <v>-1000</v>
      </c>
      <c r="AX10" s="34">
        <f t="shared" si="1"/>
        <v>-1.6201258804816182E-3</v>
      </c>
      <c r="AY10" s="34">
        <f t="shared" si="2"/>
        <v>1.9631347767921019E-2</v>
      </c>
      <c r="AZ10" s="34">
        <f t="shared" si="3"/>
        <v>-2.1251473648402637E-2</v>
      </c>
      <c r="BA10" s="34">
        <f t="shared" si="4"/>
        <v>0.93272898671096938</v>
      </c>
      <c r="BB10" s="34">
        <f t="shared" si="5"/>
        <v>-0.77358110310067674</v>
      </c>
      <c r="BC10" s="34">
        <f t="shared" si="6"/>
        <v>-2.6632438500952866</v>
      </c>
      <c r="BD10" s="34">
        <f t="shared" si="7"/>
        <v>-4.1010189391894913</v>
      </c>
      <c r="BE10" s="34">
        <f t="shared" si="8"/>
        <v>9.9392716354939399</v>
      </c>
      <c r="BF10" s="34">
        <f t="shared" si="8"/>
        <v>9.9392716387361926</v>
      </c>
      <c r="BG10" s="34">
        <f t="shared" si="8"/>
        <v>9.9392715895862569</v>
      </c>
      <c r="BH10" s="34">
        <f t="shared" si="8"/>
        <v>9.9392723346596537</v>
      </c>
      <c r="BI10" s="34">
        <f t="shared" si="8"/>
        <v>9.9392610399814334</v>
      </c>
      <c r="BJ10" s="34">
        <f t="shared" si="8"/>
        <v>9.9394322654253564</v>
      </c>
      <c r="BK10" s="34">
        <f t="shared" si="8"/>
        <v>9.9368382900923109</v>
      </c>
      <c r="BL10" s="34">
        <f t="shared" si="9"/>
        <v>9.9765607822360156</v>
      </c>
    </row>
    <row r="11" spans="1:64" ht="12.95" customHeight="1">
      <c r="A11" s="34" t="s">
        <v>71</v>
      </c>
      <c r="B11" s="34"/>
      <c r="C11" s="257">
        <f ca="1">INTERCEPT(INDIRECT(E9):G998,INDIRECT(D9):$F998)</f>
        <v>0.14136421047175263</v>
      </c>
      <c r="D11" s="258">
        <f>AB3</f>
        <v>1.9681858846215282E-2</v>
      </c>
      <c r="E11" s="259"/>
      <c r="V11" s="227">
        <v>29000</v>
      </c>
      <c r="W11" s="227">
        <f t="shared" si="0"/>
        <v>-2.7923696835735756E-3</v>
      </c>
      <c r="AA11" s="260" t="s">
        <v>4</v>
      </c>
      <c r="AB11" s="261">
        <f>1-AB7^2</f>
        <v>0.99425792964589943</v>
      </c>
      <c r="AC11" s="261">
        <f>SUM(AE21:AE21944)</f>
        <v>1.0986130140396635E-2</v>
      </c>
      <c r="AD11" s="260" t="s">
        <v>5</v>
      </c>
      <c r="AE11" s="237"/>
      <c r="AF11" s="261">
        <v>3.9406609971188728E-4</v>
      </c>
      <c r="AG11" s="261">
        <v>3.9437257572203394E-4</v>
      </c>
      <c r="AH11" s="261">
        <v>4.0455813773082594E-4</v>
      </c>
      <c r="AI11" s="261">
        <v>3.9456653189068178E-4</v>
      </c>
      <c r="AJ11" s="261">
        <v>3.9517393172786019E-4</v>
      </c>
      <c r="AK11" s="261">
        <v>2.6609360092604711E-4</v>
      </c>
      <c r="AL11" s="261"/>
      <c r="AM11" s="261"/>
      <c r="AW11" s="34">
        <v>-500</v>
      </c>
      <c r="AX11" s="34">
        <f t="shared" si="1"/>
        <v>-9.0896409703595735E-4</v>
      </c>
      <c r="AY11" s="34">
        <f t="shared" si="2"/>
        <v>1.9663482344367093E-2</v>
      </c>
      <c r="AZ11" s="34">
        <f t="shared" si="3"/>
        <v>-2.0572446441403051E-2</v>
      </c>
      <c r="BA11" s="34">
        <f t="shared" si="4"/>
        <v>0.93392775096603597</v>
      </c>
      <c r="BB11" s="34">
        <f t="shared" si="5"/>
        <v>-0.75205137714730663</v>
      </c>
      <c r="BC11" s="34">
        <f t="shared" si="6"/>
        <v>-2.6299398494156683</v>
      </c>
      <c r="BD11" s="34">
        <f t="shared" si="7"/>
        <v>-3.8232508205672175</v>
      </c>
      <c r="BE11" s="34">
        <f t="shared" si="8"/>
        <v>9.9748523282377324</v>
      </c>
      <c r="BF11" s="34">
        <f t="shared" si="8"/>
        <v>9.9748523312662982</v>
      </c>
      <c r="BG11" s="34">
        <f t="shared" si="8"/>
        <v>9.9748522843832816</v>
      </c>
      <c r="BH11" s="34">
        <f t="shared" si="8"/>
        <v>9.9748530101453952</v>
      </c>
      <c r="BI11" s="34">
        <f t="shared" si="8"/>
        <v>9.9748417751823659</v>
      </c>
      <c r="BJ11" s="34">
        <f t="shared" si="8"/>
        <v>9.9750157036488929</v>
      </c>
      <c r="BK11" s="34">
        <f t="shared" si="8"/>
        <v>9.9723251904002392</v>
      </c>
      <c r="BL11" s="34">
        <f t="shared" si="9"/>
        <v>10.014464515155611</v>
      </c>
    </row>
    <row r="12" spans="1:64" ht="12.95" customHeight="1">
      <c r="A12" s="34" t="s">
        <v>72</v>
      </c>
      <c r="B12" s="34"/>
      <c r="C12" s="257">
        <f ca="1">SLOPE(INDIRECT(E9):G998,INDIRECT(D9):$F998)</f>
        <v>-3.6282440240965053E-6</v>
      </c>
      <c r="D12" s="258">
        <f>AB4</f>
        <v>2.2994929098491028E-8</v>
      </c>
      <c r="E12" s="262"/>
      <c r="F12" s="244"/>
      <c r="V12" s="227">
        <v>30000</v>
      </c>
      <c r="W12" s="227">
        <f t="shared" si="0"/>
        <v>-4.3928275570256914E-3</v>
      </c>
      <c r="AA12" s="263" t="s">
        <v>44</v>
      </c>
      <c r="AB12" s="261">
        <f>AB7*SIN(RADIANS(AB9))</f>
        <v>7.414355285640721E-2</v>
      </c>
      <c r="AE12" s="237"/>
      <c r="AF12" s="34">
        <v>2.6877782393017684E-4</v>
      </c>
      <c r="AG12" s="34">
        <v>2.6952421002831428E-4</v>
      </c>
      <c r="AH12" s="34">
        <v>2.8384602647940887E-4</v>
      </c>
      <c r="AI12" s="34">
        <v>2.6935581550314178E-4</v>
      </c>
      <c r="AJ12" s="34">
        <v>2.6988426184073987E-4</v>
      </c>
      <c r="AW12" s="34">
        <v>0</v>
      </c>
      <c r="AX12" s="34">
        <f t="shared" si="1"/>
        <v>-1.8456720047539329E-4</v>
      </c>
      <c r="AY12" s="34">
        <f t="shared" si="2"/>
        <v>1.9681858846215282E-2</v>
      </c>
      <c r="AZ12" s="34">
        <f t="shared" si="3"/>
        <v>-1.9866426046690675E-2</v>
      </c>
      <c r="BA12" s="34">
        <f t="shared" si="4"/>
        <v>0.93520326376184693</v>
      </c>
      <c r="BB12" s="34">
        <f t="shared" si="5"/>
        <v>-0.72962716876272793</v>
      </c>
      <c r="BC12" s="34">
        <f t="shared" si="6"/>
        <v>-2.5965474957934287</v>
      </c>
      <c r="BD12" s="34">
        <f t="shared" si="7"/>
        <v>-3.5781268891105285</v>
      </c>
      <c r="BE12" s="34">
        <f t="shared" si="8"/>
        <v>10.010480185820734</v>
      </c>
      <c r="BF12" s="34">
        <f t="shared" si="8"/>
        <v>10.010480188606349</v>
      </c>
      <c r="BG12" s="34">
        <f t="shared" si="8"/>
        <v>10.0104801444927</v>
      </c>
      <c r="BH12" s="34">
        <f t="shared" si="8"/>
        <v>10.010480843086746</v>
      </c>
      <c r="BI12" s="34">
        <f t="shared" si="8"/>
        <v>10.010469780026618</v>
      </c>
      <c r="BJ12" s="34">
        <f t="shared" si="8"/>
        <v>10.010644986162676</v>
      </c>
      <c r="BK12" s="34">
        <f t="shared" si="8"/>
        <v>10.007872624731851</v>
      </c>
      <c r="BL12" s="34">
        <f t="shared" si="9"/>
        <v>10.052368248075206</v>
      </c>
    </row>
    <row r="13" spans="1:64" ht="12.95" customHeight="1" thickBot="1">
      <c r="A13" s="34" t="s">
        <v>74</v>
      </c>
      <c r="B13" s="34"/>
      <c r="C13" s="232" t="s">
        <v>69</v>
      </c>
      <c r="D13" s="258">
        <f>AB5</f>
        <v>-2.7516149195773003E-11</v>
      </c>
      <c r="E13" s="264"/>
      <c r="F13" s="244"/>
      <c r="V13" s="227">
        <v>31000</v>
      </c>
      <c r="W13" s="227">
        <f t="shared" si="0"/>
        <v>-6.0483177288693547E-3</v>
      </c>
      <c r="AA13" s="265" t="s">
        <v>6</v>
      </c>
      <c r="AB13" s="266">
        <f>AB6*86400*300000/149600000</f>
        <v>4.9063694353398173</v>
      </c>
      <c r="AC13" s="34" t="s">
        <v>18</v>
      </c>
      <c r="AE13" s="237"/>
      <c r="AL13" s="232"/>
      <c r="AW13" s="34">
        <v>500</v>
      </c>
      <c r="AX13" s="34">
        <f t="shared" si="1"/>
        <v>5.5233143972358012E-4</v>
      </c>
      <c r="AY13" s="34">
        <f t="shared" si="2"/>
        <v>1.9686477273465584E-2</v>
      </c>
      <c r="AZ13" s="34">
        <f t="shared" si="3"/>
        <v>-1.9134145833742004E-2</v>
      </c>
      <c r="BA13" s="34">
        <f t="shared" si="4"/>
        <v>0.93655491346543163</v>
      </c>
      <c r="BB13" s="34">
        <f t="shared" si="5"/>
        <v>-0.70632296933636218</v>
      </c>
      <c r="BC13" s="34">
        <f t="shared" si="6"/>
        <v>-2.5630612016867325</v>
      </c>
      <c r="BD13" s="34">
        <f t="shared" si="7"/>
        <v>-3.3600648860312381</v>
      </c>
      <c r="BE13" s="34">
        <f t="shared" si="8"/>
        <v>10.046158122615154</v>
      </c>
      <c r="BF13" s="34">
        <f t="shared" si="8"/>
        <v>10.046158125137866</v>
      </c>
      <c r="BG13" s="34">
        <f t="shared" si="8"/>
        <v>10.046158084192696</v>
      </c>
      <c r="BH13" s="34">
        <f t="shared" si="8"/>
        <v>10.046158748757781</v>
      </c>
      <c r="BI13" s="34">
        <f t="shared" si="8"/>
        <v>10.046147962500607</v>
      </c>
      <c r="BJ13" s="34">
        <f t="shared" si="8"/>
        <v>10.046323039690144</v>
      </c>
      <c r="BK13" s="34">
        <f t="shared" si="8"/>
        <v>10.043483977959479</v>
      </c>
      <c r="BL13" s="34">
        <f t="shared" si="9"/>
        <v>10.0902719809948</v>
      </c>
    </row>
    <row r="14" spans="1:64" ht="12.95" customHeight="1">
      <c r="A14" s="34" t="s">
        <v>79</v>
      </c>
      <c r="B14" s="34"/>
      <c r="V14" s="227">
        <v>32000</v>
      </c>
      <c r="W14" s="227">
        <f t="shared" si="0"/>
        <v>-7.7588401991045622E-3</v>
      </c>
      <c r="AA14" s="265" t="s">
        <v>45</v>
      </c>
      <c r="AB14" s="261">
        <f>2*AB5*365.24/C8</f>
        <v>-6.0926900627645585E-8</v>
      </c>
      <c r="AC14" s="34" t="s">
        <v>237</v>
      </c>
      <c r="AE14" s="237"/>
      <c r="AF14" s="34">
        <v>-7.5462944825168976E-8</v>
      </c>
      <c r="AG14" s="34">
        <f>$AB14</f>
        <v>-6.0926900627645585E-8</v>
      </c>
      <c r="AH14" s="34">
        <v>-6.5509239640395595E-8</v>
      </c>
      <c r="AI14" s="34">
        <v>-7.5400545577603789E-8</v>
      </c>
      <c r="AJ14" s="34">
        <v>-6.0926900627645585E-8</v>
      </c>
      <c r="AK14" s="34">
        <v>-6.0926900627645585E-8</v>
      </c>
      <c r="AO14" s="34">
        <f t="shared" si="11"/>
        <v>-6.6525571987684186E-8</v>
      </c>
      <c r="AP14" s="34">
        <f t="shared" si="12"/>
        <v>7.1233430900283887E-9</v>
      </c>
      <c r="AW14" s="34">
        <v>1000</v>
      </c>
      <c r="AX14" s="34">
        <f t="shared" si="1"/>
        <v>1.3009665328145431E-3</v>
      </c>
      <c r="AY14" s="34">
        <f t="shared" si="2"/>
        <v>1.9677337626118001E-2</v>
      </c>
      <c r="AZ14" s="34">
        <f t="shared" si="3"/>
        <v>-1.8376371093303458E-2</v>
      </c>
      <c r="BA14" s="34">
        <f t="shared" si="4"/>
        <v>0.93798203179657191</v>
      </c>
      <c r="BB14" s="34">
        <f t="shared" si="5"/>
        <v>-0.68215406576446602</v>
      </c>
      <c r="BC14" s="34">
        <f t="shared" si="6"/>
        <v>-2.5294754023630821</v>
      </c>
      <c r="BD14" s="34">
        <f t="shared" si="7"/>
        <v>-3.1646855048995239</v>
      </c>
      <c r="BE14" s="34">
        <f t="shared" si="8"/>
        <v>10.081889028606851</v>
      </c>
      <c r="BF14" s="34">
        <f t="shared" si="8"/>
        <v>10.081889030855788</v>
      </c>
      <c r="BG14" s="34">
        <f t="shared" si="8"/>
        <v>10.08188899337148</v>
      </c>
      <c r="BH14" s="34">
        <f t="shared" si="8"/>
        <v>10.081889618143652</v>
      </c>
      <c r="BI14" s="34">
        <f t="shared" si="8"/>
        <v>10.081879204751656</v>
      </c>
      <c r="BJ14" s="34">
        <f t="shared" si="8"/>
        <v>10.082052780918335</v>
      </c>
      <c r="BK14" s="34">
        <f t="shared" si="8"/>
        <v>10.079162543134624</v>
      </c>
      <c r="BL14" s="34">
        <f t="shared" si="9"/>
        <v>10.128175713914395</v>
      </c>
    </row>
    <row r="15" spans="1:64" ht="12.95" customHeight="1">
      <c r="A15" s="267" t="s">
        <v>73</v>
      </c>
      <c r="B15" s="34"/>
      <c r="C15" s="268">
        <f ca="1">(C7+C11)+(C8+C12)*INT(MAX(F21:F3526))</f>
        <v>60345.479866580172</v>
      </c>
      <c r="D15" s="261">
        <f>+C7+INT(MAX(F21:F1581))*C8+D11+D12*INT(MAX(F21:F4016))+D13*INT(MAX(F21:F4043)^2)</f>
        <v>60345.469893400164</v>
      </c>
      <c r="E15" s="257"/>
      <c r="F15" s="250"/>
      <c r="V15" s="227">
        <v>33000</v>
      </c>
      <c r="W15" s="227">
        <f t="shared" si="0"/>
        <v>-9.5243949677313172E-3</v>
      </c>
      <c r="AA15" s="263" t="s">
        <v>7</v>
      </c>
      <c r="AB15" s="269">
        <f>(AB10-AB2)/AD2</f>
        <v>-109139.61117553199</v>
      </c>
      <c r="AC15" s="34" t="s">
        <v>51</v>
      </c>
      <c r="AE15" s="237"/>
      <c r="AW15" s="34">
        <v>1500</v>
      </c>
      <c r="AX15" s="34">
        <f t="shared" si="1"/>
        <v>2.060540708162046E-3</v>
      </c>
      <c r="AY15" s="34">
        <f t="shared" si="2"/>
        <v>1.9654439904172528E-2</v>
      </c>
      <c r="AZ15" s="34">
        <f t="shared" si="3"/>
        <v>-1.7593899196010482E-2</v>
      </c>
      <c r="BA15" s="34">
        <f t="shared" si="4"/>
        <v>0.93948389044825775</v>
      </c>
      <c r="BB15" s="34">
        <f t="shared" si="5"/>
        <v>-0.65713658514288065</v>
      </c>
      <c r="BC15" s="34">
        <f t="shared" si="6"/>
        <v>-2.495784559031796</v>
      </c>
      <c r="BD15" s="34">
        <f t="shared" si="7"/>
        <v>-2.9885048448172133</v>
      </c>
      <c r="BE15" s="34">
        <f t="shared" si="8"/>
        <v>10.117675767172015</v>
      </c>
      <c r="BF15" s="34">
        <f t="shared" si="8"/>
        <v>10.117675769144821</v>
      </c>
      <c r="BG15" s="34">
        <f t="shared" si="8"/>
        <v>10.117675735307275</v>
      </c>
      <c r="BH15" s="34">
        <f t="shared" si="8"/>
        <v>10.117676315688719</v>
      </c>
      <c r="BI15" s="34">
        <f t="shared" si="8"/>
        <v>10.117666361027354</v>
      </c>
      <c r="BJ15" s="34">
        <f t="shared" si="8"/>
        <v>10.11783711407141</v>
      </c>
      <c r="BK15" s="34">
        <f t="shared" si="8"/>
        <v>10.114911516757413</v>
      </c>
      <c r="BL15" s="34">
        <f t="shared" si="9"/>
        <v>10.16607944683399</v>
      </c>
    </row>
    <row r="16" spans="1:64" ht="12.95" customHeight="1">
      <c r="A16" s="238" t="s">
        <v>60</v>
      </c>
      <c r="B16" s="34"/>
      <c r="C16" s="270">
        <f ca="1">+C8+C12</f>
        <v>0.32989985375597591</v>
      </c>
      <c r="D16" s="261">
        <f>+C8+D12+2*D13*MAX(F21:F889)</f>
        <v>0.32990087175448335</v>
      </c>
      <c r="E16" s="257"/>
      <c r="F16" s="271"/>
      <c r="V16" s="227">
        <v>34000</v>
      </c>
      <c r="W16" s="227">
        <f t="shared" si="0"/>
        <v>-1.1344982034749616E-2</v>
      </c>
      <c r="AA16" s="260" t="s">
        <v>8</v>
      </c>
      <c r="AB16" s="269">
        <f>365.24*AB8</f>
        <v>27343.378417546708</v>
      </c>
      <c r="AC16" s="34" t="s">
        <v>21</v>
      </c>
      <c r="AD16" s="261"/>
      <c r="AE16" s="237"/>
      <c r="AW16" s="34">
        <v>2000</v>
      </c>
      <c r="AX16" s="34">
        <f t="shared" si="1"/>
        <v>2.8302243628622707E-3</v>
      </c>
      <c r="AY16" s="34">
        <f t="shared" si="2"/>
        <v>1.9617784107629172E-2</v>
      </c>
      <c r="AZ16" s="34">
        <f t="shared" si="3"/>
        <v>-1.6787559744766901E-2</v>
      </c>
      <c r="BA16" s="34">
        <f t="shared" si="4"/>
        <v>0.94105969751160168</v>
      </c>
      <c r="BB16" s="34">
        <f t="shared" si="5"/>
        <v>-0.6312875414193645</v>
      </c>
      <c r="BC16" s="34">
        <f t="shared" si="6"/>
        <v>-2.461983162297757</v>
      </c>
      <c r="BD16" s="34">
        <f t="shared" si="7"/>
        <v>-2.8287166253559595</v>
      </c>
      <c r="BE16" s="34">
        <f t="shared" si="8"/>
        <v>10.153521172721279</v>
      </c>
      <c r="BF16" s="34">
        <f t="shared" si="8"/>
        <v>10.153521174423268</v>
      </c>
      <c r="BG16" s="34">
        <f t="shared" si="8"/>
        <v>10.153521144315595</v>
      </c>
      <c r="BH16" s="34">
        <f t="shared" si="8"/>
        <v>10.153521676910827</v>
      </c>
      <c r="BI16" s="34">
        <f t="shared" si="8"/>
        <v>10.153512255507037</v>
      </c>
      <c r="BJ16" s="34">
        <f t="shared" si="8"/>
        <v>10.153678928197088</v>
      </c>
      <c r="BK16" s="34">
        <f t="shared" si="8"/>
        <v>10.15073399418476</v>
      </c>
      <c r="BL16" s="34">
        <f t="shared" si="9"/>
        <v>10.203983179753584</v>
      </c>
    </row>
    <row r="17" spans="1:86" ht="12.95" customHeight="1" thickBot="1">
      <c r="A17" s="257" t="s">
        <v>113</v>
      </c>
      <c r="B17" s="34"/>
      <c r="C17" s="34">
        <f>COUNT(C21:C4732)</f>
        <v>188</v>
      </c>
      <c r="E17" s="257"/>
      <c r="F17" s="271"/>
      <c r="V17" s="227">
        <v>35000</v>
      </c>
      <c r="W17" s="227">
        <f t="shared" si="0"/>
        <v>-1.322060140015946E-2</v>
      </c>
      <c r="AA17" s="260" t="s">
        <v>9</v>
      </c>
      <c r="AB17" s="272">
        <f>AB13^3/AB8^2</f>
        <v>2.107332480599133E-2</v>
      </c>
      <c r="AC17" s="246" t="s">
        <v>10</v>
      </c>
      <c r="AE17" s="237"/>
      <c r="AW17" s="34">
        <v>2500</v>
      </c>
      <c r="AX17" s="34">
        <f t="shared" si="1"/>
        <v>3.609155519185038E-3</v>
      </c>
      <c r="AY17" s="34">
        <f t="shared" si="2"/>
        <v>1.9567370236487927E-2</v>
      </c>
      <c r="AZ17" s="34">
        <f t="shared" si="3"/>
        <v>-1.5958214717302889E-2</v>
      </c>
      <c r="BA17" s="34">
        <f t="shared" si="4"/>
        <v>0.94270859370883431</v>
      </c>
      <c r="BB17" s="34">
        <f t="shared" si="5"/>
        <v>-0.60462488390740543</v>
      </c>
      <c r="BC17" s="34">
        <f t="shared" si="6"/>
        <v>-2.428065735957591</v>
      </c>
      <c r="BD17" s="34">
        <f t="shared" si="7"/>
        <v>-2.6830350164171453</v>
      </c>
      <c r="BE17" s="34">
        <f t="shared" si="8"/>
        <v>10.189428048203858</v>
      </c>
      <c r="BF17" s="34">
        <f t="shared" si="8"/>
        <v>10.189428049646954</v>
      </c>
      <c r="BG17" s="34">
        <f t="shared" si="8"/>
        <v>10.189428023256321</v>
      </c>
      <c r="BH17" s="34">
        <f t="shared" si="8"/>
        <v>10.189428505875206</v>
      </c>
      <c r="BI17" s="34">
        <f t="shared" si="8"/>
        <v>10.189419680014765</v>
      </c>
      <c r="BJ17" s="34">
        <f t="shared" si="8"/>
        <v>10.189581094159259</v>
      </c>
      <c r="BK17" s="34">
        <f t="shared" si="8"/>
        <v>10.186632965183827</v>
      </c>
      <c r="BL17" s="34">
        <f t="shared" si="9"/>
        <v>10.241886912673179</v>
      </c>
    </row>
    <row r="18" spans="1:86" ht="12.95" customHeight="1" thickTop="1" thickBot="1">
      <c r="A18" s="238" t="s">
        <v>147</v>
      </c>
      <c r="B18" s="34"/>
      <c r="C18" s="273">
        <f ca="1">+C15</f>
        <v>60345.479866580172</v>
      </c>
      <c r="D18" s="274">
        <f ca="1">C16</f>
        <v>0.32989985375597591</v>
      </c>
      <c r="E18" s="257"/>
      <c r="F18" s="261"/>
      <c r="P18" s="238" t="s">
        <v>14</v>
      </c>
      <c r="Q18" s="275">
        <f>MAX(Q21:Q1606)-MIN(Q21:Q193)</f>
        <v>15824.768300000003</v>
      </c>
      <c r="R18" s="238" t="s">
        <v>16</v>
      </c>
      <c r="S18" s="34">
        <f>Q18/365.24</f>
        <v>43.327040576059588</v>
      </c>
      <c r="T18" s="34" t="s">
        <v>22</v>
      </c>
      <c r="V18" s="227">
        <v>36000</v>
      </c>
      <c r="W18" s="227">
        <f t="shared" si="0"/>
        <v>-1.5151253063960854E-2</v>
      </c>
      <c r="AA18" s="276" t="s">
        <v>11</v>
      </c>
      <c r="AB18" s="277">
        <f>2*PI()/(AB8*365.2422)*AD2</f>
        <v>7.5807465839189422E-5</v>
      </c>
      <c r="AC18" s="278" t="s">
        <v>43</v>
      </c>
      <c r="AD18" s="278"/>
      <c r="AE18" s="279"/>
      <c r="AH18" s="232" t="s">
        <v>765</v>
      </c>
      <c r="AW18" s="34">
        <v>3000</v>
      </c>
      <c r="AX18" s="34">
        <f t="shared" si="1"/>
        <v>4.39643969567537E-3</v>
      </c>
      <c r="AY18" s="34">
        <f t="shared" si="2"/>
        <v>1.9503198290748799E-2</v>
      </c>
      <c r="AZ18" s="34">
        <f t="shared" si="3"/>
        <v>-1.5106758595073429E-2</v>
      </c>
      <c r="BA18" s="34">
        <f t="shared" si="4"/>
        <v>0.94442964843914134</v>
      </c>
      <c r="BB18" s="34">
        <f t="shared" si="5"/>
        <v>-0.57716754754593269</v>
      </c>
      <c r="BC18" s="34">
        <f t="shared" si="6"/>
        <v>-2.3940268411595982</v>
      </c>
      <c r="BD18" s="34">
        <f t="shared" si="7"/>
        <v>-2.5495792730846905</v>
      </c>
      <c r="BE18" s="34">
        <f t="shared" ref="BE18:BK33" si="13">$BL18+$AB$7*SIN(BF18)</f>
        <v>10.225399162464489</v>
      </c>
      <c r="BF18" s="34">
        <f t="shared" si="13"/>
        <v>10.225399163665985</v>
      </c>
      <c r="BG18" s="34">
        <f t="shared" si="13"/>
        <v>10.225399140893195</v>
      </c>
      <c r="BH18" s="34">
        <f t="shared" si="13"/>
        <v>10.22539957252161</v>
      </c>
      <c r="BI18" s="34">
        <f t="shared" si="13"/>
        <v>10.22539139160277</v>
      </c>
      <c r="BJ18" s="34">
        <f t="shared" si="13"/>
        <v>10.225546461331586</v>
      </c>
      <c r="BK18" s="34">
        <f t="shared" si="13"/>
        <v>10.222611309637152</v>
      </c>
      <c r="BL18" s="34">
        <f t="shared" si="9"/>
        <v>10.279790645592774</v>
      </c>
    </row>
    <row r="19" spans="1:86" ht="12.95" customHeight="1" thickBot="1">
      <c r="A19" s="238" t="s">
        <v>148</v>
      </c>
      <c r="B19" s="34"/>
      <c r="C19" s="280">
        <f>+D15</f>
        <v>60345.469893400164</v>
      </c>
      <c r="D19" s="281">
        <f>+D16</f>
        <v>0.32990087175448335</v>
      </c>
      <c r="E19" s="257"/>
      <c r="F19" s="282"/>
      <c r="P19" s="238" t="s">
        <v>15</v>
      </c>
      <c r="Q19" s="283">
        <f>Q18/AB16</f>
        <v>0.57874224824555631</v>
      </c>
      <c r="R19" s="238"/>
      <c r="V19" s="227">
        <v>37000</v>
      </c>
      <c r="W19" s="227">
        <f t="shared" si="0"/>
        <v>-1.7136937026153792E-2</v>
      </c>
      <c r="AA19" s="284"/>
      <c r="AC19" s="284"/>
      <c r="AE19" s="34">
        <f>COUNT(AE21:AE2598)</f>
        <v>188</v>
      </c>
      <c r="AH19" s="232" t="s">
        <v>766</v>
      </c>
      <c r="AW19" s="34">
        <v>3500</v>
      </c>
      <c r="AX19" s="34">
        <f t="shared" si="1"/>
        <v>5.1911497960206703E-3</v>
      </c>
      <c r="AY19" s="34">
        <f t="shared" si="2"/>
        <v>1.9425268270411782E-2</v>
      </c>
      <c r="AZ19" s="34">
        <f t="shared" si="3"/>
        <v>-1.4234118474391112E-2</v>
      </c>
      <c r="BA19" s="34">
        <f t="shared" si="4"/>
        <v>0.94622185564341876</v>
      </c>
      <c r="BB19" s="34">
        <f t="shared" si="5"/>
        <v>-0.54893550476964836</v>
      </c>
      <c r="BC19" s="34">
        <f t="shared" si="6"/>
        <v>-2.3598610809488063</v>
      </c>
      <c r="BD19" s="34">
        <f t="shared" si="7"/>
        <v>-2.4267877532972726</v>
      </c>
      <c r="BE19" s="34">
        <f t="shared" si="13"/>
        <v>10.261437247446141</v>
      </c>
      <c r="BF19" s="34">
        <f t="shared" si="13"/>
        <v>10.261437248427384</v>
      </c>
      <c r="BG19" s="34">
        <f t="shared" si="13"/>
        <v>10.261437229098675</v>
      </c>
      <c r="BH19" s="34">
        <f t="shared" si="13"/>
        <v>10.261437609838589</v>
      </c>
      <c r="BI19" s="34">
        <f t="shared" si="13"/>
        <v>10.261430109994294</v>
      </c>
      <c r="BJ19" s="34">
        <f t="shared" si="13"/>
        <v>10.261577853988811</v>
      </c>
      <c r="BK19" s="34">
        <f t="shared" si="13"/>
        <v>10.258671793405641</v>
      </c>
      <c r="BL19" s="34">
        <f t="shared" si="9"/>
        <v>10.317694378512369</v>
      </c>
    </row>
    <row r="20" spans="1:86" ht="12.95" customHeight="1" thickBot="1">
      <c r="A20" s="252" t="s">
        <v>61</v>
      </c>
      <c r="B20" s="252" t="s">
        <v>62</v>
      </c>
      <c r="C20" s="336" t="s">
        <v>63</v>
      </c>
      <c r="D20" s="337" t="s">
        <v>68</v>
      </c>
      <c r="E20" s="252" t="s">
        <v>64</v>
      </c>
      <c r="F20" s="252" t="s">
        <v>65</v>
      </c>
      <c r="G20" s="252" t="s">
        <v>66</v>
      </c>
      <c r="H20" s="285" t="s">
        <v>263</v>
      </c>
      <c r="I20" s="285" t="s">
        <v>264</v>
      </c>
      <c r="J20" s="285" t="s">
        <v>261</v>
      </c>
      <c r="K20" s="285" t="s">
        <v>260</v>
      </c>
      <c r="L20" s="285" t="s">
        <v>747</v>
      </c>
      <c r="M20" s="285" t="s">
        <v>748</v>
      </c>
      <c r="N20" s="285" t="s">
        <v>749</v>
      </c>
      <c r="O20" s="285" t="s">
        <v>78</v>
      </c>
      <c r="P20" s="286" t="s">
        <v>77</v>
      </c>
      <c r="Q20" s="252" t="s">
        <v>70</v>
      </c>
      <c r="R20" s="287" t="s">
        <v>222</v>
      </c>
      <c r="S20" s="252" t="s">
        <v>224</v>
      </c>
      <c r="T20" s="287" t="s">
        <v>223</v>
      </c>
      <c r="U20" s="285" t="s">
        <v>221</v>
      </c>
      <c r="V20" s="227">
        <v>38000</v>
      </c>
      <c r="W20" s="227">
        <f t="shared" si="0"/>
        <v>-1.9177653286738275E-2</v>
      </c>
      <c r="Z20" s="252" t="s">
        <v>65</v>
      </c>
      <c r="AA20" s="287" t="s">
        <v>52</v>
      </c>
      <c r="AB20" s="287" t="s">
        <v>764</v>
      </c>
      <c r="AC20" s="287" t="s">
        <v>19</v>
      </c>
      <c r="AD20" s="287" t="s">
        <v>46</v>
      </c>
      <c r="AE20" s="287" t="s">
        <v>12</v>
      </c>
      <c r="AF20" s="287" t="s">
        <v>17</v>
      </c>
      <c r="AG20" s="288"/>
      <c r="AH20" s="287" t="s">
        <v>28</v>
      </c>
      <c r="AI20" s="287" t="s">
        <v>29</v>
      </c>
      <c r="AJ20" s="287" t="s">
        <v>30</v>
      </c>
      <c r="AK20" s="287" t="s">
        <v>47</v>
      </c>
      <c r="AL20" s="287" t="s">
        <v>31</v>
      </c>
      <c r="AM20" s="287" t="s">
        <v>32</v>
      </c>
      <c r="AN20" s="252" t="s">
        <v>33</v>
      </c>
      <c r="AO20" s="252" t="s">
        <v>34</v>
      </c>
      <c r="AP20" s="252" t="s">
        <v>35</v>
      </c>
      <c r="AQ20" s="252" t="s">
        <v>36</v>
      </c>
      <c r="AR20" s="252" t="s">
        <v>37</v>
      </c>
      <c r="AS20" s="252" t="s">
        <v>38</v>
      </c>
      <c r="AT20" s="252" t="s">
        <v>39</v>
      </c>
      <c r="AU20" s="252" t="s">
        <v>188</v>
      </c>
      <c r="AV20" s="289"/>
      <c r="AW20" s="34">
        <v>4000</v>
      </c>
      <c r="AX20" s="34">
        <f t="shared" si="1"/>
        <v>5.9923260200659152E-3</v>
      </c>
      <c r="AY20" s="34">
        <f t="shared" si="2"/>
        <v>1.9333580175476879E-2</v>
      </c>
      <c r="AZ20" s="34">
        <f t="shared" si="3"/>
        <v>-1.3341254155410964E-2</v>
      </c>
      <c r="BA20" s="34">
        <f t="shared" si="4"/>
        <v>0.94808412949551457</v>
      </c>
      <c r="BB20" s="34">
        <f t="shared" si="5"/>
        <v>-0.51994981883272628</v>
      </c>
      <c r="BC20" s="34">
        <f t="shared" si="6"/>
        <v>-2.3255631052185013</v>
      </c>
      <c r="BD20" s="34">
        <f t="shared" si="7"/>
        <v>-2.3133529428918989</v>
      </c>
      <c r="BE20" s="34">
        <f t="shared" si="13"/>
        <v>10.29754499523175</v>
      </c>
      <c r="BF20" s="34">
        <f t="shared" si="13"/>
        <v>10.297544996016807</v>
      </c>
      <c r="BG20" s="34">
        <f t="shared" si="13"/>
        <v>10.297544979897268</v>
      </c>
      <c r="BH20" s="34">
        <f t="shared" si="13"/>
        <v>10.297545310878974</v>
      </c>
      <c r="BI20" s="34">
        <f t="shared" si="13"/>
        <v>10.297538514874525</v>
      </c>
      <c r="BJ20" s="34">
        <f t="shared" si="13"/>
        <v>10.297678067394093</v>
      </c>
      <c r="BK20" s="34">
        <f t="shared" si="13"/>
        <v>10.294817064355355</v>
      </c>
      <c r="BL20" s="34">
        <f t="shared" si="9"/>
        <v>10.355598111431963</v>
      </c>
    </row>
    <row r="21" spans="1:86" s="227" customFormat="1" ht="12.95" customHeight="1">
      <c r="A21" s="261" t="s">
        <v>769</v>
      </c>
      <c r="B21" s="232"/>
      <c r="C21" s="290">
        <v>44520.700599999996</v>
      </c>
      <c r="D21" s="339"/>
      <c r="E21" s="227">
        <f t="shared" ref="E21:E52" si="14">+(C21-C$7)/C$8</f>
        <v>-119.00389702466701</v>
      </c>
      <c r="F21" s="227">
        <f t="shared" ref="F21:F52" si="15">ROUND(2*E21,0)/2</f>
        <v>-119</v>
      </c>
      <c r="G21" s="227">
        <f t="shared" ref="G21:G52" si="16">+C21-(C$7+F21*C$8)</f>
        <v>-1.2856420071329921E-3</v>
      </c>
      <c r="K21" s="291">
        <f>G21</f>
        <v>-1.2856420071329921E-3</v>
      </c>
      <c r="P21" s="292">
        <f t="shared" ref="P21:P52" si="17">+D$11+D$12*F21+D$13*F21^2</f>
        <v>1.9678732793463799E-2</v>
      </c>
      <c r="Q21" s="293">
        <f t="shared" ref="Q21:Q52" si="18">+C21-15018.5</f>
        <v>29502.200599999996</v>
      </c>
      <c r="R21" s="227">
        <f t="shared" ref="R21:R52" si="19">+(P21-G21)^2</f>
        <v>4.3950501077989773E-4</v>
      </c>
      <c r="S21" s="227">
        <v>1</v>
      </c>
      <c r="T21" s="227">
        <f t="shared" ref="T21:T52" si="20">R21*S21</f>
        <v>4.3950501077989773E-4</v>
      </c>
      <c r="V21" s="227">
        <v>39000</v>
      </c>
      <c r="W21" s="227">
        <f t="shared" ref="W21:W26" si="21">+D$11+D$12*V21+D$13*V21^2</f>
        <v>-2.1273401845714308E-2</v>
      </c>
      <c r="Z21" s="34">
        <f t="shared" ref="Z21:Z52" si="22">F21</f>
        <v>-119</v>
      </c>
      <c r="AA21" s="227">
        <f t="shared" ref="AA21:AA52" si="23">AB$3+AB$4*Z21+AB$5*Z21^2+AH21</f>
        <v>-3.5813526248148E-4</v>
      </c>
      <c r="AB21" s="227">
        <f t="shared" ref="AB21:AB52" si="24">IF(S21&lt;&gt;0,G21-AH21, -9999)</f>
        <v>1.8751226048812287E-2</v>
      </c>
      <c r="AC21" s="227">
        <f t="shared" ref="AC21:AC52" si="25">+G21-P21</f>
        <v>-2.0964374800596791E-2</v>
      </c>
      <c r="AD21" s="227">
        <f t="shared" ref="AD21:AD52" si="26">IF(S21&lt;&gt;0,G21-AA21, -9999)</f>
        <v>-9.2750674465151214E-4</v>
      </c>
      <c r="AE21" s="227">
        <f t="shared" ref="AE21:AE52" si="27">+(G21-AA21)^2*S21</f>
        <v>8.6026876137404532E-7</v>
      </c>
      <c r="AF21" s="34">
        <f t="shared" ref="AF21:AF52" si="28">IF(S21&lt;&gt;0,G21-P21, -9999)</f>
        <v>-2.0964374800596791E-2</v>
      </c>
      <c r="AG21" s="19"/>
      <c r="AH21" s="34">
        <f t="shared" ref="AH21:AH52" si="29">$AB$6*($AB$11/AI21*AJ21+$AB$12)</f>
        <v>-2.0036868055945279E-2</v>
      </c>
      <c r="AI21" s="34">
        <f t="shared" ref="AI21:AI52" si="30">1+$AB$7*COS(AL21)</f>
        <v>0.93489276397715315</v>
      </c>
      <c r="AJ21" s="34">
        <f t="shared" ref="AJ21:AJ52" si="31">SIN(AL21+RADIANS($AB$9))</f>
        <v>-0.73504448124160648</v>
      </c>
      <c r="AK21" s="34">
        <f t="shared" ref="AK21:AK52" si="32">$AB$7*SIN(AL21)</f>
        <v>-3.8770067985056479E-2</v>
      </c>
      <c r="AL21" s="34">
        <f t="shared" ref="AL21:AL52" si="33">2*ATAN(AM21)</f>
        <v>-2.6045031855602327</v>
      </c>
      <c r="AM21" s="34">
        <f t="shared" ref="AM21:AM52" si="34">SQRT((1+$AB$7)/(1-$AB$7))*TAN(AN21/2)</f>
        <v>-3.6338261243666166</v>
      </c>
      <c r="AN21" s="227">
        <f t="shared" ref="AN21:AT30" si="35">$AU21+$AB$7*SIN(AO21)</f>
        <v>10.001996323302361</v>
      </c>
      <c r="AO21" s="227">
        <f t="shared" si="35"/>
        <v>10.001996326147955</v>
      </c>
      <c r="AP21" s="227">
        <f t="shared" si="35"/>
        <v>10.001996281335055</v>
      </c>
      <c r="AQ21" s="227">
        <f t="shared" si="35"/>
        <v>10.001996987056392</v>
      </c>
      <c r="AR21" s="227">
        <f t="shared" si="35"/>
        <v>10.001985873271694</v>
      </c>
      <c r="AS21" s="227">
        <f t="shared" si="35"/>
        <v>10.002160903835131</v>
      </c>
      <c r="AT21" s="227">
        <f t="shared" si="35"/>
        <v>9.999406664506397</v>
      </c>
      <c r="AU21" s="227">
        <f t="shared" ref="AU21:AU52" si="36">RADIANS($AB$9)+$AB$18*(F21-AB$15)</f>
        <v>10.043347159640343</v>
      </c>
      <c r="AV21" s="34"/>
      <c r="AW21" s="34">
        <v>4500</v>
      </c>
      <c r="AX21" s="34">
        <f t="shared" si="1"/>
        <v>6.7989758016448205E-3</v>
      </c>
      <c r="AY21" s="34">
        <f t="shared" si="2"/>
        <v>1.9228134005944086E-2</v>
      </c>
      <c r="AZ21" s="34">
        <f t="shared" si="3"/>
        <v>-1.2429158204299266E-2</v>
      </c>
      <c r="BA21" s="34">
        <f t="shared" si="4"/>
        <v>0.95001529992921774</v>
      </c>
      <c r="BB21" s="34">
        <f t="shared" si="5"/>
        <v>-0.49023269840421557</v>
      </c>
      <c r="BC21" s="34">
        <f t="shared" si="6"/>
        <v>-2.2911276160894305</v>
      </c>
      <c r="BD21" s="34">
        <f t="shared" si="7"/>
        <v>-2.2081717342522724</v>
      </c>
      <c r="BE21" s="34">
        <f t="shared" si="13"/>
        <v>10.333725054918528</v>
      </c>
      <c r="BF21" s="34">
        <f t="shared" si="13"/>
        <v>10.333725055532884</v>
      </c>
      <c r="BG21" s="34">
        <f t="shared" si="13"/>
        <v>10.333725042340879</v>
      </c>
      <c r="BH21" s="34">
        <f t="shared" si="13"/>
        <v>10.333725325610889</v>
      </c>
      <c r="BI21" s="34">
        <f t="shared" si="13"/>
        <v>10.333719243018425</v>
      </c>
      <c r="BJ21" s="34">
        <f t="shared" si="13"/>
        <v>10.333849863582811</v>
      </c>
      <c r="BK21" s="34">
        <f t="shared" si="13"/>
        <v>10.331049648553789</v>
      </c>
      <c r="BL21" s="34">
        <f t="shared" si="9"/>
        <v>10.393501844351558</v>
      </c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</row>
    <row r="22" spans="1:86" s="227" customFormat="1" ht="12.95" customHeight="1">
      <c r="A22" s="261" t="s">
        <v>769</v>
      </c>
      <c r="B22" s="232"/>
      <c r="C22" s="290">
        <v>44520.865299999998</v>
      </c>
      <c r="D22" s="339"/>
      <c r="E22" s="227">
        <f t="shared" si="14"/>
        <v>-118.50466009936176</v>
      </c>
      <c r="F22" s="227">
        <f t="shared" si="15"/>
        <v>-118.5</v>
      </c>
      <c r="G22" s="227">
        <f t="shared" si="16"/>
        <v>-1.5373830028693192E-3</v>
      </c>
      <c r="I22" s="271"/>
      <c r="K22" s="291">
        <f>G22</f>
        <v>-1.5373830028693192E-3</v>
      </c>
      <c r="P22" s="292">
        <f t="shared" si="17"/>
        <v>1.9678747558471068E-2</v>
      </c>
      <c r="Q22" s="293">
        <f t="shared" si="18"/>
        <v>29502.365299999998</v>
      </c>
      <c r="R22" s="227">
        <f t="shared" si="19"/>
        <v>4.5012419599584156E-4</v>
      </c>
      <c r="S22" s="227">
        <v>1</v>
      </c>
      <c r="T22" s="227">
        <f t="shared" si="20"/>
        <v>4.5012419599584156E-4</v>
      </c>
      <c r="V22" s="227">
        <v>40000</v>
      </c>
      <c r="W22" s="227">
        <f t="shared" si="21"/>
        <v>-2.3424182703081886E-2</v>
      </c>
      <c r="Z22" s="34">
        <f t="shared" si="22"/>
        <v>-118.5</v>
      </c>
      <c r="AA22" s="227">
        <f t="shared" si="23"/>
        <v>-3.5740748068714343E-4</v>
      </c>
      <c r="AB22" s="227">
        <f t="shared" si="24"/>
        <v>1.8498772036288892E-2</v>
      </c>
      <c r="AC22" s="227">
        <f t="shared" si="25"/>
        <v>-2.1216130561340387E-2</v>
      </c>
      <c r="AD22" s="227">
        <f t="shared" si="26"/>
        <v>-1.1799755221821757E-3</v>
      </c>
      <c r="AE22" s="227">
        <f t="shared" si="27"/>
        <v>1.3923422329490984E-6</v>
      </c>
      <c r="AF22" s="34">
        <f t="shared" si="28"/>
        <v>-2.1216130561340387E-2</v>
      </c>
      <c r="AG22" s="19"/>
      <c r="AH22" s="34">
        <f t="shared" si="29"/>
        <v>-2.0036155039158211E-2</v>
      </c>
      <c r="AI22" s="34">
        <f t="shared" si="30"/>
        <v>0.93489405956341687</v>
      </c>
      <c r="AJ22" s="34">
        <f t="shared" si="31"/>
        <v>-0.73502182398908977</v>
      </c>
      <c r="AK22" s="34">
        <f t="shared" si="32"/>
        <v>-3.8772243602462363E-2</v>
      </c>
      <c r="AL22" s="34">
        <f t="shared" si="33"/>
        <v>-2.6044697693198056</v>
      </c>
      <c r="AM22" s="34">
        <f t="shared" si="34"/>
        <v>-3.6335888050687126</v>
      </c>
      <c r="AN22" s="227">
        <f t="shared" si="35"/>
        <v>10.002031963903404</v>
      </c>
      <c r="AO22" s="227">
        <f t="shared" si="35"/>
        <v>10.002031966748749</v>
      </c>
      <c r="AP22" s="227">
        <f t="shared" si="35"/>
        <v>10.002031921938737</v>
      </c>
      <c r="AQ22" s="227">
        <f t="shared" si="35"/>
        <v>10.002032627630962</v>
      </c>
      <c r="AR22" s="227">
        <f t="shared" si="35"/>
        <v>10.002021514046799</v>
      </c>
      <c r="AS22" s="227">
        <f t="shared" si="35"/>
        <v>10.00219654551525</v>
      </c>
      <c r="AT22" s="227">
        <f t="shared" si="35"/>
        <v>9.9994422282553739</v>
      </c>
      <c r="AU22" s="227">
        <f t="shared" si="36"/>
        <v>10.043385063373261</v>
      </c>
      <c r="AV22" s="34"/>
      <c r="AW22" s="34">
        <v>5000</v>
      </c>
      <c r="AX22" s="34">
        <f t="shared" si="1"/>
        <v>7.6100737781874626E-3</v>
      </c>
      <c r="AY22" s="34">
        <f t="shared" si="2"/>
        <v>1.9108929761813411E-2</v>
      </c>
      <c r="AZ22" s="34">
        <f t="shared" si="3"/>
        <v>-1.1498855983625949E-2</v>
      </c>
      <c r="BA22" s="34">
        <f t="shared" si="4"/>
        <v>0.95201410801215292</v>
      </c>
      <c r="BB22" s="34">
        <f t="shared" si="5"/>
        <v>-0.45980755322660871</v>
      </c>
      <c r="BC22" s="34">
        <f t="shared" si="6"/>
        <v>-2.2565493737375966</v>
      </c>
      <c r="BD22" s="34">
        <f t="shared" si="7"/>
        <v>-2.1103069380215942</v>
      </c>
      <c r="BE22" s="34">
        <f t="shared" si="13"/>
        <v>10.369980029318763</v>
      </c>
      <c r="BF22" s="34">
        <f t="shared" si="13"/>
        <v>10.369980029788145</v>
      </c>
      <c r="BG22" s="34">
        <f t="shared" si="13"/>
        <v>10.369980019210091</v>
      </c>
      <c r="BH22" s="34">
        <f t="shared" si="13"/>
        <v>10.369980257598952</v>
      </c>
      <c r="BI22" s="34">
        <f t="shared" si="13"/>
        <v>10.369974885244442</v>
      </c>
      <c r="BJ22" s="34">
        <f t="shared" si="13"/>
        <v>10.370095966845053</v>
      </c>
      <c r="BK22" s="34">
        <f t="shared" si="13"/>
        <v>10.367371946641123</v>
      </c>
      <c r="BL22" s="34">
        <f t="shared" si="9"/>
        <v>10.431405577271153</v>
      </c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</row>
    <row r="23" spans="1:86" s="227" customFormat="1" ht="12.95" customHeight="1">
      <c r="A23" s="261" t="s">
        <v>769</v>
      </c>
      <c r="B23" s="232" t="s">
        <v>86</v>
      </c>
      <c r="C23" s="290">
        <v>44556.825700000001</v>
      </c>
      <c r="D23" s="339"/>
      <c r="E23" s="227">
        <f t="shared" si="14"/>
        <v>-9.5018700045195033</v>
      </c>
      <c r="F23" s="227">
        <f t="shared" si="15"/>
        <v>-9.5</v>
      </c>
      <c r="G23" s="227">
        <f t="shared" si="16"/>
        <v>-6.1692100280197337E-4</v>
      </c>
      <c r="K23" s="291">
        <f>G23</f>
        <v>-6.1692100280197337E-4</v>
      </c>
      <c r="P23" s="292">
        <f t="shared" si="17"/>
        <v>1.9681637911056381E-2</v>
      </c>
      <c r="Q23" s="293">
        <f t="shared" si="18"/>
        <v>29538.325700000001</v>
      </c>
      <c r="R23" s="227">
        <f t="shared" si="19"/>
        <v>4.1203149397937849E-4</v>
      </c>
      <c r="S23" s="227">
        <v>1</v>
      </c>
      <c r="T23" s="227">
        <f t="shared" si="20"/>
        <v>4.1203149397937849E-4</v>
      </c>
      <c r="V23" s="227">
        <v>41000</v>
      </c>
      <c r="W23" s="227">
        <f t="shared" si="21"/>
        <v>-2.5629995858841008E-2</v>
      </c>
      <c r="Z23" s="34">
        <f t="shared" si="22"/>
        <v>-9.5</v>
      </c>
      <c r="AA23" s="227">
        <f t="shared" si="23"/>
        <v>-1.9844962295021557E-4</v>
      </c>
      <c r="AB23" s="227">
        <f t="shared" si="24"/>
        <v>1.9263166531204624E-2</v>
      </c>
      <c r="AC23" s="227">
        <f t="shared" si="25"/>
        <v>-2.0298558913858355E-2</v>
      </c>
      <c r="AD23" s="227">
        <f t="shared" si="26"/>
        <v>-4.1847137985175781E-4</v>
      </c>
      <c r="AE23" s="227">
        <f t="shared" si="27"/>
        <v>1.7511829575503416E-7</v>
      </c>
      <c r="AF23" s="34">
        <f t="shared" si="28"/>
        <v>-2.0298558913858355E-2</v>
      </c>
      <c r="AG23" s="19"/>
      <c r="AH23" s="34">
        <f t="shared" si="29"/>
        <v>-1.9880087534006597E-2</v>
      </c>
      <c r="AI23" s="34">
        <f t="shared" si="30"/>
        <v>0.93517831743794522</v>
      </c>
      <c r="AJ23" s="34">
        <f t="shared" si="31"/>
        <v>-0.73006147689086676</v>
      </c>
      <c r="AK23" s="34">
        <f t="shared" si="32"/>
        <v>-3.9245634456902323E-2</v>
      </c>
      <c r="AL23" s="34">
        <f t="shared" si="33"/>
        <v>-2.5971828083369757</v>
      </c>
      <c r="AM23" s="34">
        <f t="shared" si="34"/>
        <v>-3.5825164855259009</v>
      </c>
      <c r="AN23" s="227">
        <f t="shared" si="35"/>
        <v>10.009802799002095</v>
      </c>
      <c r="AO23" s="227">
        <f t="shared" si="35"/>
        <v>10.009802801792542</v>
      </c>
      <c r="AP23" s="227">
        <f t="shared" si="35"/>
        <v>10.00980275762222</v>
      </c>
      <c r="AQ23" s="227">
        <f t="shared" si="35"/>
        <v>10.00980345679973</v>
      </c>
      <c r="AR23" s="227">
        <f t="shared" si="35"/>
        <v>10.009792389470221</v>
      </c>
      <c r="AS23" s="227">
        <f t="shared" si="35"/>
        <v>10.009967584523775</v>
      </c>
      <c r="AT23" s="227">
        <f t="shared" si="35"/>
        <v>10.00719663836138</v>
      </c>
      <c r="AU23" s="227">
        <f t="shared" si="36"/>
        <v>10.051648077149734</v>
      </c>
      <c r="AV23" s="34"/>
      <c r="AW23" s="34">
        <v>5500</v>
      </c>
      <c r="AX23" s="34">
        <f t="shared" si="1"/>
        <v>8.4245617973655994E-3</v>
      </c>
      <c r="AY23" s="34">
        <f t="shared" si="2"/>
        <v>1.897596744308485E-2</v>
      </c>
      <c r="AZ23" s="34">
        <f t="shared" si="3"/>
        <v>-1.055140564571925E-2</v>
      </c>
      <c r="BA23" s="34">
        <f t="shared" si="4"/>
        <v>0.95407920117985157</v>
      </c>
      <c r="BB23" s="34">
        <f t="shared" si="5"/>
        <v>-0.42869905059947411</v>
      </c>
      <c r="BC23" s="34">
        <f t="shared" si="6"/>
        <v>-2.2218232026909988</v>
      </c>
      <c r="BD23" s="34">
        <f t="shared" si="7"/>
        <v>-2.0189571745108181</v>
      </c>
      <c r="BE23" s="34">
        <f t="shared" si="13"/>
        <v>10.406312471481581</v>
      </c>
      <c r="BF23" s="34">
        <f t="shared" si="13"/>
        <v>10.406312471830908</v>
      </c>
      <c r="BG23" s="34">
        <f t="shared" si="13"/>
        <v>10.406312463535789</v>
      </c>
      <c r="BH23" s="34">
        <f t="shared" si="13"/>
        <v>10.406312660510702</v>
      </c>
      <c r="BI23" s="34">
        <f t="shared" si="13"/>
        <v>10.406307983183408</v>
      </c>
      <c r="BJ23" s="34">
        <f t="shared" si="13"/>
        <v>10.406419058911258</v>
      </c>
      <c r="BK23" s="34">
        <f t="shared" si="13"/>
        <v>10.403786230381659</v>
      </c>
      <c r="BL23" s="34">
        <f t="shared" si="9"/>
        <v>10.469309310190747</v>
      </c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</row>
    <row r="24" spans="1:86" s="227" customFormat="1" ht="12.95" customHeight="1">
      <c r="A24" s="261" t="s">
        <v>769</v>
      </c>
      <c r="B24" s="232" t="s">
        <v>86</v>
      </c>
      <c r="C24" s="290">
        <v>44558.805699999997</v>
      </c>
      <c r="D24" s="339"/>
      <c r="E24" s="227">
        <f t="shared" si="14"/>
        <v>-3.5001146183913705</v>
      </c>
      <c r="F24" s="227">
        <f t="shared" si="15"/>
        <v>-3.5</v>
      </c>
      <c r="G24" s="227">
        <f t="shared" si="16"/>
        <v>-3.7813006201758981E-5</v>
      </c>
      <c r="K24" s="291">
        <f>G24</f>
        <v>-3.7813006201758981E-5</v>
      </c>
      <c r="P24" s="292">
        <f t="shared" si="17"/>
        <v>1.9681778026890608E-2</v>
      </c>
      <c r="Q24" s="293">
        <f t="shared" si="18"/>
        <v>29540.305699999997</v>
      </c>
      <c r="R24" s="227">
        <f t="shared" si="19"/>
        <v>3.888622705124169E-4</v>
      </c>
      <c r="S24" s="227">
        <v>1</v>
      </c>
      <c r="T24" s="227">
        <f t="shared" si="20"/>
        <v>3.888622705124169E-4</v>
      </c>
      <c r="V24" s="227">
        <v>42000</v>
      </c>
      <c r="W24" s="227">
        <f t="shared" si="21"/>
        <v>-2.7890841312991674E-2</v>
      </c>
      <c r="Z24" s="34">
        <f t="shared" si="22"/>
        <v>-3.5</v>
      </c>
      <c r="AA24" s="227">
        <f t="shared" si="23"/>
        <v>-1.8968230263427879E-4</v>
      </c>
      <c r="AB24" s="227">
        <f t="shared" si="24"/>
        <v>1.9833647323323128E-2</v>
      </c>
      <c r="AC24" s="227">
        <f t="shared" si="25"/>
        <v>-1.9719591033092367E-2</v>
      </c>
      <c r="AD24" s="227">
        <f t="shared" si="26"/>
        <v>1.5186929643251981E-4</v>
      </c>
      <c r="AE24" s="227">
        <f t="shared" si="27"/>
        <v>2.3064283198908576E-8</v>
      </c>
      <c r="AF24" s="34">
        <f t="shared" si="28"/>
        <v>-1.9719591033092367E-2</v>
      </c>
      <c r="AG24" s="19"/>
      <c r="AH24" s="34">
        <f t="shared" si="29"/>
        <v>-1.9871460329524887E-2</v>
      </c>
      <c r="AI24" s="34">
        <f t="shared" si="30"/>
        <v>0.93519406981275499</v>
      </c>
      <c r="AJ24" s="34">
        <f t="shared" si="31"/>
        <v>-0.72978721398828428</v>
      </c>
      <c r="AK24" s="34">
        <f t="shared" si="32"/>
        <v>-3.9271640743245198E-2</v>
      </c>
      <c r="AL24" s="34">
        <f t="shared" si="33"/>
        <v>-2.5967815622530219</v>
      </c>
      <c r="AM24" s="34">
        <f t="shared" si="34"/>
        <v>-3.579742974608124</v>
      </c>
      <c r="AN24" s="227">
        <f t="shared" si="35"/>
        <v>10.010230620153617</v>
      </c>
      <c r="AO24" s="227">
        <f t="shared" si="35"/>
        <v>10.010230622941014</v>
      </c>
      <c r="AP24" s="227">
        <f t="shared" si="35"/>
        <v>10.010230578806468</v>
      </c>
      <c r="AQ24" s="227">
        <f t="shared" si="35"/>
        <v>10.010231277615762</v>
      </c>
      <c r="AR24" s="227">
        <f t="shared" si="35"/>
        <v>10.010220212978291</v>
      </c>
      <c r="AS24" s="227">
        <f t="shared" si="35"/>
        <v>10.010395415090464</v>
      </c>
      <c r="AT24" s="227">
        <f t="shared" si="35"/>
        <v>10.007623574437979</v>
      </c>
      <c r="AU24" s="227">
        <f t="shared" si="36"/>
        <v>10.052102921944769</v>
      </c>
      <c r="AV24" s="34"/>
      <c r="AW24" s="34">
        <v>6000</v>
      </c>
      <c r="AX24" s="34">
        <f t="shared" si="1"/>
        <v>9.241348966337052E-3</v>
      </c>
      <c r="AY24" s="34">
        <f t="shared" si="2"/>
        <v>1.8829247049758399E-2</v>
      </c>
      <c r="AZ24" s="34">
        <f t="shared" si="3"/>
        <v>-9.5878980834213472E-3</v>
      </c>
      <c r="BA24" s="34">
        <f t="shared" si="4"/>
        <v>0.95620912834561034</v>
      </c>
      <c r="BB24" s="34">
        <f t="shared" si="5"/>
        <v>-0.39693317241805659</v>
      </c>
      <c r="BC24" s="34">
        <f t="shared" si="6"/>
        <v>-2.1869439986151238</v>
      </c>
      <c r="BD24" s="34">
        <f t="shared" si="7"/>
        <v>-1.9334330907666877</v>
      </c>
      <c r="BE24" s="34">
        <f t="shared" si="13"/>
        <v>10.44272488103057</v>
      </c>
      <c r="BF24" s="34">
        <f t="shared" si="13"/>
        <v>10.442724881283125</v>
      </c>
      <c r="BG24" s="34">
        <f t="shared" si="13"/>
        <v>10.442724874936115</v>
      </c>
      <c r="BH24" s="34">
        <f t="shared" si="13"/>
        <v>10.442725034443633</v>
      </c>
      <c r="BI24" s="34">
        <f t="shared" si="13"/>
        <v>10.442721025852498</v>
      </c>
      <c r="BJ24" s="34">
        <f t="shared" si="13"/>
        <v>10.442821773847461</v>
      </c>
      <c r="BK24" s="34">
        <f t="shared" si="13"/>
        <v>10.440294639400378</v>
      </c>
      <c r="BL24" s="34">
        <f t="shared" si="9"/>
        <v>10.507213043110342</v>
      </c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</row>
    <row r="25" spans="1:86" s="227" customFormat="1" ht="12.95" customHeight="1">
      <c r="A25" s="294" t="s">
        <v>97</v>
      </c>
      <c r="B25" s="232" t="s">
        <v>86</v>
      </c>
      <c r="C25" s="21">
        <v>44559.794999999998</v>
      </c>
      <c r="D25" s="290"/>
      <c r="E25" s="227">
        <f t="shared" si="14"/>
        <v>-0.50135875803008401</v>
      </c>
      <c r="F25" s="227">
        <f t="shared" si="15"/>
        <v>-0.5</v>
      </c>
      <c r="G25" s="227">
        <f t="shared" si="16"/>
        <v>-4.4825900840805843E-4</v>
      </c>
      <c r="J25" s="291">
        <f>G25</f>
        <v>-4.4825900840805843E-4</v>
      </c>
      <c r="K25" s="34"/>
      <c r="P25" s="292">
        <f t="shared" si="17"/>
        <v>1.9681847341871693E-2</v>
      </c>
      <c r="Q25" s="293">
        <f t="shared" si="18"/>
        <v>29541.294999999998</v>
      </c>
      <c r="R25" s="227">
        <f t="shared" si="19"/>
        <v>4.052211816735732E-4</v>
      </c>
      <c r="S25" s="227">
        <v>1</v>
      </c>
      <c r="T25" s="227">
        <f t="shared" si="20"/>
        <v>4.052211816735732E-4</v>
      </c>
      <c r="V25" s="227">
        <v>43000</v>
      </c>
      <c r="W25" s="227">
        <f t="shared" si="21"/>
        <v>-3.0206719065533891E-2</v>
      </c>
      <c r="Z25" s="34">
        <f t="shared" si="22"/>
        <v>-0.5</v>
      </c>
      <c r="AA25" s="227">
        <f t="shared" si="23"/>
        <v>-1.8529796687444602E-4</v>
      </c>
      <c r="AB25" s="227">
        <f t="shared" si="24"/>
        <v>1.9418886300338081E-2</v>
      </c>
      <c r="AC25" s="227">
        <f t="shared" si="25"/>
        <v>-2.0130106350279751E-2</v>
      </c>
      <c r="AD25" s="227">
        <f t="shared" si="26"/>
        <v>-2.6296104153361241E-4</v>
      </c>
      <c r="AE25" s="227">
        <f t="shared" si="27"/>
        <v>6.9148509364442237E-8</v>
      </c>
      <c r="AF25" s="34">
        <f t="shared" si="28"/>
        <v>-2.0130106350279751E-2</v>
      </c>
      <c r="AG25" s="19"/>
      <c r="AH25" s="34">
        <f t="shared" si="29"/>
        <v>-1.9867145308746139E-2</v>
      </c>
      <c r="AI25" s="34">
        <f t="shared" si="30"/>
        <v>0.93520195011211815</v>
      </c>
      <c r="AJ25" s="34">
        <f t="shared" si="31"/>
        <v>-0.72965003500666992</v>
      </c>
      <c r="AK25" s="34">
        <f t="shared" si="32"/>
        <v>-3.9284641844213888E-2</v>
      </c>
      <c r="AL25" s="34">
        <f t="shared" si="33"/>
        <v>-2.5965809341408677</v>
      </c>
      <c r="AM25" s="34">
        <f t="shared" si="34"/>
        <v>-3.5783576775387553</v>
      </c>
      <c r="AN25" s="227">
        <f t="shared" si="35"/>
        <v>10.010444533432354</v>
      </c>
      <c r="AO25" s="227">
        <f t="shared" si="35"/>
        <v>10.010444536218223</v>
      </c>
      <c r="AP25" s="227">
        <f t="shared" si="35"/>
        <v>10.010444492101588</v>
      </c>
      <c r="AQ25" s="227">
        <f t="shared" si="35"/>
        <v>10.010445190726404</v>
      </c>
      <c r="AR25" s="227">
        <f t="shared" si="35"/>
        <v>10.010434127440627</v>
      </c>
      <c r="AS25" s="227">
        <f t="shared" si="35"/>
        <v>10.010609333006068</v>
      </c>
      <c r="AT25" s="227">
        <f t="shared" si="35"/>
        <v>10.007837045926687</v>
      </c>
      <c r="AU25" s="227">
        <f t="shared" si="36"/>
        <v>10.052330344342286</v>
      </c>
      <c r="AV25" s="34"/>
      <c r="AW25" s="34">
        <v>6500</v>
      </c>
      <c r="AX25" s="34">
        <f t="shared" si="1"/>
        <v>1.0059311749457537E-2</v>
      </c>
      <c r="AY25" s="34">
        <f t="shared" si="2"/>
        <v>1.8668768581834062E-2</v>
      </c>
      <c r="AZ25" s="34">
        <f t="shared" si="3"/>
        <v>-8.6094568323765251E-3</v>
      </c>
      <c r="BA25" s="34">
        <f t="shared" si="4"/>
        <v>0.95840233490431859</v>
      </c>
      <c r="BB25" s="34">
        <f t="shared" si="5"/>
        <v>-0.36453727246191053</v>
      </c>
      <c r="BC25" s="34">
        <f t="shared" si="6"/>
        <v>-2.1519067356059765</v>
      </c>
      <c r="BD25" s="34">
        <f t="shared" si="7"/>
        <v>-1.8531384052063375</v>
      </c>
      <c r="BE25" s="34">
        <f t="shared" si="13"/>
        <v>10.479219700312912</v>
      </c>
      <c r="BF25" s="34">
        <f t="shared" si="13"/>
        <v>10.479219700489693</v>
      </c>
      <c r="BG25" s="34">
        <f t="shared" si="13"/>
        <v>10.479219695764415</v>
      </c>
      <c r="BH25" s="34">
        <f t="shared" si="13"/>
        <v>10.479219822068782</v>
      </c>
      <c r="BI25" s="34">
        <f t="shared" si="13"/>
        <v>10.479216446024779</v>
      </c>
      <c r="BJ25" s="34">
        <f t="shared" si="13"/>
        <v>10.479306692668821</v>
      </c>
      <c r="BK25" s="34">
        <f t="shared" si="13"/>
        <v>10.476899178109322</v>
      </c>
      <c r="BL25" s="34">
        <f t="shared" si="9"/>
        <v>10.545116776029937</v>
      </c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</row>
    <row r="26" spans="1:86" s="227" customFormat="1" ht="12.95" customHeight="1">
      <c r="A26" s="294" t="s">
        <v>67</v>
      </c>
      <c r="B26" s="232"/>
      <c r="C26" s="290">
        <v>44559.960400000004</v>
      </c>
      <c r="D26" s="339" t="s">
        <v>69</v>
      </c>
      <c r="E26" s="227">
        <f t="shared" si="14"/>
        <v>0</v>
      </c>
      <c r="F26" s="227">
        <f t="shared" si="15"/>
        <v>0</v>
      </c>
      <c r="G26" s="227">
        <f t="shared" si="16"/>
        <v>0</v>
      </c>
      <c r="J26" s="227">
        <f>G26</f>
        <v>0</v>
      </c>
      <c r="P26" s="292">
        <f t="shared" si="17"/>
        <v>1.9681858846215282E-2</v>
      </c>
      <c r="Q26" s="293">
        <f t="shared" si="18"/>
        <v>29541.460400000004</v>
      </c>
      <c r="R26" s="227">
        <f t="shared" si="19"/>
        <v>3.8737556764234277E-4</v>
      </c>
      <c r="S26" s="227">
        <v>1</v>
      </c>
      <c r="T26" s="227">
        <f t="shared" si="20"/>
        <v>3.8737556764234277E-4</v>
      </c>
      <c r="V26" s="227">
        <v>44000</v>
      </c>
      <c r="W26" s="227">
        <f t="shared" si="21"/>
        <v>-3.2577629116467645E-2</v>
      </c>
      <c r="Z26" s="34">
        <f t="shared" si="22"/>
        <v>0</v>
      </c>
      <c r="AA26" s="227">
        <f t="shared" si="23"/>
        <v>-1.8456720047539329E-4</v>
      </c>
      <c r="AB26" s="227">
        <f t="shared" si="24"/>
        <v>1.9866426046690675E-2</v>
      </c>
      <c r="AC26" s="227">
        <f t="shared" si="25"/>
        <v>-1.9681858846215282E-2</v>
      </c>
      <c r="AD26" s="227">
        <f t="shared" si="26"/>
        <v>1.8456720047539329E-4</v>
      </c>
      <c r="AE26" s="227">
        <f t="shared" si="27"/>
        <v>3.4065051491324016E-8</v>
      </c>
      <c r="AF26" s="34">
        <f t="shared" si="28"/>
        <v>-1.9681858846215282E-2</v>
      </c>
      <c r="AG26" s="19"/>
      <c r="AH26" s="34">
        <f t="shared" si="29"/>
        <v>-1.9866426046690675E-2</v>
      </c>
      <c r="AI26" s="34">
        <f t="shared" si="30"/>
        <v>0.93520326376184693</v>
      </c>
      <c r="AJ26" s="34">
        <f t="shared" si="31"/>
        <v>-0.72962716876272793</v>
      </c>
      <c r="AK26" s="34">
        <f t="shared" si="32"/>
        <v>-3.9286808561956467E-2</v>
      </c>
      <c r="AL26" s="34">
        <f t="shared" si="33"/>
        <v>-2.5965474957934287</v>
      </c>
      <c r="AM26" s="34">
        <f t="shared" si="34"/>
        <v>-3.5781268891105285</v>
      </c>
      <c r="AN26" s="227">
        <f t="shared" si="35"/>
        <v>10.010480185820734</v>
      </c>
      <c r="AO26" s="227">
        <f t="shared" si="35"/>
        <v>10.010480188606349</v>
      </c>
      <c r="AP26" s="227">
        <f t="shared" si="35"/>
        <v>10.0104801444927</v>
      </c>
      <c r="AQ26" s="227">
        <f t="shared" si="35"/>
        <v>10.010480843086746</v>
      </c>
      <c r="AR26" s="227">
        <f t="shared" si="35"/>
        <v>10.010469780026618</v>
      </c>
      <c r="AS26" s="227">
        <f t="shared" si="35"/>
        <v>10.010644986162676</v>
      </c>
      <c r="AT26" s="227">
        <f t="shared" si="35"/>
        <v>10.007872624731851</v>
      </c>
      <c r="AU26" s="227">
        <f t="shared" si="36"/>
        <v>10.052368248075206</v>
      </c>
      <c r="AV26" s="34"/>
      <c r="AW26" s="34">
        <v>7000</v>
      </c>
      <c r="AX26" s="34">
        <f t="shared" si="1"/>
        <v>1.0877294120629481E-2</v>
      </c>
      <c r="AY26" s="34">
        <f t="shared" si="2"/>
        <v>1.8494532039311843E-2</v>
      </c>
      <c r="AZ26" s="34">
        <f t="shared" si="3"/>
        <v>-7.6172379186823617E-3</v>
      </c>
      <c r="BA26" s="34">
        <f t="shared" si="4"/>
        <v>0.96065715765124948</v>
      </c>
      <c r="BB26" s="34">
        <f t="shared" si="5"/>
        <v>-0.33154013359134799</v>
      </c>
      <c r="BC26" s="34">
        <f t="shared" si="6"/>
        <v>-2.1167064740083665</v>
      </c>
      <c r="BD26" s="34">
        <f t="shared" si="7"/>
        <v>-1.7775546739281816</v>
      </c>
      <c r="BE26" s="34">
        <f t="shared" si="13"/>
        <v>10.515799310356348</v>
      </c>
      <c r="BF26" s="34">
        <f t="shared" si="13"/>
        <v>10.515799310475655</v>
      </c>
      <c r="BG26" s="34">
        <f t="shared" si="13"/>
        <v>10.515799307064615</v>
      </c>
      <c r="BH26" s="34">
        <f t="shared" si="13"/>
        <v>10.515799404587396</v>
      </c>
      <c r="BI26" s="34">
        <f t="shared" si="13"/>
        <v>10.515796616385858</v>
      </c>
      <c r="BJ26" s="34">
        <f t="shared" si="13"/>
        <v>10.515876337682343</v>
      </c>
      <c r="BK26" s="34">
        <f t="shared" si="13"/>
        <v>10.513601712828217</v>
      </c>
      <c r="BL26" s="34">
        <f t="shared" si="9"/>
        <v>10.583020508949531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</row>
    <row r="27" spans="1:86" s="227" customFormat="1" ht="12.95" customHeight="1">
      <c r="A27" s="295" t="s">
        <v>272</v>
      </c>
      <c r="B27" s="296" t="s">
        <v>87</v>
      </c>
      <c r="C27" s="295">
        <v>44559.960700000003</v>
      </c>
      <c r="D27" s="295" t="s">
        <v>264</v>
      </c>
      <c r="E27" s="227">
        <f t="shared" si="14"/>
        <v>9.0935687577047193E-4</v>
      </c>
      <c r="F27" s="227">
        <f t="shared" si="15"/>
        <v>0</v>
      </c>
      <c r="G27" s="227">
        <f t="shared" si="16"/>
        <v>2.9999999969732016E-4</v>
      </c>
      <c r="K27" s="227">
        <f>G27</f>
        <v>2.9999999969732016E-4</v>
      </c>
      <c r="O27" s="227">
        <f ca="1">+C$11+C$12*F27</f>
        <v>0.14136421047175263</v>
      </c>
      <c r="P27" s="292">
        <f t="shared" si="17"/>
        <v>1.9681858846215282E-2</v>
      </c>
      <c r="Q27" s="293">
        <f t="shared" si="18"/>
        <v>29541.460700000003</v>
      </c>
      <c r="R27" s="227">
        <f t="shared" si="19"/>
        <v>3.7565645234634656E-4</v>
      </c>
      <c r="S27" s="227">
        <v>1</v>
      </c>
      <c r="T27" s="227">
        <f t="shared" si="20"/>
        <v>3.7565645234634656E-4</v>
      </c>
      <c r="Z27" s="34">
        <f t="shared" si="22"/>
        <v>0</v>
      </c>
      <c r="AA27" s="227">
        <f t="shared" si="23"/>
        <v>-1.8456720047539329E-4</v>
      </c>
      <c r="AB27" s="227">
        <f t="shared" si="24"/>
        <v>2.0166426046387995E-2</v>
      </c>
      <c r="AC27" s="227">
        <f t="shared" si="25"/>
        <v>-1.9381858846517962E-2</v>
      </c>
      <c r="AD27" s="227">
        <f t="shared" si="26"/>
        <v>4.8456720017271346E-4</v>
      </c>
      <c r="AE27" s="227">
        <f t="shared" si="27"/>
        <v>2.3480537148322254E-7</v>
      </c>
      <c r="AF27" s="34">
        <f t="shared" si="28"/>
        <v>-1.9381858846517962E-2</v>
      </c>
      <c r="AG27" s="19"/>
      <c r="AH27" s="34">
        <f t="shared" si="29"/>
        <v>-1.9866426046690675E-2</v>
      </c>
      <c r="AI27" s="34">
        <f t="shared" si="30"/>
        <v>0.93520326376184693</v>
      </c>
      <c r="AJ27" s="34">
        <f t="shared" si="31"/>
        <v>-0.72962716876272793</v>
      </c>
      <c r="AK27" s="34">
        <f t="shared" si="32"/>
        <v>-3.9286808561956467E-2</v>
      </c>
      <c r="AL27" s="34">
        <f t="shared" si="33"/>
        <v>-2.5965474957934287</v>
      </c>
      <c r="AM27" s="34">
        <f t="shared" si="34"/>
        <v>-3.5781268891105285</v>
      </c>
      <c r="AN27" s="227">
        <f t="shared" si="35"/>
        <v>10.010480185820734</v>
      </c>
      <c r="AO27" s="227">
        <f t="shared" si="35"/>
        <v>10.010480188606349</v>
      </c>
      <c r="AP27" s="227">
        <f t="shared" si="35"/>
        <v>10.0104801444927</v>
      </c>
      <c r="AQ27" s="227">
        <f t="shared" si="35"/>
        <v>10.010480843086746</v>
      </c>
      <c r="AR27" s="227">
        <f t="shared" si="35"/>
        <v>10.010469780026618</v>
      </c>
      <c r="AS27" s="227">
        <f t="shared" si="35"/>
        <v>10.010644986162676</v>
      </c>
      <c r="AT27" s="227">
        <f t="shared" si="35"/>
        <v>10.007872624731851</v>
      </c>
      <c r="AU27" s="227">
        <f t="shared" si="36"/>
        <v>10.052368248075206</v>
      </c>
      <c r="AV27" s="34"/>
      <c r="AW27" s="34">
        <v>7500</v>
      </c>
      <c r="AX27" s="34">
        <f t="shared" si="1"/>
        <v>1.1694107776757705E-2</v>
      </c>
      <c r="AY27" s="34">
        <f t="shared" si="2"/>
        <v>1.8306537422191734E-2</v>
      </c>
      <c r="AZ27" s="34">
        <f t="shared" si="3"/>
        <v>-6.6124296454340287E-3</v>
      </c>
      <c r="BA27" s="34">
        <f t="shared" si="4"/>
        <v>0.96297181963985889</v>
      </c>
      <c r="BB27" s="34">
        <f t="shared" si="5"/>
        <v>-0.29797202446951893</v>
      </c>
      <c r="BC27" s="34">
        <f t="shared" si="6"/>
        <v>-2.0813383687756652</v>
      </c>
      <c r="BD27" s="34">
        <f t="shared" si="7"/>
        <v>-1.7062289531574024</v>
      </c>
      <c r="BE27" s="34">
        <f t="shared" si="13"/>
        <v>10.552466026631199</v>
      </c>
      <c r="BF27" s="34">
        <f t="shared" si="13"/>
        <v>10.55246602670843</v>
      </c>
      <c r="BG27" s="34">
        <f t="shared" si="13"/>
        <v>10.552466024331313</v>
      </c>
      <c r="BH27" s="34">
        <f t="shared" si="13"/>
        <v>10.552466097497879</v>
      </c>
      <c r="BI27" s="34">
        <f t="shared" si="13"/>
        <v>10.552463845470204</v>
      </c>
      <c r="BJ27" s="34">
        <f t="shared" si="13"/>
        <v>10.552533166572019</v>
      </c>
      <c r="BK27" s="34">
        <f t="shared" si="13"/>
        <v>10.550403969103472</v>
      </c>
      <c r="BL27" s="34">
        <f t="shared" si="9"/>
        <v>10.620924241869126</v>
      </c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</row>
    <row r="28" spans="1:86" s="227" customFormat="1" ht="12.95" customHeight="1">
      <c r="A28" s="294" t="s">
        <v>97</v>
      </c>
      <c r="B28" s="232" t="s">
        <v>87</v>
      </c>
      <c r="C28" s="21">
        <v>44559.961000000003</v>
      </c>
      <c r="D28" s="290"/>
      <c r="E28" s="227">
        <f t="shared" si="14"/>
        <v>1.8187137515409439E-3</v>
      </c>
      <c r="F28" s="227">
        <f t="shared" si="15"/>
        <v>0</v>
      </c>
      <c r="G28" s="227">
        <f t="shared" si="16"/>
        <v>5.9999999939464033E-4</v>
      </c>
      <c r="J28" s="291">
        <f>G28</f>
        <v>5.9999999939464033E-4</v>
      </c>
      <c r="K28" s="34"/>
      <c r="P28" s="292">
        <f t="shared" si="17"/>
        <v>1.9681858846215282E-2</v>
      </c>
      <c r="Q28" s="293">
        <f t="shared" si="18"/>
        <v>29541.461000000003</v>
      </c>
      <c r="R28" s="227">
        <f t="shared" si="19"/>
        <v>3.6411733704998716E-4</v>
      </c>
      <c r="S28" s="227">
        <v>1</v>
      </c>
      <c r="T28" s="227">
        <f t="shared" si="20"/>
        <v>3.6411733704998716E-4</v>
      </c>
      <c r="Z28" s="34">
        <f t="shared" si="22"/>
        <v>0</v>
      </c>
      <c r="AA28" s="227">
        <f t="shared" si="23"/>
        <v>-1.8456720047539329E-4</v>
      </c>
      <c r="AB28" s="227">
        <f t="shared" si="24"/>
        <v>2.0466426046085315E-2</v>
      </c>
      <c r="AC28" s="227">
        <f t="shared" si="25"/>
        <v>-1.9081858846820642E-2</v>
      </c>
      <c r="AD28" s="227">
        <f t="shared" si="26"/>
        <v>7.8456719987003362E-4</v>
      </c>
      <c r="AE28" s="227">
        <f t="shared" si="27"/>
        <v>6.1554569111190524E-7</v>
      </c>
      <c r="AF28" s="34">
        <f t="shared" si="28"/>
        <v>-1.9081858846820642E-2</v>
      </c>
      <c r="AG28" s="19"/>
      <c r="AH28" s="34">
        <f t="shared" si="29"/>
        <v>-1.9866426046690675E-2</v>
      </c>
      <c r="AI28" s="34">
        <f t="shared" si="30"/>
        <v>0.93520326376184693</v>
      </c>
      <c r="AJ28" s="34">
        <f t="shared" si="31"/>
        <v>-0.72962716876272793</v>
      </c>
      <c r="AK28" s="34">
        <f t="shared" si="32"/>
        <v>-3.9286808561956467E-2</v>
      </c>
      <c r="AL28" s="34">
        <f t="shared" si="33"/>
        <v>-2.5965474957934287</v>
      </c>
      <c r="AM28" s="34">
        <f t="shared" si="34"/>
        <v>-3.5781268891105285</v>
      </c>
      <c r="AN28" s="227">
        <f t="shared" si="35"/>
        <v>10.010480185820734</v>
      </c>
      <c r="AO28" s="227">
        <f t="shared" si="35"/>
        <v>10.010480188606349</v>
      </c>
      <c r="AP28" s="227">
        <f t="shared" si="35"/>
        <v>10.0104801444927</v>
      </c>
      <c r="AQ28" s="227">
        <f t="shared" si="35"/>
        <v>10.010480843086746</v>
      </c>
      <c r="AR28" s="227">
        <f t="shared" si="35"/>
        <v>10.010469780026618</v>
      </c>
      <c r="AS28" s="227">
        <f t="shared" si="35"/>
        <v>10.010644986162676</v>
      </c>
      <c r="AT28" s="227">
        <f t="shared" si="35"/>
        <v>10.007872624731851</v>
      </c>
      <c r="AU28" s="227">
        <f t="shared" si="36"/>
        <v>10.052368248075206</v>
      </c>
      <c r="AV28" s="34"/>
      <c r="AW28" s="34">
        <v>8000</v>
      </c>
      <c r="AX28" s="34">
        <f t="shared" si="1"/>
        <v>1.2508532419070344E-2</v>
      </c>
      <c r="AY28" s="34">
        <f t="shared" si="2"/>
        <v>1.8104784730473736E-2</v>
      </c>
      <c r="AZ28" s="34">
        <f t="shared" si="3"/>
        <v>-5.5962523114033913E-3</v>
      </c>
      <c r="BA28" s="34">
        <f t="shared" si="4"/>
        <v>0.96534442500592477</v>
      </c>
      <c r="BB28" s="34">
        <f t="shared" si="5"/>
        <v>-0.26386475538566545</v>
      </c>
      <c r="BC28" s="34">
        <f t="shared" si="6"/>
        <v>-2.045797678385552</v>
      </c>
      <c r="BD28" s="34">
        <f t="shared" si="7"/>
        <v>-1.63876373513527</v>
      </c>
      <c r="BE28" s="34">
        <f t="shared" si="13"/>
        <v>10.58922209461562</v>
      </c>
      <c r="BF28" s="34">
        <f t="shared" si="13"/>
        <v>10.589222094663254</v>
      </c>
      <c r="BG28" s="34">
        <f t="shared" si="13"/>
        <v>10.589222093072886</v>
      </c>
      <c r="BH28" s="34">
        <f t="shared" si="13"/>
        <v>10.589222146170988</v>
      </c>
      <c r="BI28" s="34">
        <f t="shared" si="13"/>
        <v>10.589220373371122</v>
      </c>
      <c r="BJ28" s="34">
        <f t="shared" si="13"/>
        <v>10.589279566241764</v>
      </c>
      <c r="BK28" s="34">
        <f t="shared" si="13"/>
        <v>10.587307529229383</v>
      </c>
      <c r="BL28" s="34">
        <f t="shared" si="9"/>
        <v>10.658827974788721</v>
      </c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</row>
    <row r="29" spans="1:86" s="227" customFormat="1" ht="12.95" customHeight="1">
      <c r="A29" s="261" t="s">
        <v>100</v>
      </c>
      <c r="B29" s="232" t="s">
        <v>86</v>
      </c>
      <c r="C29" s="290">
        <v>45732.607600000003</v>
      </c>
      <c r="D29" s="339"/>
      <c r="E29" s="227">
        <f t="shared" si="14"/>
        <v>3554.5159841629052</v>
      </c>
      <c r="F29" s="227">
        <f t="shared" si="15"/>
        <v>3554.5</v>
      </c>
      <c r="G29" s="227">
        <f t="shared" si="16"/>
        <v>5.2732309995917603E-3</v>
      </c>
      <c r="K29" s="227">
        <f>G29</f>
        <v>5.2732309995917603E-3</v>
      </c>
      <c r="P29" s="292">
        <f t="shared" si="17"/>
        <v>1.9415942353287311E-2</v>
      </c>
      <c r="Q29" s="293">
        <f t="shared" si="18"/>
        <v>30714.107600000003</v>
      </c>
      <c r="R29" s="227">
        <f t="shared" si="19"/>
        <v>2.0001628443394904E-4</v>
      </c>
      <c r="S29" s="227">
        <v>1</v>
      </c>
      <c r="T29" s="227">
        <f t="shared" si="20"/>
        <v>2.0001628443394904E-4</v>
      </c>
      <c r="Z29" s="34">
        <f t="shared" si="22"/>
        <v>3554.5</v>
      </c>
      <c r="AA29" s="227">
        <f t="shared" si="23"/>
        <v>5.278181551864599E-3</v>
      </c>
      <c r="AB29" s="227">
        <f t="shared" si="24"/>
        <v>1.9410991801014472E-2</v>
      </c>
      <c r="AC29" s="227">
        <f t="shared" si="25"/>
        <v>-1.4142711353695551E-2</v>
      </c>
      <c r="AD29" s="227">
        <f t="shared" si="26"/>
        <v>-4.9505522728386653E-6</v>
      </c>
      <c r="AE29" s="227">
        <f t="shared" si="27"/>
        <v>2.4507967806108074E-11</v>
      </c>
      <c r="AF29" s="34">
        <f t="shared" si="28"/>
        <v>-1.4142711353695551E-2</v>
      </c>
      <c r="AG29" s="19"/>
      <c r="AH29" s="34">
        <f t="shared" si="29"/>
        <v>-1.4137760801422712E-2</v>
      </c>
      <c r="AI29" s="34">
        <f t="shared" si="30"/>
        <v>0.94642146136438343</v>
      </c>
      <c r="AJ29" s="34">
        <f t="shared" si="31"/>
        <v>-0.54581227279142286</v>
      </c>
      <c r="AK29" s="34">
        <f t="shared" si="32"/>
        <v>-5.3585544242569096E-2</v>
      </c>
      <c r="AL29" s="34">
        <f t="shared" si="33"/>
        <v>-2.3561291174783316</v>
      </c>
      <c r="AM29" s="34">
        <f t="shared" si="34"/>
        <v>-2.4139903835776733</v>
      </c>
      <c r="AN29" s="227">
        <f t="shared" si="35"/>
        <v>10.26536956123406</v>
      </c>
      <c r="AO29" s="227">
        <f t="shared" si="35"/>
        <v>10.265369562192715</v>
      </c>
      <c r="AP29" s="227">
        <f t="shared" si="35"/>
        <v>10.265369543226177</v>
      </c>
      <c r="AQ29" s="227">
        <f t="shared" si="35"/>
        <v>10.26536991847008</v>
      </c>
      <c r="AR29" s="227">
        <f t="shared" si="35"/>
        <v>10.265362494478152</v>
      </c>
      <c r="AS29" s="227">
        <f t="shared" si="35"/>
        <v>10.265509385470414</v>
      </c>
      <c r="AT29" s="227">
        <f t="shared" si="35"/>
        <v>10.26260746432412</v>
      </c>
      <c r="AU29" s="227">
        <f t="shared" si="36"/>
        <v>10.321825885400605</v>
      </c>
      <c r="AV29" s="34"/>
      <c r="AW29" s="34">
        <v>8500</v>
      </c>
      <c r="AX29" s="34">
        <f t="shared" si="1"/>
        <v>1.331931610934273E-2</v>
      </c>
      <c r="AY29" s="34">
        <f t="shared" si="2"/>
        <v>1.7889273964157855E-2</v>
      </c>
      <c r="AZ29" s="34">
        <f t="shared" si="3"/>
        <v>-4.5699578548151244E-3</v>
      </c>
      <c r="BA29" s="34">
        <f t="shared" si="4"/>
        <v>0.96777295378888817</v>
      </c>
      <c r="BB29" s="34">
        <f t="shared" si="5"/>
        <v>-0.2292517327104393</v>
      </c>
      <c r="BC29" s="34">
        <f t="shared" si="6"/>
        <v>-2.0100797743241037</v>
      </c>
      <c r="BD29" s="34">
        <f t="shared" si="7"/>
        <v>-1.5748086832082173</v>
      </c>
      <c r="BE29" s="34">
        <f t="shared" si="13"/>
        <v>10.626069685163374</v>
      </c>
      <c r="BF29" s="34">
        <f t="shared" si="13"/>
        <v>10.626069685191126</v>
      </c>
      <c r="BG29" s="34">
        <f t="shared" si="13"/>
        <v>10.62606968417704</v>
      </c>
      <c r="BH29" s="34">
        <f t="shared" si="13"/>
        <v>10.626069721232263</v>
      </c>
      <c r="BI29" s="34">
        <f t="shared" si="13"/>
        <v>10.626068367219903</v>
      </c>
      <c r="BJ29" s="34">
        <f t="shared" si="13"/>
        <v>10.626117846434049</v>
      </c>
      <c r="BK29" s="34">
        <f t="shared" si="13"/>
        <v>10.62431382997514</v>
      </c>
      <c r="BL29" s="34">
        <f t="shared" si="9"/>
        <v>10.696731707708315</v>
      </c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</row>
    <row r="30" spans="1:86" s="227" customFormat="1" ht="12.95" customHeight="1">
      <c r="A30" s="261" t="s">
        <v>100</v>
      </c>
      <c r="B30" s="232" t="s">
        <v>86</v>
      </c>
      <c r="C30" s="290">
        <v>45738.546300000002</v>
      </c>
      <c r="D30" s="339"/>
      <c r="E30" s="227">
        <f t="shared" si="14"/>
        <v>3572.5173097748575</v>
      </c>
      <c r="F30" s="227">
        <f t="shared" si="15"/>
        <v>3572.5</v>
      </c>
      <c r="G30" s="227">
        <f t="shared" si="16"/>
        <v>5.710555000405293E-3</v>
      </c>
      <c r="J30" s="227">
        <f t="shared" ref="J30:J46" si="37">G30</f>
        <v>5.710555000405293E-3</v>
      </c>
      <c r="P30" s="292">
        <f t="shared" si="17"/>
        <v>1.9412826325295358E-2</v>
      </c>
      <c r="Q30" s="293">
        <f t="shared" si="18"/>
        <v>30720.046300000002</v>
      </c>
      <c r="R30" s="227">
        <f t="shared" si="19"/>
        <v>1.8775223946090454E-4</v>
      </c>
      <c r="S30" s="227">
        <v>1</v>
      </c>
      <c r="T30" s="227">
        <f t="shared" si="20"/>
        <v>1.8775223946090454E-4</v>
      </c>
      <c r="Z30" s="34">
        <f t="shared" si="22"/>
        <v>3572.5</v>
      </c>
      <c r="AA30" s="227">
        <f t="shared" si="23"/>
        <v>5.3069426526362248E-3</v>
      </c>
      <c r="AB30" s="227">
        <f t="shared" si="24"/>
        <v>1.9816438673064426E-2</v>
      </c>
      <c r="AC30" s="227">
        <f t="shared" si="25"/>
        <v>-1.3702271324890065E-2</v>
      </c>
      <c r="AD30" s="227">
        <f t="shared" si="26"/>
        <v>4.0361234776906812E-4</v>
      </c>
      <c r="AE30" s="227">
        <f t="shared" si="27"/>
        <v>1.629029272716592E-7</v>
      </c>
      <c r="AF30" s="34">
        <f t="shared" si="28"/>
        <v>-1.3702271324890065E-2</v>
      </c>
      <c r="AG30" s="19"/>
      <c r="AH30" s="34">
        <f t="shared" si="29"/>
        <v>-1.4105883672659133E-2</v>
      </c>
      <c r="AI30" s="34">
        <f t="shared" si="30"/>
        <v>0.94648756883202878</v>
      </c>
      <c r="AJ30" s="34">
        <f t="shared" si="31"/>
        <v>-0.54477878416594994</v>
      </c>
      <c r="AK30" s="34">
        <f t="shared" si="32"/>
        <v>-5.3651561623066786E-2</v>
      </c>
      <c r="AL30" s="34">
        <f t="shared" si="33"/>
        <v>-2.3548961961170618</v>
      </c>
      <c r="AM30" s="34">
        <f t="shared" si="34"/>
        <v>-2.4097878444064955</v>
      </c>
      <c r="AN30" s="227">
        <f t="shared" si="35"/>
        <v>10.266668489491403</v>
      </c>
      <c r="AO30" s="227">
        <f t="shared" si="35"/>
        <v>10.266668490442662</v>
      </c>
      <c r="AP30" s="227">
        <f t="shared" si="35"/>
        <v>10.266668471595109</v>
      </c>
      <c r="AQ30" s="227">
        <f t="shared" si="35"/>
        <v>10.266668845027009</v>
      </c>
      <c r="AR30" s="227">
        <f t="shared" si="35"/>
        <v>10.266661446143669</v>
      </c>
      <c r="AS30" s="227">
        <f t="shared" si="35"/>
        <v>10.266808053175513</v>
      </c>
      <c r="AT30" s="227">
        <f t="shared" si="35"/>
        <v>10.263907540831019</v>
      </c>
      <c r="AU30" s="227">
        <f t="shared" si="36"/>
        <v>10.323190419785711</v>
      </c>
      <c r="AV30" s="34"/>
      <c r="AW30" s="34">
        <v>9000</v>
      </c>
      <c r="AX30" s="34">
        <f t="shared" si="1"/>
        <v>1.4125175708321037E-2</v>
      </c>
      <c r="AY30" s="34">
        <f t="shared" si="2"/>
        <v>1.7660005123244088E-2</v>
      </c>
      <c r="AZ30" s="34">
        <f t="shared" si="3"/>
        <v>-3.5348294149230514E-3</v>
      </c>
      <c r="BA30" s="34">
        <f t="shared" si="4"/>
        <v>0.97025525678500713</v>
      </c>
      <c r="BB30" s="34">
        <f t="shared" si="5"/>
        <v>-0.19416801146760823</v>
      </c>
      <c r="BC30" s="34">
        <f t="shared" si="6"/>
        <v>-1.9741801511481196</v>
      </c>
      <c r="BD30" s="34">
        <f t="shared" si="7"/>
        <v>-1.5140538016585348</v>
      </c>
      <c r="BE30" s="34">
        <f t="shared" si="13"/>
        <v>10.6630108896747</v>
      </c>
      <c r="BF30" s="34">
        <f t="shared" si="13"/>
        <v>10.663010889689799</v>
      </c>
      <c r="BG30" s="34">
        <f t="shared" si="13"/>
        <v>10.663010889079445</v>
      </c>
      <c r="BH30" s="34">
        <f t="shared" si="13"/>
        <v>10.663010913751696</v>
      </c>
      <c r="BI30" s="34">
        <f t="shared" si="13"/>
        <v>10.663009916431552</v>
      </c>
      <c r="BJ30" s="34">
        <f t="shared" si="13"/>
        <v>10.663050233144229</v>
      </c>
      <c r="BK30" s="34">
        <f t="shared" si="13"/>
        <v>10.661424160520884</v>
      </c>
      <c r="BL30" s="34">
        <f t="shared" si="9"/>
        <v>10.73463544062791</v>
      </c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</row>
    <row r="31" spans="1:86" s="227" customFormat="1" ht="12.95" customHeight="1">
      <c r="A31" s="261" t="s">
        <v>100</v>
      </c>
      <c r="B31" s="232" t="s">
        <v>87</v>
      </c>
      <c r="C31" s="290">
        <v>45745.640200000002</v>
      </c>
      <c r="D31" s="339"/>
      <c r="E31" s="227">
        <f t="shared" si="14"/>
        <v>3594.0202655999792</v>
      </c>
      <c r="F31" s="227">
        <f t="shared" si="15"/>
        <v>3594</v>
      </c>
      <c r="G31" s="227">
        <f t="shared" si="16"/>
        <v>6.6856919947895221E-3</v>
      </c>
      <c r="J31" s="227">
        <f t="shared" si="37"/>
        <v>6.6856919947895221E-3</v>
      </c>
      <c r="P31" s="292">
        <f t="shared" si="17"/>
        <v>1.9409081034881925E-2</v>
      </c>
      <c r="Q31" s="293">
        <f t="shared" si="18"/>
        <v>30727.140200000002</v>
      </c>
      <c r="R31" s="227">
        <f t="shared" si="19"/>
        <v>1.6188462866554348E-4</v>
      </c>
      <c r="S31" s="227">
        <v>1</v>
      </c>
      <c r="T31" s="227">
        <f t="shared" si="20"/>
        <v>1.6188462866554348E-4</v>
      </c>
      <c r="Z31" s="34">
        <f t="shared" si="22"/>
        <v>3594</v>
      </c>
      <c r="AA31" s="227">
        <f t="shared" si="23"/>
        <v>5.3413069321243348E-3</v>
      </c>
      <c r="AB31" s="227">
        <f t="shared" si="24"/>
        <v>2.0753466097547114E-2</v>
      </c>
      <c r="AC31" s="227">
        <f t="shared" si="25"/>
        <v>-1.2723389040092403E-2</v>
      </c>
      <c r="AD31" s="227">
        <f t="shared" si="26"/>
        <v>1.3443850626651873E-3</v>
      </c>
      <c r="AE31" s="227">
        <f t="shared" si="27"/>
        <v>1.8073711967172795E-6</v>
      </c>
      <c r="AF31" s="34">
        <f t="shared" si="28"/>
        <v>-1.2723389040092403E-2</v>
      </c>
      <c r="AG31" s="19"/>
      <c r="AH31" s="34">
        <f t="shared" si="29"/>
        <v>-1.4067774102757591E-2</v>
      </c>
      <c r="AI31" s="34">
        <f t="shared" si="30"/>
        <v>0.9465666492660616</v>
      </c>
      <c r="AJ31" s="34">
        <f t="shared" si="31"/>
        <v>-0.5435430646261179</v>
      </c>
      <c r="AK31" s="34">
        <f t="shared" si="32"/>
        <v>-5.3730320894672896E-2</v>
      </c>
      <c r="AL31" s="34">
        <f t="shared" si="33"/>
        <v>-2.353423314139536</v>
      </c>
      <c r="AM31" s="34">
        <f t="shared" si="34"/>
        <v>-2.4047837133142829</v>
      </c>
      <c r="AN31" s="227">
        <f t="shared" ref="AN31:AT40" si="38">$AU31+$AB$7*SIN(AO31)</f>
        <v>10.268220106128171</v>
      </c>
      <c r="AO31" s="227">
        <f t="shared" si="38"/>
        <v>10.268220107070636</v>
      </c>
      <c r="AP31" s="227">
        <f t="shared" si="38"/>
        <v>10.268220088364794</v>
      </c>
      <c r="AQ31" s="227">
        <f t="shared" si="38"/>
        <v>10.268220459634531</v>
      </c>
      <c r="AR31" s="227">
        <f t="shared" si="38"/>
        <v>10.268213090777312</v>
      </c>
      <c r="AS31" s="227">
        <f t="shared" si="38"/>
        <v>10.268359357192782</v>
      </c>
      <c r="AT31" s="227">
        <f t="shared" si="38"/>
        <v>10.265460554665639</v>
      </c>
      <c r="AU31" s="227">
        <f t="shared" si="36"/>
        <v>10.324820280301253</v>
      </c>
      <c r="AV31" s="34"/>
      <c r="AW31" s="34">
        <v>9500</v>
      </c>
      <c r="AX31" s="34">
        <f t="shared" si="1"/>
        <v>1.4924797403878786E-2</v>
      </c>
      <c r="AY31" s="34">
        <f t="shared" si="2"/>
        <v>1.7416978207732432E-2</v>
      </c>
      <c r="AZ31" s="34">
        <f t="shared" si="3"/>
        <v>-2.4921808038536456E-3</v>
      </c>
      <c r="BA31" s="34">
        <f t="shared" si="4"/>
        <v>0.97278905047088648</v>
      </c>
      <c r="BB31" s="34">
        <f t="shared" si="5"/>
        <v>-0.15865034545822523</v>
      </c>
      <c r="BC31" s="34">
        <f t="shared" si="6"/>
        <v>-1.9380944371326922</v>
      </c>
      <c r="BD31" s="34">
        <f t="shared" si="7"/>
        <v>-1.4562237578163757</v>
      </c>
      <c r="BE31" s="34">
        <f t="shared" si="13"/>
        <v>10.700047715072152</v>
      </c>
      <c r="BF31" s="34">
        <f t="shared" si="13"/>
        <v>10.700047715079704</v>
      </c>
      <c r="BG31" s="34">
        <f t="shared" si="13"/>
        <v>10.700047714737533</v>
      </c>
      <c r="BH31" s="34">
        <f t="shared" si="13"/>
        <v>10.70004773024187</v>
      </c>
      <c r="BI31" s="34">
        <f t="shared" si="13"/>
        <v>10.700047027716444</v>
      </c>
      <c r="BJ31" s="34">
        <f t="shared" si="13"/>
        <v>10.700078861853003</v>
      </c>
      <c r="BK31" s="34">
        <f t="shared" si="13"/>
        <v>10.69863966060576</v>
      </c>
      <c r="BL31" s="34">
        <f t="shared" si="9"/>
        <v>10.772539173547505</v>
      </c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</row>
    <row r="32" spans="1:86" s="227" customFormat="1" ht="12.95" customHeight="1">
      <c r="A32" s="261" t="s">
        <v>100</v>
      </c>
      <c r="B32" s="232" t="s">
        <v>87</v>
      </c>
      <c r="C32" s="21">
        <v>45752.567600000002</v>
      </c>
      <c r="D32" s="339"/>
      <c r="E32" s="227">
        <f t="shared" si="14"/>
        <v>3615.0185283585411</v>
      </c>
      <c r="F32" s="227">
        <f t="shared" si="15"/>
        <v>3615</v>
      </c>
      <c r="G32" s="227">
        <f t="shared" si="16"/>
        <v>6.1125700012780726E-3</v>
      </c>
      <c r="J32" s="227">
        <f t="shared" si="37"/>
        <v>6.1125700012780726E-3</v>
      </c>
      <c r="P32" s="292">
        <f t="shared" si="17"/>
        <v>1.9405398286082398E-2</v>
      </c>
      <c r="Q32" s="293">
        <f t="shared" si="18"/>
        <v>30734.067600000002</v>
      </c>
      <c r="R32" s="227">
        <f t="shared" si="19"/>
        <v>1.7669928380929391E-4</v>
      </c>
      <c r="S32" s="227">
        <v>1</v>
      </c>
      <c r="T32" s="227">
        <f t="shared" si="20"/>
        <v>1.7669928380929391E-4</v>
      </c>
      <c r="Z32" s="34">
        <f t="shared" si="22"/>
        <v>3615</v>
      </c>
      <c r="AA32" s="227">
        <f t="shared" si="23"/>
        <v>5.3748832611856864E-3</v>
      </c>
      <c r="AB32" s="227">
        <f t="shared" si="24"/>
        <v>2.0143085026174783E-2</v>
      </c>
      <c r="AC32" s="227">
        <f t="shared" si="25"/>
        <v>-1.3292828284804326E-2</v>
      </c>
      <c r="AD32" s="227">
        <f t="shared" si="26"/>
        <v>7.3768674009238623E-4</v>
      </c>
      <c r="AE32" s="227">
        <f t="shared" si="27"/>
        <v>5.4418172650813179E-7</v>
      </c>
      <c r="AF32" s="34">
        <f t="shared" si="28"/>
        <v>-1.3292828284804326E-2</v>
      </c>
      <c r="AG32" s="19"/>
      <c r="AH32" s="34">
        <f t="shared" si="29"/>
        <v>-1.4030515024896712E-2</v>
      </c>
      <c r="AI32" s="34">
        <f t="shared" si="30"/>
        <v>0.9466440153215846</v>
      </c>
      <c r="AJ32" s="34">
        <f t="shared" si="31"/>
        <v>-0.54233474460612019</v>
      </c>
      <c r="AK32" s="34">
        <f t="shared" si="32"/>
        <v>-5.3807148717408319E-2</v>
      </c>
      <c r="AL32" s="34">
        <f t="shared" si="33"/>
        <v>-2.3519844474365303</v>
      </c>
      <c r="AM32" s="34">
        <f t="shared" si="34"/>
        <v>-2.3999122351071178</v>
      </c>
      <c r="AN32" s="227">
        <f t="shared" si="38"/>
        <v>10.269735763905111</v>
      </c>
      <c r="AO32" s="227">
        <f t="shared" si="38"/>
        <v>10.26973576483903</v>
      </c>
      <c r="AP32" s="227">
        <f t="shared" si="38"/>
        <v>10.269735746271163</v>
      </c>
      <c r="AQ32" s="227">
        <f t="shared" si="38"/>
        <v>10.26973611543138</v>
      </c>
      <c r="AR32" s="227">
        <f t="shared" si="38"/>
        <v>10.269728775938143</v>
      </c>
      <c r="AS32" s="227">
        <f t="shared" si="38"/>
        <v>10.269874708152521</v>
      </c>
      <c r="AT32" s="227">
        <f t="shared" si="38"/>
        <v>10.266977604125731</v>
      </c>
      <c r="AU32" s="227">
        <f t="shared" si="36"/>
        <v>10.326412237083876</v>
      </c>
      <c r="AV32" s="34"/>
      <c r="AW32" s="34">
        <v>10000</v>
      </c>
      <c r="AX32" s="34">
        <f t="shared" si="1"/>
        <v>1.5716837336648477E-2</v>
      </c>
      <c r="AY32" s="34">
        <f t="shared" si="2"/>
        <v>1.7160193217622893E-2</v>
      </c>
      <c r="AZ32" s="34">
        <f t="shared" si="3"/>
        <v>-1.4433558809744151E-3</v>
      </c>
      <c r="BA32" s="34">
        <f t="shared" si="4"/>
        <v>0.97537191204010354</v>
      </c>
      <c r="BB32" s="34">
        <f t="shared" si="5"/>
        <v>-0.12273723432375061</v>
      </c>
      <c r="BC32" s="34">
        <f t="shared" si="6"/>
        <v>-1.9018184055076168</v>
      </c>
      <c r="BD32" s="34">
        <f t="shared" si="7"/>
        <v>-1.4010731358035031</v>
      </c>
      <c r="BE32" s="34">
        <f t="shared" si="13"/>
        <v>10.737182078584954</v>
      </c>
      <c r="BF32" s="34">
        <f t="shared" si="13"/>
        <v>10.737182078588349</v>
      </c>
      <c r="BG32" s="34">
        <f t="shared" si="13"/>
        <v>10.737182078413033</v>
      </c>
      <c r="BH32" s="34">
        <f t="shared" si="13"/>
        <v>10.737182087467273</v>
      </c>
      <c r="BI32" s="34">
        <f t="shared" si="13"/>
        <v>10.737181619859703</v>
      </c>
      <c r="BJ32" s="34">
        <f t="shared" si="13"/>
        <v>10.737205770601651</v>
      </c>
      <c r="BK32" s="34">
        <f t="shared" si="13"/>
        <v>10.73596131889067</v>
      </c>
      <c r="BL32" s="34">
        <f t="shared" si="9"/>
        <v>10.810442906467101</v>
      </c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</row>
    <row r="33" spans="1:86" s="227" customFormat="1" ht="12.95" customHeight="1">
      <c r="A33" s="295" t="s">
        <v>303</v>
      </c>
      <c r="B33" s="296" t="s">
        <v>86</v>
      </c>
      <c r="C33" s="295">
        <v>46006.428</v>
      </c>
      <c r="D33" s="295" t="s">
        <v>264</v>
      </c>
      <c r="E33" s="227">
        <f t="shared" si="14"/>
        <v>4384.5175298877148</v>
      </c>
      <c r="F33" s="227">
        <f t="shared" si="15"/>
        <v>4384.5</v>
      </c>
      <c r="G33" s="227">
        <f t="shared" si="16"/>
        <v>5.7831709927995689E-3</v>
      </c>
      <c r="J33" s="227">
        <f t="shared" si="37"/>
        <v>5.7831709927995689E-3</v>
      </c>
      <c r="O33" s="227">
        <f ca="1">+C$11+C$12*F33</f>
        <v>0.12545617454810148</v>
      </c>
      <c r="P33" s="292">
        <f t="shared" si="17"/>
        <v>1.9253714056412911E-2</v>
      </c>
      <c r="Q33" s="293">
        <f t="shared" si="18"/>
        <v>30987.928</v>
      </c>
      <c r="R33" s="227">
        <f t="shared" si="19"/>
        <v>1.8145553042866151E-4</v>
      </c>
      <c r="S33" s="227">
        <v>1</v>
      </c>
      <c r="T33" s="227">
        <f t="shared" si="20"/>
        <v>1.8145553042866151E-4</v>
      </c>
      <c r="Z33" s="34">
        <f t="shared" si="22"/>
        <v>4384.5</v>
      </c>
      <c r="AA33" s="227">
        <f t="shared" si="23"/>
        <v>6.6122067170039153E-3</v>
      </c>
      <c r="AB33" s="227">
        <f t="shared" si="24"/>
        <v>1.8424678332208566E-2</v>
      </c>
      <c r="AC33" s="227">
        <f t="shared" si="25"/>
        <v>-1.3470543063613342E-2</v>
      </c>
      <c r="AD33" s="227">
        <f t="shared" si="26"/>
        <v>-8.2903572420434633E-4</v>
      </c>
      <c r="AE33" s="227">
        <f t="shared" si="27"/>
        <v>6.8730023200702504E-7</v>
      </c>
      <c r="AF33" s="34">
        <f t="shared" si="28"/>
        <v>-1.3470543063613342E-2</v>
      </c>
      <c r="AG33" s="19"/>
      <c r="AH33" s="34">
        <f t="shared" si="29"/>
        <v>-1.2641507339408995E-2</v>
      </c>
      <c r="AI33" s="34">
        <f t="shared" si="30"/>
        <v>0.94956314465984426</v>
      </c>
      <c r="AJ33" s="34">
        <f t="shared" si="31"/>
        <v>-0.49716111267043633</v>
      </c>
      <c r="AK33" s="34">
        <f t="shared" si="32"/>
        <v>-5.6552577107474009E-2</v>
      </c>
      <c r="AL33" s="34">
        <f t="shared" si="33"/>
        <v>-2.29909470336993</v>
      </c>
      <c r="AM33" s="34">
        <f t="shared" si="34"/>
        <v>-2.2317869787793718</v>
      </c>
      <c r="AN33" s="227">
        <f t="shared" si="38"/>
        <v>10.325360901328082</v>
      </c>
      <c r="AO33" s="227">
        <f t="shared" si="38"/>
        <v>10.325360901979577</v>
      </c>
      <c r="AP33" s="227">
        <f t="shared" si="38"/>
        <v>10.325360888138237</v>
      </c>
      <c r="AQ33" s="227">
        <f t="shared" si="38"/>
        <v>10.325361182204531</v>
      </c>
      <c r="AR33" s="227">
        <f t="shared" si="38"/>
        <v>10.325354934640865</v>
      </c>
      <c r="AS33" s="227">
        <f t="shared" si="38"/>
        <v>10.325487677384112</v>
      </c>
      <c r="AT33" s="227">
        <f t="shared" si="38"/>
        <v>10.322672038700935</v>
      </c>
      <c r="AU33" s="227">
        <f t="shared" si="36"/>
        <v>10.384746082047132</v>
      </c>
      <c r="AV33" s="34"/>
      <c r="AW33" s="34">
        <v>10500</v>
      </c>
      <c r="AX33" s="34">
        <f t="shared" si="1"/>
        <v>1.6499922331040036E-2</v>
      </c>
      <c r="AY33" s="34">
        <f t="shared" si="2"/>
        <v>1.6889650152915464E-2</v>
      </c>
      <c r="AZ33" s="34">
        <f t="shared" si="3"/>
        <v>-3.8972782187542999E-4</v>
      </c>
      <c r="BA33" s="34">
        <f t="shared" si="4"/>
        <v>0.97800127459994346</v>
      </c>
      <c r="BB33" s="34">
        <f t="shared" si="5"/>
        <v>-8.6468966884417409E-2</v>
      </c>
      <c r="BC33" s="34">
        <f t="shared" si="6"/>
        <v>-1.8653479862824687</v>
      </c>
      <c r="BD33" s="34">
        <f t="shared" si="7"/>
        <v>-1.3483824482581888</v>
      </c>
      <c r="BE33" s="34">
        <f t="shared" si="13"/>
        <v>10.774415802347015</v>
      </c>
      <c r="BF33" s="34">
        <f t="shared" si="13"/>
        <v>10.774415802348342</v>
      </c>
      <c r="BG33" s="34">
        <f t="shared" si="13"/>
        <v>10.774415802268548</v>
      </c>
      <c r="BH33" s="34">
        <f t="shared" si="13"/>
        <v>10.774415807069019</v>
      </c>
      <c r="BI33" s="34">
        <f t="shared" si="13"/>
        <v>10.774415518272495</v>
      </c>
      <c r="BJ33" s="34">
        <f t="shared" si="13"/>
        <v>10.774432892936932</v>
      </c>
      <c r="BK33" s="34">
        <f t="shared" si="13"/>
        <v>10.773389971538029</v>
      </c>
      <c r="BL33" s="34">
        <f t="shared" si="9"/>
        <v>10.848346639386694</v>
      </c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</row>
    <row r="34" spans="1:86" s="227" customFormat="1" ht="12.95" customHeight="1">
      <c r="A34" s="31" t="s">
        <v>93</v>
      </c>
      <c r="B34" s="19" t="s">
        <v>86</v>
      </c>
      <c r="C34" s="27">
        <v>46006.428099999997</v>
      </c>
      <c r="D34" s="27"/>
      <c r="E34" s="227">
        <f t="shared" si="14"/>
        <v>4384.5178330066665</v>
      </c>
      <c r="F34" s="227">
        <f t="shared" si="15"/>
        <v>4384.5</v>
      </c>
      <c r="G34" s="227">
        <f t="shared" si="16"/>
        <v>5.8831709902733564E-3</v>
      </c>
      <c r="J34" s="227">
        <f t="shared" si="37"/>
        <v>5.8831709902733564E-3</v>
      </c>
      <c r="P34" s="292">
        <f t="shared" si="17"/>
        <v>1.9253714056412911E-2</v>
      </c>
      <c r="Q34" s="293">
        <f t="shared" si="18"/>
        <v>30987.928099999997</v>
      </c>
      <c r="R34" s="227">
        <f t="shared" si="19"/>
        <v>1.7877142188349251E-4</v>
      </c>
      <c r="S34" s="227">
        <v>1</v>
      </c>
      <c r="T34" s="227">
        <f t="shared" si="20"/>
        <v>1.7877142188349251E-4</v>
      </c>
      <c r="Z34" s="34">
        <f t="shared" si="22"/>
        <v>4384.5</v>
      </c>
      <c r="AA34" s="227">
        <f t="shared" si="23"/>
        <v>6.6122067170039153E-3</v>
      </c>
      <c r="AB34" s="227">
        <f t="shared" si="24"/>
        <v>1.8524678329682354E-2</v>
      </c>
      <c r="AC34" s="227">
        <f t="shared" si="25"/>
        <v>-1.3370543066139554E-2</v>
      </c>
      <c r="AD34" s="227">
        <f t="shared" si="26"/>
        <v>-7.2903572673055882E-4</v>
      </c>
      <c r="AE34" s="227">
        <f t="shared" si="27"/>
        <v>5.3149309084955408E-7</v>
      </c>
      <c r="AF34" s="34">
        <f t="shared" si="28"/>
        <v>-1.3370543066139554E-2</v>
      </c>
      <c r="AG34" s="19"/>
      <c r="AH34" s="34">
        <f t="shared" si="29"/>
        <v>-1.2641507339408995E-2</v>
      </c>
      <c r="AI34" s="34">
        <f t="shared" si="30"/>
        <v>0.94956314465984426</v>
      </c>
      <c r="AJ34" s="34">
        <f t="shared" si="31"/>
        <v>-0.49716111267043633</v>
      </c>
      <c r="AK34" s="34">
        <f t="shared" si="32"/>
        <v>-5.6552577107474009E-2</v>
      </c>
      <c r="AL34" s="34">
        <f t="shared" si="33"/>
        <v>-2.29909470336993</v>
      </c>
      <c r="AM34" s="34">
        <f t="shared" si="34"/>
        <v>-2.2317869787793718</v>
      </c>
      <c r="AN34" s="227">
        <f t="shared" si="38"/>
        <v>10.325360901328082</v>
      </c>
      <c r="AO34" s="227">
        <f t="shared" si="38"/>
        <v>10.325360901979577</v>
      </c>
      <c r="AP34" s="227">
        <f t="shared" si="38"/>
        <v>10.325360888138237</v>
      </c>
      <c r="AQ34" s="227">
        <f t="shared" si="38"/>
        <v>10.325361182204531</v>
      </c>
      <c r="AR34" s="227">
        <f t="shared" si="38"/>
        <v>10.325354934640865</v>
      </c>
      <c r="AS34" s="227">
        <f t="shared" si="38"/>
        <v>10.325487677384112</v>
      </c>
      <c r="AT34" s="227">
        <f t="shared" si="38"/>
        <v>10.322672038700935</v>
      </c>
      <c r="AU34" s="227">
        <f t="shared" si="36"/>
        <v>10.384746082047132</v>
      </c>
      <c r="AV34" s="34"/>
      <c r="AW34" s="34">
        <v>11000</v>
      </c>
      <c r="AX34" s="34">
        <f t="shared" si="1"/>
        <v>1.7272650739687645E-2</v>
      </c>
      <c r="AY34" s="34">
        <f t="shared" si="2"/>
        <v>1.660534901361015E-2</v>
      </c>
      <c r="AZ34" s="34">
        <f t="shared" si="3"/>
        <v>6.673017260774946E-4</v>
      </c>
      <c r="BA34" s="34">
        <f t="shared" si="4"/>
        <v>0.98067442257969129</v>
      </c>
      <c r="BB34" s="34">
        <f t="shared" si="5"/>
        <v>-4.9887660038692008E-2</v>
      </c>
      <c r="BC34" s="34">
        <f t="shared" si="6"/>
        <v>-1.8286792786557671</v>
      </c>
      <c r="BD34" s="34">
        <f t="shared" si="7"/>
        <v>-1.2979547684189809</v>
      </c>
      <c r="BE34" s="34">
        <f t="shared" ref="BE34:BK70" si="39">$BL34+$AB$7*SIN(BF34)</f>
        <v>10.811750607815716</v>
      </c>
      <c r="BF34" s="34">
        <f t="shared" si="39"/>
        <v>10.811750607816144</v>
      </c>
      <c r="BG34" s="34">
        <f t="shared" si="39"/>
        <v>10.811750607785315</v>
      </c>
      <c r="BH34" s="34">
        <f t="shared" si="39"/>
        <v>10.811750610011046</v>
      </c>
      <c r="BI34" s="34">
        <f t="shared" si="39"/>
        <v>10.811750449322286</v>
      </c>
      <c r="BJ34" s="34">
        <f t="shared" si="39"/>
        <v>10.811762050754638</v>
      </c>
      <c r="BK34" s="34">
        <f t="shared" si="39"/>
        <v>10.810926301010614</v>
      </c>
      <c r="BL34" s="34">
        <f t="shared" si="9"/>
        <v>10.886250372306289</v>
      </c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</row>
    <row r="35" spans="1:86" s="227" customFormat="1" ht="12.95" customHeight="1">
      <c r="A35" s="295" t="s">
        <v>303</v>
      </c>
      <c r="B35" s="296" t="s">
        <v>87</v>
      </c>
      <c r="C35" s="295">
        <v>46022.428999999996</v>
      </c>
      <c r="D35" s="295" t="s">
        <v>264</v>
      </c>
      <c r="E35" s="227">
        <f t="shared" si="14"/>
        <v>4433.0195945006508</v>
      </c>
      <c r="F35" s="227">
        <f t="shared" si="15"/>
        <v>4433</v>
      </c>
      <c r="G35" s="227">
        <f t="shared" si="16"/>
        <v>6.4642939905752428E-3</v>
      </c>
      <c r="J35" s="227">
        <f t="shared" si="37"/>
        <v>6.4642939905752428E-3</v>
      </c>
      <c r="O35" s="227">
        <f ca="1">+C$11+C$12*F35</f>
        <v>0.12528020471293283</v>
      </c>
      <c r="P35" s="292">
        <f t="shared" si="17"/>
        <v>1.92430620636658E-2</v>
      </c>
      <c r="Q35" s="293">
        <f t="shared" si="18"/>
        <v>31003.928999999996</v>
      </c>
      <c r="R35" s="227">
        <f t="shared" si="19"/>
        <v>1.6329691346583856E-4</v>
      </c>
      <c r="S35" s="227">
        <v>1</v>
      </c>
      <c r="T35" s="227">
        <f t="shared" si="20"/>
        <v>1.6329691346583856E-4</v>
      </c>
      <c r="Z35" s="34">
        <f t="shared" si="22"/>
        <v>4433</v>
      </c>
      <c r="AA35" s="227">
        <f t="shared" si="23"/>
        <v>6.6906038135706239E-3</v>
      </c>
      <c r="AB35" s="227">
        <f t="shared" si="24"/>
        <v>1.9016752240670419E-2</v>
      </c>
      <c r="AC35" s="227">
        <f t="shared" si="25"/>
        <v>-1.2778768073090557E-2</v>
      </c>
      <c r="AD35" s="227">
        <f t="shared" si="26"/>
        <v>-2.263098229953811E-4</v>
      </c>
      <c r="AE35" s="227">
        <f t="shared" si="27"/>
        <v>5.1216135984200728E-8</v>
      </c>
      <c r="AF35" s="34">
        <f t="shared" si="28"/>
        <v>-1.2778768073090557E-2</v>
      </c>
      <c r="AG35" s="19"/>
      <c r="AH35" s="34">
        <f t="shared" si="29"/>
        <v>-1.2552458250095176E-2</v>
      </c>
      <c r="AI35" s="34">
        <f t="shared" si="30"/>
        <v>0.94975257007121172</v>
      </c>
      <c r="AJ35" s="34">
        <f t="shared" si="31"/>
        <v>-0.49425639960202422</v>
      </c>
      <c r="AK35" s="34">
        <f t="shared" si="32"/>
        <v>-5.6720949742155302E-2</v>
      </c>
      <c r="AL35" s="34">
        <f t="shared" si="33"/>
        <v>-2.2957501401686575</v>
      </c>
      <c r="AM35" s="34">
        <f t="shared" si="34"/>
        <v>-2.2218224547789567</v>
      </c>
      <c r="AN35" s="227">
        <f t="shared" si="38"/>
        <v>10.328872636811116</v>
      </c>
      <c r="AO35" s="227">
        <f t="shared" si="38"/>
        <v>10.32887263744685</v>
      </c>
      <c r="AP35" s="227">
        <f t="shared" si="38"/>
        <v>10.328872623880198</v>
      </c>
      <c r="AQ35" s="227">
        <f t="shared" si="38"/>
        <v>10.328872913395085</v>
      </c>
      <c r="AR35" s="227">
        <f t="shared" si="38"/>
        <v>10.328866735116167</v>
      </c>
      <c r="AS35" s="227">
        <f t="shared" si="38"/>
        <v>10.328998590784684</v>
      </c>
      <c r="AT35" s="227">
        <f t="shared" si="38"/>
        <v>10.326189328239629</v>
      </c>
      <c r="AU35" s="227">
        <f t="shared" si="36"/>
        <v>10.388422744140332</v>
      </c>
      <c r="AV35" s="34"/>
      <c r="AW35" s="34">
        <v>11500</v>
      </c>
      <c r="AX35" s="34">
        <f t="shared" si="1"/>
        <v>1.8033593409440232E-2</v>
      </c>
      <c r="AY35" s="34">
        <f t="shared" si="2"/>
        <v>1.6307289799706949E-2</v>
      </c>
      <c r="AZ35" s="34">
        <f t="shared" si="3"/>
        <v>1.7263036097332821E-3</v>
      </c>
      <c r="BA35" s="34">
        <f t="shared" si="4"/>
        <v>0.98338848740641649</v>
      </c>
      <c r="BB35" s="34">
        <f t="shared" si="5"/>
        <v>-1.3037292460025366E-2</v>
      </c>
      <c r="BC35" s="34">
        <f t="shared" si="6"/>
        <v>-1.7918085639988535</v>
      </c>
      <c r="BD35" s="34">
        <f t="shared" si="7"/>
        <v>-1.2496128727764146</v>
      </c>
      <c r="BE35" s="34">
        <f t="shared" si="39"/>
        <v>10.849188110020533</v>
      </c>
      <c r="BF35" s="34">
        <f t="shared" si="39"/>
        <v>10.849188110020636</v>
      </c>
      <c r="BG35" s="34">
        <f t="shared" si="39"/>
        <v>10.849188110011303</v>
      </c>
      <c r="BH35" s="34">
        <f t="shared" si="39"/>
        <v>10.849188110855797</v>
      </c>
      <c r="BI35" s="34">
        <f t="shared" si="39"/>
        <v>10.849188034452004</v>
      </c>
      <c r="BJ35" s="34">
        <f t="shared" si="39"/>
        <v>10.849194947072919</v>
      </c>
      <c r="BK35" s="34">
        <f t="shared" si="39"/>
        <v>10.848570835091179</v>
      </c>
      <c r="BL35" s="34">
        <f t="shared" si="9"/>
        <v>10.924154105225885</v>
      </c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</row>
    <row r="36" spans="1:86" s="227" customFormat="1" ht="12.95" customHeight="1">
      <c r="A36" s="31" t="s">
        <v>93</v>
      </c>
      <c r="B36" s="19" t="s">
        <v>94</v>
      </c>
      <c r="C36" s="27">
        <v>46022.429000000004</v>
      </c>
      <c r="D36" s="27"/>
      <c r="E36" s="227">
        <f t="shared" si="14"/>
        <v>4433.0195945006726</v>
      </c>
      <c r="F36" s="227">
        <f t="shared" si="15"/>
        <v>4433</v>
      </c>
      <c r="G36" s="227">
        <f t="shared" si="16"/>
        <v>6.4642939978512004E-3</v>
      </c>
      <c r="J36" s="227">
        <f t="shared" si="37"/>
        <v>6.4642939978512004E-3</v>
      </c>
      <c r="P36" s="292">
        <f t="shared" si="17"/>
        <v>1.92430620636658E-2</v>
      </c>
      <c r="Q36" s="293">
        <f t="shared" si="18"/>
        <v>31003.929000000004</v>
      </c>
      <c r="R36" s="227">
        <f t="shared" si="19"/>
        <v>1.6329691327988301E-4</v>
      </c>
      <c r="S36" s="227">
        <v>1</v>
      </c>
      <c r="T36" s="227">
        <f t="shared" si="20"/>
        <v>1.6329691327988301E-4</v>
      </c>
      <c r="Z36" s="34">
        <f t="shared" si="22"/>
        <v>4433</v>
      </c>
      <c r="AA36" s="227">
        <f t="shared" si="23"/>
        <v>6.6906038135706239E-3</v>
      </c>
      <c r="AB36" s="227">
        <f t="shared" si="24"/>
        <v>1.9016752247946377E-2</v>
      </c>
      <c r="AC36" s="227">
        <f t="shared" si="25"/>
        <v>-1.27787680658146E-2</v>
      </c>
      <c r="AD36" s="227">
        <f t="shared" si="26"/>
        <v>-2.2630981571942349E-4</v>
      </c>
      <c r="AE36" s="227">
        <f t="shared" si="27"/>
        <v>5.121613269095942E-8</v>
      </c>
      <c r="AF36" s="34">
        <f t="shared" si="28"/>
        <v>-1.27787680658146E-2</v>
      </c>
      <c r="AG36" s="19"/>
      <c r="AH36" s="34">
        <f t="shared" si="29"/>
        <v>-1.2552458250095176E-2</v>
      </c>
      <c r="AI36" s="34">
        <f t="shared" si="30"/>
        <v>0.94975257007121172</v>
      </c>
      <c r="AJ36" s="34">
        <f t="shared" si="31"/>
        <v>-0.49425639960202422</v>
      </c>
      <c r="AK36" s="34">
        <f t="shared" si="32"/>
        <v>-5.6720949742155302E-2</v>
      </c>
      <c r="AL36" s="34">
        <f t="shared" si="33"/>
        <v>-2.2957501401686575</v>
      </c>
      <c r="AM36" s="34">
        <f t="shared" si="34"/>
        <v>-2.2218224547789567</v>
      </c>
      <c r="AN36" s="227">
        <f t="shared" si="38"/>
        <v>10.328872636811116</v>
      </c>
      <c r="AO36" s="227">
        <f t="shared" si="38"/>
        <v>10.32887263744685</v>
      </c>
      <c r="AP36" s="227">
        <f t="shared" si="38"/>
        <v>10.328872623880198</v>
      </c>
      <c r="AQ36" s="227">
        <f t="shared" si="38"/>
        <v>10.328872913395085</v>
      </c>
      <c r="AR36" s="227">
        <f t="shared" si="38"/>
        <v>10.328866735116167</v>
      </c>
      <c r="AS36" s="227">
        <f t="shared" si="38"/>
        <v>10.328998590784684</v>
      </c>
      <c r="AT36" s="227">
        <f t="shared" si="38"/>
        <v>10.326189328239629</v>
      </c>
      <c r="AU36" s="227">
        <f t="shared" si="36"/>
        <v>10.388422744140332</v>
      </c>
      <c r="AV36" s="34"/>
      <c r="AW36" s="34">
        <v>12000</v>
      </c>
      <c r="AX36" s="34">
        <f t="shared" si="1"/>
        <v>1.8781294777030534E-2</v>
      </c>
      <c r="AY36" s="34">
        <f t="shared" si="2"/>
        <v>1.5995472511205863E-2</v>
      </c>
      <c r="AZ36" s="34">
        <f t="shared" si="3"/>
        <v>2.785822265824672E-3</v>
      </c>
      <c r="BA36" s="34">
        <f t="shared" si="4"/>
        <v>0.98614044350871222</v>
      </c>
      <c r="BB36" s="34">
        <f t="shared" si="5"/>
        <v>2.4036267721263393E-2</v>
      </c>
      <c r="BC36" s="34">
        <f t="shared" si="6"/>
        <v>-1.7547323193995596</v>
      </c>
      <c r="BD36" s="34">
        <f t="shared" si="7"/>
        <v>-1.2031968061567511</v>
      </c>
      <c r="BE36" s="34">
        <f t="shared" si="39"/>
        <v>10.886729811652888</v>
      </c>
      <c r="BF36" s="34">
        <f t="shared" si="39"/>
        <v>10.886729811652902</v>
      </c>
      <c r="BG36" s="34">
        <f t="shared" si="39"/>
        <v>10.886729811651021</v>
      </c>
      <c r="BH36" s="34">
        <f t="shared" si="39"/>
        <v>10.886729811879681</v>
      </c>
      <c r="BI36" s="34">
        <f t="shared" si="39"/>
        <v>10.886729784101286</v>
      </c>
      <c r="BJ36" s="34">
        <f t="shared" si="39"/>
        <v>10.88673315876842</v>
      </c>
      <c r="BK36" s="34">
        <f t="shared" si="39"/>
        <v>10.886323946124293</v>
      </c>
      <c r="BL36" s="34">
        <f t="shared" si="9"/>
        <v>10.962057838145478</v>
      </c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</row>
    <row r="37" spans="1:86" s="227" customFormat="1" ht="12.95" customHeight="1">
      <c r="A37" s="261" t="s">
        <v>101</v>
      </c>
      <c r="B37" s="232"/>
      <c r="C37" s="290">
        <v>46024.738899999997</v>
      </c>
      <c r="D37" s="339"/>
      <c r="E37" s="227">
        <f t="shared" si="14"/>
        <v>4440.0213393321901</v>
      </c>
      <c r="F37" s="227">
        <f t="shared" si="15"/>
        <v>4440</v>
      </c>
      <c r="G37" s="227">
        <f t="shared" si="16"/>
        <v>7.0399199903476983E-3</v>
      </c>
      <c r="J37" s="291">
        <f t="shared" si="37"/>
        <v>7.0399199903476983E-3</v>
      </c>
      <c r="N37" s="34"/>
      <c r="P37" s="292">
        <f t="shared" si="17"/>
        <v>1.9241513972626793E-2</v>
      </c>
      <c r="Q37" s="293">
        <f t="shared" si="18"/>
        <v>31006.238899999997</v>
      </c>
      <c r="R37" s="227">
        <f t="shared" si="19"/>
        <v>1.4887889570838942E-4</v>
      </c>
      <c r="S37" s="227">
        <v>1</v>
      </c>
      <c r="T37" s="227">
        <f t="shared" si="20"/>
        <v>1.4887889570838942E-4</v>
      </c>
      <c r="Z37" s="34">
        <f t="shared" si="22"/>
        <v>4440</v>
      </c>
      <c r="AA37" s="227">
        <f t="shared" si="23"/>
        <v>6.7019224473273149E-3</v>
      </c>
      <c r="AB37" s="227">
        <f t="shared" si="24"/>
        <v>1.9579511515647179E-2</v>
      </c>
      <c r="AC37" s="227">
        <f t="shared" si="25"/>
        <v>-1.2201593982279095E-2</v>
      </c>
      <c r="AD37" s="227">
        <f t="shared" si="26"/>
        <v>3.3799754302038347E-4</v>
      </c>
      <c r="AE37" s="227">
        <f t="shared" si="27"/>
        <v>1.1424233908781598E-7</v>
      </c>
      <c r="AF37" s="34">
        <f t="shared" si="28"/>
        <v>-1.2201593982279095E-2</v>
      </c>
      <c r="AG37" s="19"/>
      <c r="AH37" s="34">
        <f t="shared" si="29"/>
        <v>-1.2539591525299478E-2</v>
      </c>
      <c r="AI37" s="34">
        <f t="shared" si="30"/>
        <v>0.94977996254472108</v>
      </c>
      <c r="AJ37" s="34">
        <f t="shared" si="31"/>
        <v>-0.49383660944288155</v>
      </c>
      <c r="AK37" s="34">
        <f t="shared" si="32"/>
        <v>-5.6745204132957139E-2</v>
      </c>
      <c r="AL37" s="34">
        <f t="shared" si="33"/>
        <v>-2.2952673094382297</v>
      </c>
      <c r="AM37" s="34">
        <f t="shared" si="34"/>
        <v>-2.2203900619474957</v>
      </c>
      <c r="AN37" s="227">
        <f t="shared" si="38"/>
        <v>10.329379543118847</v>
      </c>
      <c r="AO37" s="227">
        <f t="shared" si="38"/>
        <v>10.329379543752324</v>
      </c>
      <c r="AP37" s="227">
        <f t="shared" si="38"/>
        <v>10.329379530225077</v>
      </c>
      <c r="AQ37" s="227">
        <f t="shared" si="38"/>
        <v>10.329379819085178</v>
      </c>
      <c r="AR37" s="227">
        <f t="shared" si="38"/>
        <v>10.329373650805181</v>
      </c>
      <c r="AS37" s="227">
        <f t="shared" si="38"/>
        <v>10.329505377953055</v>
      </c>
      <c r="AT37" s="227">
        <f t="shared" si="38"/>
        <v>10.326697047697273</v>
      </c>
      <c r="AU37" s="227">
        <f t="shared" si="36"/>
        <v>10.388953396401206</v>
      </c>
      <c r="AV37" s="34"/>
      <c r="AW37" s="34">
        <v>12500</v>
      </c>
      <c r="AX37" s="34">
        <f t="shared" si="1"/>
        <v>1.9514274102501328E-2</v>
      </c>
      <c r="AY37" s="34">
        <f t="shared" si="2"/>
        <v>1.5669897148106886E-2</v>
      </c>
      <c r="AZ37" s="34">
        <f t="shared" si="3"/>
        <v>3.844376954394442E-3</v>
      </c>
      <c r="BA37" s="34">
        <f t="shared" si="4"/>
        <v>0.98892710471330791</v>
      </c>
      <c r="BB37" s="34">
        <f t="shared" si="5"/>
        <v>6.1285242108748354E-2</v>
      </c>
      <c r="BC37" s="34">
        <f t="shared" si="6"/>
        <v>-1.7174472317448493</v>
      </c>
      <c r="BD37" s="34">
        <f t="shared" si="7"/>
        <v>-1.1585617980672509</v>
      </c>
      <c r="BE37" s="34">
        <f t="shared" si="39"/>
        <v>10.924377097010913</v>
      </c>
      <c r="BF37" s="34">
        <f t="shared" si="39"/>
        <v>10.924377097010915</v>
      </c>
      <c r="BG37" s="34">
        <f t="shared" si="39"/>
        <v>10.924377097010751</v>
      </c>
      <c r="BH37" s="34">
        <f t="shared" si="39"/>
        <v>10.92437709704091</v>
      </c>
      <c r="BI37" s="34">
        <f t="shared" si="39"/>
        <v>10.924377091446331</v>
      </c>
      <c r="BJ37" s="34">
        <f t="shared" si="39"/>
        <v>10.92437812931017</v>
      </c>
      <c r="BK37" s="34">
        <f t="shared" si="39"/>
        <v>10.924185850481456</v>
      </c>
      <c r="BL37" s="34">
        <f t="shared" si="9"/>
        <v>10.999961571065073</v>
      </c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</row>
    <row r="38" spans="1:86" s="227" customFormat="1" ht="12.95" customHeight="1">
      <c r="A38" s="261" t="s">
        <v>93</v>
      </c>
      <c r="B38" s="232"/>
      <c r="C38" s="290">
        <v>46036.285799999998</v>
      </c>
      <c r="D38" s="339"/>
      <c r="E38" s="227">
        <f t="shared" si="14"/>
        <v>4475.0221823969541</v>
      </c>
      <c r="F38" s="227">
        <f t="shared" si="15"/>
        <v>4475</v>
      </c>
      <c r="G38" s="227">
        <f t="shared" si="16"/>
        <v>7.3180499966838397E-3</v>
      </c>
      <c r="J38" s="227">
        <f t="shared" si="37"/>
        <v>7.3180499966838397E-3</v>
      </c>
      <c r="P38" s="292">
        <f t="shared" si="17"/>
        <v>1.9233733068692426E-2</v>
      </c>
      <c r="Q38" s="293">
        <f t="shared" si="18"/>
        <v>31017.785799999998</v>
      </c>
      <c r="R38" s="227">
        <f t="shared" si="19"/>
        <v>1.4198350307255197E-4</v>
      </c>
      <c r="S38" s="227">
        <v>1</v>
      </c>
      <c r="T38" s="227">
        <f t="shared" si="20"/>
        <v>1.4198350307255197E-4</v>
      </c>
      <c r="Z38" s="34">
        <f t="shared" si="22"/>
        <v>4475</v>
      </c>
      <c r="AA38" s="227">
        <f t="shared" si="23"/>
        <v>6.7585290116899364E-3</v>
      </c>
      <c r="AB38" s="227">
        <f t="shared" si="24"/>
        <v>1.9793254053686329E-2</v>
      </c>
      <c r="AC38" s="227">
        <f t="shared" si="25"/>
        <v>-1.1915683072008586E-2</v>
      </c>
      <c r="AD38" s="227">
        <f t="shared" si="26"/>
        <v>5.5952098499390326E-4</v>
      </c>
      <c r="AE38" s="227">
        <f t="shared" si="27"/>
        <v>3.1306373264854773E-7</v>
      </c>
      <c r="AF38" s="34">
        <f t="shared" si="28"/>
        <v>-1.1915683072008586E-2</v>
      </c>
      <c r="AG38" s="19"/>
      <c r="AH38" s="34">
        <f t="shared" si="29"/>
        <v>-1.247520405700249E-2</v>
      </c>
      <c r="AI38" s="34">
        <f t="shared" si="30"/>
        <v>0.9499171241770844</v>
      </c>
      <c r="AJ38" s="34">
        <f t="shared" si="31"/>
        <v>-0.49173556960856979</v>
      </c>
      <c r="AK38" s="34">
        <f t="shared" si="32"/>
        <v>-5.6866298485192479E-2</v>
      </c>
      <c r="AL38" s="34">
        <f t="shared" si="33"/>
        <v>-2.2928527376288104</v>
      </c>
      <c r="AM38" s="34">
        <f t="shared" si="34"/>
        <v>-2.2132498340895093</v>
      </c>
      <c r="AN38" s="227">
        <f t="shared" si="38"/>
        <v>10.331914294149891</v>
      </c>
      <c r="AO38" s="227">
        <f t="shared" si="38"/>
        <v>10.33191429477217</v>
      </c>
      <c r="AP38" s="227">
        <f t="shared" si="38"/>
        <v>10.331914281441028</v>
      </c>
      <c r="AQ38" s="227">
        <f t="shared" si="38"/>
        <v>10.331914567035339</v>
      </c>
      <c r="AR38" s="227">
        <f t="shared" si="38"/>
        <v>10.331908448744157</v>
      </c>
      <c r="AS38" s="227">
        <f t="shared" si="38"/>
        <v>10.332039531461813</v>
      </c>
      <c r="AT38" s="227">
        <f t="shared" si="38"/>
        <v>10.329235908077658</v>
      </c>
      <c r="AU38" s="227">
        <f t="shared" si="36"/>
        <v>10.391606657705578</v>
      </c>
      <c r="AV38" s="34"/>
      <c r="AW38" s="34">
        <v>13000</v>
      </c>
      <c r="AX38" s="34">
        <f t="shared" si="1"/>
        <v>2.0231026848337819E-2</v>
      </c>
      <c r="AY38" s="34">
        <f t="shared" si="2"/>
        <v>1.5330563710410028E-2</v>
      </c>
      <c r="AZ38" s="34">
        <f t="shared" si="3"/>
        <v>4.9004631379277915E-3</v>
      </c>
      <c r="BA38" s="34">
        <f t="shared" si="4"/>
        <v>0.99174512110381741</v>
      </c>
      <c r="BB38" s="34">
        <f t="shared" si="5"/>
        <v>9.8659929003252989E-2</v>
      </c>
      <c r="BC38" s="34">
        <f t="shared" si="6"/>
        <v>-1.6799502123149472</v>
      </c>
      <c r="BD38" s="34">
        <f t="shared" si="7"/>
        <v>-1.1155764725097459</v>
      </c>
      <c r="BE38" s="34">
        <f t="shared" si="39"/>
        <v>10.962131225815432</v>
      </c>
      <c r="BF38" s="34">
        <f t="shared" si="39"/>
        <v>10.962131225815432</v>
      </c>
      <c r="BG38" s="34">
        <f t="shared" si="39"/>
        <v>10.962131225815432</v>
      </c>
      <c r="BH38" s="34">
        <f t="shared" si="39"/>
        <v>10.962131225815018</v>
      </c>
      <c r="BI38" s="34">
        <f t="shared" si="39"/>
        <v>10.962131225978318</v>
      </c>
      <c r="BJ38" s="34">
        <f t="shared" si="39"/>
        <v>10.96213116152774</v>
      </c>
      <c r="BK38" s="34">
        <f t="shared" si="39"/>
        <v>10.962156608250272</v>
      </c>
      <c r="BL38" s="34">
        <f t="shared" si="9"/>
        <v>11.037865303984669</v>
      </c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</row>
    <row r="39" spans="1:86" s="227" customFormat="1" ht="12.95" customHeight="1">
      <c r="A39" s="31" t="s">
        <v>93</v>
      </c>
      <c r="B39" s="19" t="s">
        <v>86</v>
      </c>
      <c r="C39" s="27">
        <v>46036.449800000002</v>
      </c>
      <c r="D39" s="27"/>
      <c r="E39" s="227">
        <f t="shared" si="14"/>
        <v>4475.5192974895563</v>
      </c>
      <c r="F39" s="227">
        <f t="shared" si="15"/>
        <v>4475.5</v>
      </c>
      <c r="G39" s="227">
        <f t="shared" si="16"/>
        <v>6.3663089968031272E-3</v>
      </c>
      <c r="J39" s="227">
        <f t="shared" si="37"/>
        <v>6.3663089968031272E-3</v>
      </c>
      <c r="P39" s="292">
        <f t="shared" si="17"/>
        <v>1.9233621424510287E-2</v>
      </c>
      <c r="Q39" s="293">
        <f t="shared" si="18"/>
        <v>31017.949800000002</v>
      </c>
      <c r="R39" s="227">
        <f t="shared" si="19"/>
        <v>1.6556772911222712E-4</v>
      </c>
      <c r="S39" s="227">
        <v>1</v>
      </c>
      <c r="T39" s="227">
        <f t="shared" si="20"/>
        <v>1.6556772911222712E-4</v>
      </c>
      <c r="Z39" s="34">
        <f t="shared" si="22"/>
        <v>4475.5</v>
      </c>
      <c r="AA39" s="227">
        <f t="shared" si="23"/>
        <v>6.7593378375995199E-3</v>
      </c>
      <c r="AB39" s="227">
        <f t="shared" si="24"/>
        <v>1.8840592583713893E-2</v>
      </c>
      <c r="AC39" s="227">
        <f t="shared" si="25"/>
        <v>-1.286731242770716E-2</v>
      </c>
      <c r="AD39" s="227">
        <f t="shared" si="26"/>
        <v>-3.9302884079639271E-4</v>
      </c>
      <c r="AE39" s="227">
        <f t="shared" si="27"/>
        <v>1.544716696977562E-7</v>
      </c>
      <c r="AF39" s="34">
        <f t="shared" si="28"/>
        <v>-1.286731242770716E-2</v>
      </c>
      <c r="AG39" s="19"/>
      <c r="AH39" s="34">
        <f t="shared" si="29"/>
        <v>-1.2474283586910767E-2</v>
      </c>
      <c r="AI39" s="34">
        <f t="shared" si="30"/>
        <v>0.94991908603376018</v>
      </c>
      <c r="AJ39" s="34">
        <f t="shared" si="31"/>
        <v>-0.49170552955306146</v>
      </c>
      <c r="AK39" s="34">
        <f t="shared" si="32"/>
        <v>-5.6868026257350233E-2</v>
      </c>
      <c r="AL39" s="34">
        <f t="shared" si="33"/>
        <v>-2.2928182386913956</v>
      </c>
      <c r="AM39" s="34">
        <f t="shared" si="34"/>
        <v>-2.2131480924167604</v>
      </c>
      <c r="AN39" s="227">
        <f t="shared" si="38"/>
        <v>10.331950507531838</v>
      </c>
      <c r="AO39" s="227">
        <f t="shared" si="38"/>
        <v>10.331950508153959</v>
      </c>
      <c r="AP39" s="227">
        <f t="shared" si="38"/>
        <v>10.331950494825607</v>
      </c>
      <c r="AQ39" s="227">
        <f t="shared" si="38"/>
        <v>10.331950780373361</v>
      </c>
      <c r="AR39" s="227">
        <f t="shared" si="38"/>
        <v>10.331944662796225</v>
      </c>
      <c r="AS39" s="227">
        <f t="shared" si="38"/>
        <v>10.332075736285811</v>
      </c>
      <c r="AT39" s="227">
        <f t="shared" si="38"/>
        <v>10.329272180690818</v>
      </c>
      <c r="AU39" s="227">
        <f t="shared" si="36"/>
        <v>10.391644561438499</v>
      </c>
      <c r="AV39" s="34"/>
      <c r="AW39" s="34">
        <v>13500</v>
      </c>
      <c r="AX39" s="34">
        <f t="shared" si="1"/>
        <v>2.0930026212032996E-2</v>
      </c>
      <c r="AY39" s="34">
        <f t="shared" si="2"/>
        <v>1.497747219811528E-2</v>
      </c>
      <c r="AZ39" s="34">
        <f t="shared" si="3"/>
        <v>5.9525540139177165E-3</v>
      </c>
      <c r="BA39" s="34">
        <f t="shared" si="4"/>
        <v>0.99459097641499772</v>
      </c>
      <c r="BB39" s="34">
        <f t="shared" si="5"/>
        <v>0.13610869907587489</v>
      </c>
      <c r="BC39" s="34">
        <f t="shared" si="6"/>
        <v>-1.64223841185436</v>
      </c>
      <c r="BD39" s="34">
        <f t="shared" si="7"/>
        <v>-1.0741213040824906</v>
      </c>
      <c r="BE39" s="34">
        <f t="shared" si="39"/>
        <v>10.999993326916139</v>
      </c>
      <c r="BF39" s="34">
        <f t="shared" si="39"/>
        <v>10.999993326916139</v>
      </c>
      <c r="BG39" s="34">
        <f t="shared" si="39"/>
        <v>10.999993326916139</v>
      </c>
      <c r="BH39" s="34">
        <f t="shared" si="39"/>
        <v>10.999993326916147</v>
      </c>
      <c r="BI39" s="34">
        <f t="shared" si="39"/>
        <v>10.999993326944111</v>
      </c>
      <c r="BJ39" s="34">
        <f t="shared" si="39"/>
        <v>10.999993410451893</v>
      </c>
      <c r="BK39" s="34">
        <f t="shared" si="39"/>
        <v>11.00023612314814</v>
      </c>
      <c r="BL39" s="34">
        <f t="shared" si="9"/>
        <v>11.075769036904262</v>
      </c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</row>
    <row r="40" spans="1:86" s="227" customFormat="1" ht="12.95" customHeight="1">
      <c r="A40" s="31" t="s">
        <v>93</v>
      </c>
      <c r="B40" s="19" t="s">
        <v>94</v>
      </c>
      <c r="C40" s="27">
        <v>46036.615700000002</v>
      </c>
      <c r="D40" s="27"/>
      <c r="E40" s="227">
        <f t="shared" si="14"/>
        <v>4476.0221718423645</v>
      </c>
      <c r="F40" s="227">
        <f t="shared" si="15"/>
        <v>4476</v>
      </c>
      <c r="G40" s="227">
        <f t="shared" si="16"/>
        <v>7.3145679998560809E-3</v>
      </c>
      <c r="J40" s="227">
        <f t="shared" si="37"/>
        <v>7.3145679998560809E-3</v>
      </c>
      <c r="P40" s="292">
        <f t="shared" si="17"/>
        <v>1.9233509766570074E-2</v>
      </c>
      <c r="Q40" s="293">
        <f t="shared" si="18"/>
        <v>31018.115700000002</v>
      </c>
      <c r="R40" s="227">
        <f t="shared" si="19"/>
        <v>1.4206117283831928E-4</v>
      </c>
      <c r="S40" s="227">
        <v>1</v>
      </c>
      <c r="T40" s="227">
        <f t="shared" si="20"/>
        <v>1.4206117283831928E-4</v>
      </c>
      <c r="Z40" s="34">
        <f t="shared" si="22"/>
        <v>4476</v>
      </c>
      <c r="AA40" s="227">
        <f t="shared" si="23"/>
        <v>6.7601466680110283E-3</v>
      </c>
      <c r="AB40" s="227">
        <f t="shared" si="24"/>
        <v>1.9787931098415125E-2</v>
      </c>
      <c r="AC40" s="227">
        <f t="shared" si="25"/>
        <v>-1.1918941766713993E-2</v>
      </c>
      <c r="AD40" s="227">
        <f t="shared" si="26"/>
        <v>5.5442133184505256E-4</v>
      </c>
      <c r="AE40" s="227">
        <f t="shared" si="27"/>
        <v>3.0738301320484191E-7</v>
      </c>
      <c r="AF40" s="34">
        <f t="shared" si="28"/>
        <v>-1.1918941766713993E-2</v>
      </c>
      <c r="AG40" s="19"/>
      <c r="AH40" s="34">
        <f t="shared" si="29"/>
        <v>-1.2473363098559046E-2</v>
      </c>
      <c r="AI40" s="34">
        <f t="shared" si="30"/>
        <v>0.94992104795814525</v>
      </c>
      <c r="AJ40" s="34">
        <f t="shared" si="31"/>
        <v>-0.49167548878824818</v>
      </c>
      <c r="AK40" s="34">
        <f t="shared" si="32"/>
        <v>-5.6869753968961385E-2</v>
      </c>
      <c r="AL40" s="34">
        <f t="shared" si="33"/>
        <v>-2.2927837396114779</v>
      </c>
      <c r="AM40" s="34">
        <f t="shared" si="34"/>
        <v>-2.21304635809161</v>
      </c>
      <c r="AN40" s="227">
        <f t="shared" si="38"/>
        <v>10.331986720988576</v>
      </c>
      <c r="AO40" s="227">
        <f t="shared" si="38"/>
        <v>10.331986721610537</v>
      </c>
      <c r="AP40" s="227">
        <f t="shared" si="38"/>
        <v>10.331986708284976</v>
      </c>
      <c r="AQ40" s="227">
        <f t="shared" si="38"/>
        <v>10.331986993786179</v>
      </c>
      <c r="AR40" s="227">
        <f t="shared" si="38"/>
        <v>10.331980876923081</v>
      </c>
      <c r="AS40" s="227">
        <f t="shared" si="38"/>
        <v>10.332111941183985</v>
      </c>
      <c r="AT40" s="227">
        <f t="shared" si="38"/>
        <v>10.329308453393589</v>
      </c>
      <c r="AU40" s="227">
        <f t="shared" si="36"/>
        <v>10.391682465171417</v>
      </c>
      <c r="AV40" s="34"/>
      <c r="AW40" s="34">
        <v>14000</v>
      </c>
      <c r="AX40" s="34">
        <f t="shared" si="1"/>
        <v>2.1609724819495885E-2</v>
      </c>
      <c r="AY40" s="34">
        <f t="shared" si="2"/>
        <v>1.4610622611222647E-2</v>
      </c>
      <c r="AZ40" s="34">
        <f t="shared" si="3"/>
        <v>6.999102208273239E-3</v>
      </c>
      <c r="BA40" s="34">
        <f t="shared" si="4"/>
        <v>0.99746098603969946</v>
      </c>
      <c r="BB40" s="34">
        <f t="shared" si="5"/>
        <v>0.1735780007187048</v>
      </c>
      <c r="BC40" s="34">
        <f t="shared" si="6"/>
        <v>-1.6043092360773634</v>
      </c>
      <c r="BD40" s="34">
        <f t="shared" si="7"/>
        <v>-1.0340872816595208</v>
      </c>
      <c r="BE40" s="34">
        <f t="shared" si="39"/>
        <v>11.037964391909899</v>
      </c>
      <c r="BF40" s="34">
        <f t="shared" si="39"/>
        <v>11.037964391909899</v>
      </c>
      <c r="BG40" s="34">
        <f t="shared" si="39"/>
        <v>11.037964391909947</v>
      </c>
      <c r="BH40" s="34">
        <f t="shared" si="39"/>
        <v>11.037964391925206</v>
      </c>
      <c r="BI40" s="34">
        <f t="shared" si="39"/>
        <v>11.037964396676564</v>
      </c>
      <c r="BJ40" s="34">
        <f t="shared" si="39"/>
        <v>11.037965876267185</v>
      </c>
      <c r="BK40" s="34">
        <f t="shared" si="39"/>
        <v>11.038424142660563</v>
      </c>
      <c r="BL40" s="34">
        <f t="shared" si="9"/>
        <v>11.113672769823857</v>
      </c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</row>
    <row r="41" spans="1:86" s="227" customFormat="1" ht="12.95" customHeight="1">
      <c r="A41" s="261" t="s">
        <v>102</v>
      </c>
      <c r="B41" s="232" t="s">
        <v>87</v>
      </c>
      <c r="C41" s="290">
        <v>46100.287100000001</v>
      </c>
      <c r="D41" s="339"/>
      <c r="E41" s="227">
        <f t="shared" si="14"/>
        <v>4669.0222566368602</v>
      </c>
      <c r="F41" s="227">
        <f t="shared" si="15"/>
        <v>4669</v>
      </c>
      <c r="G41" s="227">
        <f t="shared" si="16"/>
        <v>7.3425419977866113E-3</v>
      </c>
      <c r="J41" s="227">
        <f t="shared" si="37"/>
        <v>7.3425419977866113E-3</v>
      </c>
      <c r="P41" s="292">
        <f t="shared" si="17"/>
        <v>1.918938219729778E-2</v>
      </c>
      <c r="Q41" s="293">
        <f t="shared" si="18"/>
        <v>31081.787100000001</v>
      </c>
      <c r="R41" s="227">
        <f t="shared" si="19"/>
        <v>1.4034762271275384E-4</v>
      </c>
      <c r="S41" s="227">
        <v>1</v>
      </c>
      <c r="T41" s="227">
        <f t="shared" si="20"/>
        <v>1.4034762271275384E-4</v>
      </c>
      <c r="Z41" s="34">
        <f t="shared" si="22"/>
        <v>4669</v>
      </c>
      <c r="AA41" s="227">
        <f t="shared" si="23"/>
        <v>7.0726813822794676E-3</v>
      </c>
      <c r="AB41" s="227">
        <f t="shared" si="24"/>
        <v>1.9459242812804922E-2</v>
      </c>
      <c r="AC41" s="227">
        <f t="shared" si="25"/>
        <v>-1.1846840199511169E-2</v>
      </c>
      <c r="AD41" s="227">
        <f t="shared" si="26"/>
        <v>2.6986061550714376E-4</v>
      </c>
      <c r="AE41" s="227">
        <f t="shared" si="27"/>
        <v>7.2824751801894471E-8</v>
      </c>
      <c r="AF41" s="34">
        <f t="shared" si="28"/>
        <v>-1.1846840199511169E-2</v>
      </c>
      <c r="AG41" s="19"/>
      <c r="AH41" s="34">
        <f t="shared" si="29"/>
        <v>-1.2116700815018313E-2</v>
      </c>
      <c r="AI41" s="34">
        <f t="shared" si="30"/>
        <v>0.95068339539790314</v>
      </c>
      <c r="AJ41" s="34">
        <f t="shared" si="31"/>
        <v>-0.48002700751171434</v>
      </c>
      <c r="AK41" s="34">
        <f t="shared" si="32"/>
        <v>-5.7532102904561344E-2</v>
      </c>
      <c r="AL41" s="34">
        <f t="shared" si="33"/>
        <v>-2.2794564007609512</v>
      </c>
      <c r="AM41" s="34">
        <f t="shared" si="34"/>
        <v>-2.1743174358554538</v>
      </c>
      <c r="AN41" s="227">
        <f t="shared" ref="AN41:AT50" si="40">$AU41+$AB$7*SIN(AO41)</f>
        <v>10.345970726500086</v>
      </c>
      <c r="AO41" s="227">
        <f t="shared" si="40"/>
        <v>10.345970727062584</v>
      </c>
      <c r="AP41" s="227">
        <f t="shared" si="40"/>
        <v>10.345970714790342</v>
      </c>
      <c r="AQ41" s="227">
        <f t="shared" si="40"/>
        <v>10.345970982538903</v>
      </c>
      <c r="AR41" s="227">
        <f t="shared" si="40"/>
        <v>10.345965140979757</v>
      </c>
      <c r="AS41" s="227">
        <f t="shared" si="40"/>
        <v>10.346092598416176</v>
      </c>
      <c r="AT41" s="227">
        <f t="shared" si="40"/>
        <v>10.34331643223693</v>
      </c>
      <c r="AU41" s="227">
        <f t="shared" si="36"/>
        <v>10.406313306078381</v>
      </c>
      <c r="AV41" s="34"/>
      <c r="AW41" s="34">
        <v>14500</v>
      </c>
      <c r="AX41" s="34">
        <f t="shared" si="1"/>
        <v>2.2268556586281164E-2</v>
      </c>
      <c r="AY41" s="34">
        <f t="shared" si="2"/>
        <v>1.4230014949732127E-2</v>
      </c>
      <c r="AZ41" s="34">
        <f t="shared" si="3"/>
        <v>8.0385416365490389E-3</v>
      </c>
      <c r="BA41" s="34">
        <f t="shared" si="4"/>
        <v>1.0003512957290428</v>
      </c>
      <c r="BB41" s="34">
        <f t="shared" si="5"/>
        <v>0.21101237606418469</v>
      </c>
      <c r="BC41" s="34">
        <f t="shared" si="6"/>
        <v>-1.5661603615573516</v>
      </c>
      <c r="BD41" s="34">
        <f t="shared" si="7"/>
        <v>-0.99537474773292078</v>
      </c>
      <c r="BE41" s="34">
        <f t="shared" si="39"/>
        <v>11.076045268695985</v>
      </c>
      <c r="BF41" s="34">
        <f t="shared" si="39"/>
        <v>11.07604526869599</v>
      </c>
      <c r="BG41" s="34">
        <f t="shared" si="39"/>
        <v>11.076045268696918</v>
      </c>
      <c r="BH41" s="34">
        <f t="shared" si="39"/>
        <v>11.076045268849176</v>
      </c>
      <c r="BI41" s="34">
        <f t="shared" si="39"/>
        <v>11.076045293845603</v>
      </c>
      <c r="BJ41" s="34">
        <f t="shared" si="39"/>
        <v>11.076049397417142</v>
      </c>
      <c r="BK41" s="34">
        <f t="shared" si="39"/>
        <v>11.076720258403892</v>
      </c>
      <c r="BL41" s="34">
        <f t="shared" si="9"/>
        <v>11.151576502743453</v>
      </c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</row>
    <row r="42" spans="1:86" s="227" customFormat="1" ht="12.95" customHeight="1">
      <c r="A42" s="261" t="s">
        <v>102</v>
      </c>
      <c r="B42" s="232" t="s">
        <v>86</v>
      </c>
      <c r="C42" s="290">
        <v>46107.3796</v>
      </c>
      <c r="D42" s="339"/>
      <c r="E42" s="227">
        <f t="shared" si="14"/>
        <v>4690.5209687965544</v>
      </c>
      <c r="F42" s="227">
        <f t="shared" si="15"/>
        <v>4690.5</v>
      </c>
      <c r="G42" s="227">
        <f t="shared" si="16"/>
        <v>6.9176789984339848E-3</v>
      </c>
      <c r="J42" s="227">
        <f t="shared" si="37"/>
        <v>6.9176789984339848E-3</v>
      </c>
      <c r="P42" s="292">
        <f t="shared" si="17"/>
        <v>1.9184339534207843E-2</v>
      </c>
      <c r="Q42" s="293">
        <f t="shared" si="18"/>
        <v>31088.8796</v>
      </c>
      <c r="R42" s="227">
        <f t="shared" si="19"/>
        <v>1.5047096069991178E-4</v>
      </c>
      <c r="S42" s="227">
        <v>1</v>
      </c>
      <c r="T42" s="227">
        <f t="shared" si="20"/>
        <v>1.5047096069991178E-4</v>
      </c>
      <c r="Z42" s="34">
        <f t="shared" si="22"/>
        <v>4690.5</v>
      </c>
      <c r="AA42" s="227">
        <f t="shared" si="23"/>
        <v>7.1075363205912179E-3</v>
      </c>
      <c r="AB42" s="227">
        <f t="shared" si="24"/>
        <v>1.899448221205061E-2</v>
      </c>
      <c r="AC42" s="227">
        <f t="shared" si="25"/>
        <v>-1.2266660535773858E-2</v>
      </c>
      <c r="AD42" s="227">
        <f t="shared" si="26"/>
        <v>-1.8985732215723305E-4</v>
      </c>
      <c r="AE42" s="227">
        <f t="shared" si="27"/>
        <v>3.6045802776715376E-8</v>
      </c>
      <c r="AF42" s="34">
        <f t="shared" si="28"/>
        <v>-1.2266660535773858E-2</v>
      </c>
      <c r="AG42" s="19"/>
      <c r="AH42" s="34">
        <f t="shared" si="29"/>
        <v>-1.2076803213616625E-2</v>
      </c>
      <c r="AI42" s="34">
        <f t="shared" si="30"/>
        <v>0.9507689413235153</v>
      </c>
      <c r="AJ42" s="34">
        <f t="shared" si="31"/>
        <v>-0.47872289724311318</v>
      </c>
      <c r="AK42" s="34">
        <f t="shared" si="32"/>
        <v>-5.7605322806951756E-2</v>
      </c>
      <c r="AL42" s="34">
        <f t="shared" si="33"/>
        <v>-2.2779704215610153</v>
      </c>
      <c r="AM42" s="34">
        <f t="shared" si="34"/>
        <v>-2.1700687097984628</v>
      </c>
      <c r="AN42" s="227">
        <f t="shared" si="40"/>
        <v>10.347529226543346</v>
      </c>
      <c r="AO42" s="227">
        <f t="shared" si="40"/>
        <v>10.347529227099455</v>
      </c>
      <c r="AP42" s="227">
        <f t="shared" si="40"/>
        <v>10.347529214941602</v>
      </c>
      <c r="AQ42" s="227">
        <f t="shared" si="40"/>
        <v>10.347529480740191</v>
      </c>
      <c r="AR42" s="227">
        <f t="shared" si="40"/>
        <v>10.347523669794302</v>
      </c>
      <c r="AS42" s="227">
        <f t="shared" si="40"/>
        <v>10.347650720115169</v>
      </c>
      <c r="AT42" s="227">
        <f t="shared" si="40"/>
        <v>10.344877738925103</v>
      </c>
      <c r="AU42" s="227">
        <f t="shared" si="36"/>
        <v>10.407943166593924</v>
      </c>
      <c r="AV42" s="34"/>
      <c r="AW42" s="34">
        <v>15000</v>
      </c>
      <c r="AX42" s="34">
        <f t="shared" si="1"/>
        <v>2.2904938753075105E-2</v>
      </c>
      <c r="AY42" s="34">
        <f t="shared" si="2"/>
        <v>1.3835649213643721E-2</v>
      </c>
      <c r="AZ42" s="34">
        <f t="shared" si="3"/>
        <v>9.0692895394313845E-3</v>
      </c>
      <c r="BA42" s="34">
        <f t="shared" si="4"/>
        <v>1.0032578810691646</v>
      </c>
      <c r="BB42" s="34">
        <f t="shared" si="5"/>
        <v>0.24835448867772025</v>
      </c>
      <c r="BC42" s="34">
        <f t="shared" si="6"/>
        <v>-1.527789751940511</v>
      </c>
      <c r="BD42" s="34">
        <f t="shared" si="7"/>
        <v>-0.95789238698544177</v>
      </c>
      <c r="BE42" s="34">
        <f t="shared" si="39"/>
        <v>11.114236654996319</v>
      </c>
      <c r="BF42" s="34">
        <f t="shared" si="39"/>
        <v>11.11423665499637</v>
      </c>
      <c r="BG42" s="34">
        <f t="shared" si="39"/>
        <v>11.114236655002086</v>
      </c>
      <c r="BH42" s="34">
        <f t="shared" si="39"/>
        <v>11.114236655639239</v>
      </c>
      <c r="BI42" s="34">
        <f t="shared" si="39"/>
        <v>11.114236726665016</v>
      </c>
      <c r="BJ42" s="34">
        <f t="shared" si="39"/>
        <v>11.114244643903648</v>
      </c>
      <c r="BK42" s="34">
        <f t="shared" si="39"/>
        <v>11.115123906711965</v>
      </c>
      <c r="BL42" s="34">
        <f t="shared" si="9"/>
        <v>11.189480235663046</v>
      </c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</row>
    <row r="43" spans="1:86" s="227" customFormat="1" ht="12.95" customHeight="1">
      <c r="A43" s="261" t="s">
        <v>103</v>
      </c>
      <c r="B43" s="232" t="s">
        <v>86</v>
      </c>
      <c r="C43" s="290">
        <v>46429.697899999999</v>
      </c>
      <c r="D43" s="339"/>
      <c r="E43" s="227">
        <f t="shared" si="14"/>
        <v>5667.5288440877857</v>
      </c>
      <c r="F43" s="227">
        <f t="shared" si="15"/>
        <v>5667.5</v>
      </c>
      <c r="G43" s="227">
        <f t="shared" si="16"/>
        <v>9.5157649921020493E-3</v>
      </c>
      <c r="J43" s="291">
        <f t="shared" si="37"/>
        <v>9.5157649921020493E-3</v>
      </c>
      <c r="N43" s="34"/>
      <c r="P43" s="292">
        <f t="shared" si="17"/>
        <v>1.8928348588854761E-2</v>
      </c>
      <c r="Q43" s="293">
        <f t="shared" si="18"/>
        <v>31411.197899999999</v>
      </c>
      <c r="R43" s="227">
        <f t="shared" si="19"/>
        <v>8.8596729965858216E-5</v>
      </c>
      <c r="S43" s="227">
        <v>1</v>
      </c>
      <c r="T43" s="227">
        <f t="shared" si="20"/>
        <v>8.8596729965858216E-5</v>
      </c>
      <c r="Z43" s="34">
        <f t="shared" si="22"/>
        <v>5667.5</v>
      </c>
      <c r="AA43" s="227">
        <f t="shared" si="23"/>
        <v>8.697984420926598E-3</v>
      </c>
      <c r="AB43" s="227">
        <f t="shared" si="24"/>
        <v>1.9746129160030212E-2</v>
      </c>
      <c r="AC43" s="227">
        <f t="shared" si="25"/>
        <v>-9.4125835967527119E-3</v>
      </c>
      <c r="AD43" s="227">
        <f t="shared" si="26"/>
        <v>8.1778057117545128E-4</v>
      </c>
      <c r="AE43" s="227">
        <f t="shared" si="27"/>
        <v>6.6876506259204729E-7</v>
      </c>
      <c r="AF43" s="34">
        <f t="shared" si="28"/>
        <v>-9.4125835967527119E-3</v>
      </c>
      <c r="AG43" s="19"/>
      <c r="AH43" s="34">
        <f t="shared" si="29"/>
        <v>-1.0230364167928163E-2</v>
      </c>
      <c r="AI43" s="34">
        <f t="shared" si="30"/>
        <v>0.95478557995673419</v>
      </c>
      <c r="AJ43" s="34">
        <f t="shared" si="31"/>
        <v>-0.41812937782906562</v>
      </c>
      <c r="AK43" s="34">
        <f t="shared" si="32"/>
        <v>-6.0808934986987868E-2</v>
      </c>
      <c r="AL43" s="34">
        <f t="shared" si="33"/>
        <v>-2.2101559661045744</v>
      </c>
      <c r="AM43" s="34">
        <f t="shared" si="34"/>
        <v>-1.9896890141864345</v>
      </c>
      <c r="AN43" s="227">
        <f t="shared" si="40"/>
        <v>10.418501599032494</v>
      </c>
      <c r="AO43" s="227">
        <f t="shared" si="40"/>
        <v>10.418501599346914</v>
      </c>
      <c r="AP43" s="227">
        <f t="shared" si="40"/>
        <v>10.418501591741524</v>
      </c>
      <c r="AQ43" s="227">
        <f t="shared" si="40"/>
        <v>10.418501775706169</v>
      </c>
      <c r="AR43" s="227">
        <f t="shared" si="40"/>
        <v>10.418497325851042</v>
      </c>
      <c r="AS43" s="227">
        <f t="shared" si="40"/>
        <v>10.418604970340203</v>
      </c>
      <c r="AT43" s="227">
        <f t="shared" si="40"/>
        <v>10.416005960851582</v>
      </c>
      <c r="AU43" s="227">
        <f t="shared" si="36"/>
        <v>10.482007060718812</v>
      </c>
      <c r="AV43" s="34"/>
      <c r="AW43" s="34">
        <v>15500</v>
      </c>
      <c r="AX43" s="34">
        <f t="shared" si="1"/>
        <v>2.3517274101195494E-2</v>
      </c>
      <c r="AY43" s="34">
        <f t="shared" si="2"/>
        <v>1.3427525402957427E-2</v>
      </c>
      <c r="AZ43" s="34">
        <f t="shared" si="3"/>
        <v>1.0089748698238067E-2</v>
      </c>
      <c r="BA43" s="34">
        <f t="shared" si="4"/>
        <v>1.0061765478199833</v>
      </c>
      <c r="BB43" s="34">
        <f t="shared" si="5"/>
        <v>0.28554516393044743</v>
      </c>
      <c r="BC43" s="34">
        <f t="shared" si="6"/>
        <v>-1.4891956744150641</v>
      </c>
      <c r="BD43" s="34">
        <f t="shared" si="7"/>
        <v>-0.92155634210556225</v>
      </c>
      <c r="BE43" s="34">
        <f t="shared" si="39"/>
        <v>11.152539091871919</v>
      </c>
      <c r="BF43" s="34">
        <f t="shared" si="39"/>
        <v>11.152539091872173</v>
      </c>
      <c r="BG43" s="34">
        <f t="shared" si="39"/>
        <v>11.152539091893557</v>
      </c>
      <c r="BH43" s="34">
        <f t="shared" si="39"/>
        <v>11.152539093698744</v>
      </c>
      <c r="BI43" s="34">
        <f t="shared" si="39"/>
        <v>11.152539246093646</v>
      </c>
      <c r="BJ43" s="34">
        <f t="shared" si="39"/>
        <v>11.152552110822803</v>
      </c>
      <c r="BK43" s="34">
        <f t="shared" si="39"/>
        <v>11.15363436944585</v>
      </c>
      <c r="BL43" s="34">
        <f t="shared" si="9"/>
        <v>11.227383968582641</v>
      </c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</row>
    <row r="44" spans="1:86" s="227" customFormat="1" ht="12.95" customHeight="1">
      <c r="A44" s="261" t="s">
        <v>103</v>
      </c>
      <c r="B44" s="232" t="s">
        <v>86</v>
      </c>
      <c r="C44" s="290">
        <v>46436.625999999997</v>
      </c>
      <c r="D44" s="339"/>
      <c r="E44" s="227">
        <f t="shared" si="14"/>
        <v>5688.52922867905</v>
      </c>
      <c r="F44" s="227">
        <f t="shared" si="15"/>
        <v>5688.5</v>
      </c>
      <c r="G44" s="227">
        <f t="shared" si="16"/>
        <v>9.6426429954590276E-3</v>
      </c>
      <c r="J44" s="291">
        <f t="shared" si="37"/>
        <v>9.6426429954590276E-3</v>
      </c>
      <c r="N44" s="34"/>
      <c r="P44" s="292">
        <f t="shared" si="17"/>
        <v>1.8922269541170218E-2</v>
      </c>
      <c r="Q44" s="293">
        <f t="shared" si="18"/>
        <v>31418.125999999997</v>
      </c>
      <c r="R44" s="227">
        <f t="shared" si="19"/>
        <v>8.6111468827867807E-5</v>
      </c>
      <c r="S44" s="227">
        <v>1</v>
      </c>
      <c r="T44" s="227">
        <f t="shared" si="20"/>
        <v>8.6111468827867807E-5</v>
      </c>
      <c r="Z44" s="34">
        <f t="shared" si="22"/>
        <v>5688.5</v>
      </c>
      <c r="AA44" s="227">
        <f t="shared" si="23"/>
        <v>8.7322804074734476E-3</v>
      </c>
      <c r="AB44" s="227">
        <f t="shared" si="24"/>
        <v>1.98326321291558E-2</v>
      </c>
      <c r="AC44" s="227">
        <f t="shared" si="25"/>
        <v>-9.2796265457111907E-3</v>
      </c>
      <c r="AD44" s="227">
        <f t="shared" si="26"/>
        <v>9.1036258798557999E-4</v>
      </c>
      <c r="AE44" s="227">
        <f t="shared" si="27"/>
        <v>8.2876004160380289E-7</v>
      </c>
      <c r="AF44" s="34">
        <f t="shared" si="28"/>
        <v>-9.2796265457111907E-3</v>
      </c>
      <c r="AG44" s="19"/>
      <c r="AH44" s="34">
        <f t="shared" si="29"/>
        <v>-1.0189989133696771E-2</v>
      </c>
      <c r="AI44" s="34">
        <f t="shared" si="30"/>
        <v>0.95487465138952243</v>
      </c>
      <c r="AJ44" s="34">
        <f t="shared" si="31"/>
        <v>-0.41679906990462601</v>
      </c>
      <c r="AK44" s="34">
        <f t="shared" si="32"/>
        <v>-6.0875062766977572E-2</v>
      </c>
      <c r="AL44" s="34">
        <f t="shared" si="33"/>
        <v>-2.2086919869697033</v>
      </c>
      <c r="AM44" s="34">
        <f t="shared" si="34"/>
        <v>-1.9860644569352852</v>
      </c>
      <c r="AN44" s="227">
        <f t="shared" si="40"/>
        <v>10.420030425928134</v>
      </c>
      <c r="AO44" s="227">
        <f t="shared" si="40"/>
        <v>10.420030426238355</v>
      </c>
      <c r="AP44" s="227">
        <f t="shared" si="40"/>
        <v>10.42003041871679</v>
      </c>
      <c r="AQ44" s="227">
        <f t="shared" si="40"/>
        <v>10.420030601082358</v>
      </c>
      <c r="AR44" s="227">
        <f t="shared" si="40"/>
        <v>10.420026179517695</v>
      </c>
      <c r="AS44" s="227">
        <f t="shared" si="40"/>
        <v>10.420133391548571</v>
      </c>
      <c r="AT44" s="227">
        <f t="shared" si="40"/>
        <v>10.417538735900914</v>
      </c>
      <c r="AU44" s="227">
        <f t="shared" si="36"/>
        <v>10.483599017501435</v>
      </c>
      <c r="AV44" s="34"/>
      <c r="AW44" s="34">
        <v>16000</v>
      </c>
      <c r="AX44" s="34">
        <f t="shared" si="1"/>
        <v>2.4103953353050676E-2</v>
      </c>
      <c r="AY44" s="34">
        <f t="shared" si="2"/>
        <v>1.3005643517673249E-2</v>
      </c>
      <c r="AZ44" s="34">
        <f t="shared" si="3"/>
        <v>1.1098309835377429E-2</v>
      </c>
      <c r="BA44" s="34">
        <f t="shared" si="4"/>
        <v>1.0091029332026955</v>
      </c>
      <c r="BB44" s="34">
        <f t="shared" si="5"/>
        <v>0.32252344304839248</v>
      </c>
      <c r="BC44" s="34">
        <f t="shared" si="6"/>
        <v>-1.4503767163576484</v>
      </c>
      <c r="BD44" s="34">
        <f t="shared" si="7"/>
        <v>-0.88628943847769326</v>
      </c>
      <c r="BE44" s="34">
        <f t="shared" si="39"/>
        <v>11.190952957270063</v>
      </c>
      <c r="BF44" s="34">
        <f t="shared" si="39"/>
        <v>11.190952957270948</v>
      </c>
      <c r="BG44" s="34">
        <f t="shared" si="39"/>
        <v>11.190952957331037</v>
      </c>
      <c r="BH44" s="34">
        <f t="shared" si="39"/>
        <v>11.190952961415686</v>
      </c>
      <c r="BI44" s="34">
        <f t="shared" si="39"/>
        <v>11.190953239073282</v>
      </c>
      <c r="BJ44" s="34">
        <f t="shared" si="39"/>
        <v>11.190972112179979</v>
      </c>
      <c r="BK44" s="34">
        <f t="shared" si="39"/>
        <v>11.192250775025443</v>
      </c>
      <c r="BL44" s="34">
        <f t="shared" si="9"/>
        <v>11.265287701502237</v>
      </c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</row>
    <row r="45" spans="1:86" s="227" customFormat="1" ht="12.95" customHeight="1">
      <c r="A45" s="261" t="s">
        <v>104</v>
      </c>
      <c r="B45" s="232"/>
      <c r="C45" s="290">
        <v>46442.394899999999</v>
      </c>
      <c r="D45" s="339"/>
      <c r="E45" s="227">
        <f t="shared" si="14"/>
        <v>5706.0158582988088</v>
      </c>
      <c r="F45" s="227">
        <f t="shared" si="15"/>
        <v>5706</v>
      </c>
      <c r="G45" s="227">
        <f t="shared" si="16"/>
        <v>5.2317079971544445E-3</v>
      </c>
      <c r="J45" s="291">
        <f t="shared" si="37"/>
        <v>5.2317079971544445E-3</v>
      </c>
      <c r="N45" s="34"/>
      <c r="P45" s="292">
        <f t="shared" si="17"/>
        <v>1.8917185129094245E-2</v>
      </c>
      <c r="Q45" s="293">
        <f t="shared" si="18"/>
        <v>31423.894899999999</v>
      </c>
      <c r="R45" s="227">
        <f t="shared" si="19"/>
        <v>1.8729228432884723E-4</v>
      </c>
      <c r="S45" s="227">
        <v>1</v>
      </c>
      <c r="T45" s="227">
        <f t="shared" si="20"/>
        <v>1.8729228432884723E-4</v>
      </c>
      <c r="Z45" s="34">
        <f t="shared" si="22"/>
        <v>5706</v>
      </c>
      <c r="AA45" s="227">
        <f t="shared" si="23"/>
        <v>8.7608629359335697E-3</v>
      </c>
      <c r="AB45" s="227">
        <f t="shared" si="24"/>
        <v>1.538803019031512E-2</v>
      </c>
      <c r="AC45" s="227">
        <f t="shared" si="25"/>
        <v>-1.3685477131939801E-2</v>
      </c>
      <c r="AD45" s="227">
        <f t="shared" si="26"/>
        <v>-3.5291549387791252E-3</v>
      </c>
      <c r="AE45" s="227">
        <f t="shared" si="27"/>
        <v>1.2454934581909092E-5</v>
      </c>
      <c r="AF45" s="34">
        <f t="shared" si="28"/>
        <v>-1.3685477131939801E-2</v>
      </c>
      <c r="AG45" s="19"/>
      <c r="AH45" s="34">
        <f t="shared" si="29"/>
        <v>-1.0156322193160676E-2</v>
      </c>
      <c r="AI45" s="34">
        <f t="shared" si="30"/>
        <v>0.95494896419098618</v>
      </c>
      <c r="AJ45" s="34">
        <f t="shared" si="31"/>
        <v>-0.41568960758702173</v>
      </c>
      <c r="AK45" s="34">
        <f t="shared" si="32"/>
        <v>-6.0930078997450364E-2</v>
      </c>
      <c r="AL45" s="34">
        <f t="shared" si="33"/>
        <v>-2.2074717955858731</v>
      </c>
      <c r="AM45" s="34">
        <f t="shared" si="34"/>
        <v>-1.983051518426409</v>
      </c>
      <c r="AN45" s="227">
        <f t="shared" si="40"/>
        <v>10.421304557346184</v>
      </c>
      <c r="AO45" s="227">
        <f t="shared" si="40"/>
        <v>10.421304557652942</v>
      </c>
      <c r="AP45" s="227">
        <f t="shared" si="40"/>
        <v>10.421304550200777</v>
      </c>
      <c r="AQ45" s="227">
        <f t="shared" si="40"/>
        <v>10.421304731239303</v>
      </c>
      <c r="AR45" s="227">
        <f t="shared" si="40"/>
        <v>10.421300333209258</v>
      </c>
      <c r="AS45" s="227">
        <f t="shared" si="40"/>
        <v>10.42140718449871</v>
      </c>
      <c r="AT45" s="227">
        <f t="shared" si="40"/>
        <v>10.418816176324636</v>
      </c>
      <c r="AU45" s="227">
        <f t="shared" si="36"/>
        <v>10.48492564815362</v>
      </c>
      <c r="AV45" s="34"/>
      <c r="AW45" s="34">
        <v>16500</v>
      </c>
      <c r="AX45" s="34">
        <f t="shared" si="1"/>
        <v>2.4663357761546503E-2</v>
      </c>
      <c r="AY45" s="34">
        <f t="shared" si="2"/>
        <v>1.2570003557791183E-2</v>
      </c>
      <c r="AZ45" s="34">
        <f t="shared" si="3"/>
        <v>1.2093354203755322E-2</v>
      </c>
      <c r="BA45" s="34">
        <f t="shared" si="4"/>
        <v>1.0120325082229913</v>
      </c>
      <c r="BB45" s="34">
        <f t="shared" si="5"/>
        <v>0.35922665180883423</v>
      </c>
      <c r="BC45" s="34">
        <f t="shared" si="6"/>
        <v>-1.4113318020683348</v>
      </c>
      <c r="BD45" s="34">
        <f t="shared" si="7"/>
        <v>-0.85202050234312188</v>
      </c>
      <c r="BE45" s="34">
        <f t="shared" si="39"/>
        <v>11.22947845964001</v>
      </c>
      <c r="BF45" s="34">
        <f t="shared" si="39"/>
        <v>11.22947845964247</v>
      </c>
      <c r="BG45" s="34">
        <f t="shared" si="39"/>
        <v>11.229478459782543</v>
      </c>
      <c r="BH45" s="34">
        <f t="shared" si="39"/>
        <v>11.22947846775787</v>
      </c>
      <c r="BI45" s="34">
        <f t="shared" si="39"/>
        <v>11.229478921849175</v>
      </c>
      <c r="BJ45" s="34">
        <f t="shared" si="39"/>
        <v>11.229504775027001</v>
      </c>
      <c r="BK45" s="34">
        <f t="shared" si="39"/>
        <v>11.230972099681523</v>
      </c>
      <c r="BL45" s="34">
        <f t="shared" si="9"/>
        <v>11.303191434421832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</row>
    <row r="46" spans="1:86" s="227" customFormat="1" ht="12.95" customHeight="1" thickBot="1">
      <c r="A46" s="261" t="s">
        <v>105</v>
      </c>
      <c r="B46" s="232" t="s">
        <v>86</v>
      </c>
      <c r="C46" s="290">
        <v>47864.787900000003</v>
      </c>
      <c r="D46" s="339"/>
      <c r="E46" s="227">
        <f t="shared" si="14"/>
        <v>10017.558711308173</v>
      </c>
      <c r="F46" s="297">
        <f t="shared" si="15"/>
        <v>10017.5</v>
      </c>
      <c r="G46" s="297">
        <f t="shared" si="16"/>
        <v>1.9369064997590613E-2</v>
      </c>
      <c r="J46" s="227">
        <f t="shared" si="37"/>
        <v>1.9369064997590613E-2</v>
      </c>
      <c r="P46" s="292">
        <f t="shared" si="17"/>
        <v>1.7150956549842906E-2</v>
      </c>
      <c r="Q46" s="293">
        <f t="shared" si="18"/>
        <v>32846.287900000003</v>
      </c>
      <c r="R46" s="227">
        <f t="shared" si="19"/>
        <v>4.9200050859697418E-6</v>
      </c>
      <c r="S46" s="227">
        <v>1</v>
      </c>
      <c r="T46" s="227">
        <f t="shared" si="20"/>
        <v>4.9200050859697418E-6</v>
      </c>
      <c r="Z46" s="34">
        <f t="shared" si="22"/>
        <v>10017.5</v>
      </c>
      <c r="AA46" s="227">
        <f t="shared" si="23"/>
        <v>1.5744404623798138E-2</v>
      </c>
      <c r="AB46" s="227">
        <f t="shared" si="24"/>
        <v>2.077561692363538E-2</v>
      </c>
      <c r="AC46" s="227">
        <f t="shared" si="25"/>
        <v>2.2181084477477069E-3</v>
      </c>
      <c r="AD46" s="227">
        <f t="shared" si="26"/>
        <v>3.6246603737924744E-3</v>
      </c>
      <c r="AE46" s="227">
        <f t="shared" si="27"/>
        <v>1.3138162825341401E-5</v>
      </c>
      <c r="AF46" s="34">
        <f t="shared" si="28"/>
        <v>2.2181084477477069E-3</v>
      </c>
      <c r="AG46" s="19"/>
      <c r="AH46" s="34">
        <f t="shared" si="29"/>
        <v>-1.4065519260447661E-3</v>
      </c>
      <c r="AI46" s="34">
        <f t="shared" si="30"/>
        <v>0.97546316983490355</v>
      </c>
      <c r="AJ46" s="34">
        <f t="shared" si="31"/>
        <v>-0.12147360255914033</v>
      </c>
      <c r="AK46" s="34">
        <f t="shared" si="32"/>
        <v>-7.1693893181705562E-2</v>
      </c>
      <c r="AL46" s="34">
        <f t="shared" si="33"/>
        <v>-1.9005452467811703</v>
      </c>
      <c r="AM46" s="34">
        <f t="shared" si="34"/>
        <v>-1.3991886279013632</v>
      </c>
      <c r="AN46" s="227">
        <f t="shared" si="40"/>
        <v>10.73848357064613</v>
      </c>
      <c r="AO46" s="227">
        <f t="shared" si="40"/>
        <v>10.738483570649425</v>
      </c>
      <c r="AP46" s="227">
        <f t="shared" si="40"/>
        <v>10.738483570478495</v>
      </c>
      <c r="AQ46" s="227">
        <f t="shared" si="40"/>
        <v>10.738483579349824</v>
      </c>
      <c r="AR46" s="227">
        <f t="shared" si="40"/>
        <v>10.738483118921176</v>
      </c>
      <c r="AS46" s="227">
        <f t="shared" si="40"/>
        <v>10.738507016583791</v>
      </c>
      <c r="AT46" s="227">
        <f t="shared" si="40"/>
        <v>10.7372695104487</v>
      </c>
      <c r="AU46" s="227">
        <f t="shared" si="36"/>
        <v>10.811769537119286</v>
      </c>
      <c r="AV46" s="34"/>
      <c r="AW46" s="34">
        <v>17000</v>
      </c>
      <c r="AX46" s="34">
        <f t="shared" si="1"/>
        <v>2.5193861891319017E-2</v>
      </c>
      <c r="AY46" s="34">
        <f t="shared" si="2"/>
        <v>1.2120605523311231E-2</v>
      </c>
      <c r="AZ46" s="34">
        <f t="shared" si="3"/>
        <v>1.3073256368007786E-2</v>
      </c>
      <c r="BA46" s="34">
        <f t="shared" si="4"/>
        <v>1.0149605811160964</v>
      </c>
      <c r="BB46" s="34">
        <f t="shared" si="5"/>
        <v>0.39559048481247672</v>
      </c>
      <c r="BC46" s="34">
        <f t="shared" si="6"/>
        <v>-1.3720602094956269</v>
      </c>
      <c r="BD46" s="34">
        <f t="shared" si="7"/>
        <v>-0.81868375946267014</v>
      </c>
      <c r="BE46" s="34">
        <f t="shared" si="39"/>
        <v>11.268115631658397</v>
      </c>
      <c r="BF46" s="34">
        <f t="shared" si="39"/>
        <v>11.268115631664232</v>
      </c>
      <c r="BG46" s="34">
        <f t="shared" si="39"/>
        <v>11.26811563195025</v>
      </c>
      <c r="BH46" s="34">
        <f t="shared" si="39"/>
        <v>11.26811564597252</v>
      </c>
      <c r="BI46" s="34">
        <f t="shared" si="39"/>
        <v>11.268116333422261</v>
      </c>
      <c r="BJ46" s="34">
        <f t="shared" si="39"/>
        <v>11.268150033964229</v>
      </c>
      <c r="BK46" s="34">
        <f t="shared" si="39"/>
        <v>11.269797168926413</v>
      </c>
      <c r="BL46" s="34">
        <f t="shared" si="9"/>
        <v>11.341095167341425</v>
      </c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</row>
    <row r="47" spans="1:86" s="227" customFormat="1" ht="12.95" customHeight="1">
      <c r="A47" s="294" t="s">
        <v>81</v>
      </c>
      <c r="B47" s="49" t="s">
        <v>86</v>
      </c>
      <c r="C47" s="31">
        <v>50415.281000000003</v>
      </c>
      <c r="D47" s="340">
        <v>1.7999999999999999E-2</v>
      </c>
      <c r="E47" s="227">
        <f t="shared" si="14"/>
        <v>17748.586842742079</v>
      </c>
      <c r="F47" s="227">
        <f t="shared" si="15"/>
        <v>17748.5</v>
      </c>
      <c r="G47" s="227">
        <f t="shared" si="16"/>
        <v>2.8649722997215576E-2</v>
      </c>
      <c r="I47" s="227">
        <f>G47</f>
        <v>2.8649722997215576E-2</v>
      </c>
      <c r="P47" s="292">
        <f t="shared" si="17"/>
        <v>1.1422142762359958E-2</v>
      </c>
      <c r="Q47" s="293">
        <f t="shared" si="18"/>
        <v>35396.781000000003</v>
      </c>
      <c r="R47" s="227">
        <f t="shared" si="19"/>
        <v>2.9678952074838804E-4</v>
      </c>
      <c r="S47" s="227">
        <v>0.1</v>
      </c>
      <c r="T47" s="227">
        <f t="shared" si="20"/>
        <v>2.9678952074838804E-5</v>
      </c>
      <c r="Z47" s="34">
        <f t="shared" si="22"/>
        <v>17748.5</v>
      </c>
      <c r="AA47" s="227">
        <f t="shared" si="23"/>
        <v>2.5930462261798119E-2</v>
      </c>
      <c r="AB47" s="227">
        <f t="shared" si="24"/>
        <v>1.4141403497777417E-2</v>
      </c>
      <c r="AC47" s="227">
        <f t="shared" si="25"/>
        <v>1.722758023485562E-2</v>
      </c>
      <c r="AD47" s="227">
        <f t="shared" si="26"/>
        <v>2.7192607354174572E-3</v>
      </c>
      <c r="AE47" s="227">
        <f t="shared" si="27"/>
        <v>7.3943789471830903E-7</v>
      </c>
      <c r="AF47" s="34">
        <f t="shared" si="28"/>
        <v>1.722758023485562E-2</v>
      </c>
      <c r="AG47" s="19"/>
      <c r="AH47" s="34">
        <f t="shared" si="29"/>
        <v>1.450831949943816E-2</v>
      </c>
      <c r="AI47" s="34">
        <f t="shared" si="30"/>
        <v>1.0193304912361958</v>
      </c>
      <c r="AJ47" s="34">
        <f t="shared" si="31"/>
        <v>0.44924902967583941</v>
      </c>
      <c r="AK47" s="34">
        <f t="shared" si="32"/>
        <v>-7.3269382846233577E-2</v>
      </c>
      <c r="AL47" s="34">
        <f t="shared" si="33"/>
        <v>-1.3128463104627677</v>
      </c>
      <c r="AM47" s="34">
        <f t="shared" si="34"/>
        <v>-0.77038943738594456</v>
      </c>
      <c r="AN47" s="227">
        <f t="shared" si="40"/>
        <v>11.326163813473213</v>
      </c>
      <c r="AO47" s="227">
        <f t="shared" si="40"/>
        <v>11.326163813490348</v>
      </c>
      <c r="AP47" s="227">
        <f t="shared" si="40"/>
        <v>11.326163814186977</v>
      </c>
      <c r="AQ47" s="227">
        <f t="shared" si="40"/>
        <v>11.326163842508556</v>
      </c>
      <c r="AR47" s="227">
        <f t="shared" si="40"/>
        <v>11.326164993926552</v>
      </c>
      <c r="AS47" s="227">
        <f t="shared" si="40"/>
        <v>11.326211801724654</v>
      </c>
      <c r="AT47" s="227">
        <f t="shared" si="40"/>
        <v>11.328109273339452</v>
      </c>
      <c r="AU47" s="227">
        <f t="shared" si="36"/>
        <v>11.397837055522059</v>
      </c>
      <c r="AV47" s="34"/>
      <c r="AW47" s="34">
        <v>17500</v>
      </c>
      <c r="AX47" s="34">
        <f t="shared" si="1"/>
        <v>2.5693836593405198E-2</v>
      </c>
      <c r="AY47" s="34">
        <f t="shared" si="2"/>
        <v>1.1657449414233393E-2</v>
      </c>
      <c r="AZ47" s="34">
        <f t="shared" si="3"/>
        <v>1.4036387179171807E-2</v>
      </c>
      <c r="BA47" s="34">
        <f t="shared" si="4"/>
        <v>1.0178823019975662</v>
      </c>
      <c r="BB47" s="34">
        <f t="shared" si="5"/>
        <v>0.43154910619951031</v>
      </c>
      <c r="BC47" s="34">
        <f t="shared" si="6"/>
        <v>-1.3325615868424414</v>
      </c>
      <c r="BD47" s="34">
        <f t="shared" si="7"/>
        <v>-0.78621830332206155</v>
      </c>
      <c r="BE47" s="34">
        <f t="shared" si="39"/>
        <v>11.306864324108705</v>
      </c>
      <c r="BF47" s="34">
        <f t="shared" si="39"/>
        <v>11.30686432412098</v>
      </c>
      <c r="BG47" s="34">
        <f t="shared" si="39"/>
        <v>11.306864324649823</v>
      </c>
      <c r="BH47" s="34">
        <f t="shared" si="39"/>
        <v>11.306864347435619</v>
      </c>
      <c r="BI47" s="34">
        <f t="shared" si="39"/>
        <v>11.306865329185353</v>
      </c>
      <c r="BJ47" s="34">
        <f t="shared" si="39"/>
        <v>11.306907626049993</v>
      </c>
      <c r="BK47" s="34">
        <f t="shared" si="39"/>
        <v>11.308724659241165</v>
      </c>
      <c r="BL47" s="34">
        <f t="shared" si="9"/>
        <v>11.378998900261021</v>
      </c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</row>
    <row r="48" spans="1:86" s="227" customFormat="1" ht="12.95" customHeight="1">
      <c r="A48" s="294" t="s">
        <v>81</v>
      </c>
      <c r="B48" s="49" t="s">
        <v>86</v>
      </c>
      <c r="C48" s="31">
        <v>50421.22</v>
      </c>
      <c r="D48" s="340">
        <v>1.0999999999999999E-2</v>
      </c>
      <c r="E48" s="227">
        <f t="shared" si="14"/>
        <v>17766.589077710909</v>
      </c>
      <c r="F48" s="227">
        <f t="shared" si="15"/>
        <v>17766.5</v>
      </c>
      <c r="G48" s="227">
        <f t="shared" si="16"/>
        <v>2.9387046997726429E-2</v>
      </c>
      <c r="I48" s="227">
        <f>G48</f>
        <v>2.9387046997726429E-2</v>
      </c>
      <c r="P48" s="292">
        <f t="shared" si="17"/>
        <v>1.1404966422387348E-2</v>
      </c>
      <c r="Q48" s="293">
        <f t="shared" si="18"/>
        <v>35402.720000000001</v>
      </c>
      <c r="R48" s="227">
        <f t="shared" si="19"/>
        <v>3.2335522181798704E-4</v>
      </c>
      <c r="S48" s="227">
        <v>0.1</v>
      </c>
      <c r="T48" s="227">
        <f t="shared" si="20"/>
        <v>3.2335522181798704E-5</v>
      </c>
      <c r="Z48" s="34">
        <f t="shared" si="22"/>
        <v>17766.5</v>
      </c>
      <c r="AA48" s="227">
        <f t="shared" si="23"/>
        <v>2.5947288248151609E-2</v>
      </c>
      <c r="AB48" s="227">
        <f t="shared" si="24"/>
        <v>1.484472517196217E-2</v>
      </c>
      <c r="AC48" s="227">
        <f t="shared" si="25"/>
        <v>1.7982080575339079E-2</v>
      </c>
      <c r="AD48" s="227">
        <f t="shared" si="26"/>
        <v>3.43975874957482E-3</v>
      </c>
      <c r="AE48" s="227">
        <f t="shared" si="27"/>
        <v>1.183194025527653E-6</v>
      </c>
      <c r="AF48" s="34">
        <f t="shared" si="28"/>
        <v>1.7982080575339079E-2</v>
      </c>
      <c r="AG48" s="19"/>
      <c r="AH48" s="34">
        <f t="shared" si="29"/>
        <v>1.4542321825764259E-2</v>
      </c>
      <c r="AI48" s="34">
        <f t="shared" si="30"/>
        <v>1.019435264627087</v>
      </c>
      <c r="AJ48" s="34">
        <f t="shared" si="31"/>
        <v>0.45052636039404781</v>
      </c>
      <c r="AK48" s="34">
        <f t="shared" si="32"/>
        <v>-7.3241660569485265E-2</v>
      </c>
      <c r="AL48" s="34">
        <f t="shared" si="33"/>
        <v>-1.311416065061628</v>
      </c>
      <c r="AM48" s="34">
        <f t="shared" si="34"/>
        <v>-0.76925051670807676</v>
      </c>
      <c r="AN48" s="227">
        <f t="shared" si="40"/>
        <v>11.327562829713489</v>
      </c>
      <c r="AO48" s="227">
        <f t="shared" si="40"/>
        <v>11.327562829731029</v>
      </c>
      <c r="AP48" s="227">
        <f t="shared" si="40"/>
        <v>11.327562830441215</v>
      </c>
      <c r="AQ48" s="227">
        <f t="shared" si="40"/>
        <v>11.327562859196787</v>
      </c>
      <c r="AR48" s="227">
        <f t="shared" si="40"/>
        <v>11.327564023513524</v>
      </c>
      <c r="AS48" s="227">
        <f t="shared" si="40"/>
        <v>11.327611163541992</v>
      </c>
      <c r="AT48" s="227">
        <f t="shared" si="40"/>
        <v>11.32951435371332</v>
      </c>
      <c r="AU48" s="227">
        <f t="shared" si="36"/>
        <v>11.399201589907165</v>
      </c>
      <c r="AV48" s="34"/>
      <c r="AW48" s="34">
        <v>18000</v>
      </c>
      <c r="AX48" s="34">
        <f t="shared" si="1"/>
        <v>2.61616521735374E-2</v>
      </c>
      <c r="AY48" s="34">
        <f t="shared" si="2"/>
        <v>1.1180535230557667E-2</v>
      </c>
      <c r="AZ48" s="34">
        <f t="shared" si="3"/>
        <v>1.4981116942979733E-2</v>
      </c>
      <c r="BA48" s="34">
        <f t="shared" si="4"/>
        <v>1.0207926688001061</v>
      </c>
      <c r="BB48" s="34">
        <f t="shared" si="5"/>
        <v>0.46703526759697356</v>
      </c>
      <c r="BC48" s="34">
        <f t="shared" si="6"/>
        <v>-1.2928359689338469</v>
      </c>
      <c r="BD48" s="34">
        <f t="shared" si="7"/>
        <v>-0.75456762358669283</v>
      </c>
      <c r="BE48" s="34">
        <f t="shared" si="39"/>
        <v>11.345724199962277</v>
      </c>
      <c r="BF48" s="34">
        <f t="shared" si="39"/>
        <v>11.345724199985797</v>
      </c>
      <c r="BG48" s="34">
        <f t="shared" si="39"/>
        <v>11.345724200890629</v>
      </c>
      <c r="BH48" s="34">
        <f t="shared" si="39"/>
        <v>11.34572423569956</v>
      </c>
      <c r="BI48" s="34">
        <f t="shared" si="39"/>
        <v>11.345725574798189</v>
      </c>
      <c r="BJ48" s="34">
        <f t="shared" si="39"/>
        <v>11.345777086158995</v>
      </c>
      <c r="BK48" s="34">
        <f t="shared" si="39"/>
        <v>11.34775309997681</v>
      </c>
      <c r="BL48" s="34">
        <f t="shared" si="9"/>
        <v>11.416902633180616</v>
      </c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</row>
    <row r="49" spans="1:86" s="227" customFormat="1" ht="12.95" customHeight="1">
      <c r="A49" s="294" t="s">
        <v>81</v>
      </c>
      <c r="B49" s="49" t="s">
        <v>87</v>
      </c>
      <c r="C49" s="31">
        <v>50434.245999999999</v>
      </c>
      <c r="D49" s="340">
        <v>1.2E-2</v>
      </c>
      <c r="E49" s="227">
        <f t="shared" si="14"/>
        <v>17806.073353296691</v>
      </c>
      <c r="F49" s="227">
        <f t="shared" si="15"/>
        <v>17806</v>
      </c>
      <c r="G49" s="227">
        <f t="shared" si="16"/>
        <v>2.419950799230719E-2</v>
      </c>
      <c r="I49" s="227">
        <f>G49</f>
        <v>2.419950799230719E-2</v>
      </c>
      <c r="P49" s="292">
        <f t="shared" si="17"/>
        <v>1.1367211402504707E-2</v>
      </c>
      <c r="Q49" s="293">
        <f t="shared" si="18"/>
        <v>35415.745999999999</v>
      </c>
      <c r="R49" s="227">
        <f t="shared" si="19"/>
        <v>1.6466783576865644E-4</v>
      </c>
      <c r="S49" s="227">
        <v>0.1</v>
      </c>
      <c r="T49" s="227">
        <f t="shared" si="20"/>
        <v>1.6466783576865646E-5</v>
      </c>
      <c r="Z49" s="34">
        <f t="shared" si="22"/>
        <v>17806</v>
      </c>
      <c r="AA49" s="227">
        <f t="shared" si="23"/>
        <v>2.5984061808397307E-2</v>
      </c>
      <c r="AB49" s="227">
        <f t="shared" si="24"/>
        <v>9.5826575864145901E-3</v>
      </c>
      <c r="AC49" s="227">
        <f t="shared" si="25"/>
        <v>1.2832296589802483E-2</v>
      </c>
      <c r="AD49" s="227">
        <f t="shared" si="26"/>
        <v>-1.7845538160901168E-3</v>
      </c>
      <c r="AE49" s="227">
        <f t="shared" si="27"/>
        <v>3.184632322521799E-7</v>
      </c>
      <c r="AF49" s="34">
        <f t="shared" si="28"/>
        <v>1.2832296589802483E-2</v>
      </c>
      <c r="AG49" s="19"/>
      <c r="AH49" s="34">
        <f t="shared" si="29"/>
        <v>1.46168504058926E-2</v>
      </c>
      <c r="AI49" s="34">
        <f t="shared" si="30"/>
        <v>1.0196651197722264</v>
      </c>
      <c r="AJ49" s="34">
        <f t="shared" si="31"/>
        <v>0.45332707629881985</v>
      </c>
      <c r="AK49" s="34">
        <f t="shared" si="32"/>
        <v>-7.3180280256668728E-2</v>
      </c>
      <c r="AL49" s="34">
        <f t="shared" si="33"/>
        <v>-1.3082764405623069</v>
      </c>
      <c r="AM49" s="34">
        <f t="shared" si="34"/>
        <v>-0.76675478551998777</v>
      </c>
      <c r="AN49" s="227">
        <f t="shared" si="40"/>
        <v>11.330633397045869</v>
      </c>
      <c r="AO49" s="227">
        <f t="shared" si="40"/>
        <v>11.330633397064323</v>
      </c>
      <c r="AP49" s="227">
        <f t="shared" si="40"/>
        <v>11.330633397804963</v>
      </c>
      <c r="AQ49" s="227">
        <f t="shared" si="40"/>
        <v>11.330633427529005</v>
      </c>
      <c r="AR49" s="227">
        <f t="shared" si="40"/>
        <v>11.33063462043985</v>
      </c>
      <c r="AS49" s="227">
        <f t="shared" si="40"/>
        <v>11.330682491994745</v>
      </c>
      <c r="AT49" s="227">
        <f t="shared" si="40"/>
        <v>11.33259817921927</v>
      </c>
      <c r="AU49" s="227">
        <f t="shared" si="36"/>
        <v>11.402195984807813</v>
      </c>
      <c r="AV49" s="34"/>
      <c r="AW49" s="34">
        <v>18500</v>
      </c>
      <c r="AX49" s="34">
        <f t="shared" si="1"/>
        <v>2.6595681752661686E-2</v>
      </c>
      <c r="AY49" s="34">
        <f t="shared" si="2"/>
        <v>1.0689862972284055E-2</v>
      </c>
      <c r="AZ49" s="34">
        <f t="shared" si="3"/>
        <v>1.5905818780377633E-2</v>
      </c>
      <c r="BA49" s="34">
        <f t="shared" si="4"/>
        <v>1.0236865345714392</v>
      </c>
      <c r="BB49" s="34">
        <f t="shared" si="5"/>
        <v>0.50198044398268493</v>
      </c>
      <c r="BC49" s="34">
        <f t="shared" si="6"/>
        <v>-1.2528837932172747</v>
      </c>
      <c r="BD49" s="34">
        <f t="shared" si="7"/>
        <v>-0.72367918689806654</v>
      </c>
      <c r="BE49" s="34">
        <f t="shared" si="39"/>
        <v>11.384694728711375</v>
      </c>
      <c r="BF49" s="34">
        <f t="shared" si="39"/>
        <v>11.384694728753178</v>
      </c>
      <c r="BG49" s="34">
        <f t="shared" si="39"/>
        <v>11.38469473020734</v>
      </c>
      <c r="BH49" s="34">
        <f t="shared" si="39"/>
        <v>11.38469478079093</v>
      </c>
      <c r="BI49" s="34">
        <f t="shared" si="39"/>
        <v>11.384696540358609</v>
      </c>
      <c r="BJ49" s="34">
        <f t="shared" si="39"/>
        <v>11.384757742830434</v>
      </c>
      <c r="BK49" s="34">
        <f t="shared" si="39"/>
        <v>11.386880875466984</v>
      </c>
      <c r="BL49" s="34">
        <f t="shared" si="9"/>
        <v>11.454806366100209</v>
      </c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</row>
    <row r="50" spans="1:86" s="227" customFormat="1" ht="12.95" customHeight="1">
      <c r="A50" s="261" t="s">
        <v>106</v>
      </c>
      <c r="B50" s="232" t="s">
        <v>86</v>
      </c>
      <c r="C50" s="290">
        <v>51199.458500000001</v>
      </c>
      <c r="D50" s="339">
        <v>1E-4</v>
      </c>
      <c r="E50" s="227">
        <f t="shared" si="14"/>
        <v>20125.57751663863</v>
      </c>
      <c r="F50" s="227">
        <f t="shared" si="15"/>
        <v>20125.5</v>
      </c>
      <c r="G50" s="227">
        <f t="shared" si="16"/>
        <v>2.5573008999344893E-2</v>
      </c>
      <c r="J50" s="227">
        <f>G50</f>
        <v>2.5573008999344893E-2</v>
      </c>
      <c r="P50" s="292">
        <f t="shared" si="17"/>
        <v>8.9996191582861103E-3</v>
      </c>
      <c r="Q50" s="293">
        <f t="shared" si="18"/>
        <v>36180.958500000001</v>
      </c>
      <c r="R50" s="227">
        <f t="shared" si="19"/>
        <v>2.7467725082371046E-4</v>
      </c>
      <c r="S50" s="227">
        <v>1</v>
      </c>
      <c r="T50" s="227">
        <f t="shared" si="20"/>
        <v>2.7467725082371046E-4</v>
      </c>
      <c r="Z50" s="34">
        <f t="shared" si="22"/>
        <v>20125.5</v>
      </c>
      <c r="AA50" s="227">
        <f t="shared" si="23"/>
        <v>2.775372623323441E-2</v>
      </c>
      <c r="AB50" s="227">
        <f t="shared" si="24"/>
        <v>6.8189019243965927E-3</v>
      </c>
      <c r="AC50" s="227">
        <f t="shared" si="25"/>
        <v>1.6573389841058783E-2</v>
      </c>
      <c r="AD50" s="227">
        <f t="shared" si="26"/>
        <v>-2.1807172338895175E-3</v>
      </c>
      <c r="AE50" s="227">
        <f t="shared" si="27"/>
        <v>4.7555276541827484E-6</v>
      </c>
      <c r="AF50" s="34">
        <f t="shared" si="28"/>
        <v>1.6573389841058783E-2</v>
      </c>
      <c r="AG50" s="19"/>
      <c r="AH50" s="34">
        <f t="shared" si="29"/>
        <v>1.87541070749483E-2</v>
      </c>
      <c r="AI50" s="34">
        <f t="shared" si="30"/>
        <v>1.0329157347878628</v>
      </c>
      <c r="AJ50" s="34">
        <f t="shared" si="31"/>
        <v>0.61100050406001549</v>
      </c>
      <c r="AK50" s="34">
        <f t="shared" si="32"/>
        <v>-6.8254118978092942E-2</v>
      </c>
      <c r="AL50" s="34">
        <f t="shared" si="33"/>
        <v>-1.1214470739416118</v>
      </c>
      <c r="AM50" s="34">
        <f t="shared" si="34"/>
        <v>-0.62795792720751364</v>
      </c>
      <c r="AN50" s="227">
        <f t="shared" si="40"/>
        <v>11.512142312724116</v>
      </c>
      <c r="AO50" s="227">
        <f t="shared" si="40"/>
        <v>11.512142312908827</v>
      </c>
      <c r="AP50" s="227">
        <f t="shared" si="40"/>
        <v>11.512142317844233</v>
      </c>
      <c r="AQ50" s="227">
        <f t="shared" si="40"/>
        <v>11.512142449715608</v>
      </c>
      <c r="AR50" s="227">
        <f t="shared" si="40"/>
        <v>11.512145973235942</v>
      </c>
      <c r="AS50" s="227">
        <f t="shared" si="40"/>
        <v>11.512240111394362</v>
      </c>
      <c r="AT50" s="227">
        <f t="shared" si="40"/>
        <v>11.514749460343634</v>
      </c>
      <c r="AU50" s="227">
        <f t="shared" si="36"/>
        <v>11.578031401821812</v>
      </c>
      <c r="AV50" s="34"/>
      <c r="AW50" s="34">
        <v>19000</v>
      </c>
      <c r="AX50" s="34">
        <f t="shared" si="1"/>
        <v>2.6994304816536245E-2</v>
      </c>
      <c r="AY50" s="34">
        <f t="shared" si="2"/>
        <v>1.0185432639412557E-2</v>
      </c>
      <c r="AZ50" s="34">
        <f t="shared" si="3"/>
        <v>1.6808872177123686E-2</v>
      </c>
      <c r="BA50" s="34">
        <f t="shared" si="4"/>
        <v>1.0265586162012381</v>
      </c>
      <c r="BB50" s="34">
        <f t="shared" si="5"/>
        <v>0.53631498802606681</v>
      </c>
      <c r="BC50" s="34">
        <f t="shared" si="6"/>
        <v>-1.2127059152563067</v>
      </c>
      <c r="BD50" s="34">
        <f t="shared" si="7"/>
        <v>-0.69350406326099678</v>
      </c>
      <c r="BE50" s="34">
        <f t="shared" si="39"/>
        <v>11.423775181007521</v>
      </c>
      <c r="BF50" s="34">
        <f t="shared" si="39"/>
        <v>11.423775181077335</v>
      </c>
      <c r="BG50" s="34">
        <f t="shared" si="39"/>
        <v>11.423775183296152</v>
      </c>
      <c r="BH50" s="34">
        <f t="shared" si="39"/>
        <v>11.423775253813092</v>
      </c>
      <c r="BI50" s="34">
        <f t="shared" si="39"/>
        <v>11.423777494929013</v>
      </c>
      <c r="BJ50" s="34">
        <f t="shared" si="39"/>
        <v>11.423848714645159</v>
      </c>
      <c r="BK50" s="34">
        <f t="shared" si="39"/>
        <v>11.426106227348869</v>
      </c>
      <c r="BL50" s="34">
        <f t="shared" si="9"/>
        <v>11.492710099019805</v>
      </c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</row>
    <row r="51" spans="1:86" s="227" customFormat="1" ht="12.95" customHeight="1">
      <c r="A51" s="261" t="s">
        <v>106</v>
      </c>
      <c r="B51" s="232" t="s">
        <v>87</v>
      </c>
      <c r="C51" s="290">
        <v>51199.623699999996</v>
      </c>
      <c r="D51" s="339">
        <v>1E-4</v>
      </c>
      <c r="E51" s="227">
        <f t="shared" si="14"/>
        <v>20126.078269158712</v>
      </c>
      <c r="F51" s="227">
        <f t="shared" si="15"/>
        <v>20126</v>
      </c>
      <c r="G51" s="227">
        <f t="shared" si="16"/>
        <v>2.5821267990977503E-2</v>
      </c>
      <c r="J51" s="227">
        <f>G51</f>
        <v>2.5821267990977503E-2</v>
      </c>
      <c r="P51" s="292">
        <f t="shared" si="17"/>
        <v>8.9990768726109834E-3</v>
      </c>
      <c r="Q51" s="293">
        <f t="shared" si="18"/>
        <v>36181.123699999996</v>
      </c>
      <c r="R51" s="227">
        <f t="shared" si="19"/>
        <v>2.8298611402284937E-4</v>
      </c>
      <c r="S51" s="227">
        <v>1</v>
      </c>
      <c r="T51" s="227">
        <f t="shared" si="20"/>
        <v>2.8298611402284937E-4</v>
      </c>
      <c r="Z51" s="34">
        <f t="shared" si="22"/>
        <v>20126</v>
      </c>
      <c r="AA51" s="227">
        <f t="shared" si="23"/>
        <v>2.775401923333088E-2</v>
      </c>
      <c r="AB51" s="227">
        <f t="shared" si="24"/>
        <v>7.0663256302576083E-3</v>
      </c>
      <c r="AC51" s="227">
        <f t="shared" si="25"/>
        <v>1.6822191118366518E-2</v>
      </c>
      <c r="AD51" s="227">
        <f t="shared" si="26"/>
        <v>-1.9327512423533769E-3</v>
      </c>
      <c r="AE51" s="227">
        <f t="shared" si="27"/>
        <v>3.7355273648185216E-6</v>
      </c>
      <c r="AF51" s="34">
        <f t="shared" si="28"/>
        <v>1.6822191118366518E-2</v>
      </c>
      <c r="AG51" s="19"/>
      <c r="AH51" s="34">
        <f t="shared" si="29"/>
        <v>1.8754942360719895E-2</v>
      </c>
      <c r="AI51" s="34">
        <f t="shared" si="30"/>
        <v>1.0329185189142003</v>
      </c>
      <c r="AJ51" s="34">
        <f t="shared" si="31"/>
        <v>0.6110327949389226</v>
      </c>
      <c r="AK51" s="34">
        <f t="shared" si="32"/>
        <v>-6.8252776255592951E-2</v>
      </c>
      <c r="AL51" s="34">
        <f t="shared" si="33"/>
        <v>-1.1214062829422671</v>
      </c>
      <c r="AM51" s="34">
        <f t="shared" si="34"/>
        <v>-0.62792948949104299</v>
      </c>
      <c r="AN51" s="227">
        <f t="shared" ref="AN51:AT60" si="41">$AU51+$AB$7*SIN(AO51)</f>
        <v>11.512181690247532</v>
      </c>
      <c r="AO51" s="227">
        <f t="shared" si="41"/>
        <v>11.512181690432314</v>
      </c>
      <c r="AP51" s="227">
        <f t="shared" si="41"/>
        <v>11.512181695369277</v>
      </c>
      <c r="AQ51" s="227">
        <f t="shared" si="41"/>
        <v>11.51218182727308</v>
      </c>
      <c r="AR51" s="227">
        <f t="shared" si="41"/>
        <v>11.512185351415596</v>
      </c>
      <c r="AS51" s="227">
        <f t="shared" si="41"/>
        <v>11.512279499669944</v>
      </c>
      <c r="AT51" s="227">
        <f t="shared" si="41"/>
        <v>11.514788944060468</v>
      </c>
      <c r="AU51" s="227">
        <f t="shared" si="36"/>
        <v>11.578069305554731</v>
      </c>
      <c r="AV51" s="34"/>
      <c r="AW51" s="34">
        <v>19500</v>
      </c>
      <c r="AX51" s="34">
        <f t="shared" si="1"/>
        <v>2.7355910949368224E-2</v>
      </c>
      <c r="AY51" s="34">
        <f t="shared" si="2"/>
        <v>9.6672442319431715E-3</v>
      </c>
      <c r="AZ51" s="34">
        <f t="shared" si="3"/>
        <v>1.7688666717425052E-2</v>
      </c>
      <c r="BA51" s="34">
        <f t="shared" si="4"/>
        <v>1.0294035046362697</v>
      </c>
      <c r="BB51" s="34">
        <f t="shared" si="5"/>
        <v>0.56996830331754589</v>
      </c>
      <c r="BC51" s="34">
        <f t="shared" si="6"/>
        <v>-1.1723036235702089</v>
      </c>
      <c r="BD51" s="34">
        <f t="shared" si="7"/>
        <v>-0.66399659224000418</v>
      </c>
      <c r="BE51" s="34">
        <f t="shared" si="39"/>
        <v>11.462964623660669</v>
      </c>
      <c r="BF51" s="34">
        <f t="shared" si="39"/>
        <v>11.462964623771288</v>
      </c>
      <c r="BG51" s="34">
        <f t="shared" si="39"/>
        <v>11.462964627011315</v>
      </c>
      <c r="BH51" s="34">
        <f t="shared" si="39"/>
        <v>11.462964721910739</v>
      </c>
      <c r="BI51" s="34">
        <f t="shared" si="39"/>
        <v>11.462967501478571</v>
      </c>
      <c r="BJ51" s="34">
        <f t="shared" si="39"/>
        <v>11.463048907169522</v>
      </c>
      <c r="BK51" s="34">
        <f t="shared" si="39"/>
        <v>11.465427257089111</v>
      </c>
      <c r="BL51" s="34">
        <f t="shared" si="9"/>
        <v>11.5306138319394</v>
      </c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</row>
    <row r="52" spans="1:86" s="227" customFormat="1" ht="12.95" customHeight="1">
      <c r="A52" s="261" t="s">
        <v>106</v>
      </c>
      <c r="B52" s="232" t="s">
        <v>86</v>
      </c>
      <c r="C52" s="290">
        <v>51237.396999999997</v>
      </c>
      <c r="D52" s="339">
        <v>4.0000000000000001E-3</v>
      </c>
      <c r="E52" s="227">
        <f t="shared" si="14"/>
        <v>20240.576302859372</v>
      </c>
      <c r="F52" s="227">
        <f t="shared" si="15"/>
        <v>20240.5</v>
      </c>
      <c r="G52" s="227">
        <f t="shared" si="16"/>
        <v>2.5172578993078787E-2</v>
      </c>
      <c r="J52" s="227">
        <f>G52</f>
        <v>2.5172578993078787E-2</v>
      </c>
      <c r="P52" s="292">
        <f t="shared" si="17"/>
        <v>8.8745311341122332E-3</v>
      </c>
      <c r="Q52" s="293">
        <f t="shared" si="18"/>
        <v>36218.896999999997</v>
      </c>
      <c r="R52" s="227">
        <f t="shared" si="19"/>
        <v>2.6562636401316426E-4</v>
      </c>
      <c r="S52" s="227">
        <v>1</v>
      </c>
      <c r="T52" s="227">
        <f t="shared" si="20"/>
        <v>2.6562636401316426E-4</v>
      </c>
      <c r="Z52" s="34">
        <f t="shared" si="22"/>
        <v>20240.5</v>
      </c>
      <c r="AA52" s="227">
        <f t="shared" si="23"/>
        <v>2.7820044246133574E-2</v>
      </c>
      <c r="AB52" s="227">
        <f t="shared" si="24"/>
        <v>6.2270658810574461E-3</v>
      </c>
      <c r="AC52" s="227">
        <f t="shared" si="25"/>
        <v>1.6298047858966554E-2</v>
      </c>
      <c r="AD52" s="227">
        <f t="shared" si="26"/>
        <v>-2.6474652530547871E-3</v>
      </c>
      <c r="AE52" s="227">
        <f t="shared" si="27"/>
        <v>7.0090722661324475E-6</v>
      </c>
      <c r="AF52" s="34">
        <f t="shared" si="28"/>
        <v>1.6298047858966554E-2</v>
      </c>
      <c r="AG52" s="19"/>
      <c r="AH52" s="34">
        <f t="shared" si="29"/>
        <v>1.8945513112021341E-2</v>
      </c>
      <c r="AI52" s="34">
        <f t="shared" si="30"/>
        <v>1.0335550252278176</v>
      </c>
      <c r="AJ52" s="34">
        <f t="shared" si="31"/>
        <v>0.61840507087049013</v>
      </c>
      <c r="AK52" s="34">
        <f t="shared" si="32"/>
        <v>-6.7942112390336443E-2</v>
      </c>
      <c r="AL52" s="34">
        <f t="shared" si="33"/>
        <v>-1.1120593583123086</v>
      </c>
      <c r="AM52" s="34">
        <f t="shared" si="34"/>
        <v>-0.62143232159659256</v>
      </c>
      <c r="AN52" s="227">
        <f t="shared" si="41"/>
        <v>11.521201935181596</v>
      </c>
      <c r="AO52" s="227">
        <f t="shared" si="41"/>
        <v>11.521201935383187</v>
      </c>
      <c r="AP52" s="227">
        <f t="shared" si="41"/>
        <v>11.521201940685241</v>
      </c>
      <c r="AQ52" s="227">
        <f t="shared" si="41"/>
        <v>11.521202080134819</v>
      </c>
      <c r="AR52" s="227">
        <f t="shared" si="41"/>
        <v>11.521205747793161</v>
      </c>
      <c r="AS52" s="227">
        <f t="shared" si="41"/>
        <v>11.521302202419303</v>
      </c>
      <c r="AT52" s="227">
        <f t="shared" si="41"/>
        <v>11.523833104889258</v>
      </c>
      <c r="AU52" s="227">
        <f t="shared" si="36"/>
        <v>11.586749260393319</v>
      </c>
      <c r="AV52" s="34"/>
      <c r="AW52" s="34">
        <v>20000</v>
      </c>
      <c r="AX52" s="34">
        <f t="shared" si="1"/>
        <v>2.7678903744411357E-2</v>
      </c>
      <c r="AY52" s="34">
        <f t="shared" si="2"/>
        <v>9.1352977498758998E-3</v>
      </c>
      <c r="AZ52" s="34">
        <f t="shared" si="3"/>
        <v>1.8543605994535459E-2</v>
      </c>
      <c r="BA52" s="34">
        <f t="shared" si="4"/>
        <v>1.0322156766320987</v>
      </c>
      <c r="BB52" s="34">
        <f t="shared" si="5"/>
        <v>0.60286903672561343</v>
      </c>
      <c r="BC52" s="34">
        <f t="shared" si="6"/>
        <v>-1.1316786536631205</v>
      </c>
      <c r="BD52" s="34">
        <f t="shared" si="7"/>
        <v>-0.63511408399805547</v>
      </c>
      <c r="BE52" s="34">
        <f t="shared" si="39"/>
        <v>11.502261915057002</v>
      </c>
      <c r="BF52" s="34">
        <f t="shared" si="39"/>
        <v>11.502261915224516</v>
      </c>
      <c r="BG52" s="34">
        <f t="shared" si="39"/>
        <v>11.502261919779814</v>
      </c>
      <c r="BH52" s="34">
        <f t="shared" si="39"/>
        <v>11.50226204365573</v>
      </c>
      <c r="BI52" s="34">
        <f t="shared" si="39"/>
        <v>11.502265412302567</v>
      </c>
      <c r="BJ52" s="34">
        <f t="shared" si="39"/>
        <v>11.502357010501687</v>
      </c>
      <c r="BK52" s="34">
        <f t="shared" si="39"/>
        <v>11.5048419287111</v>
      </c>
      <c r="BL52" s="34">
        <f t="shared" si="9"/>
        <v>11.568517564858993</v>
      </c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</row>
    <row r="53" spans="1:86" s="227" customFormat="1" ht="12.95" customHeight="1">
      <c r="A53" s="294" t="s">
        <v>97</v>
      </c>
      <c r="B53" s="232" t="s">
        <v>87</v>
      </c>
      <c r="C53" s="290">
        <v>51241.522299999997</v>
      </c>
      <c r="D53" s="339">
        <v>2.0000000000000001E-4</v>
      </c>
      <c r="E53" s="227">
        <f t="shared" ref="E53:E84" si="42">+(C53-C$7)/C$8</f>
        <v>20253.080869270707</v>
      </c>
      <c r="F53" s="227">
        <f t="shared" ref="F53:F84" si="43">ROUND(2*E53,0)/2</f>
        <v>20253</v>
      </c>
      <c r="G53" s="227">
        <f t="shared" ref="G53:G84" si="44">+C53-(C$7+F53*C$8)</f>
        <v>2.6679053989937529E-2</v>
      </c>
      <c r="K53" s="291">
        <f>G53</f>
        <v>2.6679053989937529E-2</v>
      </c>
      <c r="P53" s="292">
        <f t="shared" ref="P53:P84" si="45">+D$11+D$12*F53+D$13*F53^2</f>
        <v>8.8608907558827242E-3</v>
      </c>
      <c r="Q53" s="293">
        <f t="shared" ref="Q53:Q84" si="46">+C53-15018.5</f>
        <v>36223.022299999997</v>
      </c>
      <c r="R53" s="227">
        <f t="shared" ref="R53:R84" si="47">+(P53-G53)^2</f>
        <v>3.174869410354224E-4</v>
      </c>
      <c r="S53" s="227">
        <v>1</v>
      </c>
      <c r="T53" s="227">
        <f t="shared" ref="T53:T84" si="48">R53*S53</f>
        <v>3.174869410354224E-4</v>
      </c>
      <c r="Z53" s="34">
        <f t="shared" ref="Z53:Z84" si="49">F53</f>
        <v>20253</v>
      </c>
      <c r="AA53" s="227">
        <f t="shared" ref="AA53:AA84" si="50">AB$3+AB$4*Z53+AB$5*Z53^2+AH53</f>
        <v>2.7827122552486476E-2</v>
      </c>
      <c r="AB53" s="227">
        <f t="shared" ref="AB53:AB84" si="51">IF(S53&lt;&gt;0,G53-AH53, -9999)</f>
        <v>7.7128221933337772E-3</v>
      </c>
      <c r="AC53" s="227">
        <f t="shared" ref="AC53:AC84" si="52">+G53-P53</f>
        <v>1.7818163234054805E-2</v>
      </c>
      <c r="AD53" s="227">
        <f t="shared" ref="AD53:AD84" si="53">IF(S53&lt;&gt;0,G53-AA53, -9999)</f>
        <v>-1.148068562548947E-3</v>
      </c>
      <c r="AE53" s="227">
        <f t="shared" ref="AE53:AE84" si="54">+(G53-AA53)^2*S53</f>
        <v>1.3180614243132054E-6</v>
      </c>
      <c r="AF53" s="34">
        <f t="shared" ref="AF53:AF84" si="55">IF(S53&lt;&gt;0,G53-P53, -9999)</f>
        <v>1.7818163234054805E-2</v>
      </c>
      <c r="AG53" s="19"/>
      <c r="AH53" s="34">
        <f t="shared" ref="AH53:AH84" si="56">$AB$6*($AB$11/AI53*AJ53+$AB$12)</f>
        <v>1.8966231796603752E-2</v>
      </c>
      <c r="AI53" s="34">
        <f t="shared" ref="AI53:AI84" si="57">1+$AB$7*COS(AL53)</f>
        <v>1.0336243836487593</v>
      </c>
      <c r="AJ53" s="34">
        <f t="shared" ref="AJ53:AJ84" si="58">SIN(AL53+RADIANS($AB$9))</f>
        <v>0.61920719220510745</v>
      </c>
      <c r="AK53" s="34">
        <f t="shared" ref="AK53:AK84" si="59">$AB$7*SIN(AL53)</f>
        <v>-6.7907813823901292E-2</v>
      </c>
      <c r="AL53" s="34">
        <f t="shared" ref="AL53:AL84" si="60">2*ATAN(AM53)</f>
        <v>-1.1110382548513349</v>
      </c>
      <c r="AM53" s="34">
        <f t="shared" ref="AM53:AM84" si="61">SQRT((1+$AB$7)/(1-$AB$7))*TAN(AN53/2)</f>
        <v>-0.62072483036003268</v>
      </c>
      <c r="AN53" s="227">
        <f t="shared" si="41"/>
        <v>11.522187014279838</v>
      </c>
      <c r="AO53" s="227">
        <f t="shared" si="41"/>
        <v>11.522187014483331</v>
      </c>
      <c r="AP53" s="227">
        <f t="shared" si="41"/>
        <v>11.522187019826307</v>
      </c>
      <c r="AQ53" s="227">
        <f t="shared" si="41"/>
        <v>11.522187160114012</v>
      </c>
      <c r="AR53" s="227">
        <f t="shared" si="41"/>
        <v>11.522190843562287</v>
      </c>
      <c r="AS53" s="227">
        <f t="shared" si="41"/>
        <v>11.522287549256442</v>
      </c>
      <c r="AT53" s="227">
        <f t="shared" si="41"/>
        <v>11.524820746178492</v>
      </c>
      <c r="AU53" s="227">
        <f t="shared" ref="AU53:AU84" si="62">RADIANS($AB$9)+$AB$18*(F53-AB$15)</f>
        <v>11.587696853716309</v>
      </c>
      <c r="AV53" s="34"/>
      <c r="AW53" s="34">
        <v>20500</v>
      </c>
      <c r="AX53" s="34">
        <f t="shared" si="1"/>
        <v>2.7961704882275649E-2</v>
      </c>
      <c r="AY53" s="34">
        <f t="shared" si="2"/>
        <v>8.5895931932107421E-3</v>
      </c>
      <c r="AZ53" s="34">
        <f t="shared" si="3"/>
        <v>1.9372111689064907E-2</v>
      </c>
      <c r="BA53" s="34">
        <f t="shared" si="4"/>
        <v>1.0349895080768574</v>
      </c>
      <c r="BB53" s="34">
        <f t="shared" si="5"/>
        <v>0.63494528992374311</v>
      </c>
      <c r="BC53" s="34">
        <f t="shared" si="6"/>
        <v>-1.0908332010798281</v>
      </c>
      <c r="BD53" s="34">
        <f t="shared" si="7"/>
        <v>-0.60681655089810316</v>
      </c>
      <c r="BE53" s="34">
        <f t="shared" si="39"/>
        <v>11.541665701054589</v>
      </c>
      <c r="BF53" s="34">
        <f t="shared" si="39"/>
        <v>11.541665701298401</v>
      </c>
      <c r="BG53" s="34">
        <f t="shared" si="39"/>
        <v>11.541665707493657</v>
      </c>
      <c r="BH53" s="34">
        <f t="shared" si="39"/>
        <v>11.541665864915108</v>
      </c>
      <c r="BI53" s="34">
        <f t="shared" si="39"/>
        <v>11.541669864980348</v>
      </c>
      <c r="BJ53" s="34">
        <f t="shared" si="39"/>
        <v>11.541771497453777</v>
      </c>
      <c r="BK53" s="34">
        <f t="shared" si="39"/>
        <v>11.544348071719714</v>
      </c>
      <c r="BL53" s="34">
        <f t="shared" si="9"/>
        <v>11.606421297778589</v>
      </c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</row>
    <row r="54" spans="1:86" s="227" customFormat="1" ht="12.95" customHeight="1">
      <c r="A54" s="294" t="s">
        <v>88</v>
      </c>
      <c r="B54" s="49" t="s">
        <v>86</v>
      </c>
      <c r="C54" s="31">
        <v>51457.777099999999</v>
      </c>
      <c r="D54" s="340"/>
      <c r="E54" s="227">
        <f t="shared" si="42"/>
        <v>20908.590167593306</v>
      </c>
      <c r="F54" s="227">
        <f t="shared" si="43"/>
        <v>20908.5</v>
      </c>
      <c r="G54" s="227">
        <f t="shared" si="44"/>
        <v>2.9746602995146532E-2</v>
      </c>
      <c r="J54" s="291">
        <f t="shared" ref="J54:J61" si="63">G54</f>
        <v>2.9746602995146532E-2</v>
      </c>
      <c r="N54" s="34"/>
      <c r="P54" s="292">
        <f t="shared" si="45"/>
        <v>8.1335407152144379E-3</v>
      </c>
      <c r="Q54" s="293">
        <f t="shared" si="46"/>
        <v>36439.277099999999</v>
      </c>
      <c r="R54" s="227">
        <f t="shared" si="47"/>
        <v>4.6712446111622346E-4</v>
      </c>
      <c r="S54" s="227">
        <v>1</v>
      </c>
      <c r="T54" s="227">
        <f t="shared" si="48"/>
        <v>4.6712446111622346E-4</v>
      </c>
      <c r="Z54" s="34">
        <f t="shared" si="49"/>
        <v>20908.5</v>
      </c>
      <c r="AA54" s="227">
        <f t="shared" si="50"/>
        <v>2.8161836077906035E-2</v>
      </c>
      <c r="AB54" s="227">
        <f t="shared" si="51"/>
        <v>9.7183076324549346E-3</v>
      </c>
      <c r="AC54" s="227">
        <f t="shared" si="52"/>
        <v>2.1613062279932094E-2</v>
      </c>
      <c r="AD54" s="227">
        <f t="shared" si="53"/>
        <v>1.5847669172404967E-3</v>
      </c>
      <c r="AE54" s="227">
        <f t="shared" si="54"/>
        <v>2.5114861819799474E-6</v>
      </c>
      <c r="AF54" s="34">
        <f t="shared" si="55"/>
        <v>2.1613062279932094E-2</v>
      </c>
      <c r="AG54" s="19"/>
      <c r="AH54" s="34">
        <f t="shared" si="56"/>
        <v>2.0028295362691597E-2</v>
      </c>
      <c r="AI54" s="34">
        <f t="shared" si="57"/>
        <v>1.037223292921708</v>
      </c>
      <c r="AJ54" s="34">
        <f t="shared" si="58"/>
        <v>0.66048929682082147</v>
      </c>
      <c r="AK54" s="34">
        <f t="shared" si="59"/>
        <v>-6.6003763666667589E-2</v>
      </c>
      <c r="AL54" s="34">
        <f t="shared" si="60"/>
        <v>-1.0573006581121269</v>
      </c>
      <c r="AM54" s="34">
        <f t="shared" si="61"/>
        <v>-0.58410543280098837</v>
      </c>
      <c r="AN54" s="227">
        <f t="shared" si="41"/>
        <v>11.573936551808716</v>
      </c>
      <c r="AO54" s="227">
        <f t="shared" si="41"/>
        <v>11.573936552131437</v>
      </c>
      <c r="AP54" s="227">
        <f t="shared" si="41"/>
        <v>11.573936559922243</v>
      </c>
      <c r="AQ54" s="227">
        <f t="shared" si="41"/>
        <v>11.573936747999431</v>
      </c>
      <c r="AR54" s="227">
        <f t="shared" si="41"/>
        <v>11.573941288338139</v>
      </c>
      <c r="AS54" s="227">
        <f t="shared" si="41"/>
        <v>11.574050886285985</v>
      </c>
      <c r="AT54" s="227">
        <f t="shared" si="41"/>
        <v>11.576690884454964</v>
      </c>
      <c r="AU54" s="227">
        <f t="shared" si="62"/>
        <v>11.637388647573898</v>
      </c>
      <c r="AV54" s="34"/>
      <c r="AW54" s="34">
        <v>21000</v>
      </c>
      <c r="AX54" s="34">
        <f t="shared" si="1"/>
        <v>2.8202758365420133E-2</v>
      </c>
      <c r="AY54" s="34">
        <f t="shared" si="2"/>
        <v>8.0301305619476984E-3</v>
      </c>
      <c r="AZ54" s="34">
        <f t="shared" si="3"/>
        <v>2.0172627803472433E-2</v>
      </c>
      <c r="BA54" s="34">
        <f t="shared" si="4"/>
        <v>1.0377192889077442</v>
      </c>
      <c r="BB54" s="34">
        <f t="shared" si="5"/>
        <v>0.66612484990907661</v>
      </c>
      <c r="BC54" s="34">
        <f t="shared" si="6"/>
        <v>-1.049769933319336</v>
      </c>
      <c r="BD54" s="34">
        <f t="shared" si="7"/>
        <v>-0.57906646596927924</v>
      </c>
      <c r="BE54" s="34">
        <f t="shared" si="39"/>
        <v>11.581174411417278</v>
      </c>
      <c r="BF54" s="34">
        <f t="shared" si="39"/>
        <v>11.581174411759887</v>
      </c>
      <c r="BG54" s="34">
        <f t="shared" si="39"/>
        <v>11.581174419940321</v>
      </c>
      <c r="BH54" s="34">
        <f t="shared" si="39"/>
        <v>11.581174615263093</v>
      </c>
      <c r="BI54" s="34">
        <f t="shared" si="39"/>
        <v>11.581179278932956</v>
      </c>
      <c r="BJ54" s="34">
        <f t="shared" si="39"/>
        <v>11.581290622400696</v>
      </c>
      <c r="BK54" s="34">
        <f t="shared" si="39"/>
        <v>11.583943384219252</v>
      </c>
      <c r="BL54" s="34">
        <f t="shared" si="9"/>
        <v>11.644325030698184</v>
      </c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</row>
    <row r="55" spans="1:86" s="227" customFormat="1" ht="12.95" customHeight="1">
      <c r="A55" s="294" t="s">
        <v>88</v>
      </c>
      <c r="B55" s="49" t="s">
        <v>87</v>
      </c>
      <c r="C55" s="31">
        <v>51550.6443</v>
      </c>
      <c r="D55" s="340"/>
      <c r="E55" s="227">
        <f t="shared" si="42"/>
        <v>21190.088257389158</v>
      </c>
      <c r="F55" s="227">
        <f t="shared" si="43"/>
        <v>21190</v>
      </c>
      <c r="G55" s="227">
        <f t="shared" si="44"/>
        <v>2.9116419995261822E-2</v>
      </c>
      <c r="J55" s="291">
        <f t="shared" si="63"/>
        <v>2.9116419995261822E-2</v>
      </c>
      <c r="N55" s="34"/>
      <c r="P55" s="292">
        <f t="shared" si="45"/>
        <v>7.8139273949081774E-3</v>
      </c>
      <c r="Q55" s="293">
        <f t="shared" si="46"/>
        <v>36532.1443</v>
      </c>
      <c r="R55" s="227">
        <f t="shared" si="47"/>
        <v>4.5379619098812176E-4</v>
      </c>
      <c r="S55" s="227">
        <v>1</v>
      </c>
      <c r="T55" s="227">
        <f t="shared" si="48"/>
        <v>4.5379619098812176E-4</v>
      </c>
      <c r="Z55" s="34">
        <f t="shared" si="49"/>
        <v>21190</v>
      </c>
      <c r="AA55" s="227">
        <f t="shared" si="50"/>
        <v>2.8283093383144154E-2</v>
      </c>
      <c r="AB55" s="227">
        <f t="shared" si="51"/>
        <v>8.6472540070258452E-3</v>
      </c>
      <c r="AC55" s="227">
        <f t="shared" si="52"/>
        <v>2.1302492600353645E-2</v>
      </c>
      <c r="AD55" s="227">
        <f t="shared" si="53"/>
        <v>8.3332661211766787E-4</v>
      </c>
      <c r="AE55" s="227">
        <f t="shared" si="54"/>
        <v>6.9443324246351005E-7</v>
      </c>
      <c r="AF55" s="34">
        <f t="shared" si="55"/>
        <v>2.1302492600353645E-2</v>
      </c>
      <c r="AG55" s="19"/>
      <c r="AH55" s="34">
        <f t="shared" si="56"/>
        <v>2.0469165988235977E-2</v>
      </c>
      <c r="AI55" s="34">
        <f t="shared" si="57"/>
        <v>1.0387438552006529</v>
      </c>
      <c r="AJ55" s="34">
        <f t="shared" si="58"/>
        <v>0.67772293132697559</v>
      </c>
      <c r="AK55" s="34">
        <f t="shared" si="59"/>
        <v>-6.5122838069999939E-2</v>
      </c>
      <c r="AL55" s="34">
        <f t="shared" si="60"/>
        <v>-1.0341094199130922</v>
      </c>
      <c r="AM55" s="34">
        <f t="shared" si="61"/>
        <v>-0.56865756716963445</v>
      </c>
      <c r="AN55" s="227">
        <f t="shared" si="41"/>
        <v>11.59621486744564</v>
      </c>
      <c r="AO55" s="227">
        <f t="shared" si="41"/>
        <v>11.596214867832252</v>
      </c>
      <c r="AP55" s="227">
        <f t="shared" si="41"/>
        <v>11.596214876859598</v>
      </c>
      <c r="AQ55" s="227">
        <f t="shared" si="41"/>
        <v>11.596215087647604</v>
      </c>
      <c r="AR55" s="227">
        <f t="shared" si="41"/>
        <v>11.596220009516403</v>
      </c>
      <c r="AS55" s="227">
        <f t="shared" si="41"/>
        <v>11.596334924375396</v>
      </c>
      <c r="AT55" s="227">
        <f t="shared" si="41"/>
        <v>11.599012481797578</v>
      </c>
      <c r="AU55" s="227">
        <f t="shared" si="62"/>
        <v>11.658728449207629</v>
      </c>
      <c r="AV55" s="34"/>
      <c r="AW55" s="34">
        <v>21500</v>
      </c>
      <c r="AX55" s="34">
        <f t="shared" si="1"/>
        <v>2.8400534894930746E-2</v>
      </c>
      <c r="AY55" s="34">
        <f t="shared" si="2"/>
        <v>7.4569098560867669E-3</v>
      </c>
      <c r="AZ55" s="34">
        <f t="shared" si="3"/>
        <v>2.0943625038843981E-2</v>
      </c>
      <c r="BA55" s="34">
        <f t="shared" si="4"/>
        <v>1.0403992396240584</v>
      </c>
      <c r="BB55" s="34">
        <f t="shared" si="5"/>
        <v>0.69633543809231424</v>
      </c>
      <c r="BC55" s="34">
        <f t="shared" si="6"/>
        <v>-1.0084920004332201</v>
      </c>
      <c r="BD55" s="34">
        <f t="shared" si="7"/>
        <v>-0.55182854503287282</v>
      </c>
      <c r="BE55" s="34">
        <f t="shared" si="39"/>
        <v>11.620786256847714</v>
      </c>
      <c r="BF55" s="34">
        <f t="shared" si="39"/>
        <v>11.620786257314194</v>
      </c>
      <c r="BG55" s="34">
        <f t="shared" si="39"/>
        <v>11.620786267832454</v>
      </c>
      <c r="BH55" s="34">
        <f t="shared" si="39"/>
        <v>11.620786504999256</v>
      </c>
      <c r="BI55" s="34">
        <f t="shared" si="39"/>
        <v>11.620791852640282</v>
      </c>
      <c r="BJ55" s="34">
        <f t="shared" si="39"/>
        <v>11.620912420823551</v>
      </c>
      <c r="BK55" s="34">
        <f t="shared" si="39"/>
        <v>11.623625436220172</v>
      </c>
      <c r="BL55" s="34">
        <f t="shared" si="9"/>
        <v>11.682228763617777</v>
      </c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</row>
    <row r="56" spans="1:86" s="227" customFormat="1" ht="12.95" customHeight="1">
      <c r="A56" s="261" t="s">
        <v>107</v>
      </c>
      <c r="B56" s="232"/>
      <c r="C56" s="290">
        <v>51591.392999999996</v>
      </c>
      <c r="D56" s="339"/>
      <c r="E56" s="227">
        <f t="shared" si="42"/>
        <v>21313.605292592798</v>
      </c>
      <c r="F56" s="227">
        <f t="shared" si="43"/>
        <v>21313.5</v>
      </c>
      <c r="G56" s="227">
        <f t="shared" si="44"/>
        <v>3.4736392990453169E-2</v>
      </c>
      <c r="J56" s="227">
        <f t="shared" si="63"/>
        <v>3.4736392990453169E-2</v>
      </c>
      <c r="P56" s="292">
        <f t="shared" si="45"/>
        <v>7.6723299867050357E-3</v>
      </c>
      <c r="Q56" s="293">
        <f t="shared" si="46"/>
        <v>36572.892999999996</v>
      </c>
      <c r="R56" s="227">
        <f t="shared" si="47"/>
        <v>7.3246350627084842E-4</v>
      </c>
      <c r="S56" s="227">
        <v>0.1</v>
      </c>
      <c r="T56" s="227">
        <f t="shared" si="48"/>
        <v>7.3246350627084844E-5</v>
      </c>
      <c r="Z56" s="34">
        <f t="shared" si="49"/>
        <v>21313.5</v>
      </c>
      <c r="AA56" s="227">
        <f t="shared" si="50"/>
        <v>2.8331920599499624E-2</v>
      </c>
      <c r="AB56" s="227">
        <f t="shared" si="51"/>
        <v>1.4076802377658581E-2</v>
      </c>
      <c r="AC56" s="227">
        <f t="shared" si="52"/>
        <v>2.7064063003748133E-2</v>
      </c>
      <c r="AD56" s="227">
        <f t="shared" si="53"/>
        <v>6.4044723909535452E-3</v>
      </c>
      <c r="AE56" s="227">
        <f t="shared" si="54"/>
        <v>4.101726660648622E-6</v>
      </c>
      <c r="AF56" s="34">
        <f t="shared" si="55"/>
        <v>2.7064063003748133E-2</v>
      </c>
      <c r="AG56" s="19"/>
      <c r="AH56" s="34">
        <f t="shared" si="56"/>
        <v>2.0659590612794588E-2</v>
      </c>
      <c r="AI56" s="34">
        <f t="shared" si="57"/>
        <v>1.0394058137969113</v>
      </c>
      <c r="AJ56" s="34">
        <f t="shared" si="58"/>
        <v>0.6851847744523063</v>
      </c>
      <c r="AK56" s="34">
        <f t="shared" si="59"/>
        <v>-6.4724432736824766E-2</v>
      </c>
      <c r="AL56" s="34">
        <f t="shared" si="60"/>
        <v>-1.0239135512190125</v>
      </c>
      <c r="AM56" s="34">
        <f t="shared" si="61"/>
        <v>-0.5619305497152226</v>
      </c>
      <c r="AN56" s="227">
        <f t="shared" si="41"/>
        <v>11.605999101023537</v>
      </c>
      <c r="AO56" s="227">
        <f t="shared" si="41"/>
        <v>11.60599910144075</v>
      </c>
      <c r="AP56" s="227">
        <f t="shared" si="41"/>
        <v>11.605999111045922</v>
      </c>
      <c r="AQ56" s="227">
        <f t="shared" si="41"/>
        <v>11.605999332178545</v>
      </c>
      <c r="AR56" s="227">
        <f t="shared" si="41"/>
        <v>11.606004423128557</v>
      </c>
      <c r="AS56" s="227">
        <f t="shared" si="41"/>
        <v>11.606121617537493</v>
      </c>
      <c r="AT56" s="227">
        <f t="shared" si="41"/>
        <v>11.608814047232855</v>
      </c>
      <c r="AU56" s="227">
        <f t="shared" si="62"/>
        <v>11.668090671238769</v>
      </c>
      <c r="AV56" s="34"/>
      <c r="AW56" s="34">
        <v>22000</v>
      </c>
      <c r="AX56" s="34">
        <f t="shared" si="1"/>
        <v>2.8553536373248721E-2</v>
      </c>
      <c r="AY56" s="34">
        <f t="shared" si="2"/>
        <v>6.8699310756279511E-3</v>
      </c>
      <c r="AZ56" s="34">
        <f t="shared" si="3"/>
        <v>2.168360529762077E-2</v>
      </c>
      <c r="BA56" s="34">
        <f t="shared" si="4"/>
        <v>1.0430235293817949</v>
      </c>
      <c r="BB56" s="34">
        <f t="shared" si="5"/>
        <v>0.72550497727534913</v>
      </c>
      <c r="BC56" s="34">
        <f t="shared" si="6"/>
        <v>-0.96700304413359905</v>
      </c>
      <c r="BD56" s="34">
        <f t="shared" si="7"/>
        <v>-0.52506954970311126</v>
      </c>
      <c r="BE56" s="34">
        <f t="shared" si="39"/>
        <v>11.660499226680081</v>
      </c>
      <c r="BF56" s="34">
        <f t="shared" si="39"/>
        <v>11.660499227297255</v>
      </c>
      <c r="BG56" s="34">
        <f t="shared" si="39"/>
        <v>11.660499240497659</v>
      </c>
      <c r="BH56" s="34">
        <f t="shared" si="39"/>
        <v>11.660499522834606</v>
      </c>
      <c r="BI56" s="34">
        <f t="shared" si="39"/>
        <v>11.660505561575743</v>
      </c>
      <c r="BJ56" s="34">
        <f t="shared" si="39"/>
        <v>11.660634709572429</v>
      </c>
      <c r="BK56" s="34">
        <f t="shared" si="39"/>
        <v>11.663391673129828</v>
      </c>
      <c r="BL56" s="34">
        <f t="shared" si="9"/>
        <v>11.720132496537373</v>
      </c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</row>
    <row r="57" spans="1:86" s="227" customFormat="1" ht="12.95" customHeight="1">
      <c r="A57" s="261" t="s">
        <v>107</v>
      </c>
      <c r="B57" s="232"/>
      <c r="C57" s="290">
        <v>51596.341</v>
      </c>
      <c r="D57" s="339"/>
      <c r="E57" s="227">
        <f t="shared" si="42"/>
        <v>21328.603618678982</v>
      </c>
      <c r="F57" s="227">
        <f t="shared" si="43"/>
        <v>21328.5</v>
      </c>
      <c r="G57" s="227">
        <f t="shared" si="44"/>
        <v>3.4184162999736145E-2</v>
      </c>
      <c r="J57" s="227">
        <f t="shared" si="63"/>
        <v>3.4184162999736145E-2</v>
      </c>
      <c r="P57" s="292">
        <f t="shared" si="45"/>
        <v>7.6550747561314227E-3</v>
      </c>
      <c r="Q57" s="293">
        <f t="shared" si="46"/>
        <v>36577.841</v>
      </c>
      <c r="R57" s="227">
        <f t="shared" si="47"/>
        <v>7.0379252303696634E-4</v>
      </c>
      <c r="S57" s="227">
        <v>0.1</v>
      </c>
      <c r="T57" s="227">
        <f t="shared" si="48"/>
        <v>7.0379252303696637E-5</v>
      </c>
      <c r="Z57" s="34">
        <f t="shared" si="49"/>
        <v>21328.5</v>
      </c>
      <c r="AA57" s="227">
        <f t="shared" si="50"/>
        <v>2.8337667733679153E-2</v>
      </c>
      <c r="AB57" s="227">
        <f t="shared" si="51"/>
        <v>1.3501570022188415E-2</v>
      </c>
      <c r="AC57" s="227">
        <f t="shared" si="52"/>
        <v>2.6529088243604722E-2</v>
      </c>
      <c r="AD57" s="227">
        <f t="shared" si="53"/>
        <v>5.8464952660569926E-3</v>
      </c>
      <c r="AE57" s="227">
        <f t="shared" si="54"/>
        <v>3.4181506896026825E-6</v>
      </c>
      <c r="AF57" s="34">
        <f t="shared" si="55"/>
        <v>2.6529088243604722E-2</v>
      </c>
      <c r="AG57" s="19"/>
      <c r="AH57" s="34">
        <f t="shared" si="56"/>
        <v>2.068259297754773E-2</v>
      </c>
      <c r="AI57" s="34">
        <f t="shared" si="57"/>
        <v>1.0394859931793767</v>
      </c>
      <c r="AJ57" s="34">
        <f t="shared" si="58"/>
        <v>0.68608687870107399</v>
      </c>
      <c r="AK57" s="34">
        <f t="shared" si="59"/>
        <v>-6.4675549450613948E-2</v>
      </c>
      <c r="AL57" s="34">
        <f t="shared" si="60"/>
        <v>-1.0226743026372296</v>
      </c>
      <c r="AM57" s="34">
        <f t="shared" si="61"/>
        <v>-0.5611155528420475</v>
      </c>
      <c r="AN57" s="227">
        <f t="shared" si="41"/>
        <v>11.607187893555976</v>
      </c>
      <c r="AO57" s="227">
        <f t="shared" si="41"/>
        <v>11.607187893977013</v>
      </c>
      <c r="AP57" s="227">
        <f t="shared" si="41"/>
        <v>11.607187903653827</v>
      </c>
      <c r="AQ57" s="227">
        <f t="shared" si="41"/>
        <v>11.607188126058015</v>
      </c>
      <c r="AR57" s="227">
        <f t="shared" si="41"/>
        <v>11.607193237599404</v>
      </c>
      <c r="AS57" s="227">
        <f t="shared" si="41"/>
        <v>11.60731070648592</v>
      </c>
      <c r="AT57" s="227">
        <f t="shared" si="41"/>
        <v>11.610004875387173</v>
      </c>
      <c r="AU57" s="227">
        <f t="shared" si="62"/>
        <v>11.669227783226358</v>
      </c>
      <c r="AV57" s="34"/>
      <c r="AW57" s="34">
        <v>22500</v>
      </c>
      <c r="AX57" s="34">
        <f t="shared" si="1"/>
        <v>2.8660300514049747E-2</v>
      </c>
      <c r="AY57" s="34">
        <f t="shared" si="2"/>
        <v>6.2691942205712458E-3</v>
      </c>
      <c r="AZ57" s="34">
        <f t="shared" si="3"/>
        <v>2.2391106293478499E-2</v>
      </c>
      <c r="BA57" s="34">
        <f t="shared" si="4"/>
        <v>1.0455862956342648</v>
      </c>
      <c r="BB57" s="34">
        <f t="shared" si="5"/>
        <v>0.75356187555291465</v>
      </c>
      <c r="BC57" s="34">
        <f t="shared" si="6"/>
        <v>-0.92530720523531862</v>
      </c>
      <c r="BD57" s="34">
        <f t="shared" si="7"/>
        <v>-0.49875810883592225</v>
      </c>
      <c r="BE57" s="34">
        <f t="shared" si="39"/>
        <v>11.700311087292272</v>
      </c>
      <c r="BF57" s="34">
        <f t="shared" si="39"/>
        <v>11.700311088087576</v>
      </c>
      <c r="BG57" s="34">
        <f t="shared" si="39"/>
        <v>11.700311104288316</v>
      </c>
      <c r="BH57" s="34">
        <f t="shared" si="39"/>
        <v>11.700311434306006</v>
      </c>
      <c r="BI57" s="34">
        <f t="shared" si="39"/>
        <v>11.700318156913699</v>
      </c>
      <c r="BJ57" s="34">
        <f t="shared" si="39"/>
        <v>11.700455087869745</v>
      </c>
      <c r="BK57" s="34">
        <f t="shared" si="39"/>
        <v>11.703239419422179</v>
      </c>
      <c r="BL57" s="34">
        <f t="shared" si="9"/>
        <v>11.758036229456968</v>
      </c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</row>
    <row r="58" spans="1:86" s="227" customFormat="1" ht="12.95" customHeight="1">
      <c r="A58" s="261" t="s">
        <v>106</v>
      </c>
      <c r="B58" s="232" t="s">
        <v>87</v>
      </c>
      <c r="C58" s="290">
        <v>51597.485999999997</v>
      </c>
      <c r="D58" s="339"/>
      <c r="E58" s="227">
        <f t="shared" si="42"/>
        <v>21332.074330758333</v>
      </c>
      <c r="F58" s="227">
        <f t="shared" si="43"/>
        <v>21332</v>
      </c>
      <c r="G58" s="227">
        <f t="shared" si="44"/>
        <v>2.4521975989046041E-2</v>
      </c>
      <c r="J58" s="227">
        <f t="shared" si="63"/>
        <v>2.4521975989046041E-2</v>
      </c>
      <c r="P58" s="292">
        <f t="shared" si="45"/>
        <v>7.6510467539935862E-3</v>
      </c>
      <c r="Q58" s="293">
        <f t="shared" si="46"/>
        <v>36578.985999999997</v>
      </c>
      <c r="R58" s="227">
        <f t="shared" si="47"/>
        <v>2.8462825325414767E-4</v>
      </c>
      <c r="S58" s="227">
        <v>1</v>
      </c>
      <c r="T58" s="227">
        <f t="shared" si="48"/>
        <v>2.8462825325414767E-4</v>
      </c>
      <c r="Z58" s="34">
        <f t="shared" si="49"/>
        <v>21332</v>
      </c>
      <c r="AA58" s="227">
        <f t="shared" si="50"/>
        <v>2.8339003000450072E-2</v>
      </c>
      <c r="AB58" s="227">
        <f t="shared" si="51"/>
        <v>3.8340197425895568E-3</v>
      </c>
      <c r="AC58" s="227">
        <f t="shared" si="52"/>
        <v>1.6870929235052456E-2</v>
      </c>
      <c r="AD58" s="227">
        <f t="shared" si="53"/>
        <v>-3.8170270114040311E-3</v>
      </c>
      <c r="AE58" s="227">
        <f t="shared" si="54"/>
        <v>1.456969520578799E-5</v>
      </c>
      <c r="AF58" s="34">
        <f t="shared" si="55"/>
        <v>1.6870929235052456E-2</v>
      </c>
      <c r="AG58" s="19"/>
      <c r="AH58" s="34">
        <f t="shared" si="56"/>
        <v>2.0687956246456484E-2</v>
      </c>
      <c r="AI58" s="34">
        <f t="shared" si="57"/>
        <v>1.0395046947596664</v>
      </c>
      <c r="AJ58" s="34">
        <f t="shared" si="58"/>
        <v>0.68629723814038424</v>
      </c>
      <c r="AK58" s="34">
        <f t="shared" si="59"/>
        <v>-6.4664127969425056E-2</v>
      </c>
      <c r="AL58" s="34">
        <f t="shared" si="60"/>
        <v>-1.0223851171292337</v>
      </c>
      <c r="AM58" s="34">
        <f t="shared" si="61"/>
        <v>-0.56092545038579955</v>
      </c>
      <c r="AN58" s="227">
        <f t="shared" si="41"/>
        <v>11.607465291672806</v>
      </c>
      <c r="AO58" s="227">
        <f t="shared" si="41"/>
        <v>11.607465292094741</v>
      </c>
      <c r="AP58" s="227">
        <f t="shared" si="41"/>
        <v>11.607465301788316</v>
      </c>
      <c r="AQ58" s="227">
        <f t="shared" si="41"/>
        <v>11.607465524489667</v>
      </c>
      <c r="AR58" s="227">
        <f t="shared" si="41"/>
        <v>11.607470640837265</v>
      </c>
      <c r="AS58" s="227">
        <f t="shared" si="41"/>
        <v>11.607588173692093</v>
      </c>
      <c r="AT58" s="227">
        <f t="shared" si="41"/>
        <v>11.610282746310927</v>
      </c>
      <c r="AU58" s="227">
        <f t="shared" si="62"/>
        <v>11.669493109356795</v>
      </c>
      <c r="AV58" s="34"/>
      <c r="AW58" s="34">
        <v>23000</v>
      </c>
      <c r="AX58" s="34">
        <f t="shared" si="1"/>
        <v>2.8719405538010841E-2</v>
      </c>
      <c r="AY58" s="34">
        <f t="shared" si="2"/>
        <v>5.6546992909166562E-3</v>
      </c>
      <c r="AZ58" s="34">
        <f t="shared" si="3"/>
        <v>2.3064706247094183E-2</v>
      </c>
      <c r="BA58" s="34">
        <f t="shared" si="4"/>
        <v>1.0480816652610594</v>
      </c>
      <c r="BB58" s="34">
        <f t="shared" si="5"/>
        <v>0.78043532588020692</v>
      </c>
      <c r="BC58" s="34">
        <f t="shared" si="6"/>
        <v>-0.8834091292591455</v>
      </c>
      <c r="BD58" s="34">
        <f t="shared" si="7"/>
        <v>-0.47286455630531027</v>
      </c>
      <c r="BE58" s="34">
        <f t="shared" si="39"/>
        <v>11.740219381295402</v>
      </c>
      <c r="BF58" s="34">
        <f t="shared" si="39"/>
        <v>11.740219382295482</v>
      </c>
      <c r="BG58" s="34">
        <f t="shared" si="39"/>
        <v>11.740219401769524</v>
      </c>
      <c r="BH58" s="34">
        <f t="shared" si="39"/>
        <v>11.740219780977339</v>
      </c>
      <c r="BI58" s="34">
        <f t="shared" si="39"/>
        <v>11.740227165061508</v>
      </c>
      <c r="BJ58" s="34">
        <f t="shared" si="39"/>
        <v>11.74037093907182</v>
      </c>
      <c r="BK58" s="34">
        <f t="shared" si="39"/>
        <v>11.743165882481248</v>
      </c>
      <c r="BL58" s="34">
        <f t="shared" si="9"/>
        <v>11.795939962376563</v>
      </c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</row>
    <row r="59" spans="1:86" s="227" customFormat="1" ht="12.95" customHeight="1">
      <c r="A59" s="261" t="s">
        <v>107</v>
      </c>
      <c r="B59" s="232"/>
      <c r="C59" s="290">
        <v>51602.444000000003</v>
      </c>
      <c r="D59" s="339"/>
      <c r="E59" s="227">
        <f t="shared" si="42"/>
        <v>21347.102968740412</v>
      </c>
      <c r="F59" s="227">
        <f t="shared" si="43"/>
        <v>21347</v>
      </c>
      <c r="G59" s="227">
        <f t="shared" si="44"/>
        <v>3.3969746000366285E-2</v>
      </c>
      <c r="J59" s="227">
        <f t="shared" si="63"/>
        <v>3.3969746000366285E-2</v>
      </c>
      <c r="P59" s="292">
        <f t="shared" si="45"/>
        <v>7.6337762519571653E-3</v>
      </c>
      <c r="Q59" s="293">
        <f t="shared" si="46"/>
        <v>36583.944000000003</v>
      </c>
      <c r="R59" s="227">
        <f t="shared" si="47"/>
        <v>6.9358330258912032E-4</v>
      </c>
      <c r="S59" s="227">
        <v>0.1</v>
      </c>
      <c r="T59" s="227">
        <f t="shared" si="48"/>
        <v>6.9358330258912038E-5</v>
      </c>
      <c r="Z59" s="34">
        <f t="shared" si="49"/>
        <v>21347</v>
      </c>
      <c r="AA59" s="227">
        <f t="shared" si="50"/>
        <v>2.8344700991512834E-2</v>
      </c>
      <c r="AB59" s="227">
        <f t="shared" si="51"/>
        <v>1.3258821260810617E-2</v>
      </c>
      <c r="AC59" s="227">
        <f t="shared" si="52"/>
        <v>2.633596974840912E-2</v>
      </c>
      <c r="AD59" s="227">
        <f t="shared" si="53"/>
        <v>5.6250450088534514E-3</v>
      </c>
      <c r="AE59" s="227">
        <f t="shared" si="54"/>
        <v>3.1641131351627123E-6</v>
      </c>
      <c r="AF59" s="34">
        <f t="shared" si="55"/>
        <v>2.633596974840912E-2</v>
      </c>
      <c r="AG59" s="19"/>
      <c r="AH59" s="34">
        <f t="shared" si="56"/>
        <v>2.0710924739555669E-2</v>
      </c>
      <c r="AI59" s="34">
        <f t="shared" si="57"/>
        <v>1.0395848145644437</v>
      </c>
      <c r="AJ59" s="34">
        <f t="shared" si="58"/>
        <v>0.68719821390688252</v>
      </c>
      <c r="AK59" s="34">
        <f t="shared" si="59"/>
        <v>-6.461511286068608E-2</v>
      </c>
      <c r="AL59" s="34">
        <f t="shared" si="60"/>
        <v>-1.0211456328314399</v>
      </c>
      <c r="AM59" s="34">
        <f t="shared" si="61"/>
        <v>-0.56011099722612401</v>
      </c>
      <c r="AN59" s="227">
        <f t="shared" si="41"/>
        <v>11.608654197259282</v>
      </c>
      <c r="AO59" s="227">
        <f t="shared" si="41"/>
        <v>11.608654197685071</v>
      </c>
      <c r="AP59" s="227">
        <f t="shared" si="41"/>
        <v>11.608654207450678</v>
      </c>
      <c r="AQ59" s="227">
        <f t="shared" si="41"/>
        <v>11.608654431427562</v>
      </c>
      <c r="AR59" s="227">
        <f t="shared" si="41"/>
        <v>11.608659568379711</v>
      </c>
      <c r="AS59" s="227">
        <f t="shared" si="41"/>
        <v>11.608777375054803</v>
      </c>
      <c r="AT59" s="227">
        <f t="shared" si="41"/>
        <v>11.611473668899729</v>
      </c>
      <c r="AU59" s="227">
        <f t="shared" si="62"/>
        <v>11.670630221344382</v>
      </c>
      <c r="AV59" s="34"/>
      <c r="AW59" s="34">
        <v>23500</v>
      </c>
      <c r="AX59" s="34">
        <f t="shared" si="1"/>
        <v>2.8729474930780634E-2</v>
      </c>
      <c r="AY59" s="34">
        <f t="shared" si="2"/>
        <v>5.0264462866641789E-3</v>
      </c>
      <c r="AZ59" s="34">
        <f t="shared" si="3"/>
        <v>2.3703028644116456E-2</v>
      </c>
      <c r="BA59" s="34">
        <f t="shared" si="4"/>
        <v>1.0505037771042163</v>
      </c>
      <c r="BB59" s="34">
        <f t="shared" si="5"/>
        <v>0.80605561974454865</v>
      </c>
      <c r="BC59" s="34">
        <f t="shared" si="6"/>
        <v>-0.84131397002752073</v>
      </c>
      <c r="BD59" s="34">
        <f t="shared" si="7"/>
        <v>-0.44736078324979056</v>
      </c>
      <c r="BE59" s="34">
        <f t="shared" si="39"/>
        <v>11.780221427555926</v>
      </c>
      <c r="BF59" s="34">
        <f t="shared" si="39"/>
        <v>11.780221428785012</v>
      </c>
      <c r="BG59" s="34">
        <f t="shared" si="39"/>
        <v>11.780221451740635</v>
      </c>
      <c r="BH59" s="34">
        <f t="shared" si="39"/>
        <v>11.780221880482733</v>
      </c>
      <c r="BI59" s="34">
        <f t="shared" si="39"/>
        <v>11.780229888063801</v>
      </c>
      <c r="BJ59" s="34">
        <f t="shared" si="39"/>
        <v>11.780379433202231</v>
      </c>
      <c r="BK59" s="34">
        <f t="shared" si="39"/>
        <v>11.783168156612771</v>
      </c>
      <c r="BL59" s="34">
        <f t="shared" si="9"/>
        <v>11.833843695296157</v>
      </c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</row>
    <row r="60" spans="1:86" s="227" customFormat="1" ht="12.95" customHeight="1">
      <c r="A60" s="261" t="s">
        <v>107</v>
      </c>
      <c r="B60" s="232"/>
      <c r="C60" s="290">
        <v>51625.362999999998</v>
      </c>
      <c r="D60" s="339"/>
      <c r="E60" s="227">
        <f t="shared" si="42"/>
        <v>21416.574802929765</v>
      </c>
      <c r="F60" s="227">
        <f t="shared" si="43"/>
        <v>21416.5</v>
      </c>
      <c r="G60" s="227">
        <f t="shared" si="44"/>
        <v>2.4677746994711924E-2</v>
      </c>
      <c r="J60" s="227">
        <f t="shared" si="63"/>
        <v>2.4677746994711924E-2</v>
      </c>
      <c r="P60" s="292">
        <f t="shared" si="45"/>
        <v>7.5535946637232364E-3</v>
      </c>
      <c r="Q60" s="293">
        <f t="shared" si="46"/>
        <v>36606.862999999998</v>
      </c>
      <c r="R60" s="227">
        <f t="shared" si="47"/>
        <v>2.9323659305490531E-4</v>
      </c>
      <c r="S60" s="227">
        <v>0.1</v>
      </c>
      <c r="T60" s="227">
        <f t="shared" si="48"/>
        <v>2.9323659305490533E-5</v>
      </c>
      <c r="Z60" s="34">
        <f t="shared" si="49"/>
        <v>21416.5</v>
      </c>
      <c r="AA60" s="227">
        <f t="shared" si="50"/>
        <v>2.8370580450420603E-2</v>
      </c>
      <c r="AB60" s="227">
        <f t="shared" si="51"/>
        <v>3.8607612080145577E-3</v>
      </c>
      <c r="AC60" s="227">
        <f t="shared" si="52"/>
        <v>1.7124152330988688E-2</v>
      </c>
      <c r="AD60" s="227">
        <f t="shared" si="53"/>
        <v>-3.6928334557086787E-3</v>
      </c>
      <c r="AE60" s="227">
        <f t="shared" si="54"/>
        <v>1.3637018931601303E-6</v>
      </c>
      <c r="AF60" s="34">
        <f t="shared" si="55"/>
        <v>1.7124152330988688E-2</v>
      </c>
      <c r="AG60" s="19"/>
      <c r="AH60" s="34">
        <f t="shared" si="56"/>
        <v>2.0816985786697367E-2</v>
      </c>
      <c r="AI60" s="34">
        <f t="shared" si="57"/>
        <v>1.0399554011120937</v>
      </c>
      <c r="AJ60" s="34">
        <f t="shared" si="58"/>
        <v>0.69136073480039395</v>
      </c>
      <c r="AK60" s="34">
        <f t="shared" si="59"/>
        <v>-6.4386615659407689E-2</v>
      </c>
      <c r="AL60" s="34">
        <f t="shared" si="60"/>
        <v>-1.015400197751176</v>
      </c>
      <c r="AM60" s="34">
        <f t="shared" si="61"/>
        <v>-0.55634309065277576</v>
      </c>
      <c r="AN60" s="227">
        <f t="shared" si="41"/>
        <v>11.614163987741939</v>
      </c>
      <c r="AO60" s="227">
        <f t="shared" si="41"/>
        <v>11.614163988185902</v>
      </c>
      <c r="AP60" s="227">
        <f t="shared" si="41"/>
        <v>11.614163998289358</v>
      </c>
      <c r="AQ60" s="227">
        <f t="shared" si="41"/>
        <v>11.614164228217662</v>
      </c>
      <c r="AR60" s="227">
        <f t="shared" si="41"/>
        <v>11.614169460765849</v>
      </c>
      <c r="AS60" s="227">
        <f t="shared" si="41"/>
        <v>11.614288529056738</v>
      </c>
      <c r="AT60" s="227">
        <f t="shared" si="41"/>
        <v>11.616992607373149</v>
      </c>
      <c r="AU60" s="227">
        <f t="shared" si="62"/>
        <v>11.675898840220206</v>
      </c>
      <c r="AV60" s="34"/>
      <c r="AW60" s="34">
        <v>24000</v>
      </c>
      <c r="AX60" s="34">
        <f t="shared" si="1"/>
        <v>2.8689182237135794E-2</v>
      </c>
      <c r="AY60" s="34">
        <f t="shared" si="2"/>
        <v>4.3844352078138173E-3</v>
      </c>
      <c r="AZ60" s="34">
        <f t="shared" si="3"/>
        <v>2.4304747029321977E-2</v>
      </c>
      <c r="BA60" s="34">
        <f t="shared" si="4"/>
        <v>1.0528468058059943</v>
      </c>
      <c r="BB60" s="34">
        <f t="shared" si="5"/>
        <v>0.83035447307086341</v>
      </c>
      <c r="BC60" s="34">
        <f t="shared" si="6"/>
        <v>-0.79902739109189946</v>
      </c>
      <c r="BD60" s="34">
        <f t="shared" si="7"/>
        <v>-0.42222010315722808</v>
      </c>
      <c r="BE60" s="34">
        <f t="shared" si="39"/>
        <v>11.820314322102099</v>
      </c>
      <c r="BF60" s="34">
        <f t="shared" si="39"/>
        <v>11.820314323580222</v>
      </c>
      <c r="BG60" s="34">
        <f t="shared" si="39"/>
        <v>11.820314350142214</v>
      </c>
      <c r="BH60" s="34">
        <f t="shared" si="39"/>
        <v>11.820314827463198</v>
      </c>
      <c r="BI60" s="34">
        <f t="shared" si="39"/>
        <v>11.8203234049216</v>
      </c>
      <c r="BJ60" s="34">
        <f t="shared" si="39"/>
        <v>11.820477530266507</v>
      </c>
      <c r="BK60" s="34">
        <f t="shared" si="39"/>
        <v>11.823243227218292</v>
      </c>
      <c r="BL60" s="34">
        <f t="shared" si="9"/>
        <v>11.871747428215752</v>
      </c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</row>
    <row r="61" spans="1:86" s="227" customFormat="1" ht="12.95" customHeight="1">
      <c r="A61" s="261" t="s">
        <v>107</v>
      </c>
      <c r="B61" s="232"/>
      <c r="C61" s="290">
        <v>51625.370999999999</v>
      </c>
      <c r="D61" s="339"/>
      <c r="E61" s="227">
        <f t="shared" si="42"/>
        <v>21416.599052446483</v>
      </c>
      <c r="F61" s="227">
        <f t="shared" si="43"/>
        <v>21416.5</v>
      </c>
      <c r="G61" s="227">
        <f t="shared" si="44"/>
        <v>3.2677746996341739E-2</v>
      </c>
      <c r="J61" s="227">
        <f t="shared" si="63"/>
        <v>3.2677746996341739E-2</v>
      </c>
      <c r="P61" s="292">
        <f t="shared" si="45"/>
        <v>7.5535946637232364E-3</v>
      </c>
      <c r="Q61" s="293">
        <f t="shared" si="46"/>
        <v>36606.870999999999</v>
      </c>
      <c r="R61" s="227">
        <f t="shared" si="47"/>
        <v>6.3122303043261973E-4</v>
      </c>
      <c r="S61" s="227">
        <v>0.1</v>
      </c>
      <c r="T61" s="227">
        <f t="shared" si="48"/>
        <v>6.3122303043261976E-5</v>
      </c>
      <c r="Z61" s="34">
        <f t="shared" si="49"/>
        <v>21416.5</v>
      </c>
      <c r="AA61" s="227">
        <f t="shared" si="50"/>
        <v>2.8370580450420603E-2</v>
      </c>
      <c r="AB61" s="227">
        <f t="shared" si="51"/>
        <v>1.1860761209644372E-2</v>
      </c>
      <c r="AC61" s="227">
        <f t="shared" si="52"/>
        <v>2.5124152332618502E-2</v>
      </c>
      <c r="AD61" s="227">
        <f t="shared" si="53"/>
        <v>4.3071665459211358E-3</v>
      </c>
      <c r="AE61" s="227">
        <f t="shared" si="54"/>
        <v>1.8551683654302209E-6</v>
      </c>
      <c r="AF61" s="34">
        <f t="shared" si="55"/>
        <v>2.5124152332618502E-2</v>
      </c>
      <c r="AG61" s="19"/>
      <c r="AH61" s="34">
        <f t="shared" si="56"/>
        <v>2.0816985786697367E-2</v>
      </c>
      <c r="AI61" s="34">
        <f t="shared" si="57"/>
        <v>1.0399554011120937</v>
      </c>
      <c r="AJ61" s="34">
        <f t="shared" si="58"/>
        <v>0.69136073480039395</v>
      </c>
      <c r="AK61" s="34">
        <f t="shared" si="59"/>
        <v>-6.4386615659407689E-2</v>
      </c>
      <c r="AL61" s="34">
        <f t="shared" si="60"/>
        <v>-1.015400197751176</v>
      </c>
      <c r="AM61" s="34">
        <f t="shared" si="61"/>
        <v>-0.55634309065277576</v>
      </c>
      <c r="AN61" s="227">
        <f t="shared" ref="AN61:AT70" si="64">$AU61+$AB$7*SIN(AO61)</f>
        <v>11.614163987741939</v>
      </c>
      <c r="AO61" s="227">
        <f t="shared" si="64"/>
        <v>11.614163988185902</v>
      </c>
      <c r="AP61" s="227">
        <f t="shared" si="64"/>
        <v>11.614163998289358</v>
      </c>
      <c r="AQ61" s="227">
        <f t="shared" si="64"/>
        <v>11.614164228217662</v>
      </c>
      <c r="AR61" s="227">
        <f t="shared" si="64"/>
        <v>11.614169460765849</v>
      </c>
      <c r="AS61" s="227">
        <f t="shared" si="64"/>
        <v>11.614288529056738</v>
      </c>
      <c r="AT61" s="227">
        <f t="shared" si="64"/>
        <v>11.616992607373149</v>
      </c>
      <c r="AU61" s="227">
        <f t="shared" si="62"/>
        <v>11.675898840220206</v>
      </c>
      <c r="AV61" s="34"/>
      <c r="AW61" s="34">
        <v>24500</v>
      </c>
      <c r="AX61" s="34">
        <f t="shared" si="1"/>
        <v>2.8597255863103195E-2</v>
      </c>
      <c r="AY61" s="34">
        <f t="shared" si="2"/>
        <v>3.7286660543655661E-3</v>
      </c>
      <c r="AZ61" s="34">
        <f t="shared" si="3"/>
        <v>2.4868589808737629E-2</v>
      </c>
      <c r="BA61" s="34">
        <f t="shared" si="4"/>
        <v>1.0551049868176461</v>
      </c>
      <c r="BB61" s="34">
        <f t="shared" si="5"/>
        <v>0.8532653621838614</v>
      </c>
      <c r="BC61" s="34">
        <f t="shared" si="6"/>
        <v>-0.75655556484115116</v>
      </c>
      <c r="BD61" s="34">
        <f t="shared" si="7"/>
        <v>-0.39741712835108189</v>
      </c>
      <c r="BE61" s="34">
        <f t="shared" si="39"/>
        <v>11.860494939961951</v>
      </c>
      <c r="BF61" s="34">
        <f t="shared" si="39"/>
        <v>11.860494941703132</v>
      </c>
      <c r="BG61" s="34">
        <f t="shared" si="39"/>
        <v>11.860494971895703</v>
      </c>
      <c r="BH61" s="34">
        <f t="shared" si="39"/>
        <v>11.860495495443168</v>
      </c>
      <c r="BI61" s="34">
        <f t="shared" si="39"/>
        <v>11.860504573863199</v>
      </c>
      <c r="BJ61" s="34">
        <f t="shared" si="39"/>
        <v>11.860661984353232</v>
      </c>
      <c r="BK61" s="34">
        <f t="shared" si="39"/>
        <v>11.863387975125692</v>
      </c>
      <c r="BL61" s="34">
        <f t="shared" si="9"/>
        <v>11.909651161135347</v>
      </c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</row>
    <row r="62" spans="1:86" s="227" customFormat="1" ht="12.95" customHeight="1">
      <c r="A62" s="261" t="s">
        <v>109</v>
      </c>
      <c r="B62" s="232"/>
      <c r="C62" s="290">
        <v>51628.343000000001</v>
      </c>
      <c r="D62" s="339"/>
      <c r="E62" s="227">
        <f t="shared" si="42"/>
        <v>21425.607747904876</v>
      </c>
      <c r="F62" s="227">
        <f t="shared" si="43"/>
        <v>21425.5</v>
      </c>
      <c r="G62" s="227">
        <f t="shared" si="44"/>
        <v>3.5546408995287493E-2</v>
      </c>
      <c r="I62" s="227">
        <f>G62</f>
        <v>3.5546408995287493E-2</v>
      </c>
      <c r="P62" s="292">
        <f t="shared" si="45"/>
        <v>7.5431919963105162E-3</v>
      </c>
      <c r="Q62" s="293">
        <f t="shared" si="46"/>
        <v>36609.843000000001</v>
      </c>
      <c r="R62" s="227">
        <f t="shared" si="47"/>
        <v>7.8418016229179306E-4</v>
      </c>
      <c r="S62" s="227">
        <v>0.1</v>
      </c>
      <c r="T62" s="227">
        <f t="shared" si="48"/>
        <v>7.8418016229179317E-5</v>
      </c>
      <c r="Z62" s="34">
        <f t="shared" si="49"/>
        <v>21425.5</v>
      </c>
      <c r="AA62" s="227">
        <f t="shared" si="50"/>
        <v>2.8373868910983605E-2</v>
      </c>
      <c r="AB62" s="227">
        <f t="shared" si="51"/>
        <v>1.4715732080614403E-2</v>
      </c>
      <c r="AC62" s="227">
        <f t="shared" si="52"/>
        <v>2.8003216998976975E-2</v>
      </c>
      <c r="AD62" s="227">
        <f t="shared" si="53"/>
        <v>7.1725400843038883E-3</v>
      </c>
      <c r="AE62" s="227">
        <f t="shared" si="54"/>
        <v>5.1445331260946031E-6</v>
      </c>
      <c r="AF62" s="34">
        <f t="shared" si="55"/>
        <v>2.8003216998976975E-2</v>
      </c>
      <c r="AG62" s="19"/>
      <c r="AH62" s="34">
        <f t="shared" si="56"/>
        <v>2.083067691467309E-2</v>
      </c>
      <c r="AI62" s="34">
        <f t="shared" si="57"/>
        <v>1.0400033138051004</v>
      </c>
      <c r="AJ62" s="34">
        <f t="shared" si="58"/>
        <v>0.69189831630447018</v>
      </c>
      <c r="AK62" s="34">
        <f t="shared" si="59"/>
        <v>-6.4356858521149501E-2</v>
      </c>
      <c r="AL62" s="34">
        <f t="shared" si="60"/>
        <v>-1.0146558852165084</v>
      </c>
      <c r="AM62" s="34">
        <f t="shared" si="61"/>
        <v>-0.55585584631767893</v>
      </c>
      <c r="AN62" s="227">
        <f t="shared" si="64"/>
        <v>11.61487762931975</v>
      </c>
      <c r="AO62" s="227">
        <f t="shared" si="64"/>
        <v>11.614877629766104</v>
      </c>
      <c r="AP62" s="227">
        <f t="shared" si="64"/>
        <v>11.614877639913804</v>
      </c>
      <c r="AQ62" s="227">
        <f t="shared" si="64"/>
        <v>11.614877870617722</v>
      </c>
      <c r="AR62" s="227">
        <f t="shared" si="64"/>
        <v>11.614883115559488</v>
      </c>
      <c r="AS62" s="227">
        <f t="shared" si="64"/>
        <v>11.615002346358914</v>
      </c>
      <c r="AT62" s="227">
        <f t="shared" si="64"/>
        <v>11.617707409783279</v>
      </c>
      <c r="AU62" s="227">
        <f t="shared" si="62"/>
        <v>11.676581107412758</v>
      </c>
      <c r="AV62" s="34"/>
      <c r="AW62" s="34">
        <v>25000</v>
      </c>
      <c r="AX62" s="34">
        <f t="shared" si="1"/>
        <v>2.84524838558094E-2</v>
      </c>
      <c r="AY62" s="34">
        <f t="shared" si="2"/>
        <v>3.059138826319429E-3</v>
      </c>
      <c r="AZ62" s="34">
        <f t="shared" si="3"/>
        <v>2.5393345029489971E-2</v>
      </c>
      <c r="BA62" s="34">
        <f t="shared" si="4"/>
        <v>1.0572726424234304</v>
      </c>
      <c r="BB62" s="34">
        <f t="shared" si="5"/>
        <v>0.87472386735115226</v>
      </c>
      <c r="BC62" s="34">
        <f t="shared" si="6"/>
        <v>-0.7139051691537629</v>
      </c>
      <c r="BD62" s="34">
        <f t="shared" si="7"/>
        <v>-0.37292765660900279</v>
      </c>
      <c r="BE62" s="34">
        <f t="shared" si="39"/>
        <v>11.900759937974581</v>
      </c>
      <c r="BF62" s="34">
        <f t="shared" si="39"/>
        <v>11.900759939985077</v>
      </c>
      <c r="BG62" s="34">
        <f t="shared" si="39"/>
        <v>11.900759973717571</v>
      </c>
      <c r="BH62" s="34">
        <f t="shared" si="39"/>
        <v>11.900760539687516</v>
      </c>
      <c r="BI62" s="34">
        <f t="shared" si="39"/>
        <v>11.900770035597279</v>
      </c>
      <c r="BJ62" s="34">
        <f t="shared" si="39"/>
        <v>11.900929348522361</v>
      </c>
      <c r="BK62" s="34">
        <f t="shared" si="39"/>
        <v>11.903599181069943</v>
      </c>
      <c r="BL62" s="34">
        <f t="shared" si="9"/>
        <v>11.947554894054941</v>
      </c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</row>
    <row r="63" spans="1:86" s="227" customFormat="1" ht="12.95" customHeight="1">
      <c r="A63" s="261" t="s">
        <v>108</v>
      </c>
      <c r="B63" s="232"/>
      <c r="C63" s="290">
        <v>51749.41</v>
      </c>
      <c r="D63" s="339"/>
      <c r="E63" s="227">
        <f t="shared" si="42"/>
        <v>21792.584777871485</v>
      </c>
      <c r="F63" s="227">
        <f t="shared" si="43"/>
        <v>21792.5</v>
      </c>
      <c r="G63" s="227">
        <f t="shared" si="44"/>
        <v>2.7968515001703054E-2</v>
      </c>
      <c r="J63" s="227">
        <f t="shared" ref="J63:J68" si="65">G63</f>
        <v>2.7968515001703054E-2</v>
      </c>
      <c r="P63" s="292">
        <f t="shared" si="45"/>
        <v>7.1151973277986114E-3</v>
      </c>
      <c r="Q63" s="293">
        <f t="shared" si="46"/>
        <v>36730.910000000003</v>
      </c>
      <c r="R63" s="227">
        <f t="shared" si="47"/>
        <v>4.3486085800877538E-4</v>
      </c>
      <c r="S63" s="227">
        <v>0.1</v>
      </c>
      <c r="T63" s="227">
        <f t="shared" si="48"/>
        <v>4.3486085800877542E-5</v>
      </c>
      <c r="Z63" s="34">
        <f t="shared" si="49"/>
        <v>21792.5</v>
      </c>
      <c r="AA63" s="227">
        <f t="shared" si="50"/>
        <v>2.8495570539352654E-2</v>
      </c>
      <c r="AB63" s="227">
        <f t="shared" si="51"/>
        <v>6.5881417901490109E-3</v>
      </c>
      <c r="AC63" s="227">
        <f t="shared" si="52"/>
        <v>2.0853317673904442E-2</v>
      </c>
      <c r="AD63" s="227">
        <f t="shared" si="53"/>
        <v>-5.2705553764960042E-4</v>
      </c>
      <c r="AE63" s="227">
        <f t="shared" si="54"/>
        <v>2.7778753976710939E-8</v>
      </c>
      <c r="AF63" s="34">
        <f t="shared" si="55"/>
        <v>2.0853317673904442E-2</v>
      </c>
      <c r="AG63" s="19"/>
      <c r="AH63" s="34">
        <f t="shared" si="56"/>
        <v>2.1380373211554043E-2</v>
      </c>
      <c r="AI63" s="34">
        <f t="shared" si="57"/>
        <v>1.041941581181747</v>
      </c>
      <c r="AJ63" s="34">
        <f t="shared" si="58"/>
        <v>0.71353059471110369</v>
      </c>
      <c r="AK63" s="34">
        <f t="shared" si="59"/>
        <v>-6.3110808282540024E-2</v>
      </c>
      <c r="AL63" s="34">
        <f t="shared" si="60"/>
        <v>-0.98424632243740584</v>
      </c>
      <c r="AM63" s="34">
        <f t="shared" si="61"/>
        <v>-0.53611844949757637</v>
      </c>
      <c r="AN63" s="227">
        <f t="shared" si="64"/>
        <v>11.644006207138798</v>
      </c>
      <c r="AO63" s="227">
        <f t="shared" si="64"/>
        <v>11.64400620769011</v>
      </c>
      <c r="AP63" s="227">
        <f t="shared" si="64"/>
        <v>11.64400621973688</v>
      </c>
      <c r="AQ63" s="227">
        <f t="shared" si="64"/>
        <v>11.644006482972372</v>
      </c>
      <c r="AR63" s="227">
        <f t="shared" si="64"/>
        <v>11.644012234940908</v>
      </c>
      <c r="AS63" s="227">
        <f t="shared" si="64"/>
        <v>11.644137910521126</v>
      </c>
      <c r="AT63" s="227">
        <f t="shared" si="64"/>
        <v>11.646878634707042</v>
      </c>
      <c r="AU63" s="227">
        <f t="shared" si="62"/>
        <v>11.704402447375742</v>
      </c>
      <c r="AV63" s="34"/>
      <c r="AW63" s="34">
        <v>25500</v>
      </c>
      <c r="AX63" s="34">
        <f t="shared" si="1"/>
        <v>2.8253718629027574E-2</v>
      </c>
      <c r="AY63" s="34">
        <f t="shared" si="2"/>
        <v>2.3758535236754058E-3</v>
      </c>
      <c r="AZ63" s="34">
        <f t="shared" si="3"/>
        <v>2.5877865105352168E-2</v>
      </c>
      <c r="BA63" s="34">
        <f t="shared" si="4"/>
        <v>1.059344208599357</v>
      </c>
      <c r="BB63" s="34">
        <f t="shared" si="5"/>
        <v>0.89466802114784572</v>
      </c>
      <c r="BC63" s="34">
        <f t="shared" si="6"/>
        <v>-0.67108338147310997</v>
      </c>
      <c r="BD63" s="34">
        <f t="shared" si="7"/>
        <v>-0.34872856679010544</v>
      </c>
      <c r="BE63" s="34">
        <f t="shared" si="39"/>
        <v>11.941105758610085</v>
      </c>
      <c r="BF63" s="34">
        <f t="shared" si="39"/>
        <v>11.941105760886837</v>
      </c>
      <c r="BG63" s="34">
        <f t="shared" si="39"/>
        <v>11.94110579794323</v>
      </c>
      <c r="BH63" s="34">
        <f t="shared" si="39"/>
        <v>11.941106401072913</v>
      </c>
      <c r="BI63" s="34">
        <f t="shared" si="39"/>
        <v>11.941116217571656</v>
      </c>
      <c r="BJ63" s="34">
        <f t="shared" si="39"/>
        <v>11.941275980476794</v>
      </c>
      <c r="BK63" s="34">
        <f t="shared" si="39"/>
        <v>11.943873530317662</v>
      </c>
      <c r="BL63" s="34">
        <f t="shared" si="9"/>
        <v>11.985458626974536</v>
      </c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</row>
    <row r="64" spans="1:86" s="227" customFormat="1" ht="12.95" customHeight="1">
      <c r="A64" s="261" t="s">
        <v>108</v>
      </c>
      <c r="B64" s="232"/>
      <c r="C64" s="290">
        <v>51749.415000000001</v>
      </c>
      <c r="D64" s="339"/>
      <c r="E64" s="227">
        <f t="shared" si="42"/>
        <v>21792.599933819423</v>
      </c>
      <c r="F64" s="227">
        <f t="shared" si="43"/>
        <v>21792.5</v>
      </c>
      <c r="G64" s="227">
        <f t="shared" si="44"/>
        <v>3.2968514999083709E-2</v>
      </c>
      <c r="J64" s="227">
        <f t="shared" si="65"/>
        <v>3.2968514999083709E-2</v>
      </c>
      <c r="P64" s="292">
        <f t="shared" si="45"/>
        <v>7.1151973277986114E-3</v>
      </c>
      <c r="Q64" s="293">
        <f t="shared" si="46"/>
        <v>36730.915000000001</v>
      </c>
      <c r="R64" s="227">
        <f t="shared" si="47"/>
        <v>6.6839403461238229E-4</v>
      </c>
      <c r="S64" s="227">
        <v>0.1</v>
      </c>
      <c r="T64" s="227">
        <f t="shared" si="48"/>
        <v>6.6839403461238229E-5</v>
      </c>
      <c r="Z64" s="34">
        <f t="shared" si="49"/>
        <v>21792.5</v>
      </c>
      <c r="AA64" s="227">
        <f t="shared" si="50"/>
        <v>2.8495570539352654E-2</v>
      </c>
      <c r="AB64" s="227">
        <f t="shared" si="51"/>
        <v>1.1588141787529666E-2</v>
      </c>
      <c r="AC64" s="227">
        <f t="shared" si="52"/>
        <v>2.5853317671285098E-2</v>
      </c>
      <c r="AD64" s="227">
        <f t="shared" si="53"/>
        <v>4.4729444597310548E-3</v>
      </c>
      <c r="AE64" s="227">
        <f t="shared" si="54"/>
        <v>2.0007232139838737E-6</v>
      </c>
      <c r="AF64" s="34">
        <f t="shared" si="55"/>
        <v>2.5853317671285098E-2</v>
      </c>
      <c r="AG64" s="19"/>
      <c r="AH64" s="34">
        <f t="shared" si="56"/>
        <v>2.1380373211554043E-2</v>
      </c>
      <c r="AI64" s="34">
        <f t="shared" si="57"/>
        <v>1.041941581181747</v>
      </c>
      <c r="AJ64" s="34">
        <f t="shared" si="58"/>
        <v>0.71353059471110369</v>
      </c>
      <c r="AK64" s="34">
        <f t="shared" si="59"/>
        <v>-6.3110808282540024E-2</v>
      </c>
      <c r="AL64" s="34">
        <f t="shared" si="60"/>
        <v>-0.98424632243740584</v>
      </c>
      <c r="AM64" s="34">
        <f t="shared" si="61"/>
        <v>-0.53611844949757637</v>
      </c>
      <c r="AN64" s="227">
        <f t="shared" si="64"/>
        <v>11.644006207138798</v>
      </c>
      <c r="AO64" s="227">
        <f t="shared" si="64"/>
        <v>11.64400620769011</v>
      </c>
      <c r="AP64" s="227">
        <f t="shared" si="64"/>
        <v>11.64400621973688</v>
      </c>
      <c r="AQ64" s="227">
        <f t="shared" si="64"/>
        <v>11.644006482972372</v>
      </c>
      <c r="AR64" s="227">
        <f t="shared" si="64"/>
        <v>11.644012234940908</v>
      </c>
      <c r="AS64" s="227">
        <f t="shared" si="64"/>
        <v>11.644137910521126</v>
      </c>
      <c r="AT64" s="227">
        <f t="shared" si="64"/>
        <v>11.646878634707042</v>
      </c>
      <c r="AU64" s="227">
        <f t="shared" si="62"/>
        <v>11.704402447375742</v>
      </c>
      <c r="AV64" s="34"/>
      <c r="AW64" s="34">
        <v>26000</v>
      </c>
      <c r="AX64" s="34">
        <f t="shared" si="1"/>
        <v>2.7999881600883937E-2</v>
      </c>
      <c r="AY64" s="34">
        <f t="shared" si="2"/>
        <v>1.6788101464334966E-3</v>
      </c>
      <c r="AZ64" s="34">
        <f t="shared" si="3"/>
        <v>2.6321071454450441E-2</v>
      </c>
      <c r="BA64" s="34">
        <f t="shared" si="4"/>
        <v>1.0613142625023844</v>
      </c>
      <c r="BB64" s="34">
        <f t="shared" si="5"/>
        <v>0.91303865862233113</v>
      </c>
      <c r="BC64" s="34">
        <f t="shared" si="6"/>
        <v>-0.62809787020441032</v>
      </c>
      <c r="BD64" s="34">
        <f t="shared" si="7"/>
        <v>-0.32479772247308497</v>
      </c>
      <c r="BE64" s="34">
        <f t="shared" si="39"/>
        <v>11.981528634826116</v>
      </c>
      <c r="BF64" s="34">
        <f t="shared" si="39"/>
        <v>11.981528637355499</v>
      </c>
      <c r="BG64" s="34">
        <f t="shared" si="39"/>
        <v>11.981528677388546</v>
      </c>
      <c r="BH64" s="34">
        <f t="shared" si="39"/>
        <v>11.981529310999607</v>
      </c>
      <c r="BI64" s="34">
        <f t="shared" si="39"/>
        <v>11.981539339253354</v>
      </c>
      <c r="BJ64" s="34">
        <f t="shared" si="39"/>
        <v>11.981698049008671</v>
      </c>
      <c r="BK64" s="34">
        <f t="shared" si="39"/>
        <v>11.984207617428778</v>
      </c>
      <c r="BL64" s="34">
        <f t="shared" si="9"/>
        <v>12.023362359894131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</row>
    <row r="65" spans="1:86" s="227" customFormat="1" ht="12.95" customHeight="1">
      <c r="A65" s="31" t="s">
        <v>90</v>
      </c>
      <c r="B65" s="49" t="s">
        <v>86</v>
      </c>
      <c r="C65" s="31">
        <v>51798.567300000002</v>
      </c>
      <c r="D65" s="31">
        <v>2.0000000000000001E-4</v>
      </c>
      <c r="E65" s="227">
        <f t="shared" si="42"/>
        <v>21941.589873852856</v>
      </c>
      <c r="F65" s="227">
        <f t="shared" si="43"/>
        <v>21941.5</v>
      </c>
      <c r="G65" s="227">
        <f t="shared" si="44"/>
        <v>2.9649696996784769E-2</v>
      </c>
      <c r="J65" s="227">
        <f t="shared" si="65"/>
        <v>2.9649696996784769E-2</v>
      </c>
      <c r="P65" s="292">
        <f t="shared" si="45"/>
        <v>6.9393182731640225E-3</v>
      </c>
      <c r="Q65" s="293">
        <f t="shared" si="46"/>
        <v>36780.067300000002</v>
      </c>
      <c r="R65" s="227">
        <f t="shared" si="47"/>
        <v>5.1576130177028584E-4</v>
      </c>
      <c r="S65" s="227">
        <v>1</v>
      </c>
      <c r="T65" s="227">
        <f t="shared" si="48"/>
        <v>5.1576130177028584E-4</v>
      </c>
      <c r="Z65" s="34">
        <f t="shared" si="49"/>
        <v>21941.5</v>
      </c>
      <c r="AA65" s="227">
        <f t="shared" si="50"/>
        <v>2.8537995837439472E-2</v>
      </c>
      <c r="AB65" s="227">
        <f t="shared" si="51"/>
        <v>8.0510194325093196E-3</v>
      </c>
      <c r="AC65" s="227">
        <f t="shared" si="52"/>
        <v>2.2710378723620746E-2</v>
      </c>
      <c r="AD65" s="227">
        <f t="shared" si="53"/>
        <v>1.111701159345297E-3</v>
      </c>
      <c r="AE65" s="227">
        <f t="shared" si="54"/>
        <v>1.2358794676896776E-6</v>
      </c>
      <c r="AF65" s="34">
        <f t="shared" si="55"/>
        <v>2.2710378723620746E-2</v>
      </c>
      <c r="AG65" s="19"/>
      <c r="AH65" s="34">
        <f t="shared" si="56"/>
        <v>2.1598677564275449E-2</v>
      </c>
      <c r="AI65" s="34">
        <f t="shared" si="57"/>
        <v>1.0427195525734285</v>
      </c>
      <c r="AJ65" s="34">
        <f t="shared" si="58"/>
        <v>0.72214824421183421</v>
      </c>
      <c r="AK65" s="34">
        <f t="shared" si="59"/>
        <v>-6.2586821152912669E-2</v>
      </c>
      <c r="AL65" s="34">
        <f t="shared" si="60"/>
        <v>-0.97186802283696083</v>
      </c>
      <c r="AM65" s="34">
        <f t="shared" si="61"/>
        <v>-0.52817664617488369</v>
      </c>
      <c r="AN65" s="227">
        <f t="shared" si="64"/>
        <v>11.655847655973259</v>
      </c>
      <c r="AO65" s="227">
        <f t="shared" si="64"/>
        <v>11.655847656571384</v>
      </c>
      <c r="AP65" s="227">
        <f t="shared" si="64"/>
        <v>11.65584766944087</v>
      </c>
      <c r="AQ65" s="227">
        <f t="shared" si="64"/>
        <v>11.655847946345791</v>
      </c>
      <c r="AR65" s="227">
        <f t="shared" si="64"/>
        <v>11.655853904317114</v>
      </c>
      <c r="AS65" s="227">
        <f t="shared" si="64"/>
        <v>11.655982086787221</v>
      </c>
      <c r="AT65" s="227">
        <f t="shared" si="64"/>
        <v>11.65873476046974</v>
      </c>
      <c r="AU65" s="227">
        <f t="shared" si="62"/>
        <v>11.71569775978578</v>
      </c>
      <c r="AV65" s="34"/>
      <c r="AW65" s="34">
        <v>26500</v>
      </c>
      <c r="AX65" s="34">
        <f t="shared" si="1"/>
        <v>2.7689967709006443E-2</v>
      </c>
      <c r="AY65" s="34">
        <f t="shared" si="2"/>
        <v>9.6800869459370137E-4</v>
      </c>
      <c r="AZ65" s="34">
        <f t="shared" si="3"/>
        <v>2.6721959014412742E-2</v>
      </c>
      <c r="BA65" s="34">
        <f t="shared" si="4"/>
        <v>1.0631775503635754</v>
      </c>
      <c r="BB65" s="34">
        <f t="shared" si="5"/>
        <v>0.92977976601238699</v>
      </c>
      <c r="BC65" s="34">
        <f t="shared" si="6"/>
        <v>-0.5849567833542455</v>
      </c>
      <c r="BD65" s="34">
        <f t="shared" si="7"/>
        <v>-0.301113882716533</v>
      </c>
      <c r="BE65" s="34">
        <f t="shared" si="39"/>
        <v>12.022024595980881</v>
      </c>
      <c r="BF65" s="34">
        <f t="shared" si="39"/>
        <v>12.022024598737898</v>
      </c>
      <c r="BG65" s="34">
        <f t="shared" si="39"/>
        <v>12.022024641268592</v>
      </c>
      <c r="BH65" s="34">
        <f t="shared" si="39"/>
        <v>12.022025297361418</v>
      </c>
      <c r="BI65" s="34">
        <f t="shared" si="39"/>
        <v>12.02203541843758</v>
      </c>
      <c r="BJ65" s="34">
        <f t="shared" si="39"/>
        <v>12.022191541207169</v>
      </c>
      <c r="BK65" s="34">
        <f t="shared" si="39"/>
        <v>12.024597951148529</v>
      </c>
      <c r="BL65" s="34">
        <f t="shared" si="9"/>
        <v>12.061266092813725</v>
      </c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</row>
    <row r="66" spans="1:86" s="227" customFormat="1" ht="12.95" customHeight="1">
      <c r="A66" s="31" t="s">
        <v>90</v>
      </c>
      <c r="B66" s="49" t="s">
        <v>86</v>
      </c>
      <c r="C66" s="31">
        <v>51798.567499999997</v>
      </c>
      <c r="D66" s="31">
        <v>1E-4</v>
      </c>
      <c r="E66" s="227">
        <f t="shared" si="42"/>
        <v>21941.590480090759</v>
      </c>
      <c r="F66" s="227">
        <f t="shared" si="43"/>
        <v>21941.5</v>
      </c>
      <c r="G66" s="227">
        <f t="shared" si="44"/>
        <v>2.9849696991732344E-2</v>
      </c>
      <c r="J66" s="227">
        <f t="shared" si="65"/>
        <v>2.9849696991732344E-2</v>
      </c>
      <c r="P66" s="292">
        <f t="shared" si="45"/>
        <v>6.9393182731640225E-3</v>
      </c>
      <c r="Q66" s="293">
        <f t="shared" si="46"/>
        <v>36780.067499999997</v>
      </c>
      <c r="R66" s="227">
        <f t="shared" si="47"/>
        <v>5.2488545302822821E-4</v>
      </c>
      <c r="S66" s="227">
        <v>1</v>
      </c>
      <c r="T66" s="227">
        <f t="shared" si="48"/>
        <v>5.2488545302822821E-4</v>
      </c>
      <c r="Z66" s="34">
        <f t="shared" si="49"/>
        <v>21941.5</v>
      </c>
      <c r="AA66" s="227">
        <f t="shared" si="50"/>
        <v>2.8537995837439472E-2</v>
      </c>
      <c r="AB66" s="227">
        <f t="shared" si="51"/>
        <v>8.2510194274568946E-3</v>
      </c>
      <c r="AC66" s="227">
        <f t="shared" si="52"/>
        <v>2.2910378718568322E-2</v>
      </c>
      <c r="AD66" s="227">
        <f t="shared" si="53"/>
        <v>1.3117011542928721E-3</v>
      </c>
      <c r="AE66" s="227">
        <f t="shared" si="54"/>
        <v>1.7205599181732529E-6</v>
      </c>
      <c r="AF66" s="34">
        <f t="shared" si="55"/>
        <v>2.2910378718568322E-2</v>
      </c>
      <c r="AG66" s="19"/>
      <c r="AH66" s="34">
        <f t="shared" si="56"/>
        <v>2.1598677564275449E-2</v>
      </c>
      <c r="AI66" s="34">
        <f t="shared" si="57"/>
        <v>1.0427195525734285</v>
      </c>
      <c r="AJ66" s="34">
        <f t="shared" si="58"/>
        <v>0.72214824421183421</v>
      </c>
      <c r="AK66" s="34">
        <f t="shared" si="59"/>
        <v>-6.2586821152912669E-2</v>
      </c>
      <c r="AL66" s="34">
        <f t="shared" si="60"/>
        <v>-0.97186802283696083</v>
      </c>
      <c r="AM66" s="34">
        <f t="shared" si="61"/>
        <v>-0.52817664617488369</v>
      </c>
      <c r="AN66" s="227">
        <f t="shared" si="64"/>
        <v>11.655847655973259</v>
      </c>
      <c r="AO66" s="227">
        <f t="shared" si="64"/>
        <v>11.655847656571384</v>
      </c>
      <c r="AP66" s="227">
        <f t="shared" si="64"/>
        <v>11.65584766944087</v>
      </c>
      <c r="AQ66" s="227">
        <f t="shared" si="64"/>
        <v>11.655847946345791</v>
      </c>
      <c r="AR66" s="227">
        <f t="shared" si="64"/>
        <v>11.655853904317114</v>
      </c>
      <c r="AS66" s="227">
        <f t="shared" si="64"/>
        <v>11.655982086787221</v>
      </c>
      <c r="AT66" s="227">
        <f t="shared" si="64"/>
        <v>11.65873476046974</v>
      </c>
      <c r="AU66" s="227">
        <f t="shared" si="62"/>
        <v>11.71569775978578</v>
      </c>
      <c r="AV66" s="34"/>
      <c r="AW66" s="34">
        <v>27000</v>
      </c>
      <c r="AX66" s="34">
        <f t="shared" ref="AX66:AX97" si="66">AB$3+AB$4*AW66+AB$5*AW66^2+AZ66</f>
        <v>2.7323049767592256E-2</v>
      </c>
      <c r="AY66" s="34">
        <f t="shared" ref="AY66:AY97" si="67">AB$3+AB$4*AW66+AB$5*AW66^2</f>
        <v>2.4344916815602011E-4</v>
      </c>
      <c r="AZ66" s="34">
        <f t="shared" ref="AZ66:AZ97" si="68">$AB$6*($AB$11/BA66*BB66+$AB$12)</f>
        <v>2.7079600599436236E-2</v>
      </c>
      <c r="BA66" s="34">
        <f t="shared" ref="BA66:BA97" si="69">1+$AB$7*COS(BC66)</f>
        <v>1.0649290155386715</v>
      </c>
      <c r="BB66" s="34">
        <f t="shared" ref="BB66:BB97" si="70">SIN(BC66+RADIANS($AB$9))</f>
        <v>0.94483882456815926</v>
      </c>
      <c r="BC66" s="34">
        <f t="shared" ref="BC66:BC97" si="71">2*ATAN(BD66)</f>
        <v>-0.54166873435861274</v>
      </c>
      <c r="BD66" s="34">
        <f t="shared" ref="BD66:BD97" si="72">SQRT((1+$AB$7)/(1-$AB$7))*TAN(BE66/2)</f>
        <v>-0.27765661914768852</v>
      </c>
      <c r="BE66" s="34">
        <f t="shared" si="39"/>
        <v>12.062589474813331</v>
      </c>
      <c r="BF66" s="34">
        <f t="shared" si="39"/>
        <v>12.062589477761328</v>
      </c>
      <c r="BG66" s="34">
        <f t="shared" si="39"/>
        <v>12.062589522184114</v>
      </c>
      <c r="BH66" s="34">
        <f t="shared" si="39"/>
        <v>12.062590191582398</v>
      </c>
      <c r="BI66" s="34">
        <f t="shared" si="39"/>
        <v>12.062600278584506</v>
      </c>
      <c r="BJ66" s="34">
        <f t="shared" si="39"/>
        <v>12.062752270409845</v>
      </c>
      <c r="BK66" s="34">
        <f t="shared" si="39"/>
        <v>12.065040959422724</v>
      </c>
      <c r="BL66" s="34">
        <f t="shared" ref="BL66:BL97" si="73">RADIANS($AB$9)+$AB$18*(AW66-AB$15)</f>
        <v>12.09916982573332</v>
      </c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</row>
    <row r="67" spans="1:86" s="227" customFormat="1" ht="12.95" customHeight="1">
      <c r="A67" s="31" t="s">
        <v>95</v>
      </c>
      <c r="B67" s="232" t="s">
        <v>87</v>
      </c>
      <c r="C67" s="290">
        <v>52203.523000000001</v>
      </c>
      <c r="D67" s="290">
        <v>2.0000000000000001E-4</v>
      </c>
      <c r="E67" s="227">
        <f t="shared" si="42"/>
        <v>23169.087375682797</v>
      </c>
      <c r="F67" s="227">
        <f t="shared" si="43"/>
        <v>23169</v>
      </c>
      <c r="G67" s="227">
        <f t="shared" si="44"/>
        <v>2.8825541994592641E-2</v>
      </c>
      <c r="J67" s="227">
        <f t="shared" si="65"/>
        <v>2.8825541994592641E-2</v>
      </c>
      <c r="P67" s="292">
        <f t="shared" si="45"/>
        <v>5.4438890013491816E-3</v>
      </c>
      <c r="Q67" s="293">
        <f t="shared" si="46"/>
        <v>37185.023000000001</v>
      </c>
      <c r="R67" s="227">
        <f t="shared" si="47"/>
        <v>5.4670169669645077E-4</v>
      </c>
      <c r="S67" s="227">
        <v>1</v>
      </c>
      <c r="T67" s="227">
        <f t="shared" si="48"/>
        <v>5.4670169669645077E-4</v>
      </c>
      <c r="Z67" s="34">
        <f t="shared" si="49"/>
        <v>23169</v>
      </c>
      <c r="AA67" s="227">
        <f t="shared" si="50"/>
        <v>2.8728362272458056E-2</v>
      </c>
      <c r="AB67" s="227">
        <f t="shared" si="51"/>
        <v>5.5410687234837656E-3</v>
      </c>
      <c r="AC67" s="227">
        <f t="shared" si="52"/>
        <v>2.3381652993243459E-2</v>
      </c>
      <c r="AD67" s="227">
        <f t="shared" si="53"/>
        <v>9.717972213458409E-5</v>
      </c>
      <c r="AE67" s="227">
        <f t="shared" si="54"/>
        <v>9.4438983941549722E-9</v>
      </c>
      <c r="AF67" s="34">
        <f t="shared" si="55"/>
        <v>2.3381652993243459E-2</v>
      </c>
      <c r="AG67" s="19"/>
      <c r="AH67" s="34">
        <f t="shared" si="56"/>
        <v>2.3284473271108875E-2</v>
      </c>
      <c r="AI67" s="34">
        <f t="shared" si="57"/>
        <v>1.0489088266495978</v>
      </c>
      <c r="AJ67" s="34">
        <f t="shared" si="58"/>
        <v>0.78923862580637116</v>
      </c>
      <c r="AK67" s="34">
        <f t="shared" si="59"/>
        <v>-5.7879158855845374E-2</v>
      </c>
      <c r="AL67" s="34">
        <f t="shared" si="60"/>
        <v>-0.86920274269130704</v>
      </c>
      <c r="AM67" s="34">
        <f t="shared" si="61"/>
        <v>-0.46420203310210811</v>
      </c>
      <c r="AN67" s="227">
        <f t="shared" si="64"/>
        <v>11.753729724411333</v>
      </c>
      <c r="AO67" s="227">
        <f t="shared" si="64"/>
        <v>11.753729725486277</v>
      </c>
      <c r="AP67" s="227">
        <f t="shared" si="64"/>
        <v>11.75372974611758</v>
      </c>
      <c r="AQ67" s="227">
        <f t="shared" si="64"/>
        <v>11.753730142091866</v>
      </c>
      <c r="AR67" s="227">
        <f t="shared" si="64"/>
        <v>11.753737741950211</v>
      </c>
      <c r="AS67" s="227">
        <f t="shared" si="64"/>
        <v>11.753883592752937</v>
      </c>
      <c r="AT67" s="227">
        <f t="shared" si="64"/>
        <v>11.756678317751202</v>
      </c>
      <c r="AU67" s="227">
        <f t="shared" si="62"/>
        <v>11.808751424103386</v>
      </c>
      <c r="AV67" s="34"/>
      <c r="AW67" s="34">
        <v>27500</v>
      </c>
      <c r="AX67" s="34">
        <f t="shared" si="66"/>
        <v>2.6898282630481728E-2</v>
      </c>
      <c r="AY67" s="34">
        <f t="shared" si="67"/>
        <v>-4.9486843287955065E-4</v>
      </c>
      <c r="AZ67" s="34">
        <f t="shared" si="68"/>
        <v>2.7393151063361279E-2</v>
      </c>
      <c r="BA67" s="34">
        <f t="shared" si="69"/>
        <v>1.0665638264523145</v>
      </c>
      <c r="BB67" s="34">
        <f t="shared" si="70"/>
        <v>0.95816714589130803</v>
      </c>
      <c r="BC67" s="34">
        <f t="shared" si="71"/>
        <v>-0.49824278507292846</v>
      </c>
      <c r="BD67" s="34">
        <f t="shared" si="72"/>
        <v>-0.25440623866828477</v>
      </c>
      <c r="BE67" s="34">
        <f t="shared" si="39"/>
        <v>12.103218915491546</v>
      </c>
      <c r="BF67" s="34">
        <f t="shared" si="39"/>
        <v>12.103218918582506</v>
      </c>
      <c r="BG67" s="34">
        <f t="shared" si="39"/>
        <v>12.103218964176396</v>
      </c>
      <c r="BH67" s="34">
        <f t="shared" si="39"/>
        <v>12.103219636718826</v>
      </c>
      <c r="BI67" s="34">
        <f t="shared" si="39"/>
        <v>12.103229557173785</v>
      </c>
      <c r="BJ67" s="34">
        <f t="shared" si="39"/>
        <v>12.103375884874826</v>
      </c>
      <c r="BK67" s="34">
        <f t="shared" si="39"/>
        <v>12.105532994529066</v>
      </c>
      <c r="BL67" s="34">
        <f t="shared" si="73"/>
        <v>12.137073558652915</v>
      </c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</row>
    <row r="68" spans="1:86" s="227" customFormat="1" ht="12.95" customHeight="1">
      <c r="A68" s="31" t="s">
        <v>95</v>
      </c>
      <c r="B68" s="232" t="s">
        <v>87</v>
      </c>
      <c r="C68" s="290">
        <v>52271.480600000003</v>
      </c>
      <c r="D68" s="290">
        <v>5.0000000000000001E-4</v>
      </c>
      <c r="E68" s="227">
        <f t="shared" si="42"/>
        <v>23375.0797452935</v>
      </c>
      <c r="F68" s="227">
        <f t="shared" si="43"/>
        <v>23375</v>
      </c>
      <c r="G68" s="227">
        <f t="shared" si="44"/>
        <v>2.6308249995054211E-2</v>
      </c>
      <c r="J68" s="227">
        <f t="shared" si="65"/>
        <v>2.6308249995054211E-2</v>
      </c>
      <c r="P68" s="292">
        <f t="shared" si="45"/>
        <v>5.1847993572208505E-3</v>
      </c>
      <c r="Q68" s="293">
        <f t="shared" si="46"/>
        <v>37252.980600000003</v>
      </c>
      <c r="R68" s="227">
        <f t="shared" si="47"/>
        <v>4.462001668489826E-4</v>
      </c>
      <c r="S68" s="227">
        <v>1</v>
      </c>
      <c r="T68" s="227">
        <f t="shared" si="48"/>
        <v>4.462001668489826E-4</v>
      </c>
      <c r="Z68" s="34">
        <f t="shared" si="49"/>
        <v>23375</v>
      </c>
      <c r="AA68" s="227">
        <f t="shared" si="50"/>
        <v>2.8731628114199766E-2</v>
      </c>
      <c r="AB68" s="227">
        <f t="shared" si="51"/>
        <v>2.7614212380752956E-3</v>
      </c>
      <c r="AC68" s="227">
        <f t="shared" si="52"/>
        <v>2.1123450637833361E-2</v>
      </c>
      <c r="AD68" s="227">
        <f t="shared" si="53"/>
        <v>-2.4233781191455549E-3</v>
      </c>
      <c r="AE68" s="227">
        <f t="shared" si="54"/>
        <v>5.872761508353447E-6</v>
      </c>
      <c r="AF68" s="34">
        <f t="shared" si="55"/>
        <v>2.1123450637833361E-2</v>
      </c>
      <c r="AG68" s="19"/>
      <c r="AH68" s="34">
        <f t="shared" si="56"/>
        <v>2.3546828756978916E-2</v>
      </c>
      <c r="AI68" s="34">
        <f t="shared" si="57"/>
        <v>1.0499054364779299</v>
      </c>
      <c r="AJ68" s="34">
        <f t="shared" si="58"/>
        <v>0.79977179145248734</v>
      </c>
      <c r="AK68" s="34">
        <f t="shared" si="59"/>
        <v>-5.7022081372463854E-2</v>
      </c>
      <c r="AL68" s="34">
        <f t="shared" si="60"/>
        <v>-0.85185593537640836</v>
      </c>
      <c r="AM68" s="34">
        <f t="shared" si="61"/>
        <v>-0.45370166721561211</v>
      </c>
      <c r="AN68" s="227">
        <f t="shared" si="64"/>
        <v>11.770212281733258</v>
      </c>
      <c r="AO68" s="227">
        <f t="shared" si="64"/>
        <v>11.770212282903019</v>
      </c>
      <c r="AP68" s="227">
        <f t="shared" si="64"/>
        <v>11.770212304972977</v>
      </c>
      <c r="AQ68" s="227">
        <f t="shared" si="64"/>
        <v>11.770212721368337</v>
      </c>
      <c r="AR68" s="227">
        <f t="shared" si="64"/>
        <v>11.770220577493898</v>
      </c>
      <c r="AS68" s="227">
        <f t="shared" si="64"/>
        <v>11.770368787091391</v>
      </c>
      <c r="AT68" s="227">
        <f t="shared" si="64"/>
        <v>11.773160643831709</v>
      </c>
      <c r="AU68" s="227">
        <f t="shared" si="62"/>
        <v>11.824367762066258</v>
      </c>
      <c r="AV68" s="34"/>
      <c r="AW68" s="34">
        <v>28000</v>
      </c>
      <c r="AX68" s="34">
        <f t="shared" si="66"/>
        <v>2.6414907124389105E-2</v>
      </c>
      <c r="AY68" s="34">
        <f t="shared" si="67"/>
        <v>-1.246944108513004E-3</v>
      </c>
      <c r="AZ68" s="34">
        <f t="shared" si="68"/>
        <v>2.7661851232902109E-2</v>
      </c>
      <c r="BA68" s="34">
        <f t="shared" si="69"/>
        <v>1.0680774041582941</v>
      </c>
      <c r="BB68" s="34">
        <f t="shared" si="70"/>
        <v>0.96972019510444318</v>
      </c>
      <c r="BC68" s="34">
        <f t="shared" si="71"/>
        <v>-0.45468842592697556</v>
      </c>
      <c r="BD68" s="34">
        <f t="shared" si="72"/>
        <v>-0.23134371113781296</v>
      </c>
      <c r="BE68" s="34">
        <f t="shared" si="39"/>
        <v>12.143908382720026</v>
      </c>
      <c r="BF68" s="34">
        <f t="shared" si="39"/>
        <v>12.143908385895514</v>
      </c>
      <c r="BG68" s="34">
        <f t="shared" si="39"/>
        <v>12.143908431840948</v>
      </c>
      <c r="BH68" s="34">
        <f t="shared" si="39"/>
        <v>12.143909096615003</v>
      </c>
      <c r="BI68" s="34">
        <f t="shared" si="39"/>
        <v>12.143918715057675</v>
      </c>
      <c r="BJ68" s="34">
        <f t="shared" si="39"/>
        <v>12.144057877146723</v>
      </c>
      <c r="BK68" s="34">
        <f t="shared" si="39"/>
        <v>12.146070338317184</v>
      </c>
      <c r="BL68" s="34">
        <f t="shared" si="73"/>
        <v>12.17497729157251</v>
      </c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</row>
    <row r="69" spans="1:86" s="227" customFormat="1" ht="12.95" customHeight="1">
      <c r="A69" s="298" t="s">
        <v>97</v>
      </c>
      <c r="B69" s="232" t="s">
        <v>87</v>
      </c>
      <c r="C69" s="290">
        <v>52311.068899999838</v>
      </c>
      <c r="D69" s="339">
        <v>2.9999999999999997E-4</v>
      </c>
      <c r="E69" s="227">
        <f t="shared" si="42"/>
        <v>23495.07938809762</v>
      </c>
      <c r="F69" s="227">
        <f t="shared" si="43"/>
        <v>23495</v>
      </c>
      <c r="G69" s="227">
        <f t="shared" si="44"/>
        <v>2.6190409836999606E-2</v>
      </c>
      <c r="K69" s="291">
        <f>G69</f>
        <v>2.6190409836999606E-2</v>
      </c>
      <c r="P69" s="292">
        <f t="shared" si="45"/>
        <v>5.0327969191759636E-3</v>
      </c>
      <c r="Q69" s="293">
        <f t="shared" si="46"/>
        <v>37292.568899999838</v>
      </c>
      <c r="R69" s="227">
        <f t="shared" si="47"/>
        <v>4.476445843804579E-4</v>
      </c>
      <c r="S69" s="227">
        <v>1</v>
      </c>
      <c r="T69" s="227">
        <f t="shared" si="48"/>
        <v>4.476445843804579E-4</v>
      </c>
      <c r="Z69" s="34">
        <f t="shared" si="49"/>
        <v>23495</v>
      </c>
      <c r="AA69" s="227">
        <f t="shared" si="50"/>
        <v>2.8729621362528605E-2</v>
      </c>
      <c r="AB69" s="227">
        <f t="shared" si="51"/>
        <v>2.4935853936469653E-3</v>
      </c>
      <c r="AC69" s="227">
        <f t="shared" si="52"/>
        <v>2.1157612917823643E-2</v>
      </c>
      <c r="AD69" s="227">
        <f t="shared" si="53"/>
        <v>-2.5392115255289983E-3</v>
      </c>
      <c r="AE69" s="227">
        <f t="shared" si="54"/>
        <v>6.4475951713793033E-6</v>
      </c>
      <c r="AF69" s="34">
        <f t="shared" si="55"/>
        <v>2.1157612917823643E-2</v>
      </c>
      <c r="AG69" s="19"/>
      <c r="AH69" s="34">
        <f t="shared" si="56"/>
        <v>2.3696824443352641E-2</v>
      </c>
      <c r="AI69" s="34">
        <f t="shared" si="57"/>
        <v>1.0504799377812757</v>
      </c>
      <c r="AJ69" s="34">
        <f t="shared" si="58"/>
        <v>0.80580584548725676</v>
      </c>
      <c r="AK69" s="34">
        <f t="shared" si="59"/>
        <v>-5.651412421420967E-2</v>
      </c>
      <c r="AL69" s="34">
        <f t="shared" si="60"/>
        <v>-0.84173587900824443</v>
      </c>
      <c r="AM69" s="34">
        <f t="shared" si="61"/>
        <v>-0.44761398031334793</v>
      </c>
      <c r="AN69" s="227">
        <f t="shared" si="64"/>
        <v>11.779820952370839</v>
      </c>
      <c r="AO69" s="227">
        <f t="shared" si="64"/>
        <v>11.779820953597527</v>
      </c>
      <c r="AP69" s="227">
        <f t="shared" si="64"/>
        <v>11.779820976517561</v>
      </c>
      <c r="AQ69" s="227">
        <f t="shared" si="64"/>
        <v>11.779821404766786</v>
      </c>
      <c r="AR69" s="227">
        <f t="shared" si="64"/>
        <v>11.779829406352391</v>
      </c>
      <c r="AS69" s="227">
        <f t="shared" si="64"/>
        <v>11.779978899488034</v>
      </c>
      <c r="AT69" s="227">
        <f t="shared" si="64"/>
        <v>11.78276776841691</v>
      </c>
      <c r="AU69" s="227">
        <f t="shared" si="62"/>
        <v>11.83346465796696</v>
      </c>
      <c r="AV69" s="34"/>
      <c r="AW69" s="34">
        <v>28500</v>
      </c>
      <c r="AX69" s="34">
        <f t="shared" si="66"/>
        <v>2.5872253716982836E-2</v>
      </c>
      <c r="AY69" s="34">
        <f t="shared" si="67"/>
        <v>-2.0127778587443468E-3</v>
      </c>
      <c r="AZ69" s="34">
        <f t="shared" si="68"/>
        <v>2.7885031575727182E-2</v>
      </c>
      <c r="BA69" s="34">
        <f t="shared" si="69"/>
        <v>1.0694654492282905</v>
      </c>
      <c r="BB69" s="34">
        <f t="shared" si="70"/>
        <v>0.97945789812779838</v>
      </c>
      <c r="BC69" s="34">
        <f t="shared" si="71"/>
        <v>-0.41101555327912992</v>
      </c>
      <c r="BD69" s="34">
        <f t="shared" si="72"/>
        <v>-0.20845060145685515</v>
      </c>
      <c r="BE69" s="34">
        <f t="shared" si="39"/>
        <v>12.184653171885785</v>
      </c>
      <c r="BF69" s="34">
        <f t="shared" si="39"/>
        <v>12.184653175078498</v>
      </c>
      <c r="BG69" s="34">
        <f t="shared" si="39"/>
        <v>12.184653220479507</v>
      </c>
      <c r="BH69" s="34">
        <f t="shared" si="39"/>
        <v>12.184653866090519</v>
      </c>
      <c r="BI69" s="34">
        <f t="shared" si="39"/>
        <v>12.184663046784268</v>
      </c>
      <c r="BJ69" s="34">
        <f t="shared" si="39"/>
        <v>12.184793594084454</v>
      </c>
      <c r="BK69" s="34">
        <f t="shared" si="39"/>
        <v>12.18664920754984</v>
      </c>
      <c r="BL69" s="34">
        <f t="shared" si="73"/>
        <v>12.212881024492104</v>
      </c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</row>
    <row r="70" spans="1:86" s="227" customFormat="1" ht="12.95" customHeight="1">
      <c r="A70" s="31" t="s">
        <v>95</v>
      </c>
      <c r="B70" s="232" t="s">
        <v>86</v>
      </c>
      <c r="C70" s="290">
        <v>52311.565600000002</v>
      </c>
      <c r="D70" s="290">
        <v>5.0000000000000001E-4</v>
      </c>
      <c r="E70" s="227">
        <f t="shared" si="42"/>
        <v>23496.584979966952</v>
      </c>
      <c r="F70" s="227">
        <f t="shared" si="43"/>
        <v>23496.5</v>
      </c>
      <c r="G70" s="227">
        <f t="shared" si="44"/>
        <v>2.8035186995111872E-2</v>
      </c>
      <c r="J70" s="227">
        <f>G70</f>
        <v>2.8035186995111872E-2</v>
      </c>
      <c r="P70" s="292">
        <f t="shared" si="45"/>
        <v>5.030891873882214E-3</v>
      </c>
      <c r="Q70" s="293">
        <f t="shared" si="46"/>
        <v>37293.065600000002</v>
      </c>
      <c r="R70" s="227">
        <f t="shared" si="47"/>
        <v>5.2919759402463072E-4</v>
      </c>
      <c r="S70" s="227">
        <v>1</v>
      </c>
      <c r="T70" s="227">
        <f t="shared" si="48"/>
        <v>5.2919759402463072E-4</v>
      </c>
      <c r="Z70" s="34">
        <f t="shared" si="49"/>
        <v>23496.5</v>
      </c>
      <c r="AA70" s="227">
        <f t="shared" si="50"/>
        <v>2.8729577961776769E-2</v>
      </c>
      <c r="AB70" s="227">
        <f t="shared" si="51"/>
        <v>4.3365009072173152E-3</v>
      </c>
      <c r="AC70" s="227">
        <f t="shared" si="52"/>
        <v>2.3004295121229659E-2</v>
      </c>
      <c r="AD70" s="227">
        <f t="shared" si="53"/>
        <v>-6.9439096666489702E-4</v>
      </c>
      <c r="AE70" s="227">
        <f t="shared" si="54"/>
        <v>4.8217881458581014E-7</v>
      </c>
      <c r="AF70" s="34">
        <f t="shared" si="55"/>
        <v>2.3004295121229659E-2</v>
      </c>
      <c r="AG70" s="19"/>
      <c r="AH70" s="34">
        <f t="shared" si="56"/>
        <v>2.3698686087894556E-2</v>
      </c>
      <c r="AI70" s="34">
        <f t="shared" si="57"/>
        <v>1.0504870904082388</v>
      </c>
      <c r="AJ70" s="34">
        <f t="shared" si="58"/>
        <v>0.80588079163709414</v>
      </c>
      <c r="AK70" s="34">
        <f t="shared" si="59"/>
        <v>-5.6507734481315998E-2</v>
      </c>
      <c r="AL70" s="34">
        <f t="shared" si="60"/>
        <v>-0.8416093083247308</v>
      </c>
      <c r="AM70" s="34">
        <f t="shared" si="61"/>
        <v>-0.44753801738139165</v>
      </c>
      <c r="AN70" s="227">
        <f t="shared" si="64"/>
        <v>11.779941093972086</v>
      </c>
      <c r="AO70" s="227">
        <f t="shared" si="64"/>
        <v>11.779941095199492</v>
      </c>
      <c r="AP70" s="227">
        <f t="shared" si="64"/>
        <v>11.779941118130202</v>
      </c>
      <c r="AQ70" s="227">
        <f t="shared" si="64"/>
        <v>11.779941546527299</v>
      </c>
      <c r="AR70" s="227">
        <f t="shared" si="64"/>
        <v>11.779949549912105</v>
      </c>
      <c r="AS70" s="227">
        <f t="shared" si="64"/>
        <v>11.780099058661095</v>
      </c>
      <c r="AT70" s="227">
        <f t="shared" si="64"/>
        <v>11.782887884111032</v>
      </c>
      <c r="AU70" s="227">
        <f t="shared" si="62"/>
        <v>11.833578369165719</v>
      </c>
      <c r="AV70" s="34"/>
      <c r="AW70" s="34">
        <v>29000</v>
      </c>
      <c r="AX70" s="34">
        <f t="shared" si="66"/>
        <v>2.526974588555116E-2</v>
      </c>
      <c r="AY70" s="34">
        <f t="shared" si="67"/>
        <v>-2.7923696835735756E-3</v>
      </c>
      <c r="AZ70" s="34">
        <f t="shared" si="68"/>
        <v>2.8062115569124736E-2</v>
      </c>
      <c r="BA70" s="34">
        <f t="shared" si="69"/>
        <v>1.0707239676761229</v>
      </c>
      <c r="BB70" s="34">
        <f t="shared" si="70"/>
        <v>0.98734492936574347</v>
      </c>
      <c r="BC70" s="34">
        <f t="shared" si="71"/>
        <v>-0.36723444403670258</v>
      </c>
      <c r="BD70" s="34">
        <f t="shared" si="72"/>
        <v>-0.1857090055272381</v>
      </c>
      <c r="BE70" s="34">
        <f t="shared" si="39"/>
        <v>12.225448420212066</v>
      </c>
      <c r="BF70" s="34">
        <f t="shared" si="39"/>
        <v>12.225448423347974</v>
      </c>
      <c r="BG70" s="34">
        <f t="shared" si="39"/>
        <v>12.225448467258873</v>
      </c>
      <c r="BH70" s="34">
        <f t="shared" ref="BH70:BK97" si="74">$BL70+$AB$7*SIN(BI70)</f>
        <v>12.225449082125923</v>
      </c>
      <c r="BI70" s="34">
        <f t="shared" si="74"/>
        <v>12.225457691853112</v>
      </c>
      <c r="BJ70" s="34">
        <f t="shared" si="74"/>
        <v>12.225578247514967</v>
      </c>
      <c r="BK70" s="34">
        <f t="shared" si="74"/>
        <v>12.227265759337619</v>
      </c>
      <c r="BL70" s="34">
        <f t="shared" si="73"/>
        <v>12.250784757411699</v>
      </c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</row>
    <row r="71" spans="1:86" s="227" customFormat="1" ht="12.95" customHeight="1">
      <c r="A71" s="298" t="s">
        <v>97</v>
      </c>
      <c r="B71" s="232" t="s">
        <v>87</v>
      </c>
      <c r="C71" s="290">
        <v>52313.048400000203</v>
      </c>
      <c r="D71" s="339">
        <v>2.0000000000000001E-4</v>
      </c>
      <c r="E71" s="227">
        <f t="shared" si="42"/>
        <v>23501.079627890071</v>
      </c>
      <c r="F71" s="227">
        <f t="shared" si="43"/>
        <v>23501</v>
      </c>
      <c r="G71" s="227">
        <f t="shared" si="44"/>
        <v>2.6269518202752806E-2</v>
      </c>
      <c r="K71" s="291">
        <f>G71</f>
        <v>2.6269518202752806E-2</v>
      </c>
      <c r="P71" s="292">
        <f t="shared" si="45"/>
        <v>5.0251759950649278E-3</v>
      </c>
      <c r="Q71" s="293">
        <f t="shared" si="46"/>
        <v>37294.548400000203</v>
      </c>
      <c r="R71" s="227">
        <f t="shared" si="47"/>
        <v>4.5132207583734876E-4</v>
      </c>
      <c r="S71" s="227">
        <v>1</v>
      </c>
      <c r="T71" s="227">
        <f t="shared" si="48"/>
        <v>4.5132207583734876E-4</v>
      </c>
      <c r="Z71" s="34">
        <f t="shared" si="49"/>
        <v>23501</v>
      </c>
      <c r="AA71" s="227">
        <f t="shared" si="50"/>
        <v>2.8729445040072764E-2</v>
      </c>
      <c r="AB71" s="227">
        <f t="shared" si="51"/>
        <v>2.5652491577449685E-3</v>
      </c>
      <c r="AC71" s="227">
        <f t="shared" si="52"/>
        <v>2.124434220768788E-2</v>
      </c>
      <c r="AD71" s="227">
        <f t="shared" si="53"/>
        <v>-2.4599268373199576E-3</v>
      </c>
      <c r="AE71" s="227">
        <f t="shared" si="54"/>
        <v>6.0512400449669692E-6</v>
      </c>
      <c r="AF71" s="34">
        <f t="shared" si="55"/>
        <v>2.124434220768788E-2</v>
      </c>
      <c r="AG71" s="19"/>
      <c r="AH71" s="34">
        <f t="shared" si="56"/>
        <v>2.3704269045007838E-2</v>
      </c>
      <c r="AI71" s="34">
        <f t="shared" si="57"/>
        <v>1.0505085440199318</v>
      </c>
      <c r="AJ71" s="34">
        <f t="shared" si="58"/>
        <v>0.8061055587391216</v>
      </c>
      <c r="AK71" s="34">
        <f t="shared" si="59"/>
        <v>-5.6488559329188191E-2</v>
      </c>
      <c r="AL71" s="34">
        <f t="shared" si="60"/>
        <v>-0.84122958593363995</v>
      </c>
      <c r="AM71" s="34">
        <f t="shared" si="61"/>
        <v>-0.44731014819372888</v>
      </c>
      <c r="AN71" s="227">
        <f t="shared" ref="AN71:AT80" si="75">$AU71+$AB$7*SIN(AO71)</f>
        <v>11.780301523683441</v>
      </c>
      <c r="AO71" s="227">
        <f t="shared" si="75"/>
        <v>11.780301524913005</v>
      </c>
      <c r="AP71" s="227">
        <f t="shared" si="75"/>
        <v>11.780301547875748</v>
      </c>
      <c r="AQ71" s="227">
        <f t="shared" si="75"/>
        <v>11.780301976716409</v>
      </c>
      <c r="AR71" s="227">
        <f t="shared" si="75"/>
        <v>11.780309985495927</v>
      </c>
      <c r="AS71" s="227">
        <f t="shared" si="75"/>
        <v>11.780459541020614</v>
      </c>
      <c r="AT71" s="227">
        <f t="shared" si="75"/>
        <v>11.783248235125702</v>
      </c>
      <c r="AU71" s="227">
        <f t="shared" si="62"/>
        <v>11.833919502761995</v>
      </c>
      <c r="AV71" s="34"/>
      <c r="AW71" s="34">
        <v>29500</v>
      </c>
      <c r="AX71" s="34">
        <f t="shared" si="66"/>
        <v>2.4606903153542154E-2</v>
      </c>
      <c r="AY71" s="34">
        <f t="shared" si="67"/>
        <v>-3.5857195830006905E-3</v>
      </c>
      <c r="AZ71" s="34">
        <f t="shared" si="68"/>
        <v>2.8192622736542845E-2</v>
      </c>
      <c r="BA71" s="34">
        <f t="shared" si="69"/>
        <v>1.0718492956238752</v>
      </c>
      <c r="BB71" s="34">
        <f t="shared" si="70"/>
        <v>0.99335097619766</v>
      </c>
      <c r="BC71" s="34">
        <f t="shared" si="71"/>
        <v>-0.32335572764247522</v>
      </c>
      <c r="BD71" s="34">
        <f t="shared" si="72"/>
        <v>-0.16310148961269999</v>
      </c>
      <c r="BE71" s="34">
        <f t="shared" ref="BE71:BG97" si="76">$BL71+$AB$7*SIN(BF71)</f>
        <v>12.266289118877278</v>
      </c>
      <c r="BF71" s="34">
        <f t="shared" si="76"/>
        <v>12.266289121878257</v>
      </c>
      <c r="BG71" s="34">
        <f t="shared" si="76"/>
        <v>12.266289163333871</v>
      </c>
      <c r="BH71" s="34">
        <f t="shared" si="74"/>
        <v>12.266289736002813</v>
      </c>
      <c r="BI71" s="34">
        <f t="shared" si="74"/>
        <v>12.266297646856371</v>
      </c>
      <c r="BJ71" s="34">
        <f t="shared" si="74"/>
        <v>12.266406925472619</v>
      </c>
      <c r="BK71" s="34">
        <f t="shared" si="74"/>
        <v>12.267916096659334</v>
      </c>
      <c r="BL71" s="34">
        <f t="shared" si="73"/>
        <v>12.288688490331294</v>
      </c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</row>
    <row r="72" spans="1:86" s="227" customFormat="1" ht="12.95" customHeight="1">
      <c r="A72" s="298" t="s">
        <v>97</v>
      </c>
      <c r="B72" s="232" t="s">
        <v>87</v>
      </c>
      <c r="C72" s="290">
        <v>52314.038699999917</v>
      </c>
      <c r="D72" s="339">
        <v>2.9999999999999997E-4</v>
      </c>
      <c r="E72" s="227">
        <f t="shared" si="42"/>
        <v>23504.081414939152</v>
      </c>
      <c r="F72" s="227">
        <f t="shared" si="43"/>
        <v>23504</v>
      </c>
      <c r="G72" s="227">
        <f t="shared" si="44"/>
        <v>2.6859071913349908E-2</v>
      </c>
      <c r="K72" s="291">
        <f>G72</f>
        <v>2.6859071913349908E-2</v>
      </c>
      <c r="P72" s="292">
        <f t="shared" si="45"/>
        <v>5.0213647900733821E-3</v>
      </c>
      <c r="Q72" s="293">
        <f t="shared" si="46"/>
        <v>37295.538699999917</v>
      </c>
      <c r="R72" s="227">
        <f t="shared" si="47"/>
        <v>4.7688545240200233E-4</v>
      </c>
      <c r="S72" s="227">
        <v>1</v>
      </c>
      <c r="T72" s="227">
        <f t="shared" si="48"/>
        <v>4.7688545240200233E-4</v>
      </c>
      <c r="Z72" s="34">
        <f t="shared" si="49"/>
        <v>23504</v>
      </c>
      <c r="AA72" s="227">
        <f t="shared" si="50"/>
        <v>2.8729354159045328E-2</v>
      </c>
      <c r="AB72" s="227">
        <f t="shared" si="51"/>
        <v>3.1510825443779623E-3</v>
      </c>
      <c r="AC72" s="227">
        <f t="shared" si="52"/>
        <v>2.1837707123276526E-2</v>
      </c>
      <c r="AD72" s="227">
        <f t="shared" si="53"/>
        <v>-1.8702822456954198E-3</v>
      </c>
      <c r="AE72" s="227">
        <f t="shared" si="54"/>
        <v>3.4979556785635024E-6</v>
      </c>
      <c r="AF72" s="34">
        <f t="shared" si="55"/>
        <v>2.1837707123276526E-2</v>
      </c>
      <c r="AG72" s="19"/>
      <c r="AH72" s="34">
        <f t="shared" si="56"/>
        <v>2.3707989368971946E-2</v>
      </c>
      <c r="AI72" s="34">
        <f t="shared" si="57"/>
        <v>1.050522842868497</v>
      </c>
      <c r="AJ72" s="34">
        <f t="shared" si="58"/>
        <v>0.80625534399934873</v>
      </c>
      <c r="AK72" s="34">
        <f t="shared" si="59"/>
        <v>-5.6475770933965559E-2</v>
      </c>
      <c r="AL72" s="34">
        <f t="shared" si="60"/>
        <v>-0.84097642905738212</v>
      </c>
      <c r="AM72" s="34">
        <f t="shared" si="61"/>
        <v>-0.44715825173510082</v>
      </c>
      <c r="AN72" s="227">
        <f t="shared" si="75"/>
        <v>11.780541814246545</v>
      </c>
      <c r="AO72" s="227">
        <f t="shared" si="75"/>
        <v>11.78054181547755</v>
      </c>
      <c r="AP72" s="227">
        <f t="shared" si="75"/>
        <v>11.780541838461652</v>
      </c>
      <c r="AQ72" s="227">
        <f t="shared" si="75"/>
        <v>11.78054226759798</v>
      </c>
      <c r="AR72" s="227">
        <f t="shared" si="75"/>
        <v>11.780550279971557</v>
      </c>
      <c r="AS72" s="227">
        <f t="shared" si="75"/>
        <v>11.780699866626389</v>
      </c>
      <c r="AT72" s="227">
        <f t="shared" si="75"/>
        <v>11.783488472411578</v>
      </c>
      <c r="AU72" s="227">
        <f t="shared" si="62"/>
        <v>11.834146925159514</v>
      </c>
      <c r="AV72" s="34"/>
      <c r="AW72" s="34">
        <v>30000</v>
      </c>
      <c r="AX72" s="34">
        <f t="shared" si="66"/>
        <v>2.3883343764331051E-2</v>
      </c>
      <c r="AY72" s="34">
        <f t="shared" si="67"/>
        <v>-4.3928275570256914E-3</v>
      </c>
      <c r="AZ72" s="34">
        <f t="shared" si="68"/>
        <v>2.8276171321356743E-2</v>
      </c>
      <c r="BA72" s="34">
        <f t="shared" si="69"/>
        <v>1.0728381224207981</v>
      </c>
      <c r="BB72" s="34">
        <f t="shared" si="70"/>
        <v>0.99745097682778228</v>
      </c>
      <c r="BC72" s="34">
        <f t="shared" si="71"/>
        <v>-0.27939035556064767</v>
      </c>
      <c r="BD72" s="34">
        <f t="shared" si="72"/>
        <v>-0.1406110326642489</v>
      </c>
      <c r="BE72" s="34">
        <f t="shared" si="76"/>
        <v>12.307170126045705</v>
      </c>
      <c r="BF72" s="34">
        <f t="shared" si="76"/>
        <v>12.307170128832546</v>
      </c>
      <c r="BG72" s="34">
        <f t="shared" si="76"/>
        <v>12.307170166880695</v>
      </c>
      <c r="BH72" s="34">
        <f t="shared" si="74"/>
        <v>12.307170686343669</v>
      </c>
      <c r="BI72" s="34">
        <f t="shared" si="74"/>
        <v>12.307177778449896</v>
      </c>
      <c r="BJ72" s="34">
        <f t="shared" si="74"/>
        <v>12.307274603980115</v>
      </c>
      <c r="BK72" s="34">
        <f t="shared" si="74"/>
        <v>12.308596273960159</v>
      </c>
      <c r="BL72" s="34">
        <f t="shared" si="73"/>
        <v>12.326592223250888</v>
      </c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</row>
    <row r="73" spans="1:86" s="227" customFormat="1" ht="12.95" customHeight="1">
      <c r="A73" s="31" t="s">
        <v>95</v>
      </c>
      <c r="B73" s="232" t="s">
        <v>86</v>
      </c>
      <c r="C73" s="290">
        <v>52547.449099999998</v>
      </c>
      <c r="D73" s="290">
        <v>2.0000000000000001E-4</v>
      </c>
      <c r="E73" s="227">
        <f t="shared" si="42"/>
        <v>24211.592589374348</v>
      </c>
      <c r="F73" s="227">
        <f t="shared" si="43"/>
        <v>24211.5</v>
      </c>
      <c r="G73" s="227">
        <f t="shared" si="44"/>
        <v>3.0545556990546174E-2</v>
      </c>
      <c r="J73" s="227">
        <f>G73</f>
        <v>3.0545556990546174E-2</v>
      </c>
      <c r="P73" s="292">
        <f t="shared" si="45"/>
        <v>4.1087238294177965E-3</v>
      </c>
      <c r="Q73" s="293">
        <f t="shared" si="46"/>
        <v>37528.949099999998</v>
      </c>
      <c r="R73" s="227">
        <f t="shared" si="47"/>
        <v>6.9890614758933703E-4</v>
      </c>
      <c r="S73" s="227">
        <v>1</v>
      </c>
      <c r="T73" s="227">
        <f t="shared" si="48"/>
        <v>6.9890614758933703E-4</v>
      </c>
      <c r="Z73" s="34">
        <f t="shared" si="49"/>
        <v>24211.5</v>
      </c>
      <c r="AA73" s="227">
        <f t="shared" si="50"/>
        <v>2.8656670091114052E-2</v>
      </c>
      <c r="AB73" s="227">
        <f t="shared" si="51"/>
        <v>5.9976107288499184E-3</v>
      </c>
      <c r="AC73" s="227">
        <f t="shared" si="52"/>
        <v>2.6436833161128378E-2</v>
      </c>
      <c r="AD73" s="227">
        <f t="shared" si="53"/>
        <v>1.8888868994321219E-3</v>
      </c>
      <c r="AE73" s="227">
        <f t="shared" si="54"/>
        <v>3.5678937188462948E-6</v>
      </c>
      <c r="AF73" s="34">
        <f t="shared" si="55"/>
        <v>2.6436833161128378E-2</v>
      </c>
      <c r="AG73" s="19"/>
      <c r="AH73" s="34">
        <f t="shared" si="56"/>
        <v>2.4547946261696256E-2</v>
      </c>
      <c r="AI73" s="34">
        <f t="shared" si="57"/>
        <v>1.0538127017368271</v>
      </c>
      <c r="AJ73" s="34">
        <f t="shared" si="58"/>
        <v>0.84021894089252924</v>
      </c>
      <c r="AK73" s="34">
        <f t="shared" si="59"/>
        <v>-5.3350384121240255E-2</v>
      </c>
      <c r="AL73" s="34">
        <f t="shared" si="60"/>
        <v>-0.78108404026712253</v>
      </c>
      <c r="AM73" s="34">
        <f t="shared" si="61"/>
        <v>-0.41168865959766732</v>
      </c>
      <c r="AN73" s="227">
        <f t="shared" si="75"/>
        <v>11.837300206676941</v>
      </c>
      <c r="AO73" s="227">
        <f t="shared" si="75"/>
        <v>11.837300208265038</v>
      </c>
      <c r="AP73" s="227">
        <f t="shared" si="75"/>
        <v>11.837300236366168</v>
      </c>
      <c r="AQ73" s="227">
        <f t="shared" si="75"/>
        <v>11.83730073361132</v>
      </c>
      <c r="AR73" s="227">
        <f t="shared" si="75"/>
        <v>11.837309532250483</v>
      </c>
      <c r="AS73" s="227">
        <f t="shared" si="75"/>
        <v>11.837465210721914</v>
      </c>
      <c r="AT73" s="227">
        <f t="shared" si="75"/>
        <v>11.840216136593751</v>
      </c>
      <c r="AU73" s="227">
        <f t="shared" si="62"/>
        <v>11.88778070724074</v>
      </c>
      <c r="AV73" s="34"/>
      <c r="AW73" s="34">
        <v>30500</v>
      </c>
      <c r="AX73" s="34">
        <f t="shared" si="66"/>
        <v>2.3098786964128655E-2</v>
      </c>
      <c r="AY73" s="34">
        <f t="shared" si="67"/>
        <v>-5.2136936056485783E-3</v>
      </c>
      <c r="AZ73" s="34">
        <f t="shared" si="68"/>
        <v>2.8312480569777233E-2</v>
      </c>
      <c r="BA73" s="34">
        <f t="shared" si="69"/>
        <v>1.0736875119356997</v>
      </c>
      <c r="BB73" s="34">
        <f t="shared" si="70"/>
        <v>0.99962532827686523</v>
      </c>
      <c r="BC73" s="34">
        <f t="shared" si="71"/>
        <v>-0.23534956842824001</v>
      </c>
      <c r="BD73" s="34">
        <f t="shared" si="72"/>
        <v>-0.11822097120935462</v>
      </c>
      <c r="BE73" s="34">
        <f t="shared" si="76"/>
        <v>12.348086180745582</v>
      </c>
      <c r="BF73" s="34">
        <f t="shared" si="76"/>
        <v>12.348086183241231</v>
      </c>
      <c r="BG73" s="34">
        <f t="shared" si="76"/>
        <v>12.348086216976101</v>
      </c>
      <c r="BH73" s="34">
        <f t="shared" si="74"/>
        <v>12.348086672986403</v>
      </c>
      <c r="BI73" s="34">
        <f t="shared" si="74"/>
        <v>12.348092837090041</v>
      </c>
      <c r="BJ73" s="34">
        <f t="shared" si="74"/>
        <v>12.348176159323192</v>
      </c>
      <c r="BK73" s="34">
        <f t="shared" si="74"/>
        <v>12.349302302819522</v>
      </c>
      <c r="BL73" s="34">
        <f t="shared" si="73"/>
        <v>12.364495956170483</v>
      </c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</row>
    <row r="74" spans="1:86" s="227" customFormat="1" ht="12.95" customHeight="1">
      <c r="A74" s="31" t="s">
        <v>95</v>
      </c>
      <c r="B74" s="232" t="s">
        <v>87</v>
      </c>
      <c r="C74" s="290">
        <v>52547.6132</v>
      </c>
      <c r="D74" s="290">
        <v>8.0000000000000004E-4</v>
      </c>
      <c r="E74" s="227">
        <f t="shared" si="42"/>
        <v>24212.090007585903</v>
      </c>
      <c r="F74" s="227">
        <f t="shared" si="43"/>
        <v>24212</v>
      </c>
      <c r="G74" s="227">
        <f t="shared" si="44"/>
        <v>2.9693815995415207E-2</v>
      </c>
      <c r="J74" s="227">
        <f>G74</f>
        <v>2.9693815995415207E-2</v>
      </c>
      <c r="P74" s="292">
        <f t="shared" si="45"/>
        <v>4.1080691127570561E-3</v>
      </c>
      <c r="Q74" s="293">
        <f t="shared" si="46"/>
        <v>37529.1132</v>
      </c>
      <c r="R74" s="227">
        <f t="shared" si="47"/>
        <v>6.5463044354345133E-4</v>
      </c>
      <c r="S74" s="227">
        <v>1</v>
      </c>
      <c r="T74" s="227">
        <f t="shared" si="48"/>
        <v>6.5463044354345133E-4</v>
      </c>
      <c r="Z74" s="34">
        <f t="shared" si="49"/>
        <v>24212</v>
      </c>
      <c r="AA74" s="227">
        <f t="shared" si="50"/>
        <v>2.8656582209029682E-2</v>
      </c>
      <c r="AB74" s="227">
        <f t="shared" si="51"/>
        <v>5.1453028991425807E-3</v>
      </c>
      <c r="AC74" s="227">
        <f t="shared" si="52"/>
        <v>2.5585746882658151E-2</v>
      </c>
      <c r="AD74" s="227">
        <f t="shared" si="53"/>
        <v>1.0372337863855247E-3</v>
      </c>
      <c r="AE74" s="227">
        <f t="shared" si="54"/>
        <v>1.0758539276196522E-6</v>
      </c>
      <c r="AF74" s="34">
        <f t="shared" si="55"/>
        <v>2.5585746882658151E-2</v>
      </c>
      <c r="AG74" s="19"/>
      <c r="AH74" s="34">
        <f t="shared" si="56"/>
        <v>2.4548513096272626E-2</v>
      </c>
      <c r="AI74" s="34">
        <f t="shared" si="57"/>
        <v>1.0538149668475214</v>
      </c>
      <c r="AJ74" s="34">
        <f t="shared" si="58"/>
        <v>0.84024196295824616</v>
      </c>
      <c r="AK74" s="34">
        <f t="shared" si="59"/>
        <v>-5.3348099284798986E-2</v>
      </c>
      <c r="AL74" s="34">
        <f t="shared" si="60"/>
        <v>-0.78104158210611285</v>
      </c>
      <c r="AM74" s="34">
        <f t="shared" si="61"/>
        <v>-0.41166383266924506</v>
      </c>
      <c r="AN74" s="227">
        <f t="shared" si="75"/>
        <v>11.837340380837942</v>
      </c>
      <c r="AO74" s="227">
        <f t="shared" si="75"/>
        <v>11.837340382426301</v>
      </c>
      <c r="AP74" s="227">
        <f t="shared" si="75"/>
        <v>11.83734041053107</v>
      </c>
      <c r="AQ74" s="227">
        <f t="shared" si="75"/>
        <v>11.837340907822739</v>
      </c>
      <c r="AR74" s="227">
        <f t="shared" si="75"/>
        <v>11.837349706969272</v>
      </c>
      <c r="AS74" s="227">
        <f t="shared" si="75"/>
        <v>11.83750538883195</v>
      </c>
      <c r="AT74" s="227">
        <f t="shared" si="75"/>
        <v>11.840256276257668</v>
      </c>
      <c r="AU74" s="227">
        <f t="shared" si="62"/>
        <v>11.88781861097366</v>
      </c>
      <c r="AV74" s="34"/>
      <c r="AW74" s="34">
        <v>31000</v>
      </c>
      <c r="AX74" s="34">
        <f t="shared" si="66"/>
        <v>2.225305486898109E-2</v>
      </c>
      <c r="AY74" s="34">
        <f t="shared" si="67"/>
        <v>-6.0483177288693547E-3</v>
      </c>
      <c r="AZ74" s="34">
        <f t="shared" si="68"/>
        <v>2.8301372597850444E-2</v>
      </c>
      <c r="BA74" s="34">
        <f t="shared" si="69"/>
        <v>1.0743949217587347</v>
      </c>
      <c r="BB74" s="34">
        <f t="shared" si="70"/>
        <v>0.9998600615933102</v>
      </c>
      <c r="BC74" s="34">
        <f t="shared" si="71"/>
        <v>-0.19124486106933997</v>
      </c>
      <c r="BD74" s="34">
        <f t="shared" si="72"/>
        <v>-9.5914946433882639E-2</v>
      </c>
      <c r="BE74" s="34">
        <f t="shared" si="76"/>
        <v>12.389031917519844</v>
      </c>
      <c r="BF74" s="34">
        <f t="shared" si="76"/>
        <v>12.38903191965268</v>
      </c>
      <c r="BG74" s="34">
        <f t="shared" si="76"/>
        <v>12.389031948247576</v>
      </c>
      <c r="BH74" s="34">
        <f t="shared" si="74"/>
        <v>12.38903233161869</v>
      </c>
      <c r="BI74" s="34">
        <f t="shared" si="74"/>
        <v>12.389037471464203</v>
      </c>
      <c r="BJ74" s="34">
        <f t="shared" si="74"/>
        <v>12.38910638076789</v>
      </c>
      <c r="BK74" s="34">
        <f t="shared" si="74"/>
        <v>12.390030157680537</v>
      </c>
      <c r="BL74" s="34">
        <f t="shared" si="73"/>
        <v>12.402399689090078</v>
      </c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</row>
    <row r="75" spans="1:86" s="227" customFormat="1" ht="12.95" customHeight="1">
      <c r="A75" s="31" t="s">
        <v>95</v>
      </c>
      <c r="B75" s="232" t="s">
        <v>87</v>
      </c>
      <c r="C75" s="290">
        <v>52548.273000000001</v>
      </c>
      <c r="D75" s="290">
        <v>5.0000000000000001E-4</v>
      </c>
      <c r="E75" s="227">
        <f t="shared" si="42"/>
        <v>24214.089986476702</v>
      </c>
      <c r="F75" s="227">
        <f t="shared" si="43"/>
        <v>24214</v>
      </c>
      <c r="G75" s="227">
        <f t="shared" si="44"/>
        <v>2.9686851994483732E-2</v>
      </c>
      <c r="J75" s="227">
        <f>G75</f>
        <v>2.9686851994483732E-2</v>
      </c>
      <c r="P75" s="292">
        <f t="shared" si="45"/>
        <v>4.1054501085333421E-3</v>
      </c>
      <c r="Q75" s="293">
        <f t="shared" si="46"/>
        <v>37529.773000000001</v>
      </c>
      <c r="R75" s="227">
        <f t="shared" si="47"/>
        <v>6.544081224505061E-4</v>
      </c>
      <c r="S75" s="227">
        <v>1</v>
      </c>
      <c r="T75" s="227">
        <f t="shared" si="48"/>
        <v>6.544081224505061E-4</v>
      </c>
      <c r="Z75" s="34">
        <f t="shared" si="49"/>
        <v>24214</v>
      </c>
      <c r="AA75" s="227">
        <f t="shared" si="50"/>
        <v>2.8656230159077551E-2</v>
      </c>
      <c r="AB75" s="227">
        <f t="shared" si="51"/>
        <v>5.1360719439395228E-3</v>
      </c>
      <c r="AC75" s="227">
        <f t="shared" si="52"/>
        <v>2.558140188595039E-2</v>
      </c>
      <c r="AD75" s="227">
        <f t="shared" si="53"/>
        <v>1.0306218354061807E-3</v>
      </c>
      <c r="AE75" s="227">
        <f t="shared" si="54"/>
        <v>1.0621813676160045E-6</v>
      </c>
      <c r="AF75" s="34">
        <f t="shared" si="55"/>
        <v>2.558140188595039E-2</v>
      </c>
      <c r="AG75" s="19"/>
      <c r="AH75" s="34">
        <f t="shared" si="56"/>
        <v>2.4550780050544209E-2</v>
      </c>
      <c r="AI75" s="34">
        <f t="shared" si="57"/>
        <v>1.0538240264174881</v>
      </c>
      <c r="AJ75" s="34">
        <f t="shared" si="58"/>
        <v>0.84033403706303889</v>
      </c>
      <c r="AK75" s="34">
        <f t="shared" si="59"/>
        <v>-5.3338958879135812E-2</v>
      </c>
      <c r="AL75" s="34">
        <f t="shared" si="60"/>
        <v>-0.78087174763694966</v>
      </c>
      <c r="AM75" s="34">
        <f t="shared" si="61"/>
        <v>-0.41156452822741585</v>
      </c>
      <c r="AN75" s="227">
        <f t="shared" si="75"/>
        <v>11.837501078345412</v>
      </c>
      <c r="AO75" s="227">
        <f t="shared" si="75"/>
        <v>11.837501079934821</v>
      </c>
      <c r="AP75" s="227">
        <f t="shared" si="75"/>
        <v>11.837501108054139</v>
      </c>
      <c r="AQ75" s="227">
        <f t="shared" si="75"/>
        <v>11.83750160553185</v>
      </c>
      <c r="AR75" s="227">
        <f t="shared" si="75"/>
        <v>11.837510406707114</v>
      </c>
      <c r="AS75" s="227">
        <f t="shared" si="75"/>
        <v>11.837666102121414</v>
      </c>
      <c r="AT75" s="227">
        <f t="shared" si="75"/>
        <v>11.840416835596619</v>
      </c>
      <c r="AU75" s="227">
        <f t="shared" si="62"/>
        <v>11.887970225905338</v>
      </c>
      <c r="AV75" s="34"/>
      <c r="AW75" s="34">
        <v>31500</v>
      </c>
      <c r="AX75" s="34">
        <f t="shared" si="66"/>
        <v>2.1346073894286111E-2</v>
      </c>
      <c r="AY75" s="34">
        <f t="shared" si="67"/>
        <v>-6.8966999266880137E-3</v>
      </c>
      <c r="AZ75" s="34">
        <f t="shared" si="68"/>
        <v>2.8242773820974124E-2</v>
      </c>
      <c r="BA75" s="34">
        <f t="shared" si="69"/>
        <v>1.0749582200689307</v>
      </c>
      <c r="BB75" s="34">
        <f t="shared" si="70"/>
        <v>0.99814698171884519</v>
      </c>
      <c r="BC75" s="34">
        <f t="shared" si="71"/>
        <v>-0.1470879455991691</v>
      </c>
      <c r="BD75" s="34">
        <f t="shared" si="72"/>
        <v>-7.3676853110938745E-2</v>
      </c>
      <c r="BE75" s="34">
        <f t="shared" si="76"/>
        <v>12.430001881765104</v>
      </c>
      <c r="BF75" s="34">
        <f t="shared" si="76"/>
        <v>12.430001883472109</v>
      </c>
      <c r="BG75" s="34">
        <f t="shared" si="76"/>
        <v>12.430001906210057</v>
      </c>
      <c r="BH75" s="34">
        <f t="shared" si="74"/>
        <v>12.430002209088066</v>
      </c>
      <c r="BI75" s="34">
        <f t="shared" si="74"/>
        <v>12.430006243535768</v>
      </c>
      <c r="BJ75" s="34">
        <f t="shared" si="74"/>
        <v>12.430059983666247</v>
      </c>
      <c r="BK75" s="34">
        <f t="shared" si="74"/>
        <v>12.430775781632812</v>
      </c>
      <c r="BL75" s="34">
        <f t="shared" si="73"/>
        <v>12.440303422009672</v>
      </c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</row>
    <row r="76" spans="1:86" s="227" customFormat="1" ht="12.95" customHeight="1">
      <c r="A76" s="31" t="s">
        <v>95</v>
      </c>
      <c r="B76" s="232" t="s">
        <v>87</v>
      </c>
      <c r="C76" s="290">
        <v>52548.602099999996</v>
      </c>
      <c r="D76" s="290">
        <v>2.9999999999999997E-4</v>
      </c>
      <c r="E76" s="227">
        <f t="shared" si="42"/>
        <v>24215.087550970413</v>
      </c>
      <c r="F76" s="227">
        <f t="shared" si="43"/>
        <v>24215</v>
      </c>
      <c r="G76" s="227">
        <f t="shared" si="44"/>
        <v>2.88833699960378E-2</v>
      </c>
      <c r="J76" s="227">
        <f>G76</f>
        <v>2.88833699960378E-2</v>
      </c>
      <c r="P76" s="292">
        <f t="shared" si="45"/>
        <v>4.1041405238730413E-3</v>
      </c>
      <c r="Q76" s="293">
        <f t="shared" si="46"/>
        <v>37530.102099999996</v>
      </c>
      <c r="R76" s="227">
        <f t="shared" si="47"/>
        <v>6.1401021323419854E-4</v>
      </c>
      <c r="S76" s="227">
        <v>1</v>
      </c>
      <c r="T76" s="227">
        <f t="shared" si="48"/>
        <v>6.1401021323419854E-4</v>
      </c>
      <c r="Z76" s="34">
        <f t="shared" si="49"/>
        <v>24215</v>
      </c>
      <c r="AA76" s="227">
        <f t="shared" si="50"/>
        <v>2.865605382111569E-2</v>
      </c>
      <c r="AB76" s="227">
        <f t="shared" si="51"/>
        <v>4.3314566987951511E-3</v>
      </c>
      <c r="AC76" s="227">
        <f t="shared" si="52"/>
        <v>2.4779229472164759E-2</v>
      </c>
      <c r="AD76" s="227">
        <f t="shared" si="53"/>
        <v>2.2731617492210976E-4</v>
      </c>
      <c r="AE76" s="227">
        <f t="shared" si="54"/>
        <v>5.1672643381219199E-8</v>
      </c>
      <c r="AF76" s="34">
        <f t="shared" si="55"/>
        <v>2.4779229472164759E-2</v>
      </c>
      <c r="AG76" s="19"/>
      <c r="AH76" s="34">
        <f t="shared" si="56"/>
        <v>2.4551913297242649E-2</v>
      </c>
      <c r="AI76" s="34">
        <f t="shared" si="57"/>
        <v>1.0538285556787055</v>
      </c>
      <c r="AJ76" s="34">
        <f t="shared" si="58"/>
        <v>0.84038006561968648</v>
      </c>
      <c r="AK76" s="34">
        <f t="shared" si="59"/>
        <v>-5.3334388040410553E-2</v>
      </c>
      <c r="AL76" s="34">
        <f t="shared" si="60"/>
        <v>-0.78078682930738419</v>
      </c>
      <c r="AM76" s="34">
        <f t="shared" si="61"/>
        <v>-0.41151487796927588</v>
      </c>
      <c r="AN76" s="227">
        <f t="shared" si="75"/>
        <v>11.837581427617183</v>
      </c>
      <c r="AO76" s="227">
        <f t="shared" si="75"/>
        <v>11.837581429207118</v>
      </c>
      <c r="AP76" s="227">
        <f t="shared" si="75"/>
        <v>11.837581457333711</v>
      </c>
      <c r="AQ76" s="227">
        <f t="shared" si="75"/>
        <v>11.837581954904424</v>
      </c>
      <c r="AR76" s="227">
        <f t="shared" si="75"/>
        <v>11.837590757093601</v>
      </c>
      <c r="AS76" s="227">
        <f t="shared" si="75"/>
        <v>11.837746459275696</v>
      </c>
      <c r="AT76" s="227">
        <f t="shared" si="75"/>
        <v>11.840497115676026</v>
      </c>
      <c r="AU76" s="227">
        <f t="shared" si="62"/>
        <v>11.888046033371177</v>
      </c>
      <c r="AV76" s="34"/>
      <c r="AW76" s="34">
        <v>32000</v>
      </c>
      <c r="AX76" s="34">
        <f t="shared" si="66"/>
        <v>2.0377875729118828E-2</v>
      </c>
      <c r="AY76" s="34">
        <f t="shared" si="67"/>
        <v>-7.7588401991045622E-3</v>
      </c>
      <c r="AZ76" s="34">
        <f t="shared" si="68"/>
        <v>2.813671592822339E-2</v>
      </c>
      <c r="BA76" s="34">
        <f t="shared" si="69"/>
        <v>1.0753756999492126</v>
      </c>
      <c r="BB76" s="34">
        <f t="shared" si="70"/>
        <v>0.99448376985845399</v>
      </c>
      <c r="BC76" s="34">
        <f t="shared" si="71"/>
        <v>-0.10289071287192432</v>
      </c>
      <c r="BD76" s="34">
        <f t="shared" si="72"/>
        <v>-5.14907900518548E-2</v>
      </c>
      <c r="BE76" s="34">
        <f t="shared" si="76"/>
        <v>12.470990545665666</v>
      </c>
      <c r="BF76" s="34">
        <f t="shared" si="76"/>
        <v>12.470990546895269</v>
      </c>
      <c r="BG76" s="34">
        <f t="shared" si="76"/>
        <v>12.470990563196084</v>
      </c>
      <c r="BH76" s="34">
        <f t="shared" si="74"/>
        <v>12.470990779295464</v>
      </c>
      <c r="BI76" s="34">
        <f t="shared" si="74"/>
        <v>12.470993644117618</v>
      </c>
      <c r="BJ76" s="34">
        <f t="shared" si="74"/>
        <v>12.471031622893522</v>
      </c>
      <c r="BK76" s="34">
        <f t="shared" si="74"/>
        <v>12.471535092240289</v>
      </c>
      <c r="BL76" s="34">
        <f t="shared" si="73"/>
        <v>12.478207154929267</v>
      </c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</row>
    <row r="77" spans="1:86" s="227" customFormat="1" ht="12.95" customHeight="1">
      <c r="A77" s="31" t="s">
        <v>95</v>
      </c>
      <c r="B77" s="232" t="s">
        <v>86</v>
      </c>
      <c r="C77" s="290">
        <v>52591.3246</v>
      </c>
      <c r="D77" s="290">
        <v>4.0000000000000002E-4</v>
      </c>
      <c r="E77" s="227">
        <f t="shared" si="42"/>
        <v>24344.587548184762</v>
      </c>
      <c r="F77" s="227">
        <f t="shared" si="43"/>
        <v>24344.5</v>
      </c>
      <c r="G77" s="227">
        <f t="shared" si="44"/>
        <v>2.8882450998935383E-2</v>
      </c>
      <c r="J77" s="227">
        <f>G77</f>
        <v>2.8882450998935383E-2</v>
      </c>
      <c r="P77" s="292">
        <f t="shared" si="45"/>
        <v>3.9340842943213529E-3</v>
      </c>
      <c r="Q77" s="293">
        <f t="shared" si="46"/>
        <v>37572.8246</v>
      </c>
      <c r="R77" s="227">
        <f t="shared" si="47"/>
        <v>6.2242100122789394E-4</v>
      </c>
      <c r="S77" s="227">
        <v>1</v>
      </c>
      <c r="T77" s="227">
        <f t="shared" si="48"/>
        <v>6.2242100122789394E-4</v>
      </c>
      <c r="Z77" s="34">
        <f t="shared" si="49"/>
        <v>24344.5</v>
      </c>
      <c r="AA77" s="227">
        <f t="shared" si="50"/>
        <v>2.8631451306189923E-2</v>
      </c>
      <c r="AB77" s="227">
        <f t="shared" si="51"/>
        <v>4.1850839870668129E-3</v>
      </c>
      <c r="AC77" s="227">
        <f t="shared" si="52"/>
        <v>2.494836670461403E-2</v>
      </c>
      <c r="AD77" s="227">
        <f t="shared" si="53"/>
        <v>2.5099969274545997E-4</v>
      </c>
      <c r="AE77" s="227">
        <f t="shared" si="54"/>
        <v>6.3000845758315315E-8</v>
      </c>
      <c r="AF77" s="34">
        <f t="shared" si="55"/>
        <v>2.494836670461403E-2</v>
      </c>
      <c r="AG77" s="19"/>
      <c r="AH77" s="34">
        <f t="shared" si="56"/>
        <v>2.469736701186857E-2</v>
      </c>
      <c r="AI77" s="34">
        <f t="shared" si="57"/>
        <v>1.0544121275385452</v>
      </c>
      <c r="AJ77" s="34">
        <f t="shared" si="58"/>
        <v>0.84629271251488092</v>
      </c>
      <c r="AK77" s="34">
        <f t="shared" si="59"/>
        <v>-5.2738892013671268E-2</v>
      </c>
      <c r="AL77" s="34">
        <f t="shared" si="60"/>
        <v>-0.76978375724449566</v>
      </c>
      <c r="AM77" s="34">
        <f t="shared" si="61"/>
        <v>-0.40509615409890859</v>
      </c>
      <c r="AN77" s="227">
        <f t="shared" si="75"/>
        <v>11.847989566556373</v>
      </c>
      <c r="AO77" s="227">
        <f t="shared" si="75"/>
        <v>11.847989568214675</v>
      </c>
      <c r="AP77" s="227">
        <f t="shared" si="75"/>
        <v>11.847989597282224</v>
      </c>
      <c r="AQ77" s="227">
        <f t="shared" si="75"/>
        <v>11.84799010679226</v>
      </c>
      <c r="AR77" s="227">
        <f t="shared" si="75"/>
        <v>11.847999037693647</v>
      </c>
      <c r="AS77" s="227">
        <f t="shared" si="75"/>
        <v>11.84815557088471</v>
      </c>
      <c r="AT77" s="227">
        <f t="shared" si="75"/>
        <v>11.85089568558957</v>
      </c>
      <c r="AU77" s="227">
        <f t="shared" si="62"/>
        <v>11.897863100197352</v>
      </c>
      <c r="AV77" s="34"/>
      <c r="AW77" s="34">
        <v>32500</v>
      </c>
      <c r="AX77" s="34">
        <f t="shared" si="66"/>
        <v>1.9348597841862596E-2</v>
      </c>
      <c r="AY77" s="34">
        <f t="shared" si="67"/>
        <v>-8.6347385461189967E-3</v>
      </c>
      <c r="AZ77" s="34">
        <f t="shared" si="68"/>
        <v>2.7983336387981592E-2</v>
      </c>
      <c r="BA77" s="34">
        <f t="shared" si="69"/>
        <v>1.0756460909607082</v>
      </c>
      <c r="BB77" s="34">
        <f t="shared" si="70"/>
        <v>0.98887404666851808</v>
      </c>
      <c r="BC77" s="34">
        <f t="shared" si="71"/>
        <v>-5.8665192550283497E-2</v>
      </c>
      <c r="BD77" s="34">
        <f t="shared" si="72"/>
        <v>-2.9341011771821218E-2</v>
      </c>
      <c r="BE77" s="34">
        <f t="shared" si="76"/>
        <v>12.511992324621508</v>
      </c>
      <c r="BF77" s="34">
        <f t="shared" si="76"/>
        <v>12.511992325335967</v>
      </c>
      <c r="BG77" s="34">
        <f t="shared" si="76"/>
        <v>12.511992334778446</v>
      </c>
      <c r="BH77" s="34">
        <f t="shared" si="74"/>
        <v>12.511992459572578</v>
      </c>
      <c r="BI77" s="34">
        <f t="shared" si="74"/>
        <v>12.511994108882643</v>
      </c>
      <c r="BJ77" s="34">
        <f t="shared" si="74"/>
        <v>12.512015906557767</v>
      </c>
      <c r="BK77" s="34">
        <f t="shared" si="74"/>
        <v>12.512303987405732</v>
      </c>
      <c r="BL77" s="34">
        <f t="shared" si="73"/>
        <v>12.516110887848862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</row>
    <row r="78" spans="1:86" s="227" customFormat="1" ht="12.95" customHeight="1">
      <c r="A78" s="21" t="s">
        <v>91</v>
      </c>
      <c r="B78" s="299" t="s">
        <v>87</v>
      </c>
      <c r="C78" s="300">
        <v>52607.654999999999</v>
      </c>
      <c r="D78" s="300">
        <v>1E-4</v>
      </c>
      <c r="E78" s="227">
        <f t="shared" si="42"/>
        <v>24394.088086648309</v>
      </c>
      <c r="F78" s="227">
        <f t="shared" si="43"/>
        <v>24394</v>
      </c>
      <c r="G78" s="227">
        <f t="shared" si="44"/>
        <v>2.9060091997962445E-2</v>
      </c>
      <c r="K78" s="227">
        <f>G78</f>
        <v>2.9060091997962445E-2</v>
      </c>
      <c r="P78" s="292">
        <f t="shared" si="45"/>
        <v>3.8688382993516054E-3</v>
      </c>
      <c r="Q78" s="293">
        <f t="shared" si="46"/>
        <v>37589.154999999999</v>
      </c>
      <c r="R78" s="227">
        <f t="shared" si="47"/>
        <v>6.3459926290777434E-4</v>
      </c>
      <c r="S78" s="227">
        <v>1</v>
      </c>
      <c r="T78" s="227">
        <f t="shared" si="48"/>
        <v>6.3459926290777434E-4</v>
      </c>
      <c r="Z78" s="34">
        <f t="shared" si="49"/>
        <v>24394</v>
      </c>
      <c r="AA78" s="227">
        <f t="shared" si="50"/>
        <v>2.8621118386330829E-2</v>
      </c>
      <c r="AB78" s="227">
        <f t="shared" si="51"/>
        <v>4.3078119109832211E-3</v>
      </c>
      <c r="AC78" s="227">
        <f t="shared" si="52"/>
        <v>2.519125369861084E-2</v>
      </c>
      <c r="AD78" s="227">
        <f t="shared" si="53"/>
        <v>4.3897361163161563E-4</v>
      </c>
      <c r="AE78" s="227">
        <f t="shared" si="54"/>
        <v>1.9269783170890452E-7</v>
      </c>
      <c r="AF78" s="34">
        <f t="shared" si="55"/>
        <v>2.519125369861084E-2</v>
      </c>
      <c r="AG78" s="19"/>
      <c r="AH78" s="34">
        <f t="shared" si="56"/>
        <v>2.4752280086979224E-2</v>
      </c>
      <c r="AI78" s="34">
        <f t="shared" si="57"/>
        <v>1.0546336237864364</v>
      </c>
      <c r="AJ78" s="34">
        <f t="shared" si="58"/>
        <v>0.84852742921037383</v>
      </c>
      <c r="AK78" s="34">
        <f t="shared" si="59"/>
        <v>-5.25094039774089E-2</v>
      </c>
      <c r="AL78" s="34">
        <f t="shared" si="60"/>
        <v>-0.765574740484532</v>
      </c>
      <c r="AM78" s="34">
        <f t="shared" si="61"/>
        <v>-0.40264837299202644</v>
      </c>
      <c r="AN78" s="227">
        <f t="shared" si="75"/>
        <v>11.851969484792008</v>
      </c>
      <c r="AO78" s="227">
        <f t="shared" si="75"/>
        <v>11.851969486476611</v>
      </c>
      <c r="AP78" s="227">
        <f t="shared" si="75"/>
        <v>11.851969515903006</v>
      </c>
      <c r="AQ78" s="227">
        <f t="shared" si="75"/>
        <v>11.851970029918778</v>
      </c>
      <c r="AR78" s="227">
        <f t="shared" si="75"/>
        <v>11.851979008630446</v>
      </c>
      <c r="AS78" s="227">
        <f t="shared" si="75"/>
        <v>11.852135835468355</v>
      </c>
      <c r="AT78" s="227">
        <f t="shared" si="75"/>
        <v>11.854871627355964</v>
      </c>
      <c r="AU78" s="227">
        <f t="shared" si="62"/>
        <v>11.901615569756393</v>
      </c>
      <c r="AV78" s="34"/>
      <c r="AW78" s="34">
        <v>33000</v>
      </c>
      <c r="AX78" s="34">
        <f t="shared" si="66"/>
        <v>1.825848350811261E-2</v>
      </c>
      <c r="AY78" s="34">
        <f t="shared" si="67"/>
        <v>-9.5243949677313172E-3</v>
      </c>
      <c r="AZ78" s="34">
        <f t="shared" si="68"/>
        <v>2.7782878475843927E-2</v>
      </c>
      <c r="BA78" s="34">
        <f t="shared" si="69"/>
        <v>1.0757685678221542</v>
      </c>
      <c r="BB78" s="34">
        <f t="shared" si="70"/>
        <v>0.9813273950820145</v>
      </c>
      <c r="BC78" s="34">
        <f t="shared" si="71"/>
        <v>-1.4423512094512181E-2</v>
      </c>
      <c r="BD78" s="34">
        <f t="shared" si="72"/>
        <v>-7.2118810762862706E-3</v>
      </c>
      <c r="BE78" s="34">
        <f t="shared" si="76"/>
        <v>12.553001594062774</v>
      </c>
      <c r="BF78" s="34">
        <f t="shared" si="76"/>
        <v>12.553001594239939</v>
      </c>
      <c r="BG78" s="34">
        <f t="shared" si="76"/>
        <v>12.553001596578138</v>
      </c>
      <c r="BH78" s="34">
        <f t="shared" si="74"/>
        <v>12.553001627437432</v>
      </c>
      <c r="BI78" s="34">
        <f t="shared" si="74"/>
        <v>12.553002034715053</v>
      </c>
      <c r="BJ78" s="34">
        <f t="shared" si="74"/>
        <v>12.553007409920726</v>
      </c>
      <c r="BK78" s="34">
        <f t="shared" si="74"/>
        <v>12.553078351263492</v>
      </c>
      <c r="BL78" s="34">
        <f t="shared" si="73"/>
        <v>12.554014620768456</v>
      </c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</row>
    <row r="79" spans="1:86" s="227" customFormat="1" ht="12.95" customHeight="1">
      <c r="A79" s="245" t="s">
        <v>84</v>
      </c>
      <c r="B79" s="49"/>
      <c r="C79" s="31">
        <v>52631.737905870934</v>
      </c>
      <c r="D79" s="340">
        <v>1E-4</v>
      </c>
      <c r="E79" s="227">
        <f t="shared" si="42"/>
        <v>24467.087940196187</v>
      </c>
      <c r="F79" s="227">
        <f t="shared" si="43"/>
        <v>24467</v>
      </c>
      <c r="G79" s="227">
        <f t="shared" si="44"/>
        <v>2.9011776932748035E-2</v>
      </c>
      <c r="K79" s="227">
        <f>G79</f>
        <v>2.9011776932748035E-2</v>
      </c>
      <c r="P79" s="292">
        <f t="shared" si="45"/>
        <v>3.7723708698684071E-3</v>
      </c>
      <c r="Q79" s="293">
        <f t="shared" si="46"/>
        <v>37613.237905870934</v>
      </c>
      <c r="R79" s="227">
        <f t="shared" si="47"/>
        <v>6.3702761840692492E-4</v>
      </c>
      <c r="S79" s="227">
        <v>1</v>
      </c>
      <c r="T79" s="227">
        <f t="shared" si="48"/>
        <v>6.3702761840692492E-4</v>
      </c>
      <c r="Z79" s="34">
        <f t="shared" si="49"/>
        <v>24467</v>
      </c>
      <c r="AA79" s="227">
        <f t="shared" si="50"/>
        <v>2.8604938869069143E-2</v>
      </c>
      <c r="AB79" s="227">
        <f t="shared" si="51"/>
        <v>4.1792089335472987E-3</v>
      </c>
      <c r="AC79" s="227">
        <f t="shared" si="52"/>
        <v>2.5239406062879628E-2</v>
      </c>
      <c r="AD79" s="227">
        <f t="shared" si="53"/>
        <v>4.0683806367889166E-4</v>
      </c>
      <c r="AE79" s="227">
        <f t="shared" si="54"/>
        <v>1.6551721005798992E-7</v>
      </c>
      <c r="AF79" s="34">
        <f t="shared" si="55"/>
        <v>2.5239406062879628E-2</v>
      </c>
      <c r="AG79" s="19"/>
      <c r="AH79" s="34">
        <f t="shared" si="56"/>
        <v>2.4832567999200736E-2</v>
      </c>
      <c r="AI79" s="34">
        <f t="shared" si="57"/>
        <v>1.0549586754046092</v>
      </c>
      <c r="AJ79" s="34">
        <f t="shared" si="58"/>
        <v>0.85179731557020866</v>
      </c>
      <c r="AK79" s="34">
        <f t="shared" si="59"/>
        <v>-5.2169093837936165E-2</v>
      </c>
      <c r="AL79" s="34">
        <f t="shared" si="60"/>
        <v>-0.75936428503871323</v>
      </c>
      <c r="AM79" s="34">
        <f t="shared" si="61"/>
        <v>-0.3990442027761204</v>
      </c>
      <c r="AN79" s="227">
        <f t="shared" si="75"/>
        <v>11.85784038065894</v>
      </c>
      <c r="AO79" s="227">
        <f t="shared" si="75"/>
        <v>11.857840382382474</v>
      </c>
      <c r="AP79" s="227">
        <f t="shared" si="75"/>
        <v>11.857840412336895</v>
      </c>
      <c r="AQ79" s="227">
        <f t="shared" si="75"/>
        <v>11.857840932934616</v>
      </c>
      <c r="AR79" s="227">
        <f t="shared" si="75"/>
        <v>11.857849980709668</v>
      </c>
      <c r="AS79" s="227">
        <f t="shared" si="75"/>
        <v>11.858007216130046</v>
      </c>
      <c r="AT79" s="227">
        <f t="shared" si="75"/>
        <v>11.860736337620724</v>
      </c>
      <c r="AU79" s="227">
        <f t="shared" si="62"/>
        <v>11.907149514762652</v>
      </c>
      <c r="AV79" s="34"/>
      <c r="AW79" s="34">
        <v>33500</v>
      </c>
      <c r="AX79" s="34">
        <f t="shared" si="66"/>
        <v>1.7107881356486075E-2</v>
      </c>
      <c r="AY79" s="34">
        <f t="shared" si="67"/>
        <v>-1.0427809463941524E-2</v>
      </c>
      <c r="AZ79" s="34">
        <f t="shared" si="68"/>
        <v>2.7535690820427599E-2</v>
      </c>
      <c r="BA79" s="34">
        <f t="shared" si="69"/>
        <v>1.0757427560776387</v>
      </c>
      <c r="BB79" s="34">
        <f t="shared" si="70"/>
        <v>0.97185934212464753</v>
      </c>
      <c r="BC79" s="34">
        <f t="shared" si="71"/>
        <v>2.9822145014788342E-2</v>
      </c>
      <c r="BD79" s="34">
        <f t="shared" si="72"/>
        <v>1.4912177715388322E-2</v>
      </c>
      <c r="BE79" s="34">
        <f t="shared" si="76"/>
        <v>12.594012706538029</v>
      </c>
      <c r="BF79" s="34">
        <f t="shared" si="76"/>
        <v>12.594012706172382</v>
      </c>
      <c r="BG79" s="34">
        <f t="shared" si="76"/>
        <v>12.59401270134518</v>
      </c>
      <c r="BH79" s="34">
        <f t="shared" si="74"/>
        <v>12.594012637617659</v>
      </c>
      <c r="BI79" s="34">
        <f t="shared" si="74"/>
        <v>12.5940117963025</v>
      </c>
      <c r="BJ79" s="34">
        <f t="shared" si="74"/>
        <v>12.594000689467455</v>
      </c>
      <c r="BK79" s="34">
        <f t="shared" si="74"/>
        <v>12.593854060092031</v>
      </c>
      <c r="BL79" s="34">
        <f t="shared" si="73"/>
        <v>12.591918353688051</v>
      </c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</row>
    <row r="80" spans="1:86" s="227" customFormat="1" ht="12.95" customHeight="1">
      <c r="A80" s="245" t="s">
        <v>89</v>
      </c>
      <c r="B80" s="49"/>
      <c r="C80" s="31">
        <v>52943.82675</v>
      </c>
      <c r="D80" s="340">
        <v>5.0000000000000002E-5</v>
      </c>
      <c r="E80" s="227">
        <f t="shared" si="42"/>
        <v>25413.088395350722</v>
      </c>
      <c r="F80" s="227">
        <f t="shared" si="43"/>
        <v>25413</v>
      </c>
      <c r="G80" s="227">
        <f t="shared" si="44"/>
        <v>2.9161933991417754E-2</v>
      </c>
      <c r="K80" s="227">
        <f>G80</f>
        <v>2.9161933991417754E-2</v>
      </c>
      <c r="P80" s="292">
        <f t="shared" si="45"/>
        <v>2.4957338490922236E-3</v>
      </c>
      <c r="Q80" s="293">
        <f t="shared" si="46"/>
        <v>37925.32675</v>
      </c>
      <c r="R80" s="227">
        <f t="shared" si="47"/>
        <v>7.1108623003056219E-4</v>
      </c>
      <c r="S80" s="227">
        <v>1</v>
      </c>
      <c r="T80" s="227">
        <f t="shared" si="48"/>
        <v>7.1108623003056219E-4</v>
      </c>
      <c r="Z80" s="34">
        <f t="shared" si="49"/>
        <v>25413</v>
      </c>
      <c r="AA80" s="227">
        <f t="shared" si="50"/>
        <v>2.8292231935392726E-2</v>
      </c>
      <c r="AB80" s="227">
        <f t="shared" si="51"/>
        <v>3.3654359051172519E-3</v>
      </c>
      <c r="AC80" s="227">
        <f t="shared" si="52"/>
        <v>2.6666200142325531E-2</v>
      </c>
      <c r="AD80" s="227">
        <f t="shared" si="53"/>
        <v>8.6970205602502834E-4</v>
      </c>
      <c r="AE80" s="227">
        <f t="shared" si="54"/>
        <v>7.5638166625416151E-7</v>
      </c>
      <c r="AF80" s="34">
        <f t="shared" si="55"/>
        <v>2.6666200142325531E-2</v>
      </c>
      <c r="AG80" s="19"/>
      <c r="AH80" s="34">
        <f t="shared" si="56"/>
        <v>2.5796498086300503E-2</v>
      </c>
      <c r="AI80" s="34">
        <f t="shared" si="57"/>
        <v>1.0589909004726383</v>
      </c>
      <c r="AJ80" s="34">
        <f t="shared" si="58"/>
        <v>0.89130918909682</v>
      </c>
      <c r="AK80" s="34">
        <f t="shared" si="59"/>
        <v>-4.7562001803202809E-2</v>
      </c>
      <c r="AL80" s="34">
        <f t="shared" si="60"/>
        <v>-0.67854635991261802</v>
      </c>
      <c r="AM80" s="34">
        <f t="shared" si="61"/>
        <v>-0.3529193212164678</v>
      </c>
      <c r="AN80" s="227">
        <f t="shared" si="75"/>
        <v>11.934079939865079</v>
      </c>
      <c r="AO80" s="227">
        <f t="shared" si="75"/>
        <v>11.934079942096171</v>
      </c>
      <c r="AP80" s="227">
        <f t="shared" si="75"/>
        <v>11.934079978595433</v>
      </c>
      <c r="AQ80" s="227">
        <f t="shared" si="75"/>
        <v>11.934080575700357</v>
      </c>
      <c r="AR80" s="227">
        <f t="shared" si="75"/>
        <v>11.93409034392381</v>
      </c>
      <c r="AS80" s="227">
        <f t="shared" si="75"/>
        <v>11.934250135377324</v>
      </c>
      <c r="AT80" s="227">
        <f t="shared" si="75"/>
        <v>11.936861403769147</v>
      </c>
      <c r="AU80" s="227">
        <f t="shared" si="62"/>
        <v>11.978863377446526</v>
      </c>
      <c r="AV80" s="34"/>
      <c r="AW80" s="34">
        <v>34000</v>
      </c>
      <c r="AX80" s="34">
        <f t="shared" si="66"/>
        <v>1.5897244432753727E-2</v>
      </c>
      <c r="AY80" s="34">
        <f t="shared" si="67"/>
        <v>-1.1344982034749616E-2</v>
      </c>
      <c r="AZ80" s="34">
        <f t="shared" si="68"/>
        <v>2.7242226467503343E-2</v>
      </c>
      <c r="BA80" s="34">
        <f t="shared" si="69"/>
        <v>1.0755687346759077</v>
      </c>
      <c r="BB80" s="34">
        <f t="shared" si="70"/>
        <v>0.96049129962946589</v>
      </c>
      <c r="BC80" s="34">
        <f t="shared" si="71"/>
        <v>7.405958149483792E-2</v>
      </c>
      <c r="BD80" s="34">
        <f t="shared" si="72"/>
        <v>3.7046725185429209E-2</v>
      </c>
      <c r="BE80" s="34">
        <f t="shared" si="76"/>
        <v>12.635020008959863</v>
      </c>
      <c r="BF80" s="34">
        <f t="shared" si="76"/>
        <v>12.63502000806278</v>
      </c>
      <c r="BG80" s="34">
        <f t="shared" si="76"/>
        <v>12.635019996196267</v>
      </c>
      <c r="BH80" s="34">
        <f t="shared" si="74"/>
        <v>12.635019839227576</v>
      </c>
      <c r="BI80" s="34">
        <f t="shared" si="74"/>
        <v>12.635017762866376</v>
      </c>
      <c r="BJ80" s="34">
        <f t="shared" si="74"/>
        <v>12.634990297061124</v>
      </c>
      <c r="BK80" s="34">
        <f t="shared" si="74"/>
        <v>12.634626988237729</v>
      </c>
      <c r="BL80" s="34">
        <f t="shared" si="73"/>
        <v>12.629822086607646</v>
      </c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</row>
    <row r="81" spans="1:86" s="227" customFormat="1" ht="12.95" customHeight="1">
      <c r="A81" s="295" t="s">
        <v>89</v>
      </c>
      <c r="B81" s="296" t="s">
        <v>87</v>
      </c>
      <c r="C81" s="295">
        <v>52943.827700000002</v>
      </c>
      <c r="D81" s="295" t="s">
        <v>264</v>
      </c>
      <c r="E81" s="227">
        <f t="shared" si="42"/>
        <v>25413.091274980838</v>
      </c>
      <c r="F81" s="227">
        <f t="shared" si="43"/>
        <v>25413</v>
      </c>
      <c r="G81" s="227">
        <f t="shared" si="44"/>
        <v>3.0111933992884587E-2</v>
      </c>
      <c r="K81" s="227">
        <f>G81</f>
        <v>3.0111933992884587E-2</v>
      </c>
      <c r="O81" s="227">
        <f ca="1">+C$11+C$12*F81</f>
        <v>4.915964508738814E-2</v>
      </c>
      <c r="P81" s="292">
        <f t="shared" si="45"/>
        <v>2.4957338490922236E-3</v>
      </c>
      <c r="Q81" s="293">
        <f t="shared" si="46"/>
        <v>37925.327700000002</v>
      </c>
      <c r="R81" s="227">
        <f t="shared" si="47"/>
        <v>7.6265451038199739E-4</v>
      </c>
      <c r="S81" s="227">
        <v>1</v>
      </c>
      <c r="T81" s="227">
        <f t="shared" si="48"/>
        <v>7.6265451038199739E-4</v>
      </c>
      <c r="Z81" s="34">
        <f t="shared" si="49"/>
        <v>25413</v>
      </c>
      <c r="AA81" s="227">
        <f t="shared" si="50"/>
        <v>2.8292231935392726E-2</v>
      </c>
      <c r="AB81" s="227">
        <f t="shared" si="51"/>
        <v>4.315435906584085E-3</v>
      </c>
      <c r="AC81" s="227">
        <f t="shared" si="52"/>
        <v>2.7616200143792364E-2</v>
      </c>
      <c r="AD81" s="227">
        <f t="shared" si="53"/>
        <v>1.8197020574918614E-3</v>
      </c>
      <c r="AE81" s="227">
        <f t="shared" si="54"/>
        <v>3.3113155780401137E-6</v>
      </c>
      <c r="AF81" s="34">
        <f t="shared" si="55"/>
        <v>2.7616200143792364E-2</v>
      </c>
      <c r="AG81" s="19"/>
      <c r="AH81" s="34">
        <f t="shared" si="56"/>
        <v>2.5796498086300503E-2</v>
      </c>
      <c r="AI81" s="34">
        <f t="shared" si="57"/>
        <v>1.0589909004726383</v>
      </c>
      <c r="AJ81" s="34">
        <f t="shared" si="58"/>
        <v>0.89130918909682</v>
      </c>
      <c r="AK81" s="34">
        <f t="shared" si="59"/>
        <v>-4.7562001803202809E-2</v>
      </c>
      <c r="AL81" s="34">
        <f t="shared" si="60"/>
        <v>-0.67854635991261802</v>
      </c>
      <c r="AM81" s="34">
        <f t="shared" si="61"/>
        <v>-0.3529193212164678</v>
      </c>
      <c r="AN81" s="227">
        <f t="shared" ref="AN81:AT90" si="77">$AU81+$AB$7*SIN(AO81)</f>
        <v>11.934079939865079</v>
      </c>
      <c r="AO81" s="227">
        <f t="shared" si="77"/>
        <v>11.934079942096171</v>
      </c>
      <c r="AP81" s="227">
        <f t="shared" si="77"/>
        <v>11.934079978595433</v>
      </c>
      <c r="AQ81" s="227">
        <f t="shared" si="77"/>
        <v>11.934080575700357</v>
      </c>
      <c r="AR81" s="227">
        <f t="shared" si="77"/>
        <v>11.93409034392381</v>
      </c>
      <c r="AS81" s="227">
        <f t="shared" si="77"/>
        <v>11.934250135377324</v>
      </c>
      <c r="AT81" s="227">
        <f t="shared" si="77"/>
        <v>11.936861403769147</v>
      </c>
      <c r="AU81" s="227">
        <f t="shared" si="62"/>
        <v>11.978863377446526</v>
      </c>
      <c r="AV81" s="34"/>
      <c r="AW81" s="34">
        <v>34500</v>
      </c>
      <c r="AX81" s="34">
        <f t="shared" si="66"/>
        <v>1.4627128787518946E-2</v>
      </c>
      <c r="AY81" s="34">
        <f t="shared" si="67"/>
        <v>-1.2275912680155598E-2</v>
      </c>
      <c r="AZ81" s="34">
        <f t="shared" si="68"/>
        <v>2.6903041467674544E-2</v>
      </c>
      <c r="BA81" s="34">
        <f t="shared" si="69"/>
        <v>1.0752470354261563</v>
      </c>
      <c r="BB81" s="34">
        <f t="shared" si="70"/>
        <v>0.94725046431756954</v>
      </c>
      <c r="BC81" s="34">
        <f t="shared" si="71"/>
        <v>0.11827662858770513</v>
      </c>
      <c r="BD81" s="34">
        <f t="shared" si="72"/>
        <v>5.9207353144726547E-2</v>
      </c>
      <c r="BE81" s="34">
        <f t="shared" si="76"/>
        <v>12.676017859889354</v>
      </c>
      <c r="BF81" s="34">
        <f t="shared" si="76"/>
        <v>12.676017858488569</v>
      </c>
      <c r="BG81" s="34">
        <f t="shared" si="76"/>
        <v>12.676017839891124</v>
      </c>
      <c r="BH81" s="34">
        <f t="shared" si="74"/>
        <v>12.676017592983246</v>
      </c>
      <c r="BI81" s="34">
        <f t="shared" si="74"/>
        <v>12.676014314926224</v>
      </c>
      <c r="BJ81" s="34">
        <f t="shared" si="74"/>
        <v>12.675970794118784</v>
      </c>
      <c r="BK81" s="34">
        <f t="shared" si="74"/>
        <v>12.675393014041475</v>
      </c>
      <c r="BL81" s="34">
        <f t="shared" si="73"/>
        <v>12.667725819527242</v>
      </c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</row>
    <row r="82" spans="1:86" s="227" customFormat="1" ht="12.95" customHeight="1">
      <c r="A82" s="21" t="s">
        <v>96</v>
      </c>
      <c r="B82" s="20" t="s">
        <v>86</v>
      </c>
      <c r="C82" s="30">
        <v>53083.211900000002</v>
      </c>
      <c r="D82" s="30">
        <v>2.0000000000000001E-4</v>
      </c>
      <c r="E82" s="227">
        <f t="shared" si="42"/>
        <v>25835.591210886334</v>
      </c>
      <c r="F82" s="227">
        <f t="shared" si="43"/>
        <v>25835.5</v>
      </c>
      <c r="G82" s="227">
        <f t="shared" si="44"/>
        <v>3.0090788997767959E-2</v>
      </c>
      <c r="K82" s="227">
        <f>G82</f>
        <v>3.0090788997767959E-2</v>
      </c>
      <c r="P82" s="292">
        <f t="shared" si="45"/>
        <v>1.9096560269411672E-3</v>
      </c>
      <c r="Q82" s="293">
        <f t="shared" si="46"/>
        <v>38064.711900000002</v>
      </c>
      <c r="R82" s="227">
        <f t="shared" si="47"/>
        <v>7.941762555194209E-4</v>
      </c>
      <c r="S82" s="227">
        <v>1</v>
      </c>
      <c r="T82" s="227">
        <f t="shared" si="48"/>
        <v>7.941762555194209E-4</v>
      </c>
      <c r="Z82" s="34">
        <f t="shared" si="49"/>
        <v>25835.5</v>
      </c>
      <c r="AA82" s="227">
        <f t="shared" si="50"/>
        <v>2.8089536123755934E-2</v>
      </c>
      <c r="AB82" s="227">
        <f t="shared" si="51"/>
        <v>3.9109089009531917E-3</v>
      </c>
      <c r="AC82" s="227">
        <f t="shared" si="52"/>
        <v>2.8181132970826792E-2</v>
      </c>
      <c r="AD82" s="227">
        <f t="shared" si="53"/>
        <v>2.0012528740120245E-3</v>
      </c>
      <c r="AE82" s="227">
        <f t="shared" si="54"/>
        <v>4.0050130657413877E-6</v>
      </c>
      <c r="AF82" s="34">
        <f t="shared" si="55"/>
        <v>2.8181132970826792E-2</v>
      </c>
      <c r="AG82" s="19"/>
      <c r="AH82" s="34">
        <f t="shared" si="56"/>
        <v>2.6179880096814767E-2</v>
      </c>
      <c r="AI82" s="34">
        <f t="shared" si="57"/>
        <v>1.060677646410894</v>
      </c>
      <c r="AJ82" s="34">
        <f t="shared" si="58"/>
        <v>0.90717191479199488</v>
      </c>
      <c r="AK82" s="34">
        <f t="shared" si="59"/>
        <v>-4.5390456928027324E-2</v>
      </c>
      <c r="AL82" s="34">
        <f t="shared" si="60"/>
        <v>-0.64225768384315263</v>
      </c>
      <c r="AM82" s="34">
        <f t="shared" si="61"/>
        <v>-0.33264268473367004</v>
      </c>
      <c r="AN82" s="227">
        <f t="shared" si="77"/>
        <v>11.968221243227807</v>
      </c>
      <c r="AO82" s="227">
        <f t="shared" si="77"/>
        <v>11.968221245676265</v>
      </c>
      <c r="AP82" s="227">
        <f t="shared" si="77"/>
        <v>11.968221284776474</v>
      </c>
      <c r="AQ82" s="227">
        <f t="shared" si="77"/>
        <v>11.968221909180031</v>
      </c>
      <c r="AR82" s="227">
        <f t="shared" si="77"/>
        <v>11.968231880441234</v>
      </c>
      <c r="AS82" s="227">
        <f t="shared" si="77"/>
        <v>11.968391104901265</v>
      </c>
      <c r="AT82" s="227">
        <f t="shared" si="77"/>
        <v>11.970931321882162</v>
      </c>
      <c r="AU82" s="227">
        <f t="shared" si="62"/>
        <v>12.010892031763584</v>
      </c>
      <c r="AV82" s="34"/>
      <c r="AW82" s="34">
        <v>35000</v>
      </c>
      <c r="AX82" s="34">
        <f t="shared" si="66"/>
        <v>1.3298191597427671E-2</v>
      </c>
      <c r="AY82" s="34">
        <f t="shared" si="67"/>
        <v>-1.322060140015946E-2</v>
      </c>
      <c r="AZ82" s="34">
        <f t="shared" si="68"/>
        <v>2.651879299758713E-2</v>
      </c>
      <c r="BA82" s="34">
        <f t="shared" si="69"/>
        <v>1.0747786393377146</v>
      </c>
      <c r="BB82" s="34">
        <f t="shared" si="70"/>
        <v>0.93216967826645836</v>
      </c>
      <c r="BC82" s="34">
        <f t="shared" si="71"/>
        <v>0.16246118816245469</v>
      </c>
      <c r="BD82" s="34">
        <f t="shared" si="72"/>
        <v>8.1409731142875613E-2</v>
      </c>
      <c r="BE82" s="34">
        <f t="shared" si="76"/>
        <v>12.717000646740285</v>
      </c>
      <c r="BF82" s="34">
        <f t="shared" si="76"/>
        <v>12.717000644878587</v>
      </c>
      <c r="BG82" s="34">
        <f t="shared" si="76"/>
        <v>12.717000620028911</v>
      </c>
      <c r="BH82" s="34">
        <f t="shared" si="74"/>
        <v>12.717000288339092</v>
      </c>
      <c r="BI82" s="34">
        <f t="shared" si="74"/>
        <v>12.7169958609937</v>
      </c>
      <c r="BJ82" s="34">
        <f t="shared" si="74"/>
        <v>12.716936765743784</v>
      </c>
      <c r="BK82" s="34">
        <f t="shared" si="74"/>
        <v>12.716148025759518</v>
      </c>
      <c r="BL82" s="34">
        <f t="shared" si="73"/>
        <v>12.705629552446835</v>
      </c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</row>
    <row r="83" spans="1:86" s="227" customFormat="1" ht="12.95" customHeight="1">
      <c r="A83" s="34" t="s">
        <v>112</v>
      </c>
      <c r="B83" s="40"/>
      <c r="C83" s="290">
        <v>53407.339399999997</v>
      </c>
      <c r="D83" s="290">
        <v>3.0999999999999999E-3</v>
      </c>
      <c r="E83" s="227">
        <f t="shared" si="42"/>
        <v>26818.083114381898</v>
      </c>
      <c r="F83" s="227">
        <f t="shared" si="43"/>
        <v>26818</v>
      </c>
      <c r="G83" s="227">
        <f t="shared" si="44"/>
        <v>2.7419723992352374E-2</v>
      </c>
      <c r="J83" s="227">
        <f>G83</f>
        <v>2.7419723992352374E-2</v>
      </c>
      <c r="P83" s="292">
        <f t="shared" si="45"/>
        <v>5.0878136043019245E-4</v>
      </c>
      <c r="Q83" s="293">
        <f t="shared" si="46"/>
        <v>38388.839399999997</v>
      </c>
      <c r="R83" s="227">
        <f t="shared" si="47"/>
        <v>7.2419883333860679E-4</v>
      </c>
      <c r="S83" s="227">
        <v>1</v>
      </c>
      <c r="T83" s="227">
        <f t="shared" si="48"/>
        <v>7.2419883333860679E-4</v>
      </c>
      <c r="Z83" s="34">
        <f t="shared" si="49"/>
        <v>26818</v>
      </c>
      <c r="AA83" s="227">
        <f t="shared" si="50"/>
        <v>2.7463261391183727E-2</v>
      </c>
      <c r="AB83" s="227">
        <f t="shared" si="51"/>
        <v>4.6524396159883935E-4</v>
      </c>
      <c r="AC83" s="227">
        <f t="shared" si="52"/>
        <v>2.6910942631922181E-2</v>
      </c>
      <c r="AD83" s="227">
        <f t="shared" si="53"/>
        <v>-4.3537398831353102E-5</v>
      </c>
      <c r="AE83" s="227">
        <f t="shared" si="54"/>
        <v>1.8955050970003063E-9</v>
      </c>
      <c r="AF83" s="34">
        <f t="shared" si="55"/>
        <v>2.6910942631922181E-2</v>
      </c>
      <c r="AG83" s="19"/>
      <c r="AH83" s="34">
        <f t="shared" si="56"/>
        <v>2.6954480030753535E-2</v>
      </c>
      <c r="AI83" s="34">
        <f t="shared" si="57"/>
        <v>1.0643047360598366</v>
      </c>
      <c r="AJ83" s="34">
        <f t="shared" si="58"/>
        <v>0.93955518732797727</v>
      </c>
      <c r="AK83" s="34">
        <f t="shared" si="59"/>
        <v>-4.0087046216644086E-2</v>
      </c>
      <c r="AL83" s="34">
        <f t="shared" si="60"/>
        <v>-0.55744203277963444</v>
      </c>
      <c r="AM83" s="34">
        <f t="shared" si="61"/>
        <v>-0.28617009452099762</v>
      </c>
      <c r="AN83" s="227">
        <f t="shared" si="77"/>
        <v>12.047816152553965</v>
      </c>
      <c r="AO83" s="227">
        <f t="shared" si="77"/>
        <v>12.047816155437419</v>
      </c>
      <c r="AP83" s="227">
        <f t="shared" si="77"/>
        <v>12.047816199249169</v>
      </c>
      <c r="AQ83" s="227">
        <f t="shared" si="77"/>
        <v>12.04781686493325</v>
      </c>
      <c r="AR83" s="227">
        <f t="shared" si="77"/>
        <v>12.047826979432738</v>
      </c>
      <c r="AS83" s="227">
        <f t="shared" si="77"/>
        <v>12.047980653409114</v>
      </c>
      <c r="AT83" s="227">
        <f t="shared" si="77"/>
        <v>12.050313835912846</v>
      </c>
      <c r="AU83" s="227">
        <f t="shared" si="62"/>
        <v>12.085372866950587</v>
      </c>
      <c r="AV83" s="34"/>
      <c r="AW83" s="34">
        <v>36500</v>
      </c>
      <c r="AX83" s="34">
        <f t="shared" si="66"/>
        <v>8.9664874642883044E-3</v>
      </c>
      <c r="AY83" s="34">
        <f t="shared" si="67"/>
        <v>-1.613721600775838E-2</v>
      </c>
      <c r="AZ83" s="34">
        <f t="shared" si="68"/>
        <v>2.5103703472046685E-2</v>
      </c>
      <c r="BA83" s="34">
        <f t="shared" si="69"/>
        <v>1.072509656176946</v>
      </c>
      <c r="BB83" s="34">
        <f t="shared" si="70"/>
        <v>0.87629673803909469</v>
      </c>
      <c r="BC83" s="34">
        <f t="shared" si="71"/>
        <v>0.29470088591078319</v>
      </c>
      <c r="BD83" s="34">
        <f t="shared" si="72"/>
        <v>0.1484262186744017</v>
      </c>
      <c r="BE83" s="34">
        <f t="shared" si="76"/>
        <v>12.839803284571101</v>
      </c>
      <c r="BF83" s="34">
        <f t="shared" si="76"/>
        <v>12.83980328170081</v>
      </c>
      <c r="BG83" s="34">
        <f t="shared" si="76"/>
        <v>12.839803242360919</v>
      </c>
      <c r="BH83" s="34">
        <f t="shared" si="74"/>
        <v>12.839802703172694</v>
      </c>
      <c r="BI83" s="34">
        <f t="shared" si="74"/>
        <v>12.839795313126377</v>
      </c>
      <c r="BJ83" s="34">
        <f t="shared" si="74"/>
        <v>12.839694027619807</v>
      </c>
      <c r="BK83" s="34">
        <f t="shared" si="74"/>
        <v>12.838306131563479</v>
      </c>
      <c r="BL83" s="34">
        <f t="shared" si="73"/>
        <v>12.819340751205619</v>
      </c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</row>
    <row r="84" spans="1:86" s="227" customFormat="1" ht="12.95" customHeight="1">
      <c r="A84" s="245" t="s">
        <v>111</v>
      </c>
      <c r="B84" s="232"/>
      <c r="C84" s="301">
        <v>53699.964</v>
      </c>
      <c r="D84" s="339">
        <v>1E-4</v>
      </c>
      <c r="E84" s="227">
        <f t="shared" si="42"/>
        <v>27705.083755375446</v>
      </c>
      <c r="F84" s="227">
        <f t="shared" si="43"/>
        <v>27705</v>
      </c>
      <c r="G84" s="227">
        <f t="shared" si="44"/>
        <v>2.7631189994281158E-2</v>
      </c>
      <c r="K84" s="227">
        <f>G84</f>
        <v>2.7631189994281158E-2</v>
      </c>
      <c r="P84" s="292">
        <f t="shared" si="45"/>
        <v>-8.0155542076665309E-4</v>
      </c>
      <c r="Q84" s="293">
        <f t="shared" si="46"/>
        <v>38681.464</v>
      </c>
      <c r="R84" s="227">
        <f t="shared" si="47"/>
        <v>8.0842101183692232E-4</v>
      </c>
      <c r="S84" s="227">
        <v>1</v>
      </c>
      <c r="T84" s="227">
        <f t="shared" si="48"/>
        <v>8.0842101183692232E-4</v>
      </c>
      <c r="Z84" s="34">
        <f t="shared" si="49"/>
        <v>27705</v>
      </c>
      <c r="AA84" s="227">
        <f t="shared" si="50"/>
        <v>2.6707227479526478E-2</v>
      </c>
      <c r="AB84" s="227">
        <f t="shared" si="51"/>
        <v>1.2240709398802715E-4</v>
      </c>
      <c r="AC84" s="227">
        <f t="shared" si="52"/>
        <v>2.8432745415047811E-2</v>
      </c>
      <c r="AD84" s="227">
        <f t="shared" si="53"/>
        <v>9.2396251475468025E-4</v>
      </c>
      <c r="AE84" s="227">
        <f t="shared" si="54"/>
        <v>8.5370672867179276E-7</v>
      </c>
      <c r="AF84" s="34">
        <f t="shared" si="55"/>
        <v>2.8432745415047811E-2</v>
      </c>
      <c r="AG84" s="19"/>
      <c r="AH84" s="34">
        <f t="shared" si="56"/>
        <v>2.7508782900293131E-2</v>
      </c>
      <c r="AI84" s="34">
        <f t="shared" si="57"/>
        <v>1.0671993074793693</v>
      </c>
      <c r="AJ84" s="34">
        <f t="shared" si="58"/>
        <v>0.96312099733374368</v>
      </c>
      <c r="AK84" s="34">
        <f t="shared" si="59"/>
        <v>-3.5018901016362042E-2</v>
      </c>
      <c r="AL84" s="34">
        <f t="shared" si="60"/>
        <v>-0.48040047533114827</v>
      </c>
      <c r="AM84" s="34">
        <f t="shared" si="61"/>
        <v>-0.24492894226875345</v>
      </c>
      <c r="AN84" s="227">
        <f t="shared" si="77"/>
        <v>12.119894600575597</v>
      </c>
      <c r="AO84" s="227">
        <f t="shared" si="77"/>
        <v>12.119894603708829</v>
      </c>
      <c r="AP84" s="227">
        <f t="shared" si="77"/>
        <v>12.119894649550874</v>
      </c>
      <c r="AQ84" s="227">
        <f t="shared" si="77"/>
        <v>12.119895320261964</v>
      </c>
      <c r="AR84" s="227">
        <f t="shared" si="77"/>
        <v>12.119905133354383</v>
      </c>
      <c r="AS84" s="227">
        <f t="shared" si="77"/>
        <v>12.120048702246535</v>
      </c>
      <c r="AT84" s="227">
        <f t="shared" si="77"/>
        <v>12.122148039048964</v>
      </c>
      <c r="AU84" s="227">
        <f t="shared" si="62"/>
        <v>12.152614089149948</v>
      </c>
      <c r="AV84" s="34"/>
      <c r="AW84" s="34">
        <v>37000</v>
      </c>
      <c r="AX84" s="34">
        <f t="shared" si="66"/>
        <v>7.4107678841812304E-3</v>
      </c>
      <c r="AY84" s="34">
        <f t="shared" si="67"/>
        <v>-1.7136937026153792E-2</v>
      </c>
      <c r="AZ84" s="34">
        <f t="shared" si="68"/>
        <v>2.4547704910335023E-2</v>
      </c>
      <c r="BA84" s="34">
        <f t="shared" si="69"/>
        <v>1.071472969858158</v>
      </c>
      <c r="BB84" s="34">
        <f t="shared" si="70"/>
        <v>0.8542905236073044</v>
      </c>
      <c r="BC84" s="34">
        <f t="shared" si="71"/>
        <v>0.33863736022165736</v>
      </c>
      <c r="BD84" s="34">
        <f t="shared" si="72"/>
        <v>0.1709555083774868</v>
      </c>
      <c r="BE84" s="34">
        <f t="shared" si="76"/>
        <v>12.880670854155333</v>
      </c>
      <c r="BF84" s="34">
        <f t="shared" si="76"/>
        <v>12.880670851098396</v>
      </c>
      <c r="BG84" s="34">
        <f t="shared" si="76"/>
        <v>12.880670808678872</v>
      </c>
      <c r="BH84" s="34">
        <f t="shared" si="74"/>
        <v>12.88067022004525</v>
      </c>
      <c r="BI84" s="34">
        <f t="shared" si="74"/>
        <v>12.88066205189503</v>
      </c>
      <c r="BJ84" s="34">
        <f t="shared" si="74"/>
        <v>12.880548709133018</v>
      </c>
      <c r="BK84" s="34">
        <f t="shared" si="74"/>
        <v>12.878976374003173</v>
      </c>
      <c r="BL84" s="34">
        <f t="shared" si="73"/>
        <v>12.857244484125214</v>
      </c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</row>
    <row r="85" spans="1:86" s="227" customFormat="1" ht="12.95" customHeight="1">
      <c r="A85" s="302" t="s">
        <v>119</v>
      </c>
      <c r="B85" s="40" t="s">
        <v>87</v>
      </c>
      <c r="C85" s="41">
        <v>53742.5213</v>
      </c>
      <c r="D85" s="41">
        <v>2.0000000000000001E-4</v>
      </c>
      <c r="E85" s="227">
        <f t="shared" ref="E85:E116" si="78">+(C85-C$7)/C$8</f>
        <v>27834.083000069688</v>
      </c>
      <c r="F85" s="227">
        <f t="shared" ref="F85:F116" si="79">ROUND(2*E85,0)/2</f>
        <v>27834</v>
      </c>
      <c r="G85" s="227">
        <f t="shared" ref="G85:G116" si="80">+C85-(C$7+F85*C$8)</f>
        <v>2.7382011998270173E-2</v>
      </c>
      <c r="K85" s="227">
        <f>G85</f>
        <v>2.7382011998270173E-2</v>
      </c>
      <c r="P85" s="292">
        <f t="shared" ref="P85:P116" si="81">+D$11+D$12*F85+D$13*F85^2</f>
        <v>-9.9572937882668605E-4</v>
      </c>
      <c r="Q85" s="293">
        <f t="shared" ref="Q85:Q116" si="82">+C85-15018.5</f>
        <v>38724.0213</v>
      </c>
      <c r="R85" s="227">
        <f t="shared" ref="R85:R116" si="83">+(P85-G85)^2</f>
        <v>8.0529620566539514E-4</v>
      </c>
      <c r="S85" s="227">
        <v>1</v>
      </c>
      <c r="T85" s="227">
        <f t="shared" ref="T85:T116" si="84">R85*S85</f>
        <v>8.0529620566539514E-4</v>
      </c>
      <c r="Z85" s="34">
        <f t="shared" ref="Z85:Z116" si="85">F85</f>
        <v>27834</v>
      </c>
      <c r="AA85" s="227">
        <f t="shared" ref="AA85:AA116" si="86">AB$3+AB$4*Z85+AB$5*Z85^2+AH85</f>
        <v>2.6581929915040443E-2</v>
      </c>
      <c r="AB85" s="227">
        <f t="shared" ref="AB85:AB116" si="87">IF(S85&lt;&gt;0,G85-AH85, -9999)</f>
        <v>-1.9564729559695682E-4</v>
      </c>
      <c r="AC85" s="227">
        <f t="shared" ref="AC85:AC116" si="88">+G85-P85</f>
        <v>2.8377741377096859E-2</v>
      </c>
      <c r="AD85" s="227">
        <f t="shared" ref="AD85:AD116" si="89">IF(S85&lt;&gt;0,G85-AA85, -9999)</f>
        <v>8.0008208322972924E-4</v>
      </c>
      <c r="AE85" s="227">
        <f t="shared" ref="AE85:AE116" si="90">+(G85-AA85)^2*S85</f>
        <v>6.4013133990522336E-7</v>
      </c>
      <c r="AF85" s="34">
        <f t="shared" ref="AF85:AF116" si="91">IF(S85&lt;&gt;0,G85-P85, -9999)</f>
        <v>2.8377741377096859E-2</v>
      </c>
      <c r="AG85" s="19"/>
      <c r="AH85" s="34">
        <f t="shared" ref="AH85:AH116" si="92">$AB$6*($AB$11/AI85*AJ85+$AB$12)</f>
        <v>2.7577659293867129E-2</v>
      </c>
      <c r="AI85" s="34">
        <f t="shared" ref="AI85:AI116" si="93">1+$AB$7*COS(AL85)</f>
        <v>1.0675886107710884</v>
      </c>
      <c r="AJ85" s="34">
        <f t="shared" ref="AJ85:AJ116" si="94">SIN(AL85+RADIANS($AB$9))</f>
        <v>0.96608400468232258</v>
      </c>
      <c r="AK85" s="34">
        <f t="shared" ref="AK85:AK116" si="95">$AB$7*SIN(AL85)</f>
        <v>-3.4261495124044389E-2</v>
      </c>
      <c r="AL85" s="34">
        <f t="shared" ref="AL85:AL116" si="96">2*ATAN(AM85)</f>
        <v>-0.4691621101960361</v>
      </c>
      <c r="AM85" s="34">
        <f t="shared" ref="AM85:AM116" si="97">SQRT((1+$AB$7)/(1-$AB$7))*TAN(AN85/2)</f>
        <v>-0.23898078773236767</v>
      </c>
      <c r="AN85" s="227">
        <f t="shared" si="77"/>
        <v>12.130393110074772</v>
      </c>
      <c r="AO85" s="227">
        <f t="shared" si="77"/>
        <v>12.130393113229264</v>
      </c>
      <c r="AP85" s="227">
        <f t="shared" si="77"/>
        <v>12.130393159154083</v>
      </c>
      <c r="AQ85" s="227">
        <f t="shared" si="77"/>
        <v>12.130393827752888</v>
      </c>
      <c r="AR85" s="227">
        <f t="shared" si="77"/>
        <v>12.130403561558747</v>
      </c>
      <c r="AS85" s="227">
        <f t="shared" si="77"/>
        <v>12.1305452663208</v>
      </c>
      <c r="AT85" s="227">
        <f t="shared" si="77"/>
        <v>12.132607147963983</v>
      </c>
      <c r="AU85" s="227">
        <f t="shared" ref="AU85:AU116" si="98">RADIANS($AB$9)+$AB$18*(F85-AB$15)</f>
        <v>12.162393252243204</v>
      </c>
      <c r="AV85" s="34"/>
      <c r="AW85" s="34">
        <v>37500</v>
      </c>
      <c r="AX85" s="34">
        <f t="shared" si="66"/>
        <v>5.8009333203764279E-3</v>
      </c>
      <c r="AY85" s="34">
        <f t="shared" si="67"/>
        <v>-1.8150416119147091E-2</v>
      </c>
      <c r="AZ85" s="34">
        <f t="shared" si="68"/>
        <v>2.3951349439523519E-2</v>
      </c>
      <c r="BA85" s="34">
        <f t="shared" si="69"/>
        <v>1.0703008931575153</v>
      </c>
      <c r="BB85" s="34">
        <f t="shared" si="70"/>
        <v>0.83068582969939353</v>
      </c>
      <c r="BC85" s="34">
        <f t="shared" si="71"/>
        <v>0.38248333284597702</v>
      </c>
      <c r="BD85" s="34">
        <f t="shared" si="72"/>
        <v>0.19360773760361669</v>
      </c>
      <c r="BE85" s="34">
        <f t="shared" si="76"/>
        <v>12.921496311467513</v>
      </c>
      <c r="BF85" s="34">
        <f t="shared" si="76"/>
        <v>12.921496308303118</v>
      </c>
      <c r="BG85" s="34">
        <f t="shared" si="76"/>
        <v>12.921496263764435</v>
      </c>
      <c r="BH85" s="34">
        <f t="shared" si="74"/>
        <v>12.921495636884796</v>
      </c>
      <c r="BI85" s="34">
        <f t="shared" si="74"/>
        <v>12.921486813601984</v>
      </c>
      <c r="BJ85" s="34">
        <f t="shared" si="74"/>
        <v>12.92136262963599</v>
      </c>
      <c r="BK85" s="34">
        <f t="shared" si="74"/>
        <v>12.919615398127334</v>
      </c>
      <c r="BL85" s="34">
        <f t="shared" si="73"/>
        <v>12.89514821704481</v>
      </c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</row>
    <row r="86" spans="1:86" s="227" customFormat="1" ht="12.95" customHeight="1">
      <c r="A86" s="31" t="s">
        <v>116</v>
      </c>
      <c r="B86" s="40" t="s">
        <v>87</v>
      </c>
      <c r="C86" s="41">
        <v>53746.642800000001</v>
      </c>
      <c r="D86" s="41">
        <v>5.9999999999999995E-4</v>
      </c>
      <c r="E86" s="227">
        <f t="shared" si="78"/>
        <v>27846.576047960589</v>
      </c>
      <c r="F86" s="227">
        <f t="shared" si="79"/>
        <v>27846.5</v>
      </c>
      <c r="G86" s="227">
        <f t="shared" si="80"/>
        <v>2.508848699653754E-2</v>
      </c>
      <c r="K86" s="227">
        <f>G86</f>
        <v>2.508848699653754E-2</v>
      </c>
      <c r="P86" s="292">
        <f t="shared" si="81"/>
        <v>-1.0145933540291439E-3</v>
      </c>
      <c r="Q86" s="293">
        <f t="shared" si="82"/>
        <v>38728.142800000001</v>
      </c>
      <c r="R86" s="227">
        <f t="shared" si="83"/>
        <v>6.8137080378814047E-4</v>
      </c>
      <c r="S86" s="227">
        <v>1</v>
      </c>
      <c r="T86" s="227">
        <f t="shared" si="84"/>
        <v>6.8137080378814047E-4</v>
      </c>
      <c r="Z86" s="34">
        <f t="shared" si="85"/>
        <v>27846.5</v>
      </c>
      <c r="AA86" s="227">
        <f t="shared" si="86"/>
        <v>2.656957988737366E-2</v>
      </c>
      <c r="AB86" s="227">
        <f t="shared" si="87"/>
        <v>-2.4956862448652639E-3</v>
      </c>
      <c r="AC86" s="227">
        <f t="shared" si="88"/>
        <v>2.6103080350566684E-2</v>
      </c>
      <c r="AD86" s="227">
        <f t="shared" si="89"/>
        <v>-1.48109289083612E-3</v>
      </c>
      <c r="AE86" s="227">
        <f t="shared" si="90"/>
        <v>2.1936361512852947E-6</v>
      </c>
      <c r="AF86" s="34">
        <f t="shared" si="91"/>
        <v>2.6103080350566684E-2</v>
      </c>
      <c r="AG86" s="19"/>
      <c r="AH86" s="34">
        <f t="shared" si="92"/>
        <v>2.7584173241402804E-2</v>
      </c>
      <c r="AI86" s="34">
        <f t="shared" si="93"/>
        <v>1.0676258959068892</v>
      </c>
      <c r="AJ86" s="34">
        <f t="shared" si="94"/>
        <v>0.96636475077729611</v>
      </c>
      <c r="AK86" s="34">
        <f t="shared" si="95"/>
        <v>-3.41878422380116E-2</v>
      </c>
      <c r="AL86" s="34">
        <f t="shared" si="96"/>
        <v>-0.46807268746236935</v>
      </c>
      <c r="AM86" s="34">
        <f t="shared" si="97"/>
        <v>-0.23840504180078642</v>
      </c>
      <c r="AN86" s="227">
        <f t="shared" si="77"/>
        <v>12.131410610142964</v>
      </c>
      <c r="AO86" s="227">
        <f t="shared" si="77"/>
        <v>12.131410613299288</v>
      </c>
      <c r="AP86" s="227">
        <f t="shared" si="77"/>
        <v>12.131410659229052</v>
      </c>
      <c r="AQ86" s="227">
        <f t="shared" si="77"/>
        <v>12.131411327583365</v>
      </c>
      <c r="AR86" s="227">
        <f t="shared" si="77"/>
        <v>12.131421053224658</v>
      </c>
      <c r="AS86" s="227">
        <f t="shared" si="77"/>
        <v>12.131562572137121</v>
      </c>
      <c r="AT86" s="227">
        <f t="shared" si="77"/>
        <v>12.13362077993334</v>
      </c>
      <c r="AU86" s="227">
        <f t="shared" si="98"/>
        <v>12.163340845566195</v>
      </c>
      <c r="AV86" s="34"/>
      <c r="AW86" s="34">
        <v>38000</v>
      </c>
      <c r="AX86" s="34">
        <f t="shared" si="66"/>
        <v>4.1381844953815757E-3</v>
      </c>
      <c r="AY86" s="34">
        <f t="shared" si="67"/>
        <v>-1.9177653286738275E-2</v>
      </c>
      <c r="AZ86" s="34">
        <f t="shared" si="68"/>
        <v>2.3315837782119851E-2</v>
      </c>
      <c r="BA86" s="34">
        <f t="shared" si="69"/>
        <v>1.0689968621749737</v>
      </c>
      <c r="BB86" s="34">
        <f t="shared" si="70"/>
        <v>0.805544478043281</v>
      </c>
      <c r="BC86" s="34">
        <f t="shared" si="71"/>
        <v>0.42622796078197783</v>
      </c>
      <c r="BD86" s="34">
        <f t="shared" si="72"/>
        <v>0.21640006465542458</v>
      </c>
      <c r="BE86" s="34">
        <f t="shared" si="76"/>
        <v>12.962274559432428</v>
      </c>
      <c r="BF86" s="34">
        <f t="shared" si="76"/>
        <v>12.962274556237602</v>
      </c>
      <c r="BG86" s="34">
        <f t="shared" si="76"/>
        <v>12.962274510541754</v>
      </c>
      <c r="BH86" s="34">
        <f t="shared" si="74"/>
        <v>12.962273856950512</v>
      </c>
      <c r="BI86" s="34">
        <f t="shared" si="74"/>
        <v>12.962264508604314</v>
      </c>
      <c r="BJ86" s="34">
        <f t="shared" si="74"/>
        <v>12.962130802766694</v>
      </c>
      <c r="BK86" s="34">
        <f t="shared" si="74"/>
        <v>12.960219274632784</v>
      </c>
      <c r="BL86" s="34">
        <f t="shared" si="73"/>
        <v>12.933051949964403</v>
      </c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</row>
    <row r="87" spans="1:86" s="227" customFormat="1" ht="12.95" customHeight="1">
      <c r="A87" s="34" t="s">
        <v>114</v>
      </c>
      <c r="B87" s="40"/>
      <c r="C87" s="290">
        <v>53760.335800000001</v>
      </c>
      <c r="D87" s="290">
        <v>6.9999999999999999E-4</v>
      </c>
      <c r="E87" s="227">
        <f t="shared" si="78"/>
        <v>27888.082127002213</v>
      </c>
      <c r="F87" s="227">
        <f t="shared" si="79"/>
        <v>27888</v>
      </c>
      <c r="G87" s="227">
        <f t="shared" si="80"/>
        <v>2.7093983997474425E-2</v>
      </c>
      <c r="J87" s="227">
        <f>G87</f>
        <v>2.7093983997474425E-2</v>
      </c>
      <c r="P87" s="292">
        <f t="shared" si="81"/>
        <v>-1.0772834153916569E-3</v>
      </c>
      <c r="Q87" s="293">
        <f t="shared" si="82"/>
        <v>38741.835800000001</v>
      </c>
      <c r="R87" s="227">
        <f t="shared" si="83"/>
        <v>7.9362030764721042E-4</v>
      </c>
      <c r="S87" s="227">
        <v>1</v>
      </c>
      <c r="T87" s="227">
        <f t="shared" si="84"/>
        <v>7.9362030764721042E-4</v>
      </c>
      <c r="Z87" s="34">
        <f t="shared" si="85"/>
        <v>27888</v>
      </c>
      <c r="AA87" s="227">
        <f t="shared" si="86"/>
        <v>2.6528312898839446E-2</v>
      </c>
      <c r="AB87" s="227">
        <f t="shared" si="87"/>
        <v>-5.1161231675667801E-4</v>
      </c>
      <c r="AC87" s="227">
        <f t="shared" si="88"/>
        <v>2.8171267412866081E-2</v>
      </c>
      <c r="AD87" s="227">
        <f t="shared" si="89"/>
        <v>5.6567109863497889E-4</v>
      </c>
      <c r="AE87" s="227">
        <f t="shared" si="90"/>
        <v>3.1998379183090404E-7</v>
      </c>
      <c r="AF87" s="34">
        <f t="shared" si="91"/>
        <v>2.8171267412866081E-2</v>
      </c>
      <c r="AG87" s="19"/>
      <c r="AH87" s="34">
        <f t="shared" si="92"/>
        <v>2.7605596314231103E-2</v>
      </c>
      <c r="AI87" s="34">
        <f t="shared" si="93"/>
        <v>1.0677491252175302</v>
      </c>
      <c r="AJ87" s="34">
        <f t="shared" si="94"/>
        <v>0.96728873923468794</v>
      </c>
      <c r="AK87" s="34">
        <f t="shared" si="95"/>
        <v>-3.3942987292812019E-2</v>
      </c>
      <c r="AL87" s="34">
        <f t="shared" si="96"/>
        <v>-0.46445525972487584</v>
      </c>
      <c r="AM87" s="34">
        <f t="shared" si="97"/>
        <v>-0.23649434794711702</v>
      </c>
      <c r="AN87" s="227">
        <f t="shared" si="77"/>
        <v>12.134788964523121</v>
      </c>
      <c r="AO87" s="227">
        <f t="shared" si="77"/>
        <v>12.134788967685241</v>
      </c>
      <c r="AP87" s="227">
        <f t="shared" si="77"/>
        <v>12.134789013627481</v>
      </c>
      <c r="AQ87" s="227">
        <f t="shared" si="77"/>
        <v>12.134789681119388</v>
      </c>
      <c r="AR87" s="227">
        <f t="shared" si="77"/>
        <v>12.134799379043992</v>
      </c>
      <c r="AS87" s="227">
        <f t="shared" si="77"/>
        <v>12.13494027435628</v>
      </c>
      <c r="AT87" s="227">
        <f t="shared" si="77"/>
        <v>12.136986229117724</v>
      </c>
      <c r="AU87" s="227">
        <f t="shared" si="98"/>
        <v>12.166486855398521</v>
      </c>
      <c r="AV87" s="34"/>
      <c r="AW87" s="34">
        <v>38500</v>
      </c>
      <c r="AX87" s="34">
        <f t="shared" si="66"/>
        <v>2.423798782846355E-3</v>
      </c>
      <c r="AY87" s="34">
        <f t="shared" si="67"/>
        <v>-2.0218648528927345E-2</v>
      </c>
      <c r="AZ87" s="34">
        <f t="shared" si="68"/>
        <v>2.26424473117737E-2</v>
      </c>
      <c r="BA87" s="34">
        <f t="shared" si="69"/>
        <v>1.0675646583847682</v>
      </c>
      <c r="BB87" s="34">
        <f t="shared" si="70"/>
        <v>0.77893203827139257</v>
      </c>
      <c r="BC87" s="34">
        <f t="shared" si="71"/>
        <v>0.4698607339432157</v>
      </c>
      <c r="BD87" s="34">
        <f t="shared" si="72"/>
        <v>0.23935008028485394</v>
      </c>
      <c r="BE87" s="34">
        <f t="shared" si="76"/>
        <v>13.00300063862376</v>
      </c>
      <c r="BF87" s="34">
        <f t="shared" si="76"/>
        <v>13.003000635470466</v>
      </c>
      <c r="BG87" s="34">
        <f t="shared" si="76"/>
        <v>13.003000589549105</v>
      </c>
      <c r="BH87" s="34">
        <f t="shared" si="74"/>
        <v>13.002999920797215</v>
      </c>
      <c r="BI87" s="34">
        <f t="shared" si="74"/>
        <v>13.00299018180009</v>
      </c>
      <c r="BJ87" s="34">
        <f t="shared" si="74"/>
        <v>13.002848358333436</v>
      </c>
      <c r="BK87" s="34">
        <f t="shared" si="74"/>
        <v>13.000784124706644</v>
      </c>
      <c r="BL87" s="34">
        <f t="shared" si="73"/>
        <v>12.970955682883998</v>
      </c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</row>
    <row r="88" spans="1:86" s="227" customFormat="1" ht="12.95" customHeight="1">
      <c r="A88" s="295" t="s">
        <v>490</v>
      </c>
      <c r="B88" s="296" t="s">
        <v>86</v>
      </c>
      <c r="C88" s="295">
        <v>53809.325900000003</v>
      </c>
      <c r="D88" s="295" t="s">
        <v>264</v>
      </c>
      <c r="E88" s="227">
        <f t="shared" si="78"/>
        <v>28036.580408084323</v>
      </c>
      <c r="F88" s="227">
        <f t="shared" si="79"/>
        <v>28036.5</v>
      </c>
      <c r="G88" s="227">
        <f t="shared" si="80"/>
        <v>2.6526907000516076E-2</v>
      </c>
      <c r="K88" s="227">
        <f t="shared" ref="K88:K93" si="99">G88</f>
        <v>2.6526907000516076E-2</v>
      </c>
      <c r="O88" s="227">
        <f ca="1">+C$11+C$12*F88</f>
        <v>3.9640946890170961E-2</v>
      </c>
      <c r="P88" s="292">
        <f t="shared" si="81"/>
        <v>-1.3023844609468364E-3</v>
      </c>
      <c r="Q88" s="293">
        <f t="shared" si="82"/>
        <v>38790.825900000003</v>
      </c>
      <c r="R88" s="227">
        <f t="shared" si="83"/>
        <v>7.7446946324705255E-4</v>
      </c>
      <c r="S88" s="227">
        <v>1</v>
      </c>
      <c r="T88" s="227">
        <f t="shared" si="84"/>
        <v>7.7446946324705255E-4</v>
      </c>
      <c r="Z88" s="34">
        <f t="shared" si="85"/>
        <v>28036.5</v>
      </c>
      <c r="AA88" s="227">
        <f t="shared" si="86"/>
        <v>2.6377306650057677E-2</v>
      </c>
      <c r="AB88" s="227">
        <f t="shared" si="87"/>
        <v>-1.1527841104884383E-3</v>
      </c>
      <c r="AC88" s="227">
        <f t="shared" si="88"/>
        <v>2.7829291461462912E-2</v>
      </c>
      <c r="AD88" s="227">
        <f t="shared" si="89"/>
        <v>1.4960035045839815E-4</v>
      </c>
      <c r="AE88" s="227">
        <f t="shared" si="90"/>
        <v>2.2380264857275545E-8</v>
      </c>
      <c r="AF88" s="34">
        <f t="shared" si="91"/>
        <v>2.7829291461462912E-2</v>
      </c>
      <c r="AG88" s="19"/>
      <c r="AH88" s="34">
        <f t="shared" si="92"/>
        <v>2.7679691111004514E-2</v>
      </c>
      <c r="AI88" s="34">
        <f t="shared" si="93"/>
        <v>1.0681830290844538</v>
      </c>
      <c r="AJ88" s="34">
        <f t="shared" si="94"/>
        <v>0.97049292642795082</v>
      </c>
      <c r="AK88" s="34">
        <f t="shared" si="95"/>
        <v>-3.3062741854981009E-2</v>
      </c>
      <c r="AL88" s="34">
        <f t="shared" si="96"/>
        <v>-0.4515041939718405</v>
      </c>
      <c r="AM88" s="34">
        <f t="shared" si="97"/>
        <v>-0.2296670014112363</v>
      </c>
      <c r="AN88" s="227">
        <f t="shared" si="77"/>
        <v>12.146880938438294</v>
      </c>
      <c r="AO88" s="227">
        <f t="shared" si="77"/>
        <v>12.146880941617411</v>
      </c>
      <c r="AP88" s="227">
        <f t="shared" si="77"/>
        <v>12.146880987554185</v>
      </c>
      <c r="AQ88" s="227">
        <f t="shared" si="77"/>
        <v>12.146881651318914</v>
      </c>
      <c r="AR88" s="227">
        <f t="shared" si="77"/>
        <v>12.1468912423845</v>
      </c>
      <c r="AS88" s="227">
        <f t="shared" si="77"/>
        <v>12.147029823867159</v>
      </c>
      <c r="AT88" s="227">
        <f t="shared" si="77"/>
        <v>12.149031236908456</v>
      </c>
      <c r="AU88" s="227">
        <f t="shared" si="98"/>
        <v>12.17774426407564</v>
      </c>
      <c r="AV88" s="34"/>
      <c r="AW88" s="34">
        <v>39000</v>
      </c>
      <c r="AX88" s="34">
        <f t="shared" si="66"/>
        <v>6.5912544686824032E-4</v>
      </c>
      <c r="AY88" s="34">
        <f t="shared" si="67"/>
        <v>-2.1273401845714308E-2</v>
      </c>
      <c r="AZ88" s="34">
        <f t="shared" si="68"/>
        <v>2.1932527292582549E-2</v>
      </c>
      <c r="BA88" s="34">
        <f t="shared" si="69"/>
        <v>1.0660083849457296</v>
      </c>
      <c r="BB88" s="34">
        <f t="shared" si="70"/>
        <v>0.75091746364207335</v>
      </c>
      <c r="BC88" s="34">
        <f t="shared" si="71"/>
        <v>0.51337150481949656</v>
      </c>
      <c r="BD88" s="34">
        <f t="shared" si="72"/>
        <v>0.26247586635245085</v>
      </c>
      <c r="BE88" s="34">
        <f t="shared" si="76"/>
        <v>13.043669739984198</v>
      </c>
      <c r="BF88" s="34">
        <f t="shared" si="76"/>
        <v>13.043669736936868</v>
      </c>
      <c r="BG88" s="34">
        <f t="shared" si="76"/>
        <v>13.043669691662188</v>
      </c>
      <c r="BH88" s="34">
        <f t="shared" si="74"/>
        <v>13.043669019008911</v>
      </c>
      <c r="BI88" s="34">
        <f t="shared" si="74"/>
        <v>13.043659025317458</v>
      </c>
      <c r="BJ88" s="34">
        <f t="shared" si="74"/>
        <v>13.043510553912553</v>
      </c>
      <c r="BK88" s="34">
        <f t="shared" si="74"/>
        <v>13.041306125598318</v>
      </c>
      <c r="BL88" s="34">
        <f t="shared" si="73"/>
        <v>13.008859415803594</v>
      </c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</row>
    <row r="89" spans="1:86" s="227" customFormat="1" ht="12.95" customHeight="1">
      <c r="A89" s="31" t="s">
        <v>116</v>
      </c>
      <c r="B89" s="40" t="s">
        <v>86</v>
      </c>
      <c r="C89" s="41">
        <v>54020.464099999997</v>
      </c>
      <c r="D89" s="41">
        <v>1E-4</v>
      </c>
      <c r="E89" s="227">
        <f t="shared" si="78"/>
        <v>28676.580321756024</v>
      </c>
      <c r="F89" s="227">
        <f t="shared" si="79"/>
        <v>28676.5</v>
      </c>
      <c r="G89" s="227">
        <f t="shared" si="80"/>
        <v>2.6498426988837309E-2</v>
      </c>
      <c r="K89" s="227">
        <f t="shared" si="99"/>
        <v>2.6498426988837309E-2</v>
      </c>
      <c r="P89" s="292">
        <f t="shared" si="81"/>
        <v>-2.2864026627013208E-3</v>
      </c>
      <c r="Q89" s="293">
        <f t="shared" si="82"/>
        <v>39001.964099999997</v>
      </c>
      <c r="R89" s="227">
        <f t="shared" si="83"/>
        <v>8.2856641806809748E-4</v>
      </c>
      <c r="S89" s="227">
        <v>1</v>
      </c>
      <c r="T89" s="227">
        <f t="shared" si="84"/>
        <v>8.2856641806809748E-4</v>
      </c>
      <c r="Z89" s="34">
        <f t="shared" si="85"/>
        <v>28676.5</v>
      </c>
      <c r="AA89" s="227">
        <f t="shared" si="86"/>
        <v>2.5666430369050287E-2</v>
      </c>
      <c r="AB89" s="227">
        <f t="shared" si="87"/>
        <v>-1.454406042914299E-3</v>
      </c>
      <c r="AC89" s="227">
        <f t="shared" si="88"/>
        <v>2.878482965153863E-2</v>
      </c>
      <c r="AD89" s="227">
        <f t="shared" si="89"/>
        <v>8.3199661978702183E-4</v>
      </c>
      <c r="AE89" s="227">
        <f t="shared" si="90"/>
        <v>6.9221837533703014E-7</v>
      </c>
      <c r="AF89" s="34">
        <f t="shared" si="91"/>
        <v>2.878482965153863E-2</v>
      </c>
      <c r="AG89" s="19"/>
      <c r="AH89" s="34">
        <f t="shared" si="92"/>
        <v>2.7952833031751608E-2</v>
      </c>
      <c r="AI89" s="34">
        <f t="shared" si="93"/>
        <v>1.0699246935338329</v>
      </c>
      <c r="AJ89" s="34">
        <f t="shared" si="94"/>
        <v>0.98245502851362254</v>
      </c>
      <c r="AK89" s="34">
        <f t="shared" si="95"/>
        <v>-2.9199444999864831E-2</v>
      </c>
      <c r="AL89" s="34">
        <f t="shared" si="96"/>
        <v>-0.3955726415912621</v>
      </c>
      <c r="AM89" s="34">
        <f t="shared" si="97"/>
        <v>-0.20040642316712667</v>
      </c>
      <c r="AN89" s="227">
        <f t="shared" si="77"/>
        <v>12.199048387330203</v>
      </c>
      <c r="AO89" s="227">
        <f t="shared" si="77"/>
        <v>12.199048390511591</v>
      </c>
      <c r="AP89" s="227">
        <f t="shared" si="77"/>
        <v>12.199048435496257</v>
      </c>
      <c r="AQ89" s="227">
        <f t="shared" si="77"/>
        <v>12.19904907157736</v>
      </c>
      <c r="AR89" s="227">
        <f t="shared" si="77"/>
        <v>12.199058065718081</v>
      </c>
      <c r="AS89" s="227">
        <f t="shared" si="77"/>
        <v>12.199185238885191</v>
      </c>
      <c r="AT89" s="227">
        <f t="shared" si="77"/>
        <v>12.200982746765375</v>
      </c>
      <c r="AU89" s="227">
        <f t="shared" si="98"/>
        <v>12.226261042212721</v>
      </c>
      <c r="AV89" s="34"/>
      <c r="AW89" s="34">
        <v>40000</v>
      </c>
      <c r="AX89" s="34">
        <f t="shared" si="66"/>
        <v>-3.0153575750077183E-3</v>
      </c>
      <c r="AY89" s="34">
        <f t="shared" si="67"/>
        <v>-2.3424182703081886E-2</v>
      </c>
      <c r="AZ89" s="34">
        <f t="shared" si="68"/>
        <v>2.0408825128074168E-2</v>
      </c>
      <c r="BA89" s="34">
        <f t="shared" si="69"/>
        <v>1.0625414982004626</v>
      </c>
      <c r="BB89" s="34">
        <f t="shared" si="70"/>
        <v>0.69097237590674354</v>
      </c>
      <c r="BC89" s="34">
        <f t="shared" si="71"/>
        <v>0.59998842254682516</v>
      </c>
      <c r="BD89" s="34">
        <f t="shared" si="72"/>
        <v>0.30932990697742502</v>
      </c>
      <c r="BE89" s="34">
        <f t="shared" si="76"/>
        <v>13.12481859457813</v>
      </c>
      <c r="BF89" s="34">
        <f t="shared" si="76"/>
        <v>13.124818591896773</v>
      </c>
      <c r="BG89" s="34">
        <f t="shared" si="76"/>
        <v>13.124818550172916</v>
      </c>
      <c r="BH89" s="34">
        <f t="shared" si="74"/>
        <v>13.124817900919805</v>
      </c>
      <c r="BI89" s="34">
        <f t="shared" si="74"/>
        <v>13.124807798110114</v>
      </c>
      <c r="BJ89" s="34">
        <f t="shared" si="74"/>
        <v>13.124650599895491</v>
      </c>
      <c r="BK89" s="34">
        <f t="shared" si="74"/>
        <v>13.122206602004493</v>
      </c>
      <c r="BL89" s="34">
        <f t="shared" si="73"/>
        <v>13.084666881642782</v>
      </c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</row>
    <row r="90" spans="1:86" s="227" customFormat="1" ht="12.95" customHeight="1">
      <c r="A90" s="31" t="s">
        <v>116</v>
      </c>
      <c r="B90" s="40" t="s">
        <v>87</v>
      </c>
      <c r="C90" s="41">
        <v>54027.558400000002</v>
      </c>
      <c r="D90" s="41">
        <v>4.0000000000000002E-4</v>
      </c>
      <c r="E90" s="227">
        <f t="shared" si="78"/>
        <v>28698.084490056997</v>
      </c>
      <c r="F90" s="227">
        <f t="shared" si="79"/>
        <v>28698</v>
      </c>
      <c r="G90" s="227">
        <f t="shared" si="80"/>
        <v>2.7873563994944561E-2</v>
      </c>
      <c r="K90" s="227">
        <f t="shared" si="99"/>
        <v>2.7873563994944561E-2</v>
      </c>
      <c r="P90" s="292">
        <f t="shared" si="81"/>
        <v>-2.3198508657194111E-3</v>
      </c>
      <c r="Q90" s="293">
        <f t="shared" si="82"/>
        <v>39009.058400000002</v>
      </c>
      <c r="R90" s="227">
        <f t="shared" si="83"/>
        <v>9.1164230094816401E-4</v>
      </c>
      <c r="S90" s="227">
        <v>1</v>
      </c>
      <c r="T90" s="227">
        <f t="shared" si="84"/>
        <v>9.1164230094816401E-4</v>
      </c>
      <c r="Z90" s="34">
        <f t="shared" si="85"/>
        <v>28698</v>
      </c>
      <c r="AA90" s="227">
        <f t="shared" si="86"/>
        <v>2.5640847638283434E-2</v>
      </c>
      <c r="AB90" s="227">
        <f t="shared" si="87"/>
        <v>-8.7134509058284237E-5</v>
      </c>
      <c r="AC90" s="227">
        <f t="shared" si="88"/>
        <v>3.0193414860663972E-2</v>
      </c>
      <c r="AD90" s="227">
        <f t="shared" si="89"/>
        <v>2.2327163566611269E-3</v>
      </c>
      <c r="AE90" s="227">
        <f t="shared" si="90"/>
        <v>4.9850223293021364E-6</v>
      </c>
      <c r="AF90" s="34">
        <f t="shared" si="91"/>
        <v>3.0193414860663972E-2</v>
      </c>
      <c r="AG90" s="19"/>
      <c r="AH90" s="34">
        <f t="shared" si="92"/>
        <v>2.7960698504002846E-2</v>
      </c>
      <c r="AI90" s="34">
        <f t="shared" si="93"/>
        <v>1.0699795243984118</v>
      </c>
      <c r="AJ90" s="34">
        <f t="shared" si="94"/>
        <v>0.98280428948261656</v>
      </c>
      <c r="AK90" s="34">
        <f t="shared" si="95"/>
        <v>-2.9067791781844862E-2</v>
      </c>
      <c r="AL90" s="34">
        <f t="shared" si="96"/>
        <v>-0.39369059427196018</v>
      </c>
      <c r="AM90" s="34">
        <f t="shared" si="97"/>
        <v>-0.19942778969298958</v>
      </c>
      <c r="AN90" s="227">
        <f t="shared" si="77"/>
        <v>12.200802331328866</v>
      </c>
      <c r="AO90" s="227">
        <f t="shared" si="77"/>
        <v>12.20080233450823</v>
      </c>
      <c r="AP90" s="227">
        <f t="shared" si="77"/>
        <v>12.200802379434041</v>
      </c>
      <c r="AQ90" s="227">
        <f t="shared" si="77"/>
        <v>12.200803014255479</v>
      </c>
      <c r="AR90" s="227">
        <f t="shared" si="77"/>
        <v>12.200811984544584</v>
      </c>
      <c r="AS90" s="227">
        <f t="shared" si="77"/>
        <v>12.200938735142541</v>
      </c>
      <c r="AT90" s="227">
        <f t="shared" si="77"/>
        <v>12.202729071246992</v>
      </c>
      <c r="AU90" s="227">
        <f t="shared" si="98"/>
        <v>12.227890902728264</v>
      </c>
      <c r="AV90" s="34"/>
      <c r="AW90" s="34">
        <v>40500</v>
      </c>
      <c r="AX90" s="34">
        <f t="shared" si="66"/>
        <v>-4.9221548184100947E-3</v>
      </c>
      <c r="AY90" s="34">
        <f t="shared" si="67"/>
        <v>-2.4520210243662501E-2</v>
      </c>
      <c r="AZ90" s="34">
        <f t="shared" si="68"/>
        <v>1.9598055425252406E-2</v>
      </c>
      <c r="BA90" s="34">
        <f t="shared" si="69"/>
        <v>1.0606404679137531</v>
      </c>
      <c r="BB90" s="34">
        <f t="shared" si="70"/>
        <v>0.65919326613444185</v>
      </c>
      <c r="BC90" s="34">
        <f t="shared" si="71"/>
        <v>0.64307631780046959</v>
      </c>
      <c r="BD90" s="34">
        <f t="shared" si="72"/>
        <v>0.33309735504068549</v>
      </c>
      <c r="BE90" s="34">
        <f t="shared" si="76"/>
        <v>13.165289582694028</v>
      </c>
      <c r="BF90" s="34">
        <f t="shared" si="76"/>
        <v>13.165289580250326</v>
      </c>
      <c r="BG90" s="34">
        <f t="shared" si="76"/>
        <v>13.165289541205572</v>
      </c>
      <c r="BH90" s="34">
        <f t="shared" si="74"/>
        <v>13.165288917360254</v>
      </c>
      <c r="BI90" s="34">
        <f t="shared" si="74"/>
        <v>13.165278949783607</v>
      </c>
      <c r="BJ90" s="34">
        <f t="shared" si="74"/>
        <v>13.165119700616044</v>
      </c>
      <c r="BK90" s="34">
        <f t="shared" si="74"/>
        <v>13.162577761302517</v>
      </c>
      <c r="BL90" s="34">
        <f t="shared" si="73"/>
        <v>13.122570614562378</v>
      </c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</row>
    <row r="91" spans="1:86" s="227" customFormat="1" ht="12.95" customHeight="1">
      <c r="A91" s="245" t="s">
        <v>120</v>
      </c>
      <c r="B91" s="232"/>
      <c r="C91" s="290">
        <v>54134.609792267584</v>
      </c>
      <c r="D91" s="339">
        <v>1E-4</v>
      </c>
      <c r="E91" s="227">
        <f t="shared" si="78"/>
        <v>29022.577555782147</v>
      </c>
      <c r="F91" s="227">
        <f t="shared" si="79"/>
        <v>29022.5</v>
      </c>
      <c r="G91" s="227">
        <f t="shared" si="80"/>
        <v>2.5585922579921316E-2</v>
      </c>
      <c r="K91" s="227">
        <f t="shared" si="99"/>
        <v>2.5585922579921316E-2</v>
      </c>
      <c r="P91" s="292">
        <f t="shared" si="81"/>
        <v>-2.8277748024198718E-3</v>
      </c>
      <c r="Q91" s="293">
        <f t="shared" si="82"/>
        <v>39116.109792267584</v>
      </c>
      <c r="R91" s="227">
        <f t="shared" si="83"/>
        <v>8.0733819893526247E-4</v>
      </c>
      <c r="S91" s="227">
        <v>1</v>
      </c>
      <c r="T91" s="227">
        <f t="shared" si="84"/>
        <v>8.0733819893526247E-4</v>
      </c>
      <c r="Z91" s="34">
        <f t="shared" si="85"/>
        <v>29022.5</v>
      </c>
      <c r="AA91" s="227">
        <f t="shared" si="86"/>
        <v>2.5241217631013363E-2</v>
      </c>
      <c r="AB91" s="227">
        <f t="shared" si="87"/>
        <v>-2.4830698535119183E-3</v>
      </c>
      <c r="AC91" s="227">
        <f t="shared" si="88"/>
        <v>2.8413697382341188E-2</v>
      </c>
      <c r="AD91" s="227">
        <f t="shared" si="89"/>
        <v>3.4470494890795345E-4</v>
      </c>
      <c r="AE91" s="227">
        <f t="shared" si="90"/>
        <v>1.1882150180163479E-7</v>
      </c>
      <c r="AF91" s="34">
        <f t="shared" si="91"/>
        <v>2.8413697382341188E-2</v>
      </c>
      <c r="AG91" s="19"/>
      <c r="AH91" s="34">
        <f t="shared" si="92"/>
        <v>2.8068992433433235E-2</v>
      </c>
      <c r="AI91" s="34">
        <f t="shared" si="93"/>
        <v>1.0707774954697098</v>
      </c>
      <c r="AJ91" s="34">
        <f t="shared" si="94"/>
        <v>0.98765582625121295</v>
      </c>
      <c r="AK91" s="34">
        <f t="shared" si="95"/>
        <v>-2.7066889166208391E-2</v>
      </c>
      <c r="AL91" s="34">
        <f t="shared" si="96"/>
        <v>-0.36526191829351462</v>
      </c>
      <c r="AM91" s="34">
        <f t="shared" si="97"/>
        <v>-0.18468891509159116</v>
      </c>
      <c r="AN91" s="227">
        <f t="shared" ref="AN91:AT100" si="100">$AU91+$AB$7*SIN(AO91)</f>
        <v>12.227285313057088</v>
      </c>
      <c r="AO91" s="227">
        <f t="shared" si="100"/>
        <v>12.227285316188624</v>
      </c>
      <c r="AP91" s="227">
        <f t="shared" si="100"/>
        <v>12.227285360009798</v>
      </c>
      <c r="AQ91" s="227">
        <f t="shared" si="100"/>
        <v>12.227285973221884</v>
      </c>
      <c r="AR91" s="227">
        <f t="shared" si="100"/>
        <v>12.227294554197838</v>
      </c>
      <c r="AS91" s="227">
        <f t="shared" si="100"/>
        <v>12.227414629257819</v>
      </c>
      <c r="AT91" s="227">
        <f t="shared" si="100"/>
        <v>12.22909432791306</v>
      </c>
      <c r="AU91" s="227">
        <f t="shared" si="98"/>
        <v>12.252490425393081</v>
      </c>
      <c r="AV91" s="34"/>
      <c r="AW91" s="34">
        <v>41000</v>
      </c>
      <c r="AX91" s="34">
        <f t="shared" si="66"/>
        <v>-6.8732254328815467E-3</v>
      </c>
      <c r="AY91" s="34">
        <f t="shared" si="67"/>
        <v>-2.5629995858841008E-2</v>
      </c>
      <c r="AZ91" s="34">
        <f t="shared" si="68"/>
        <v>1.8756770425959461E-2</v>
      </c>
      <c r="BA91" s="34">
        <f t="shared" si="69"/>
        <v>1.0586344791356521</v>
      </c>
      <c r="BB91" s="34">
        <f t="shared" si="70"/>
        <v>0.62631405192938605</v>
      </c>
      <c r="BC91" s="34">
        <f t="shared" si="71"/>
        <v>0.68600574811190573</v>
      </c>
      <c r="BD91" s="34">
        <f t="shared" si="72"/>
        <v>0.35711910392049506</v>
      </c>
      <c r="BE91" s="34">
        <f t="shared" si="76"/>
        <v>13.205686081271834</v>
      </c>
      <c r="BF91" s="34">
        <f t="shared" si="76"/>
        <v>13.205686079086762</v>
      </c>
      <c r="BG91" s="34">
        <f t="shared" si="76"/>
        <v>13.205686043154556</v>
      </c>
      <c r="BH91" s="34">
        <f t="shared" si="74"/>
        <v>13.205685452270691</v>
      </c>
      <c r="BI91" s="34">
        <f t="shared" si="74"/>
        <v>13.205675735572839</v>
      </c>
      <c r="BJ91" s="34">
        <f t="shared" si="74"/>
        <v>13.205515960911598</v>
      </c>
      <c r="BK91" s="34">
        <f t="shared" si="74"/>
        <v>13.202891449495286</v>
      </c>
      <c r="BL91" s="34">
        <f t="shared" si="73"/>
        <v>13.160474347481973</v>
      </c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</row>
    <row r="92" spans="1:86" s="227" customFormat="1" ht="12.95" customHeight="1">
      <c r="A92" s="21" t="s">
        <v>120</v>
      </c>
      <c r="B92" s="122" t="s">
        <v>86</v>
      </c>
      <c r="C92" s="21">
        <v>54134.609799999998</v>
      </c>
      <c r="D92" s="21">
        <v>1E-4</v>
      </c>
      <c r="E92" s="227">
        <f t="shared" si="78"/>
        <v>29022.57757922056</v>
      </c>
      <c r="F92" s="227">
        <f t="shared" si="79"/>
        <v>29022.5</v>
      </c>
      <c r="G92" s="227">
        <f t="shared" si="80"/>
        <v>2.5593654994736426E-2</v>
      </c>
      <c r="K92" s="227">
        <f t="shared" si="99"/>
        <v>2.5593654994736426E-2</v>
      </c>
      <c r="P92" s="292">
        <f t="shared" si="81"/>
        <v>-2.8277748024198718E-3</v>
      </c>
      <c r="Q92" s="293">
        <f t="shared" si="82"/>
        <v>39116.109799999998</v>
      </c>
      <c r="R92" s="227">
        <f t="shared" si="83"/>
        <v>8.0777767171468385E-4</v>
      </c>
      <c r="S92" s="227">
        <v>1</v>
      </c>
      <c r="T92" s="227">
        <f t="shared" si="84"/>
        <v>8.0777767171468385E-4</v>
      </c>
      <c r="Z92" s="34">
        <f t="shared" si="85"/>
        <v>29022.5</v>
      </c>
      <c r="AA92" s="227">
        <f t="shared" si="86"/>
        <v>2.5241217631013363E-2</v>
      </c>
      <c r="AB92" s="227">
        <f t="shared" si="87"/>
        <v>-2.4753374386968091E-3</v>
      </c>
      <c r="AC92" s="227">
        <f t="shared" si="88"/>
        <v>2.8421429797156297E-2</v>
      </c>
      <c r="AD92" s="227">
        <f t="shared" si="89"/>
        <v>3.5243736372306267E-4</v>
      </c>
      <c r="AE92" s="227">
        <f t="shared" si="90"/>
        <v>1.2421209534806238E-7</v>
      </c>
      <c r="AF92" s="34">
        <f t="shared" si="91"/>
        <v>2.8421429797156297E-2</v>
      </c>
      <c r="AG92" s="19"/>
      <c r="AH92" s="34">
        <f t="shared" si="92"/>
        <v>2.8068992433433235E-2</v>
      </c>
      <c r="AI92" s="34">
        <f t="shared" si="93"/>
        <v>1.0707774954697098</v>
      </c>
      <c r="AJ92" s="34">
        <f t="shared" si="94"/>
        <v>0.98765582625121295</v>
      </c>
      <c r="AK92" s="34">
        <f t="shared" si="95"/>
        <v>-2.7066889166208391E-2</v>
      </c>
      <c r="AL92" s="34">
        <f t="shared" si="96"/>
        <v>-0.36526191829351462</v>
      </c>
      <c r="AM92" s="34">
        <f t="shared" si="97"/>
        <v>-0.18468891509159116</v>
      </c>
      <c r="AN92" s="227">
        <f t="shared" si="100"/>
        <v>12.227285313057088</v>
      </c>
      <c r="AO92" s="227">
        <f t="shared" si="100"/>
        <v>12.227285316188624</v>
      </c>
      <c r="AP92" s="227">
        <f t="shared" si="100"/>
        <v>12.227285360009798</v>
      </c>
      <c r="AQ92" s="227">
        <f t="shared" si="100"/>
        <v>12.227285973221884</v>
      </c>
      <c r="AR92" s="227">
        <f t="shared" si="100"/>
        <v>12.227294554197838</v>
      </c>
      <c r="AS92" s="227">
        <f t="shared" si="100"/>
        <v>12.227414629257819</v>
      </c>
      <c r="AT92" s="227">
        <f t="shared" si="100"/>
        <v>12.22909432791306</v>
      </c>
      <c r="AU92" s="227">
        <f t="shared" si="98"/>
        <v>12.252490425393081</v>
      </c>
      <c r="AV92" s="34"/>
      <c r="AW92" s="34">
        <v>41500</v>
      </c>
      <c r="AX92" s="34">
        <f t="shared" si="66"/>
        <v>-8.8669380609304876E-3</v>
      </c>
      <c r="AY92" s="34">
        <f t="shared" si="67"/>
        <v>-2.6753539548617394E-2</v>
      </c>
      <c r="AZ92" s="34">
        <f t="shared" si="68"/>
        <v>1.7886601487686907E-2</v>
      </c>
      <c r="BA92" s="34">
        <f t="shared" si="69"/>
        <v>1.0565288476582395</v>
      </c>
      <c r="BB92" s="34">
        <f t="shared" si="70"/>
        <v>0.59241486208769611</v>
      </c>
      <c r="BC92" s="34">
        <f t="shared" si="71"/>
        <v>0.72876873092791961</v>
      </c>
      <c r="BD92" s="34">
        <f t="shared" si="72"/>
        <v>0.38141669650131049</v>
      </c>
      <c r="BE92" s="34">
        <f t="shared" si="76"/>
        <v>13.246004189791661</v>
      </c>
      <c r="BF92" s="34">
        <f t="shared" si="76"/>
        <v>13.246004187875053</v>
      </c>
      <c r="BG92" s="34">
        <f t="shared" si="76"/>
        <v>13.246004155356625</v>
      </c>
      <c r="BH92" s="34">
        <f t="shared" si="74"/>
        <v>13.246003603627987</v>
      </c>
      <c r="BI92" s="34">
        <f t="shared" si="74"/>
        <v>13.245994242681341</v>
      </c>
      <c r="BJ92" s="34">
        <f t="shared" si="74"/>
        <v>13.245835430245313</v>
      </c>
      <c r="BK92" s="34">
        <f t="shared" si="74"/>
        <v>13.243144204631516</v>
      </c>
      <c r="BL92" s="34">
        <f t="shared" si="73"/>
        <v>13.198378080401566</v>
      </c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</row>
    <row r="93" spans="1:86" s="227" customFormat="1" ht="12.95" customHeight="1">
      <c r="A93" s="21" t="s">
        <v>117</v>
      </c>
      <c r="B93" s="122" t="s">
        <v>87</v>
      </c>
      <c r="C93" s="21">
        <v>54173.374499999998</v>
      </c>
      <c r="D93" s="21">
        <v>2.9999999999999997E-4</v>
      </c>
      <c r="E93" s="227">
        <f t="shared" si="78"/>
        <v>29140.080734279712</v>
      </c>
      <c r="F93" s="227">
        <f t="shared" si="79"/>
        <v>29140</v>
      </c>
      <c r="G93" s="227">
        <f t="shared" si="80"/>
        <v>2.6634519992512651E-2</v>
      </c>
      <c r="K93" s="227">
        <f t="shared" si="99"/>
        <v>2.6634519992512651E-2</v>
      </c>
      <c r="P93" s="292">
        <f t="shared" si="81"/>
        <v>-3.0131208414936987E-3</v>
      </c>
      <c r="Q93" s="293">
        <f t="shared" si="82"/>
        <v>39154.874499999998</v>
      </c>
      <c r="R93" s="227">
        <f t="shared" si="83"/>
        <v>8.7898260702224068E-4</v>
      </c>
      <c r="S93" s="227">
        <v>1</v>
      </c>
      <c r="T93" s="227">
        <f t="shared" si="84"/>
        <v>8.7898260702224068E-4</v>
      </c>
      <c r="Z93" s="34">
        <f t="shared" si="85"/>
        <v>29140</v>
      </c>
      <c r="AA93" s="227">
        <f t="shared" si="86"/>
        <v>2.5090249943620403E-2</v>
      </c>
      <c r="AB93" s="227">
        <f t="shared" si="87"/>
        <v>-1.4688507926014505E-3</v>
      </c>
      <c r="AC93" s="227">
        <f t="shared" si="88"/>
        <v>2.964764083400635E-2</v>
      </c>
      <c r="AD93" s="227">
        <f t="shared" si="89"/>
        <v>1.5442700488922483E-3</v>
      </c>
      <c r="AE93" s="227">
        <f t="shared" si="90"/>
        <v>2.3847699839056668E-6</v>
      </c>
      <c r="AF93" s="34">
        <f t="shared" si="91"/>
        <v>2.964764083400635E-2</v>
      </c>
      <c r="AG93" s="19"/>
      <c r="AH93" s="34">
        <f t="shared" si="92"/>
        <v>2.8103370785114101E-2</v>
      </c>
      <c r="AI93" s="34">
        <f t="shared" si="93"/>
        <v>1.0710526342077837</v>
      </c>
      <c r="AJ93" s="34">
        <f t="shared" si="94"/>
        <v>0.98921740254398249</v>
      </c>
      <c r="AK93" s="34">
        <f t="shared" si="95"/>
        <v>-2.6336163848128421E-2</v>
      </c>
      <c r="AL93" s="34">
        <f t="shared" si="96"/>
        <v>-0.3549577769335181</v>
      </c>
      <c r="AM93" s="34">
        <f t="shared" si="97"/>
        <v>-0.1793661250050671</v>
      </c>
      <c r="AN93" s="227">
        <f t="shared" si="100"/>
        <v>12.236879453238261</v>
      </c>
      <c r="AO93" s="227">
        <f t="shared" si="100"/>
        <v>12.23687945634437</v>
      </c>
      <c r="AP93" s="227">
        <f t="shared" si="100"/>
        <v>12.236879499665134</v>
      </c>
      <c r="AQ93" s="227">
        <f t="shared" si="100"/>
        <v>12.23688010385801</v>
      </c>
      <c r="AR93" s="227">
        <f t="shared" si="100"/>
        <v>12.236888530497568</v>
      </c>
      <c r="AS93" s="227">
        <f t="shared" si="100"/>
        <v>12.237006053772223</v>
      </c>
      <c r="AT93" s="227">
        <f t="shared" si="100"/>
        <v>12.238644617046292</v>
      </c>
      <c r="AU93" s="227">
        <f t="shared" si="98"/>
        <v>12.261397802629185</v>
      </c>
      <c r="AV93" s="34"/>
      <c r="AW93" s="34">
        <v>42000</v>
      </c>
      <c r="AX93" s="34">
        <f t="shared" si="66"/>
        <v>-1.0901621045609981E-2</v>
      </c>
      <c r="AY93" s="34">
        <f t="shared" si="67"/>
        <v>-2.7890841312991674E-2</v>
      </c>
      <c r="AZ93" s="34">
        <f t="shared" si="68"/>
        <v>1.6989220267381692E-2</v>
      </c>
      <c r="BA93" s="34">
        <f t="shared" si="69"/>
        <v>1.0543290486091415</v>
      </c>
      <c r="BB93" s="34">
        <f t="shared" si="70"/>
        <v>0.55757690999361442</v>
      </c>
      <c r="BC93" s="34">
        <f t="shared" si="71"/>
        <v>0.77135776756725816</v>
      </c>
      <c r="BD93" s="34">
        <f t="shared" si="72"/>
        <v>0.40601260144923895</v>
      </c>
      <c r="BE93" s="34">
        <f t="shared" si="76"/>
        <v>13.286240213511716</v>
      </c>
      <c r="BF93" s="34">
        <f t="shared" si="76"/>
        <v>13.286240211863229</v>
      </c>
      <c r="BG93" s="34">
        <f t="shared" si="76"/>
        <v>13.286240182930054</v>
      </c>
      <c r="BH93" s="34">
        <f t="shared" si="74"/>
        <v>13.286239675113986</v>
      </c>
      <c r="BI93" s="34">
        <f t="shared" si="74"/>
        <v>13.286230762297041</v>
      </c>
      <c r="BJ93" s="34">
        <f t="shared" si="74"/>
        <v>13.286074342377233</v>
      </c>
      <c r="BK93" s="34">
        <f t="shared" si="74"/>
        <v>13.283332652291534</v>
      </c>
      <c r="BL93" s="34">
        <f t="shared" si="73"/>
        <v>13.236281813321161</v>
      </c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</row>
    <row r="94" spans="1:86" s="227" customFormat="1" ht="12.95" customHeight="1">
      <c r="A94" s="21" t="s">
        <v>121</v>
      </c>
      <c r="B94" s="122" t="s">
        <v>87</v>
      </c>
      <c r="C94" s="21">
        <v>54472.2644</v>
      </c>
      <c r="D94" s="21">
        <v>2.9999999999999997E-4</v>
      </c>
      <c r="E94" s="227">
        <f t="shared" si="78"/>
        <v>30046.072687404965</v>
      </c>
      <c r="F94" s="227">
        <f t="shared" si="79"/>
        <v>30046</v>
      </c>
      <c r="G94" s="227">
        <f t="shared" si="80"/>
        <v>2.3979827994480729E-2</v>
      </c>
      <c r="J94" s="227">
        <f>G94</f>
        <v>2.3979827994480729E-2</v>
      </c>
      <c r="P94" s="292">
        <f t="shared" si="81"/>
        <v>-4.4677725862391909E-3</v>
      </c>
      <c r="Q94" s="293">
        <f t="shared" si="82"/>
        <v>39453.7644</v>
      </c>
      <c r="R94" s="227">
        <f t="shared" si="83"/>
        <v>8.0926597880017631E-4</v>
      </c>
      <c r="S94" s="227">
        <v>1</v>
      </c>
      <c r="T94" s="227">
        <f t="shared" si="84"/>
        <v>8.0926597880017631E-4</v>
      </c>
      <c r="Z94" s="34">
        <f t="shared" si="85"/>
        <v>30046</v>
      </c>
      <c r="AA94" s="227">
        <f t="shared" si="86"/>
        <v>2.3813715734058105E-2</v>
      </c>
      <c r="AB94" s="227">
        <f t="shared" si="87"/>
        <v>-4.301660325816567E-3</v>
      </c>
      <c r="AC94" s="227">
        <f t="shared" si="88"/>
        <v>2.844760058071992E-2</v>
      </c>
      <c r="AD94" s="227">
        <f t="shared" si="89"/>
        <v>1.6611226042262395E-4</v>
      </c>
      <c r="AE94" s="227">
        <f t="shared" si="90"/>
        <v>2.759328306271364E-8</v>
      </c>
      <c r="AF94" s="34">
        <f t="shared" si="91"/>
        <v>2.844760058071992E-2</v>
      </c>
      <c r="AG94" s="19"/>
      <c r="AH94" s="34">
        <f t="shared" si="92"/>
        <v>2.8281488320297296E-2</v>
      </c>
      <c r="AI94" s="34">
        <f t="shared" si="93"/>
        <v>1.0729221318362931</v>
      </c>
      <c r="AJ94" s="34">
        <f t="shared" si="94"/>
        <v>0.99773170139018008</v>
      </c>
      <c r="AK94" s="34">
        <f t="shared" si="95"/>
        <v>-2.0601772801166339E-2</v>
      </c>
      <c r="AL94" s="34">
        <f t="shared" si="96"/>
        <v>-0.27534158005223103</v>
      </c>
      <c r="AM94" s="34">
        <f t="shared" si="97"/>
        <v>-0.13854720445545327</v>
      </c>
      <c r="AN94" s="227">
        <f t="shared" si="100"/>
        <v>12.310933020074657</v>
      </c>
      <c r="AO94" s="227">
        <f t="shared" si="100"/>
        <v>12.310933022837869</v>
      </c>
      <c r="AP94" s="227">
        <f t="shared" si="100"/>
        <v>12.310933060526061</v>
      </c>
      <c r="AQ94" s="227">
        <f t="shared" si="100"/>
        <v>12.310933574565357</v>
      </c>
      <c r="AR94" s="227">
        <f t="shared" si="100"/>
        <v>12.310940585677629</v>
      </c>
      <c r="AS94" s="227">
        <f t="shared" si="100"/>
        <v>12.311036210733832</v>
      </c>
      <c r="AT94" s="227">
        <f t="shared" si="100"/>
        <v>12.312340209798245</v>
      </c>
      <c r="AU94" s="227">
        <f t="shared" si="98"/>
        <v>12.330079366679492</v>
      </c>
      <c r="AV94" s="34"/>
      <c r="AW94" s="34">
        <v>42500</v>
      </c>
      <c r="AX94" s="34">
        <f t="shared" si="66"/>
        <v>-1.2975567845357389E-2</v>
      </c>
      <c r="AY94" s="34">
        <f t="shared" si="67"/>
        <v>-2.9041901151963839E-2</v>
      </c>
      <c r="AZ94" s="34">
        <f t="shared" si="68"/>
        <v>1.6066333306606451E-2</v>
      </c>
      <c r="BA94" s="34">
        <f t="shared" si="69"/>
        <v>1.0520406886719669</v>
      </c>
      <c r="BB94" s="34">
        <f t="shared" si="70"/>
        <v>0.52188212582362448</v>
      </c>
      <c r="BC94" s="34">
        <f t="shared" si="71"/>
        <v>0.81376585361394738</v>
      </c>
      <c r="BD94" s="34">
        <f t="shared" si="72"/>
        <v>0.4309303048358577</v>
      </c>
      <c r="BE94" s="34">
        <f t="shared" si="76"/>
        <v>13.326390669011912</v>
      </c>
      <c r="BF94" s="34">
        <f t="shared" si="76"/>
        <v>13.326390667622398</v>
      </c>
      <c r="BG94" s="34">
        <f t="shared" si="76"/>
        <v>13.32639064232375</v>
      </c>
      <c r="BH94" s="34">
        <f t="shared" si="74"/>
        <v>13.326390181715743</v>
      </c>
      <c r="BI94" s="34">
        <f t="shared" si="74"/>
        <v>13.326381795542813</v>
      </c>
      <c r="BJ94" s="34">
        <f t="shared" si="74"/>
        <v>13.326229122308845</v>
      </c>
      <c r="BK94" s="34">
        <f t="shared" si="74"/>
        <v>13.323453510434705</v>
      </c>
      <c r="BL94" s="34">
        <f t="shared" si="73"/>
        <v>13.274185546240757</v>
      </c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</row>
    <row r="95" spans="1:86" s="227" customFormat="1" ht="12.95" customHeight="1">
      <c r="A95" s="21" t="s">
        <v>121</v>
      </c>
      <c r="B95" s="122" t="s">
        <v>86</v>
      </c>
      <c r="C95" s="21">
        <v>54510.366699999999</v>
      </c>
      <c r="D95" s="21">
        <v>1E-3</v>
      </c>
      <c r="E95" s="227">
        <f t="shared" si="78"/>
        <v>30161.567982480385</v>
      </c>
      <c r="F95" s="227">
        <f t="shared" si="79"/>
        <v>30161.5</v>
      </c>
      <c r="G95" s="227">
        <f t="shared" si="80"/>
        <v>2.2427656993386336E-2</v>
      </c>
      <c r="J95" s="227">
        <f>G95</f>
        <v>2.2427656993386336E-2</v>
      </c>
      <c r="P95" s="292">
        <f t="shared" si="81"/>
        <v>-4.6564630447656873E-3</v>
      </c>
      <c r="Q95" s="293">
        <f t="shared" si="82"/>
        <v>39491.866699999999</v>
      </c>
      <c r="R95" s="227">
        <f t="shared" si="83"/>
        <v>7.3354955824102795E-4</v>
      </c>
      <c r="S95" s="227">
        <v>1</v>
      </c>
      <c r="T95" s="227">
        <f t="shared" si="84"/>
        <v>7.3354955824102795E-4</v>
      </c>
      <c r="Z95" s="34">
        <f t="shared" si="85"/>
        <v>30161.5</v>
      </c>
      <c r="AA95" s="227">
        <f t="shared" si="86"/>
        <v>2.3636611772125223E-2</v>
      </c>
      <c r="AB95" s="227">
        <f t="shared" si="87"/>
        <v>-5.8654178235045748E-3</v>
      </c>
      <c r="AC95" s="227">
        <f t="shared" si="88"/>
        <v>2.7084120038152023E-2</v>
      </c>
      <c r="AD95" s="227">
        <f t="shared" si="89"/>
        <v>-1.2089547787388875E-3</v>
      </c>
      <c r="AE95" s="227">
        <f t="shared" si="90"/>
        <v>1.4615716570355924E-6</v>
      </c>
      <c r="AF95" s="34">
        <f t="shared" si="91"/>
        <v>2.7084120038152023E-2</v>
      </c>
      <c r="AG95" s="19"/>
      <c r="AH95" s="34">
        <f t="shared" si="92"/>
        <v>2.829307481689091E-2</v>
      </c>
      <c r="AI95" s="34">
        <f t="shared" si="93"/>
        <v>1.0731278513940412</v>
      </c>
      <c r="AJ95" s="34">
        <f t="shared" si="94"/>
        <v>0.99836462306021256</v>
      </c>
      <c r="AK95" s="34">
        <f t="shared" si="95"/>
        <v>-1.9859196977511838E-2</v>
      </c>
      <c r="AL95" s="34">
        <f t="shared" si="96"/>
        <v>-0.26517287741310103</v>
      </c>
      <c r="AM95" s="34">
        <f t="shared" si="97"/>
        <v>-0.13336886046697202</v>
      </c>
      <c r="AN95" s="227">
        <f t="shared" si="100"/>
        <v>12.320382436509586</v>
      </c>
      <c r="AO95" s="227">
        <f t="shared" si="100"/>
        <v>12.320382439210601</v>
      </c>
      <c r="AP95" s="227">
        <f t="shared" si="100"/>
        <v>12.320382475961432</v>
      </c>
      <c r="AQ95" s="227">
        <f t="shared" si="100"/>
        <v>12.32038297600424</v>
      </c>
      <c r="AR95" s="227">
        <f t="shared" si="100"/>
        <v>12.320389779730196</v>
      </c>
      <c r="AS95" s="227">
        <f t="shared" si="100"/>
        <v>12.320482352023372</v>
      </c>
      <c r="AT95" s="227">
        <f t="shared" si="100"/>
        <v>12.321741688192148</v>
      </c>
      <c r="AU95" s="227">
        <f t="shared" si="98"/>
        <v>12.338835128983918</v>
      </c>
      <c r="AV95" s="34"/>
      <c r="AW95" s="34">
        <v>43000</v>
      </c>
      <c r="AX95" s="34">
        <f t="shared" si="66"/>
        <v>-1.5087042397547408E-2</v>
      </c>
      <c r="AY95" s="34">
        <f t="shared" si="67"/>
        <v>-3.0206719065533891E-2</v>
      </c>
      <c r="AZ95" s="34">
        <f t="shared" si="68"/>
        <v>1.5119676667986482E-2</v>
      </c>
      <c r="BA95" s="34">
        <f t="shared" si="69"/>
        <v>1.0496694787919214</v>
      </c>
      <c r="BB95" s="34">
        <f t="shared" si="70"/>
        <v>0.48541280157451794</v>
      </c>
      <c r="BC95" s="34">
        <f t="shared" si="71"/>
        <v>0.85598648657804566</v>
      </c>
      <c r="BD95" s="34">
        <f t="shared" si="72"/>
        <v>0.45619440918208409</v>
      </c>
      <c r="BE95" s="34">
        <f t="shared" si="76"/>
        <v>13.366452288686977</v>
      </c>
      <c r="BF95" s="34">
        <f t="shared" si="76"/>
        <v>13.366452287540119</v>
      </c>
      <c r="BG95" s="34">
        <f t="shared" si="76"/>
        <v>13.366452265814996</v>
      </c>
      <c r="BH95" s="34">
        <f t="shared" si="74"/>
        <v>13.366451854272761</v>
      </c>
      <c r="BI95" s="34">
        <f t="shared" si="74"/>
        <v>13.366444058399827</v>
      </c>
      <c r="BJ95" s="34">
        <f t="shared" si="74"/>
        <v>13.36629639246102</v>
      </c>
      <c r="BK95" s="34">
        <f t="shared" si="74"/>
        <v>13.363503594114146</v>
      </c>
      <c r="BL95" s="34">
        <f t="shared" si="73"/>
        <v>13.31208927916035</v>
      </c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</row>
    <row r="96" spans="1:86" s="227" customFormat="1" ht="12.95" customHeight="1">
      <c r="A96" s="126" t="s">
        <v>122</v>
      </c>
      <c r="B96" s="303" t="s">
        <v>86</v>
      </c>
      <c r="C96" s="126">
        <v>54544.348599999998</v>
      </c>
      <c r="D96" s="126">
        <v>1E-4</v>
      </c>
      <c r="E96" s="227">
        <f t="shared" si="78"/>
        <v>30264.573563973456</v>
      </c>
      <c r="F96" s="227">
        <f t="shared" si="79"/>
        <v>30264.5</v>
      </c>
      <c r="G96" s="227">
        <f t="shared" si="80"/>
        <v>2.4269010995340068E-2</v>
      </c>
      <c r="K96" s="227">
        <f t="shared" ref="K96:K101" si="101">G96</f>
        <v>2.4269010995340068E-2</v>
      </c>
      <c r="P96" s="292">
        <f t="shared" si="81"/>
        <v>-4.8253517226928312E-3</v>
      </c>
      <c r="Q96" s="293">
        <f t="shared" si="82"/>
        <v>39525.848599999998</v>
      </c>
      <c r="R96" s="227">
        <f t="shared" si="83"/>
        <v>8.4648194196846271E-4</v>
      </c>
      <c r="S96" s="227">
        <v>1</v>
      </c>
      <c r="T96" s="227">
        <f t="shared" si="84"/>
        <v>8.4648194196846271E-4</v>
      </c>
      <c r="Z96" s="34">
        <f t="shared" si="85"/>
        <v>30264.5</v>
      </c>
      <c r="AA96" s="227">
        <f t="shared" si="86"/>
        <v>2.3475925959615365E-2</v>
      </c>
      <c r="AB96" s="227">
        <f t="shared" si="87"/>
        <v>-4.0322666869681278E-3</v>
      </c>
      <c r="AC96" s="227">
        <f t="shared" si="88"/>
        <v>2.9094362718032899E-2</v>
      </c>
      <c r="AD96" s="227">
        <f t="shared" si="89"/>
        <v>7.9308503572470337E-4</v>
      </c>
      <c r="AE96" s="227">
        <f t="shared" si="90"/>
        <v>6.2898387389045406E-7</v>
      </c>
      <c r="AF96" s="34">
        <f t="shared" si="91"/>
        <v>2.9094362718032899E-2</v>
      </c>
      <c r="AG96" s="19"/>
      <c r="AH96" s="34">
        <f t="shared" si="92"/>
        <v>2.8301277682308196E-2</v>
      </c>
      <c r="AI96" s="34">
        <f t="shared" si="93"/>
        <v>1.0733049913333688</v>
      </c>
      <c r="AJ96" s="34">
        <f t="shared" si="94"/>
        <v>0.99884212548502049</v>
      </c>
      <c r="AK96" s="34">
        <f t="shared" si="95"/>
        <v>-1.9195014970437421E-2</v>
      </c>
      <c r="AL96" s="34">
        <f t="shared" si="96"/>
        <v>-0.25610144999251311</v>
      </c>
      <c r="AM96" s="34">
        <f t="shared" si="97"/>
        <v>-0.12875522812348122</v>
      </c>
      <c r="AN96" s="227">
        <f t="shared" si="100"/>
        <v>12.328810691190734</v>
      </c>
      <c r="AO96" s="227">
        <f t="shared" si="100"/>
        <v>12.328810693832866</v>
      </c>
      <c r="AP96" s="227">
        <f t="shared" si="100"/>
        <v>12.328810729707859</v>
      </c>
      <c r="AQ96" s="227">
        <f t="shared" si="100"/>
        <v>12.3288112168203</v>
      </c>
      <c r="AR96" s="227">
        <f t="shared" si="100"/>
        <v>12.328817830851474</v>
      </c>
      <c r="AS96" s="227">
        <f t="shared" si="100"/>
        <v>12.32890763536893</v>
      </c>
      <c r="AT96" s="227">
        <f t="shared" si="100"/>
        <v>12.330126797452237</v>
      </c>
      <c r="AU96" s="227">
        <f t="shared" si="98"/>
        <v>12.346643297965354</v>
      </c>
      <c r="AV96" s="34"/>
      <c r="AW96" s="34">
        <f>AW95+1000</f>
        <v>44000</v>
      </c>
      <c r="AX96" s="34">
        <f t="shared" si="66"/>
        <v>-1.9415514481479282E-2</v>
      </c>
      <c r="AY96" s="34">
        <f t="shared" si="67"/>
        <v>-3.2577629116467645E-2</v>
      </c>
      <c r="AZ96" s="34">
        <f t="shared" si="68"/>
        <v>1.3162114634988363E-2</v>
      </c>
      <c r="BA96" s="34">
        <f t="shared" si="69"/>
        <v>1.044701715651013</v>
      </c>
      <c r="BB96" s="34">
        <f t="shared" si="70"/>
        <v>0.41047948936100886</v>
      </c>
      <c r="BC96" s="34">
        <f t="shared" si="71"/>
        <v>0.93984192048379334</v>
      </c>
      <c r="BD96" s="34">
        <f t="shared" si="72"/>
        <v>0.50786646680103387</v>
      </c>
      <c r="BE96" s="34">
        <f t="shared" si="76"/>
        <v>13.446297049009473</v>
      </c>
      <c r="BF96" s="34">
        <f t="shared" si="76"/>
        <v>13.446297048279261</v>
      </c>
      <c r="BG96" s="34">
        <f t="shared" si="76"/>
        <v>13.446297033156421</v>
      </c>
      <c r="BH96" s="34">
        <f t="shared" si="74"/>
        <v>13.446296719959188</v>
      </c>
      <c r="BI96" s="34">
        <f t="shared" si="74"/>
        <v>13.446290233604797</v>
      </c>
      <c r="BJ96" s="34">
        <f t="shared" si="74"/>
        <v>13.446155911820515</v>
      </c>
      <c r="BK96" s="34">
        <f t="shared" si="74"/>
        <v>13.443379211068542</v>
      </c>
      <c r="BL96" s="34">
        <f t="shared" si="73"/>
        <v>13.387896744999541</v>
      </c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</row>
    <row r="97" spans="1:86" s="227" customFormat="1" ht="12.95" customHeight="1">
      <c r="A97" s="126" t="s">
        <v>122</v>
      </c>
      <c r="B97" s="303" t="s">
        <v>87</v>
      </c>
      <c r="C97" s="126">
        <v>54556.390299999999</v>
      </c>
      <c r="D97" s="126">
        <v>1E-4</v>
      </c>
      <c r="E97" s="227">
        <f t="shared" si="78"/>
        <v>30301.074239646838</v>
      </c>
      <c r="F97" s="227">
        <f t="shared" si="79"/>
        <v>30301</v>
      </c>
      <c r="G97" s="227">
        <f t="shared" si="80"/>
        <v>2.4491917996783741E-2</v>
      </c>
      <c r="K97" s="227">
        <f t="shared" si="101"/>
        <v>2.4491917996783741E-2</v>
      </c>
      <c r="P97" s="292">
        <f t="shared" si="81"/>
        <v>-4.8853407284759898E-3</v>
      </c>
      <c r="Q97" s="293">
        <f t="shared" si="82"/>
        <v>39537.890299999999</v>
      </c>
      <c r="R97" s="227">
        <f t="shared" si="83"/>
        <v>8.6302333021084899E-4</v>
      </c>
      <c r="S97" s="227">
        <v>1</v>
      </c>
      <c r="T97" s="227">
        <f t="shared" si="84"/>
        <v>8.6302333021084899E-4</v>
      </c>
      <c r="Z97" s="34">
        <f t="shared" si="85"/>
        <v>30301</v>
      </c>
      <c r="AA97" s="227">
        <f t="shared" si="86"/>
        <v>2.3418361636771107E-2</v>
      </c>
      <c r="AB97" s="227">
        <f t="shared" si="87"/>
        <v>-3.8117843684633557E-3</v>
      </c>
      <c r="AC97" s="227">
        <f t="shared" si="88"/>
        <v>2.9377258725259731E-2</v>
      </c>
      <c r="AD97" s="227">
        <f t="shared" si="89"/>
        <v>1.0735563600126341E-3</v>
      </c>
      <c r="AE97" s="227">
        <f t="shared" si="90"/>
        <v>1.1525232581235765E-6</v>
      </c>
      <c r="AF97" s="34">
        <f t="shared" si="91"/>
        <v>2.9377258725259731E-2</v>
      </c>
      <c r="AG97" s="19"/>
      <c r="AH97" s="34">
        <f t="shared" si="92"/>
        <v>2.8303702365247096E-2</v>
      </c>
      <c r="AI97" s="34">
        <f t="shared" si="93"/>
        <v>1.0733663308702459</v>
      </c>
      <c r="AJ97" s="34">
        <f t="shared" si="94"/>
        <v>0.99899164670872065</v>
      </c>
      <c r="AK97" s="34">
        <f t="shared" si="95"/>
        <v>-1.8959215404077079E-2</v>
      </c>
      <c r="AL97" s="34">
        <f t="shared" si="96"/>
        <v>-0.25288610619295188</v>
      </c>
      <c r="AM97" s="34">
        <f t="shared" si="97"/>
        <v>-0.12712124120689688</v>
      </c>
      <c r="AN97" s="227">
        <f t="shared" si="100"/>
        <v>12.331797733429964</v>
      </c>
      <c r="AO97" s="227">
        <f t="shared" si="100"/>
        <v>12.331797736050463</v>
      </c>
      <c r="AP97" s="227">
        <f t="shared" si="100"/>
        <v>12.331797771606187</v>
      </c>
      <c r="AQ97" s="227">
        <f t="shared" si="100"/>
        <v>12.331798254036787</v>
      </c>
      <c r="AR97" s="227">
        <f t="shared" si="100"/>
        <v>12.331804799792824</v>
      </c>
      <c r="AS97" s="227">
        <f t="shared" si="100"/>
        <v>12.331893613466464</v>
      </c>
      <c r="AT97" s="227">
        <f t="shared" si="100"/>
        <v>12.333098463128694</v>
      </c>
      <c r="AU97" s="227">
        <f t="shared" si="98"/>
        <v>12.349410270468484</v>
      </c>
      <c r="AV97" s="34"/>
      <c r="AW97" s="34">
        <f t="shared" ref="AW97:AW107" si="102">AW96+1000</f>
        <v>45000</v>
      </c>
      <c r="AX97" s="34">
        <f t="shared" si="66"/>
        <v>-2.3872756105080651E-2</v>
      </c>
      <c r="AY97" s="34">
        <f t="shared" si="67"/>
        <v>-3.5003571465792957E-2</v>
      </c>
      <c r="AZ97" s="34">
        <f t="shared" si="68"/>
        <v>1.1130815360712306E-2</v>
      </c>
      <c r="BA97" s="34">
        <f t="shared" si="69"/>
        <v>1.0394725454102915</v>
      </c>
      <c r="BB97" s="34">
        <f t="shared" si="70"/>
        <v>0.33343008818394687</v>
      </c>
      <c r="BC97" s="34">
        <f t="shared" si="71"/>
        <v>1.0228822160735458</v>
      </c>
      <c r="BD97" s="34">
        <f t="shared" si="72"/>
        <v>0.56125224837608723</v>
      </c>
      <c r="BE97" s="34">
        <f t="shared" si="76"/>
        <v>13.525752776994697</v>
      </c>
      <c r="BF97" s="34">
        <f t="shared" si="76"/>
        <v>13.525752776574302</v>
      </c>
      <c r="BG97" s="34">
        <f t="shared" si="76"/>
        <v>13.52575276690953</v>
      </c>
      <c r="BH97" s="34">
        <f t="shared" si="74"/>
        <v>13.525752544718889</v>
      </c>
      <c r="BI97" s="34">
        <f t="shared" si="74"/>
        <v>13.525747436632731</v>
      </c>
      <c r="BJ97" s="34">
        <f t="shared" si="74"/>
        <v>13.525630013756349</v>
      </c>
      <c r="BK97" s="34">
        <f t="shared" si="74"/>
        <v>13.522936135612181</v>
      </c>
      <c r="BL97" s="34">
        <f t="shared" si="73"/>
        <v>13.463704210838729</v>
      </c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</row>
    <row r="98" spans="1:86" s="227" customFormat="1" ht="12.95" customHeight="1">
      <c r="A98" s="126" t="s">
        <v>122</v>
      </c>
      <c r="B98" s="303" t="s">
        <v>87</v>
      </c>
      <c r="C98" s="126">
        <v>54706.496700000003</v>
      </c>
      <c r="D98" s="126">
        <v>2.9999999999999997E-4</v>
      </c>
      <c r="E98" s="227">
        <f t="shared" si="78"/>
        <v>30756.075196563095</v>
      </c>
      <c r="F98" s="227">
        <f t="shared" si="79"/>
        <v>30756</v>
      </c>
      <c r="G98" s="227">
        <f t="shared" si="80"/>
        <v>2.4807608002447523E-2</v>
      </c>
      <c r="K98" s="227">
        <f t="shared" si="101"/>
        <v>2.4807608002447523E-2</v>
      </c>
      <c r="P98" s="292">
        <f t="shared" si="81"/>
        <v>-5.6393023879942501E-3</v>
      </c>
      <c r="Q98" s="293">
        <f t="shared" si="82"/>
        <v>39687.996700000003</v>
      </c>
      <c r="R98" s="227">
        <f t="shared" si="83"/>
        <v>9.2701435232359118E-4</v>
      </c>
      <c r="S98" s="227">
        <v>1</v>
      </c>
      <c r="T98" s="227">
        <f t="shared" si="84"/>
        <v>9.2701435232359118E-4</v>
      </c>
      <c r="Z98" s="34">
        <f t="shared" si="85"/>
        <v>30756</v>
      </c>
      <c r="AA98" s="227">
        <f t="shared" si="86"/>
        <v>2.2673421728495558E-2</v>
      </c>
      <c r="AB98" s="227">
        <f t="shared" si="87"/>
        <v>-3.5051161140422851E-3</v>
      </c>
      <c r="AC98" s="227">
        <f t="shared" si="88"/>
        <v>3.0446910390441773E-2</v>
      </c>
      <c r="AD98" s="227">
        <f t="shared" si="89"/>
        <v>2.134186273951965E-3</v>
      </c>
      <c r="AE98" s="227">
        <f t="shared" si="90"/>
        <v>4.5547510519249714E-6</v>
      </c>
      <c r="AF98" s="34">
        <f t="shared" si="91"/>
        <v>3.0446910390441773E-2</v>
      </c>
      <c r="AG98" s="19"/>
      <c r="AH98" s="34">
        <f t="shared" si="92"/>
        <v>2.8312724116489808E-2</v>
      </c>
      <c r="AI98" s="34">
        <f t="shared" si="93"/>
        <v>1.0740675870298209</v>
      </c>
      <c r="AJ98" s="34">
        <f t="shared" si="94"/>
        <v>0.99998847697151472</v>
      </c>
      <c r="AK98" s="34">
        <f t="shared" si="95"/>
        <v>-1.6001965681768444E-2</v>
      </c>
      <c r="AL98" s="34">
        <f t="shared" si="96"/>
        <v>-0.21277521089155443</v>
      </c>
      <c r="AM98" s="34">
        <f t="shared" si="97"/>
        <v>-0.10679080738481694</v>
      </c>
      <c r="AN98" s="227">
        <f t="shared" si="100"/>
        <v>12.369047031390702</v>
      </c>
      <c r="AO98" s="227">
        <f t="shared" si="100"/>
        <v>12.369047033709068</v>
      </c>
      <c r="AP98" s="227">
        <f t="shared" si="100"/>
        <v>12.369047064909321</v>
      </c>
      <c r="AQ98" s="227">
        <f t="shared" si="100"/>
        <v>12.369047484798102</v>
      </c>
      <c r="AR98" s="227">
        <f t="shared" si="100"/>
        <v>12.36905313560089</v>
      </c>
      <c r="AS98" s="227">
        <f t="shared" si="100"/>
        <v>12.369129182670582</v>
      </c>
      <c r="AT98" s="227">
        <f t="shared" si="100"/>
        <v>12.370152492601767</v>
      </c>
      <c r="AU98" s="227">
        <f t="shared" si="98"/>
        <v>12.383902667425316</v>
      </c>
      <c r="AV98" s="34"/>
      <c r="AW98" s="34">
        <f t="shared" si="102"/>
        <v>46000</v>
      </c>
      <c r="AX98" s="34">
        <f t="shared" ref="AX98:AX107" si="103">AB$3+AB$4*AW98+AB$5*AW98^2+AZ98</f>
        <v>-2.8444338121090318E-2</v>
      </c>
      <c r="AY98" s="34">
        <f t="shared" ref="AY98:AY107" si="104">AB$3+AB$4*AW98+AB$5*AW98^2</f>
        <v>-3.7484546113509806E-2</v>
      </c>
      <c r="AZ98" s="34">
        <f t="shared" ref="AZ98:AZ107" si="105">$AB$6*($AB$11/BA98*BB98+$AB$12)</f>
        <v>9.0402079924194901E-3</v>
      </c>
      <c r="BA98" s="34">
        <f t="shared" ref="BA98:BA107" si="106">1+$AB$7*COS(BC98)</f>
        <v>1.0340288284468468</v>
      </c>
      <c r="BB98" s="34">
        <f t="shared" ref="BB98:BB107" si="107">SIN(BC98+RADIANS($AB$9))</f>
        <v>0.25490371881897045</v>
      </c>
      <c r="BC98" s="34">
        <f t="shared" ref="BC98:BC107" si="108">2*ATAN(BD98)</f>
        <v>1.1050736198500868</v>
      </c>
      <c r="BD98" s="34">
        <f t="shared" ref="BD98:BD107" si="109">SQRT((1+$AB$7)/(1-$AB$7))*TAN(BE98/2)</f>
        <v>0.61660104967999885</v>
      </c>
      <c r="BE98" s="34">
        <f t="shared" ref="BE98:BE107" si="110">$BL98+$AB$7*SIN(BF98)</f>
        <v>13.604801329830147</v>
      </c>
      <c r="BF98" s="34">
        <f t="shared" ref="BF98:BF107" si="111">$BL98+$AB$7*SIN(BG98)</f>
        <v>13.604801329615292</v>
      </c>
      <c r="BG98" s="34">
        <f t="shared" ref="BG98:BG107" si="112">$BL98+$AB$7*SIN(BH98)</f>
        <v>13.604801324029163</v>
      </c>
      <c r="BH98" s="34">
        <f t="shared" ref="BH98:BH107" si="113">$BL98+$AB$7*SIN(BI98)</f>
        <v>13.604801178791835</v>
      </c>
      <c r="BI98" s="34">
        <f t="shared" ref="BI98:BI107" si="114">$BL98+$AB$7*SIN(BJ98)</f>
        <v>13.604797402687474</v>
      </c>
      <c r="BJ98" s="34">
        <f t="shared" ref="BJ98:BJ107" si="115">$BL98+$AB$7*SIN(BK98)</f>
        <v>13.604699234188388</v>
      </c>
      <c r="BK98" s="34">
        <f t="shared" ref="BK98:BK107" si="116">$BL98+$AB$7*SIN(BL98)</f>
        <v>13.602152830778193</v>
      </c>
      <c r="BL98" s="34">
        <f t="shared" ref="BL98:BL107" si="117">RADIANS($AB$9)+$AB$18*(AW98-AB$15)</f>
        <v>13.539511676677918</v>
      </c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</row>
    <row r="99" spans="1:86" s="227" customFormat="1" ht="12.95" customHeight="1">
      <c r="A99" s="126" t="s">
        <v>122</v>
      </c>
      <c r="B99" s="303" t="s">
        <v>87</v>
      </c>
      <c r="C99" s="126">
        <v>54803.486199999999</v>
      </c>
      <c r="D99" s="126">
        <v>2.9999999999999997E-4</v>
      </c>
      <c r="E99" s="227">
        <f t="shared" si="78"/>
        <v>31050.068759201502</v>
      </c>
      <c r="F99" s="227">
        <f t="shared" si="79"/>
        <v>31050</v>
      </c>
      <c r="G99" s="227">
        <f t="shared" si="80"/>
        <v>2.2683899995172396E-2</v>
      </c>
      <c r="K99" s="227">
        <f t="shared" si="101"/>
        <v>2.2683899995172396E-2</v>
      </c>
      <c r="P99" s="292">
        <f t="shared" si="81"/>
        <v>-6.1325368352943138E-3</v>
      </c>
      <c r="Q99" s="293">
        <f t="shared" si="82"/>
        <v>39784.986199999999</v>
      </c>
      <c r="R99" s="227">
        <f t="shared" si="83"/>
        <v>8.3038703160427825E-4</v>
      </c>
      <c r="S99" s="227">
        <v>1</v>
      </c>
      <c r="T99" s="227">
        <f t="shared" si="84"/>
        <v>8.3038703160427825E-4</v>
      </c>
      <c r="Z99" s="34">
        <f t="shared" si="85"/>
        <v>31050</v>
      </c>
      <c r="AA99" s="227">
        <f t="shared" si="86"/>
        <v>2.2165113275721984E-2</v>
      </c>
      <c r="AB99" s="227">
        <f t="shared" si="87"/>
        <v>-5.6137501158439011E-3</v>
      </c>
      <c r="AC99" s="227">
        <f t="shared" si="88"/>
        <v>2.881643683046671E-2</v>
      </c>
      <c r="AD99" s="227">
        <f t="shared" si="89"/>
        <v>5.1878671945041269E-4</v>
      </c>
      <c r="AE99" s="227">
        <f t="shared" si="90"/>
        <v>2.6913966027812123E-7</v>
      </c>
      <c r="AF99" s="34">
        <f t="shared" si="91"/>
        <v>2.881643683046671E-2</v>
      </c>
      <c r="AG99" s="19"/>
      <c r="AH99" s="34">
        <f t="shared" si="92"/>
        <v>2.8297650111016297E-2</v>
      </c>
      <c r="AI99" s="34">
        <f t="shared" si="93"/>
        <v>1.0744577681447294</v>
      </c>
      <c r="AJ99" s="34">
        <f t="shared" si="94"/>
        <v>0.9997764897861352</v>
      </c>
      <c r="AK99" s="34">
        <f t="shared" si="95"/>
        <v>-1.4075195096563247E-2</v>
      </c>
      <c r="AL99" s="34">
        <f t="shared" si="96"/>
        <v>-0.18683132395965132</v>
      </c>
      <c r="AM99" s="34">
        <f t="shared" si="97"/>
        <v>-9.3688343994161483E-2</v>
      </c>
      <c r="AN99" s="227">
        <f t="shared" si="100"/>
        <v>12.393127914396697</v>
      </c>
      <c r="AO99" s="227">
        <f t="shared" si="100"/>
        <v>12.393127916489618</v>
      </c>
      <c r="AP99" s="227">
        <f t="shared" si="100"/>
        <v>12.393127944529024</v>
      </c>
      <c r="AQ99" s="227">
        <f t="shared" si="100"/>
        <v>12.393128320180088</v>
      </c>
      <c r="AR99" s="227">
        <f t="shared" si="100"/>
        <v>12.393133352870995</v>
      </c>
      <c r="AS99" s="227">
        <f t="shared" si="100"/>
        <v>12.39320077665762</v>
      </c>
      <c r="AT99" s="227">
        <f t="shared" si="100"/>
        <v>12.394103987646048</v>
      </c>
      <c r="AU99" s="227">
        <f t="shared" si="98"/>
        <v>12.406190062382038</v>
      </c>
      <c r="AV99" s="34"/>
      <c r="AW99" s="34">
        <f t="shared" si="102"/>
        <v>47000</v>
      </c>
      <c r="AX99" s="34">
        <f t="shared" si="103"/>
        <v>-3.3115830347695746E-2</v>
      </c>
      <c r="AY99" s="34">
        <f t="shared" si="104"/>
        <v>-4.0020553059618207E-2</v>
      </c>
      <c r="AZ99" s="34">
        <f t="shared" si="105"/>
        <v>6.9047227119224614E-3</v>
      </c>
      <c r="BA99" s="34">
        <f t="shared" si="106"/>
        <v>1.0284168178341613</v>
      </c>
      <c r="BB99" s="34">
        <f t="shared" si="107"/>
        <v>0.17551753561404557</v>
      </c>
      <c r="BC99" s="34">
        <f t="shared" si="108"/>
        <v>1.1863903114868841</v>
      </c>
      <c r="BD99" s="34">
        <f t="shared" si="109"/>
        <v>0.6741931418933601</v>
      </c>
      <c r="BE99" s="34">
        <f t="shared" si="110"/>
        <v>13.683428118469495</v>
      </c>
      <c r="BF99" s="34">
        <f t="shared" si="111"/>
        <v>13.68342811837473</v>
      </c>
      <c r="BG99" s="34">
        <f t="shared" si="112"/>
        <v>13.683428115521682</v>
      </c>
      <c r="BH99" s="34">
        <f t="shared" si="113"/>
        <v>13.683428029625341</v>
      </c>
      <c r="BI99" s="34">
        <f t="shared" si="114"/>
        <v>13.683425443563735</v>
      </c>
      <c r="BJ99" s="34">
        <f t="shared" si="115"/>
        <v>13.683347592013451</v>
      </c>
      <c r="BK99" s="34">
        <f t="shared" si="116"/>
        <v>13.68100971388416</v>
      </c>
      <c r="BL99" s="34">
        <f t="shared" si="117"/>
        <v>13.615319142517109</v>
      </c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</row>
    <row r="100" spans="1:86" s="227" customFormat="1" ht="12.95" customHeight="1">
      <c r="A100" s="21" t="s">
        <v>130</v>
      </c>
      <c r="B100" s="122" t="s">
        <v>86</v>
      </c>
      <c r="C100" s="21">
        <v>54830.703600000001</v>
      </c>
      <c r="D100" s="21">
        <v>4.0000000000000002E-4</v>
      </c>
      <c r="E100" s="227">
        <f t="shared" si="78"/>
        <v>31132.56985872006</v>
      </c>
      <c r="F100" s="227">
        <f t="shared" si="79"/>
        <v>31132.5</v>
      </c>
      <c r="G100" s="227">
        <f t="shared" si="80"/>
        <v>2.304663499671733E-2</v>
      </c>
      <c r="K100" s="227">
        <f t="shared" si="101"/>
        <v>2.304663499671733E-2</v>
      </c>
      <c r="P100" s="292">
        <f t="shared" si="81"/>
        <v>-6.2717991468013955E-3</v>
      </c>
      <c r="Q100" s="293">
        <f t="shared" si="82"/>
        <v>39812.203600000001</v>
      </c>
      <c r="R100" s="227">
        <f t="shared" si="83"/>
        <v>8.5957058062784456E-4</v>
      </c>
      <c r="S100" s="227">
        <v>1</v>
      </c>
      <c r="T100" s="227">
        <f t="shared" si="84"/>
        <v>8.5957058062784456E-4</v>
      </c>
      <c r="Z100" s="34">
        <f t="shared" si="85"/>
        <v>31132.5</v>
      </c>
      <c r="AA100" s="227">
        <f t="shared" si="86"/>
        <v>2.2018670365584563E-2</v>
      </c>
      <c r="AB100" s="227">
        <f t="shared" si="87"/>
        <v>-5.2438345156686286E-3</v>
      </c>
      <c r="AC100" s="227">
        <f t="shared" si="88"/>
        <v>2.9318434143518726E-2</v>
      </c>
      <c r="AD100" s="227">
        <f t="shared" si="89"/>
        <v>1.0279646311327668E-3</v>
      </c>
      <c r="AE100" s="227">
        <f t="shared" si="90"/>
        <v>1.0567112828599255E-6</v>
      </c>
      <c r="AF100" s="34">
        <f t="shared" si="91"/>
        <v>2.9318434143518726E-2</v>
      </c>
      <c r="AG100" s="19"/>
      <c r="AH100" s="34">
        <f t="shared" si="92"/>
        <v>2.8290469512385959E-2</v>
      </c>
      <c r="AI100" s="34">
        <f t="shared" si="93"/>
        <v>1.0745583082376902</v>
      </c>
      <c r="AJ100" s="34">
        <f t="shared" si="94"/>
        <v>0.99959598862940902</v>
      </c>
      <c r="AK100" s="34">
        <f t="shared" si="95"/>
        <v>-1.3532517387174023E-2</v>
      </c>
      <c r="AL100" s="34">
        <f t="shared" si="96"/>
        <v>-0.17954787745458622</v>
      </c>
      <c r="AM100" s="34">
        <f t="shared" si="97"/>
        <v>-9.0015892252644447E-2</v>
      </c>
      <c r="AN100" s="227">
        <f t="shared" si="100"/>
        <v>12.399886824418964</v>
      </c>
      <c r="AO100" s="227">
        <f t="shared" si="100"/>
        <v>12.39988682644467</v>
      </c>
      <c r="AP100" s="227">
        <f t="shared" si="100"/>
        <v>12.399886853552127</v>
      </c>
      <c r="AQ100" s="227">
        <f t="shared" si="100"/>
        <v>12.399887216296902</v>
      </c>
      <c r="AR100" s="227">
        <f t="shared" si="100"/>
        <v>12.399892070448683</v>
      </c>
      <c r="AS100" s="227">
        <f t="shared" si="100"/>
        <v>12.399957027005028</v>
      </c>
      <c r="AT100" s="227">
        <f t="shared" si="100"/>
        <v>12.400826184778543</v>
      </c>
      <c r="AU100" s="227">
        <f t="shared" si="98"/>
        <v>12.41244417831377</v>
      </c>
      <c r="AV100" s="34"/>
      <c r="AW100" s="34">
        <f t="shared" si="102"/>
        <v>48000</v>
      </c>
      <c r="AX100" s="34">
        <f t="shared" si="103"/>
        <v>-3.7872935175244843E-2</v>
      </c>
      <c r="AY100" s="34">
        <f t="shared" si="104"/>
        <v>-4.2611592304118144E-2</v>
      </c>
      <c r="AZ100" s="34">
        <f t="shared" si="105"/>
        <v>4.7386571288733038E-3</v>
      </c>
      <c r="BA100" s="34">
        <f t="shared" si="106"/>
        <v>1.02268157348845</v>
      </c>
      <c r="BB100" s="34">
        <f t="shared" si="107"/>
        <v>9.5860204606045399E-2</v>
      </c>
      <c r="BC100" s="34">
        <f t="shared" si="108"/>
        <v>1.2668141236082209</v>
      </c>
      <c r="BD100" s="34">
        <f t="shared" si="109"/>
        <v>0.73434602885610833</v>
      </c>
      <c r="BE100" s="34">
        <f t="shared" si="110"/>
        <v>13.761622038363322</v>
      </c>
      <c r="BF100" s="34">
        <f t="shared" si="111"/>
        <v>13.76162203832884</v>
      </c>
      <c r="BG100" s="34">
        <f t="shared" si="112"/>
        <v>13.761622037088141</v>
      </c>
      <c r="BH100" s="34">
        <f t="shared" si="113"/>
        <v>13.761621992447862</v>
      </c>
      <c r="BI100" s="34">
        <f t="shared" si="114"/>
        <v>13.761620386295867</v>
      </c>
      <c r="BJ100" s="34">
        <f t="shared" si="115"/>
        <v>13.76156260148781</v>
      </c>
      <c r="BK100" s="34">
        <f t="shared" si="116"/>
        <v>13.759489269015427</v>
      </c>
      <c r="BL100" s="34">
        <f t="shared" si="117"/>
        <v>13.691126608356297</v>
      </c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</row>
    <row r="101" spans="1:86" s="227" customFormat="1" ht="12.95" customHeight="1">
      <c r="A101" s="295" t="s">
        <v>543</v>
      </c>
      <c r="B101" s="296" t="s">
        <v>87</v>
      </c>
      <c r="C101" s="295">
        <v>54842.414299999997</v>
      </c>
      <c r="D101" s="295" t="s">
        <v>260</v>
      </c>
      <c r="E101" s="227">
        <f t="shared" si="78"/>
        <v>31168.067210639481</v>
      </c>
      <c r="F101" s="227">
        <f t="shared" si="79"/>
        <v>31168</v>
      </c>
      <c r="G101" s="227">
        <f t="shared" si="80"/>
        <v>2.2173023993673269E-2</v>
      </c>
      <c r="K101" s="227">
        <f t="shared" si="101"/>
        <v>2.2173023993673269E-2</v>
      </c>
      <c r="O101" s="227">
        <f ca="1">+C$11+C$12*F101</f>
        <v>2.8279100728712744E-2</v>
      </c>
      <c r="P101" s="292">
        <f t="shared" si="81"/>
        <v>-6.3318394065988784E-3</v>
      </c>
      <c r="Q101" s="293">
        <f t="shared" si="82"/>
        <v>39823.914299999997</v>
      </c>
      <c r="R101" s="227">
        <f t="shared" si="83"/>
        <v>8.1252723746817464E-4</v>
      </c>
      <c r="S101" s="227">
        <v>1</v>
      </c>
      <c r="T101" s="227">
        <f t="shared" si="84"/>
        <v>8.1252723746817464E-4</v>
      </c>
      <c r="Z101" s="34">
        <f t="shared" si="85"/>
        <v>31168</v>
      </c>
      <c r="AA101" s="227">
        <f t="shared" si="86"/>
        <v>2.1955142304747644E-2</v>
      </c>
      <c r="AB101" s="227">
        <f t="shared" si="87"/>
        <v>-6.1139577176732539E-3</v>
      </c>
      <c r="AC101" s="227">
        <f t="shared" si="88"/>
        <v>2.8504863400272147E-2</v>
      </c>
      <c r="AD101" s="227">
        <f t="shared" si="89"/>
        <v>2.1788168892562451E-4</v>
      </c>
      <c r="AE101" s="227">
        <f t="shared" si="90"/>
        <v>4.7472430369082604E-8</v>
      </c>
      <c r="AF101" s="34">
        <f t="shared" si="91"/>
        <v>2.8504863400272147E-2</v>
      </c>
      <c r="AG101" s="19"/>
      <c r="AH101" s="34">
        <f t="shared" si="92"/>
        <v>2.8286981711346523E-2</v>
      </c>
      <c r="AI101" s="34">
        <f t="shared" si="93"/>
        <v>1.0746003596192693</v>
      </c>
      <c r="AJ101" s="34">
        <f t="shared" si="94"/>
        <v>0.99950198662492107</v>
      </c>
      <c r="AK101" s="34">
        <f t="shared" si="95"/>
        <v>-1.3298748015368881E-2</v>
      </c>
      <c r="AL101" s="34">
        <f t="shared" si="96"/>
        <v>-0.17641337399242821</v>
      </c>
      <c r="AM101" s="34">
        <f t="shared" si="97"/>
        <v>-8.8436162869812054E-2</v>
      </c>
      <c r="AN101" s="227">
        <f t="shared" ref="AN101:AT110" si="118">$AU101+$AB$7*SIN(AO101)</f>
        <v>12.402795396136968</v>
      </c>
      <c r="AO101" s="227">
        <f t="shared" si="118"/>
        <v>12.402795398133241</v>
      </c>
      <c r="AP101" s="227">
        <f t="shared" si="118"/>
        <v>12.402795424833903</v>
      </c>
      <c r="AQ101" s="227">
        <f t="shared" si="118"/>
        <v>12.402795781962011</v>
      </c>
      <c r="AR101" s="227">
        <f t="shared" si="118"/>
        <v>12.402800558638763</v>
      </c>
      <c r="AS101" s="227">
        <f t="shared" si="118"/>
        <v>12.402864447509497</v>
      </c>
      <c r="AT101" s="227">
        <f t="shared" si="118"/>
        <v>12.403718907486342</v>
      </c>
      <c r="AU101" s="227">
        <f t="shared" si="98"/>
        <v>12.415135343351061</v>
      </c>
      <c r="AV101" s="34"/>
      <c r="AW101" s="34">
        <f t="shared" si="102"/>
        <v>49000</v>
      </c>
      <c r="AX101" s="34">
        <f t="shared" si="103"/>
        <v>-4.2701606563133848E-2</v>
      </c>
      <c r="AY101" s="34">
        <f t="shared" si="104"/>
        <v>-4.525766384700964E-2</v>
      </c>
      <c r="AZ101" s="34">
        <f t="shared" si="105"/>
        <v>2.5560572838757901E-3</v>
      </c>
      <c r="BA101" s="34">
        <f t="shared" si="106"/>
        <v>1.0168664770561646</v>
      </c>
      <c r="BB101" s="34">
        <f t="shared" si="107"/>
        <v>1.6486834364622796E-2</v>
      </c>
      <c r="BC101" s="34">
        <f t="shared" si="108"/>
        <v>1.3463341700533915</v>
      </c>
      <c r="BD101" s="34">
        <f t="shared" si="109"/>
        <v>0.79742211784336814</v>
      </c>
      <c r="BE101" s="34">
        <f t="shared" si="110"/>
        <v>13.83937535934662</v>
      </c>
      <c r="BF101" s="34">
        <f t="shared" si="111"/>
        <v>13.839375359337035</v>
      </c>
      <c r="BG101" s="34">
        <f t="shared" si="112"/>
        <v>13.83937535890586</v>
      </c>
      <c r="BH101" s="34">
        <f t="shared" si="113"/>
        <v>13.839375339512928</v>
      </c>
      <c r="BI101" s="34">
        <f t="shared" si="114"/>
        <v>13.839374467276757</v>
      </c>
      <c r="BJ101" s="34">
        <f t="shared" si="115"/>
        <v>13.839335239260345</v>
      </c>
      <c r="BK101" s="34">
        <f t="shared" si="116"/>
        <v>13.837576147636893</v>
      </c>
      <c r="BL101" s="34">
        <f t="shared" si="117"/>
        <v>13.766934074195488</v>
      </c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</row>
    <row r="102" spans="1:86" s="227" customFormat="1" ht="12.95" customHeight="1">
      <c r="A102" s="21" t="s">
        <v>131</v>
      </c>
      <c r="B102" s="122" t="s">
        <v>86</v>
      </c>
      <c r="C102" s="21">
        <v>54843.239500000003</v>
      </c>
      <c r="D102" s="21">
        <v>4.0000000000000002E-4</v>
      </c>
      <c r="E102" s="227">
        <f t="shared" si="78"/>
        <v>31170.568548288313</v>
      </c>
      <c r="F102" s="227">
        <f t="shared" si="79"/>
        <v>31170.5</v>
      </c>
      <c r="G102" s="227">
        <f t="shared" si="80"/>
        <v>2.2614319001149852E-2</v>
      </c>
      <c r="J102" s="227">
        <f>G102</f>
        <v>2.2614319001149852E-2</v>
      </c>
      <c r="P102" s="292">
        <f t="shared" si="81"/>
        <v>-6.3360702079427351E-3</v>
      </c>
      <c r="Q102" s="293">
        <f t="shared" si="82"/>
        <v>39824.739500000003</v>
      </c>
      <c r="R102" s="227">
        <f t="shared" si="83"/>
        <v>8.3812503535794455E-4</v>
      </c>
      <c r="S102" s="227">
        <v>1</v>
      </c>
      <c r="T102" s="227">
        <f t="shared" si="84"/>
        <v>8.3812503535794455E-4</v>
      </c>
      <c r="Z102" s="34">
        <f t="shared" si="85"/>
        <v>31170.5</v>
      </c>
      <c r="AA102" s="227">
        <f t="shared" si="86"/>
        <v>2.1950656858421194E-2</v>
      </c>
      <c r="AB102" s="227">
        <f t="shared" si="87"/>
        <v>-5.6724080652140775E-3</v>
      </c>
      <c r="AC102" s="227">
        <f t="shared" si="88"/>
        <v>2.8950389209092587E-2</v>
      </c>
      <c r="AD102" s="227">
        <f t="shared" si="89"/>
        <v>6.6366214272865764E-4</v>
      </c>
      <c r="AE102" s="227">
        <f t="shared" si="90"/>
        <v>4.4044743969119316E-7</v>
      </c>
      <c r="AF102" s="34">
        <f t="shared" si="91"/>
        <v>2.8950389209092587E-2</v>
      </c>
      <c r="AG102" s="19"/>
      <c r="AH102" s="34">
        <f t="shared" si="92"/>
        <v>2.8286727066363929E-2</v>
      </c>
      <c r="AI102" s="34">
        <f t="shared" si="93"/>
        <v>1.0746032934855543</v>
      </c>
      <c r="AJ102" s="34">
        <f t="shared" si="94"/>
        <v>0.99949499632830185</v>
      </c>
      <c r="AK102" s="34">
        <f t="shared" si="95"/>
        <v>-1.3282279744413464E-2</v>
      </c>
      <c r="AL102" s="34">
        <f t="shared" si="96"/>
        <v>-0.1761926250959254</v>
      </c>
      <c r="AM102" s="34">
        <f t="shared" si="97"/>
        <v>-8.8324926273317436E-2</v>
      </c>
      <c r="AN102" s="227">
        <f t="shared" si="118"/>
        <v>12.403000229407054</v>
      </c>
      <c r="AO102" s="227">
        <f t="shared" si="118"/>
        <v>12.403000231401244</v>
      </c>
      <c r="AP102" s="227">
        <f t="shared" si="118"/>
        <v>12.403000258073128</v>
      </c>
      <c r="AQ102" s="227">
        <f t="shared" si="118"/>
        <v>12.40300061480429</v>
      </c>
      <c r="AR102" s="227">
        <f t="shared" si="118"/>
        <v>12.403005386010586</v>
      </c>
      <c r="AS102" s="227">
        <f t="shared" si="118"/>
        <v>12.403069199557937</v>
      </c>
      <c r="AT102" s="227">
        <f t="shared" si="118"/>
        <v>12.403922623486503</v>
      </c>
      <c r="AU102" s="227">
        <f t="shared" si="98"/>
        <v>12.415324862015659</v>
      </c>
      <c r="AV102" s="34"/>
      <c r="AW102" s="34">
        <f t="shared" si="102"/>
        <v>50000</v>
      </c>
      <c r="AX102" s="34">
        <f t="shared" si="103"/>
        <v>-4.7588153781282186E-2</v>
      </c>
      <c r="AY102" s="34">
        <f t="shared" si="104"/>
        <v>-4.7958767688292672E-2</v>
      </c>
      <c r="AZ102" s="34">
        <f t="shared" si="105"/>
        <v>3.7061390701048782E-4</v>
      </c>
      <c r="BA102" s="34">
        <f t="shared" si="106"/>
        <v>1.0110128476167162</v>
      </c>
      <c r="BB102" s="34">
        <f t="shared" si="107"/>
        <v>-6.2084699516506907E-2</v>
      </c>
      <c r="BC102" s="34">
        <f t="shared" si="108"/>
        <v>1.4249464046106701</v>
      </c>
      <c r="BD102" s="34">
        <f t="shared" si="109"/>
        <v>0.86383821345585821</v>
      </c>
      <c r="BE102" s="34">
        <f t="shared" si="110"/>
        <v>13.916683582396203</v>
      </c>
      <c r="BF102" s="34">
        <f t="shared" si="111"/>
        <v>13.916683582394443</v>
      </c>
      <c r="BG102" s="34">
        <f t="shared" si="112"/>
        <v>13.916683582288297</v>
      </c>
      <c r="BH102" s="34">
        <f t="shared" si="113"/>
        <v>13.916683575883271</v>
      </c>
      <c r="BI102" s="34">
        <f t="shared" si="114"/>
        <v>13.916683189396284</v>
      </c>
      <c r="BJ102" s="34">
        <f t="shared" si="115"/>
        <v>13.916659869538973</v>
      </c>
      <c r="BK102" s="34">
        <f t="shared" si="116"/>
        <v>13.915257256755288</v>
      </c>
      <c r="BL102" s="34">
        <f t="shared" si="117"/>
        <v>13.842741540034677</v>
      </c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</row>
    <row r="103" spans="1:86" s="227" customFormat="1" ht="12.95" customHeight="1">
      <c r="A103" s="295" t="s">
        <v>543</v>
      </c>
      <c r="B103" s="296" t="s">
        <v>87</v>
      </c>
      <c r="C103" s="295">
        <v>54843.404399999999</v>
      </c>
      <c r="D103" s="295" t="s">
        <v>260</v>
      </c>
      <c r="E103" s="227">
        <f t="shared" si="78"/>
        <v>31171.068391451518</v>
      </c>
      <c r="F103" s="227">
        <f t="shared" si="79"/>
        <v>31171</v>
      </c>
      <c r="G103" s="227">
        <f t="shared" si="80"/>
        <v>2.2562577993085142E-2</v>
      </c>
      <c r="K103" s="227">
        <f>G103</f>
        <v>2.2562577993085142E-2</v>
      </c>
      <c r="O103" s="227">
        <f ca="1">+C$11+C$12*F103</f>
        <v>2.8268215996640464E-2</v>
      </c>
      <c r="P103" s="292">
        <f t="shared" si="81"/>
        <v>-6.336916409485728E-3</v>
      </c>
      <c r="Q103" s="293">
        <f t="shared" si="82"/>
        <v>39824.904399999999</v>
      </c>
      <c r="R103" s="227">
        <f t="shared" si="83"/>
        <v>8.3518077672422501E-4</v>
      </c>
      <c r="S103" s="227">
        <v>1</v>
      </c>
      <c r="T103" s="227">
        <f t="shared" si="84"/>
        <v>8.3518077672422501E-4</v>
      </c>
      <c r="Z103" s="34">
        <f t="shared" si="85"/>
        <v>31171</v>
      </c>
      <c r="AA103" s="227">
        <f t="shared" si="86"/>
        <v>2.1949759585379647E-2</v>
      </c>
      <c r="AB103" s="227">
        <f t="shared" si="87"/>
        <v>-5.7240980017802326E-3</v>
      </c>
      <c r="AC103" s="227">
        <f t="shared" si="88"/>
        <v>2.889949440257087E-2</v>
      </c>
      <c r="AD103" s="227">
        <f t="shared" si="89"/>
        <v>6.1281840770549545E-4</v>
      </c>
      <c r="AE103" s="227">
        <f t="shared" si="90"/>
        <v>3.7554640082269887E-7</v>
      </c>
      <c r="AF103" s="34">
        <f t="shared" si="91"/>
        <v>2.889949440257087E-2</v>
      </c>
      <c r="AG103" s="19"/>
      <c r="AH103" s="34">
        <f t="shared" si="92"/>
        <v>2.8286675994865375E-2</v>
      </c>
      <c r="AI103" s="34">
        <f t="shared" si="93"/>
        <v>1.074603879824485</v>
      </c>
      <c r="AJ103" s="34">
        <f t="shared" si="94"/>
        <v>0.9994935924197097</v>
      </c>
      <c r="AK103" s="34">
        <f t="shared" si="95"/>
        <v>-1.3278986001739079E-2</v>
      </c>
      <c r="AL103" s="34">
        <f t="shared" si="96"/>
        <v>-0.17614847517202048</v>
      </c>
      <c r="AM103" s="34">
        <f t="shared" si="97"/>
        <v>-8.8302679141500792E-2</v>
      </c>
      <c r="AN103" s="227">
        <f t="shared" si="118"/>
        <v>12.403041196128161</v>
      </c>
      <c r="AO103" s="227">
        <f t="shared" si="118"/>
        <v>12.403041198121933</v>
      </c>
      <c r="AP103" s="227">
        <f t="shared" si="118"/>
        <v>12.40304122478806</v>
      </c>
      <c r="AQ103" s="227">
        <f t="shared" si="118"/>
        <v>12.40304158143981</v>
      </c>
      <c r="AR103" s="227">
        <f t="shared" si="118"/>
        <v>12.403046351551788</v>
      </c>
      <c r="AS103" s="227">
        <f t="shared" si="118"/>
        <v>12.403110150032356</v>
      </c>
      <c r="AT103" s="227">
        <f t="shared" si="118"/>
        <v>12.403963366735695</v>
      </c>
      <c r="AU103" s="227">
        <f t="shared" si="98"/>
        <v>12.415362765748579</v>
      </c>
      <c r="AV103" s="34"/>
      <c r="AW103" s="34">
        <f t="shared" si="102"/>
        <v>51000</v>
      </c>
      <c r="AX103" s="34">
        <f t="shared" si="103"/>
        <v>-5.2519329819515785E-2</v>
      </c>
      <c r="AY103" s="34">
        <f t="shared" si="104"/>
        <v>-5.0714903827967256E-2</v>
      </c>
      <c r="AZ103" s="34">
        <f t="shared" si="105"/>
        <v>-1.8044259915485305E-3</v>
      </c>
      <c r="BA103" s="34">
        <f t="shared" si="106"/>
        <v>1.0051596541523193</v>
      </c>
      <c r="BB103" s="34">
        <f t="shared" si="107"/>
        <v>-0.13937614210308638</v>
      </c>
      <c r="BC103" s="34">
        <f t="shared" si="108"/>
        <v>1.5026531310659585</v>
      </c>
      <c r="BD103" s="34">
        <f t="shared" si="109"/>
        <v>0.93407738194940859</v>
      </c>
      <c r="BE103" s="34">
        <f t="shared" si="110"/>
        <v>13.993545270813337</v>
      </c>
      <c r="BF103" s="34">
        <f t="shared" si="111"/>
        <v>13.993545270813184</v>
      </c>
      <c r="BG103" s="34">
        <f t="shared" si="112"/>
        <v>13.993545270799126</v>
      </c>
      <c r="BH103" s="34">
        <f t="shared" si="113"/>
        <v>13.993545269502974</v>
      </c>
      <c r="BI103" s="34">
        <f t="shared" si="114"/>
        <v>13.993545149995253</v>
      </c>
      <c r="BJ103" s="34">
        <f t="shared" si="115"/>
        <v>13.993534131585985</v>
      </c>
      <c r="BK103" s="34">
        <f t="shared" si="116"/>
        <v>13.992521834125604</v>
      </c>
      <c r="BL103" s="34">
        <f t="shared" si="117"/>
        <v>13.918549005873865</v>
      </c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</row>
    <row r="104" spans="1:86" s="227" customFormat="1" ht="12.95" customHeight="1">
      <c r="A104" s="21" t="s">
        <v>131</v>
      </c>
      <c r="B104" s="122" t="s">
        <v>87</v>
      </c>
      <c r="C104" s="21">
        <v>54843.404799999997</v>
      </c>
      <c r="D104" s="126">
        <v>2.0000000000000001E-4</v>
      </c>
      <c r="E104" s="227">
        <f t="shared" si="78"/>
        <v>31171.069603927346</v>
      </c>
      <c r="F104" s="227">
        <f t="shared" si="79"/>
        <v>31171</v>
      </c>
      <c r="G104" s="227">
        <f t="shared" si="80"/>
        <v>2.296257799025625E-2</v>
      </c>
      <c r="J104" s="227">
        <f>G104</f>
        <v>2.296257799025625E-2</v>
      </c>
      <c r="P104" s="292">
        <f t="shared" si="81"/>
        <v>-6.336916409485728E-3</v>
      </c>
      <c r="Q104" s="293">
        <f t="shared" si="82"/>
        <v>39824.904799999997</v>
      </c>
      <c r="R104" s="227">
        <f t="shared" si="83"/>
        <v>8.5846037208051149E-4</v>
      </c>
      <c r="S104" s="227">
        <v>1</v>
      </c>
      <c r="T104" s="227">
        <f t="shared" si="84"/>
        <v>8.5846037208051149E-4</v>
      </c>
      <c r="Z104" s="34">
        <f t="shared" si="85"/>
        <v>31171</v>
      </c>
      <c r="AA104" s="227">
        <f t="shared" si="86"/>
        <v>2.1949759585379647E-2</v>
      </c>
      <c r="AB104" s="227">
        <f t="shared" si="87"/>
        <v>-5.3240980046091249E-3</v>
      </c>
      <c r="AC104" s="227">
        <f t="shared" si="88"/>
        <v>2.9299494399741978E-2</v>
      </c>
      <c r="AD104" s="227">
        <f t="shared" si="89"/>
        <v>1.0128184048766031E-3</v>
      </c>
      <c r="AE104" s="227">
        <f t="shared" si="90"/>
        <v>1.0258011212567869E-6</v>
      </c>
      <c r="AF104" s="34">
        <f t="shared" si="91"/>
        <v>2.9299494399741978E-2</v>
      </c>
      <c r="AG104" s="19"/>
      <c r="AH104" s="34">
        <f t="shared" si="92"/>
        <v>2.8286675994865375E-2</v>
      </c>
      <c r="AI104" s="34">
        <f t="shared" si="93"/>
        <v>1.074603879824485</v>
      </c>
      <c r="AJ104" s="34">
        <f t="shared" si="94"/>
        <v>0.9994935924197097</v>
      </c>
      <c r="AK104" s="34">
        <f t="shared" si="95"/>
        <v>-1.3278986001739079E-2</v>
      </c>
      <c r="AL104" s="34">
        <f t="shared" si="96"/>
        <v>-0.17614847517202048</v>
      </c>
      <c r="AM104" s="34">
        <f t="shared" si="97"/>
        <v>-8.8302679141500792E-2</v>
      </c>
      <c r="AN104" s="227">
        <f t="shared" si="118"/>
        <v>12.403041196128161</v>
      </c>
      <c r="AO104" s="227">
        <f t="shared" si="118"/>
        <v>12.403041198121933</v>
      </c>
      <c r="AP104" s="227">
        <f t="shared" si="118"/>
        <v>12.40304122478806</v>
      </c>
      <c r="AQ104" s="227">
        <f t="shared" si="118"/>
        <v>12.40304158143981</v>
      </c>
      <c r="AR104" s="227">
        <f t="shared" si="118"/>
        <v>12.403046351551788</v>
      </c>
      <c r="AS104" s="227">
        <f t="shared" si="118"/>
        <v>12.403110150032356</v>
      </c>
      <c r="AT104" s="227">
        <f t="shared" si="118"/>
        <v>12.403963366735695</v>
      </c>
      <c r="AU104" s="227">
        <f t="shared" si="98"/>
        <v>12.415362765748579</v>
      </c>
      <c r="AV104" s="34"/>
      <c r="AW104" s="34">
        <f t="shared" si="102"/>
        <v>52000</v>
      </c>
      <c r="AX104" s="34">
        <f t="shared" si="103"/>
        <v>-5.7482404861386199E-2</v>
      </c>
      <c r="AY104" s="34">
        <f t="shared" si="104"/>
        <v>-5.3526072266033384E-2</v>
      </c>
      <c r="AZ104" s="34">
        <f t="shared" si="105"/>
        <v>-3.9563325953528164E-3</v>
      </c>
      <c r="BA104" s="34">
        <f t="shared" si="106"/>
        <v>0.99934331762602469</v>
      </c>
      <c r="BB104" s="34">
        <f t="shared" si="107"/>
        <v>-0.21495009700113588</v>
      </c>
      <c r="BC104" s="34">
        <f t="shared" si="108"/>
        <v>1.5794624835618449</v>
      </c>
      <c r="BD104" s="34">
        <f t="shared" si="109"/>
        <v>1.008703926034487</v>
      </c>
      <c r="BE104" s="34">
        <f t="shared" si="110"/>
        <v>14.069961862953074</v>
      </c>
      <c r="BF104" s="34">
        <f t="shared" si="111"/>
        <v>14.069961862953072</v>
      </c>
      <c r="BG104" s="34">
        <f t="shared" si="112"/>
        <v>14.06996186295267</v>
      </c>
      <c r="BH104" s="34">
        <f t="shared" si="113"/>
        <v>14.069961862873608</v>
      </c>
      <c r="BI104" s="34">
        <f t="shared" si="114"/>
        <v>14.069961847337145</v>
      </c>
      <c r="BJ104" s="34">
        <f t="shared" si="115"/>
        <v>14.069958794294751</v>
      </c>
      <c r="BK104" s="34">
        <f t="shared" si="116"/>
        <v>14.069361510069644</v>
      </c>
      <c r="BL104" s="34">
        <f t="shared" si="117"/>
        <v>13.994356471713056</v>
      </c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</row>
    <row r="105" spans="1:86" s="227" customFormat="1" ht="12.95" customHeight="1">
      <c r="A105" s="21" t="s">
        <v>131</v>
      </c>
      <c r="B105" s="122" t="s">
        <v>86</v>
      </c>
      <c r="C105" s="21">
        <v>54843.568899999998</v>
      </c>
      <c r="D105" s="126">
        <v>2.9999999999999997E-4</v>
      </c>
      <c r="E105" s="227">
        <f t="shared" si="78"/>
        <v>31171.567022138901</v>
      </c>
      <c r="F105" s="227">
        <f t="shared" si="79"/>
        <v>31171.5</v>
      </c>
      <c r="G105" s="227">
        <f t="shared" si="80"/>
        <v>2.2110836995125283E-2</v>
      </c>
      <c r="J105" s="227">
        <f>G105</f>
        <v>2.2110836995125283E-2</v>
      </c>
      <c r="P105" s="292">
        <f t="shared" si="81"/>
        <v>-6.3377626247867955E-3</v>
      </c>
      <c r="Q105" s="293">
        <f t="shared" si="82"/>
        <v>39825.068899999998</v>
      </c>
      <c r="R105" s="227">
        <f t="shared" si="83"/>
        <v>8.0932282033406165E-4</v>
      </c>
      <c r="S105" s="227">
        <v>1</v>
      </c>
      <c r="T105" s="227">
        <f t="shared" si="84"/>
        <v>8.0932282033406165E-4</v>
      </c>
      <c r="Z105" s="34">
        <f t="shared" si="85"/>
        <v>31171.5</v>
      </c>
      <c r="AA105" s="227">
        <f t="shared" si="86"/>
        <v>2.1948862251079379E-2</v>
      </c>
      <c r="AB105" s="227">
        <f t="shared" si="87"/>
        <v>-6.175787880740892E-3</v>
      </c>
      <c r="AC105" s="227">
        <f t="shared" si="88"/>
        <v>2.8448599619912078E-2</v>
      </c>
      <c r="AD105" s="227">
        <f t="shared" si="89"/>
        <v>1.6197474404590351E-4</v>
      </c>
      <c r="AE105" s="227">
        <f t="shared" si="90"/>
        <v>2.6235817708735954E-8</v>
      </c>
      <c r="AF105" s="34">
        <f t="shared" si="91"/>
        <v>2.8448599619912078E-2</v>
      </c>
      <c r="AG105" s="19"/>
      <c r="AH105" s="34">
        <f t="shared" si="92"/>
        <v>2.8286624875866175E-2</v>
      </c>
      <c r="AI105" s="34">
        <f t="shared" si="93"/>
        <v>1.0746044660186362</v>
      </c>
      <c r="AJ105" s="34">
        <f t="shared" si="94"/>
        <v>0.99949218656135386</v>
      </c>
      <c r="AK105" s="34">
        <f t="shared" si="95"/>
        <v>-1.3275692229587412E-2</v>
      </c>
      <c r="AL105" s="34">
        <f t="shared" si="96"/>
        <v>-0.17610432519994595</v>
      </c>
      <c r="AM105" s="34">
        <f t="shared" si="97"/>
        <v>-8.8280432072143172E-2</v>
      </c>
      <c r="AN105" s="227">
        <f t="shared" si="118"/>
        <v>12.403082162871614</v>
      </c>
      <c r="AO105" s="227">
        <f t="shared" si="118"/>
        <v>12.403082164864971</v>
      </c>
      <c r="AP105" s="227">
        <f t="shared" si="118"/>
        <v>12.403082191525341</v>
      </c>
      <c r="AQ105" s="227">
        <f t="shared" si="118"/>
        <v>12.403082548097672</v>
      </c>
      <c r="AR105" s="227">
        <f t="shared" si="118"/>
        <v>12.403087317115256</v>
      </c>
      <c r="AS105" s="227">
        <f t="shared" si="118"/>
        <v>12.403151100528337</v>
      </c>
      <c r="AT105" s="227">
        <f t="shared" si="118"/>
        <v>12.404004110001265</v>
      </c>
      <c r="AU105" s="227">
        <f t="shared" si="98"/>
        <v>12.415400669481498</v>
      </c>
      <c r="AV105" s="34"/>
      <c r="AW105" s="34">
        <f t="shared" si="102"/>
        <v>53000</v>
      </c>
      <c r="AX105" s="34">
        <f t="shared" si="103"/>
        <v>-6.246522559156558E-2</v>
      </c>
      <c r="AY105" s="34">
        <f t="shared" si="104"/>
        <v>-5.6392273002491056E-2</v>
      </c>
      <c r="AZ105" s="34">
        <f t="shared" si="105"/>
        <v>-6.0729525890745257E-3</v>
      </c>
      <c r="BA105" s="34">
        <f t="shared" si="106"/>
        <v>0.99359759338379727</v>
      </c>
      <c r="BB105" s="34">
        <f t="shared" si="107"/>
        <v>-0.28841027127678814</v>
      </c>
      <c r="BC105" s="34">
        <f t="shared" si="108"/>
        <v>1.6553878939542719</v>
      </c>
      <c r="BD105" s="34">
        <f t="shared" si="109"/>
        <v>1.0883824832874214</v>
      </c>
      <c r="BE105" s="34">
        <f t="shared" si="110"/>
        <v>14.145937472988946</v>
      </c>
      <c r="BF105" s="34">
        <f t="shared" si="111"/>
        <v>14.145937472988946</v>
      </c>
      <c r="BG105" s="34">
        <f t="shared" si="112"/>
        <v>14.145937472988946</v>
      </c>
      <c r="BH105" s="34">
        <f t="shared" si="113"/>
        <v>14.145937472988994</v>
      </c>
      <c r="BI105" s="34">
        <f t="shared" si="114"/>
        <v>14.145937472915836</v>
      </c>
      <c r="BJ105" s="34">
        <f t="shared" si="115"/>
        <v>14.14593758299562</v>
      </c>
      <c r="BK105" s="34">
        <f t="shared" si="116"/>
        <v>14.145770355551621</v>
      </c>
      <c r="BL105" s="34">
        <f t="shared" si="117"/>
        <v>14.070163937552245</v>
      </c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</row>
    <row r="106" spans="1:86" s="227" customFormat="1" ht="12.95" customHeight="1">
      <c r="A106" s="21" t="s">
        <v>132</v>
      </c>
      <c r="B106" s="122" t="s">
        <v>86</v>
      </c>
      <c r="C106" s="21">
        <v>54844.2284</v>
      </c>
      <c r="D106" s="126">
        <v>2.0000000000000001E-4</v>
      </c>
      <c r="E106" s="227">
        <f t="shared" si="78"/>
        <v>31173.566091672823</v>
      </c>
      <c r="F106" s="227">
        <f t="shared" si="79"/>
        <v>31173.5</v>
      </c>
      <c r="G106" s="227">
        <f t="shared" si="80"/>
        <v>2.1803872994496487E-2</v>
      </c>
      <c r="J106" s="227">
        <f>G106</f>
        <v>2.1803872994496487E-2</v>
      </c>
      <c r="P106" s="292">
        <f t="shared" si="81"/>
        <v>-6.341147623571821E-3</v>
      </c>
      <c r="Q106" s="293">
        <f t="shared" si="82"/>
        <v>39825.7284</v>
      </c>
      <c r="R106" s="227">
        <f t="shared" si="83"/>
        <v>7.9214218559149022E-4</v>
      </c>
      <c r="S106" s="227">
        <v>1</v>
      </c>
      <c r="T106" s="227">
        <f t="shared" si="84"/>
        <v>7.9214218559149022E-4</v>
      </c>
      <c r="Z106" s="34">
        <f t="shared" si="85"/>
        <v>31173.5</v>
      </c>
      <c r="AA106" s="227">
        <f t="shared" si="86"/>
        <v>2.1945272301291403E-2</v>
      </c>
      <c r="AB106" s="227">
        <f t="shared" si="87"/>
        <v>-6.4825469303667373E-3</v>
      </c>
      <c r="AC106" s="227">
        <f t="shared" si="88"/>
        <v>2.8145020618068308E-2</v>
      </c>
      <c r="AD106" s="227">
        <f t="shared" si="89"/>
        <v>-1.4139930679491625E-4</v>
      </c>
      <c r="AE106" s="227">
        <f t="shared" si="90"/>
        <v>1.9993763962082849E-8</v>
      </c>
      <c r="AF106" s="34">
        <f t="shared" si="91"/>
        <v>2.8145020618068308E-2</v>
      </c>
      <c r="AG106" s="19"/>
      <c r="AH106" s="34">
        <f t="shared" si="92"/>
        <v>2.8286419924863224E-2</v>
      </c>
      <c r="AI106" s="34">
        <f t="shared" si="93"/>
        <v>1.0746068093474108</v>
      </c>
      <c r="AJ106" s="34">
        <f t="shared" si="94"/>
        <v>0.99948654363022815</v>
      </c>
      <c r="AK106" s="34">
        <f t="shared" si="95"/>
        <v>-1.326251684634866E-2</v>
      </c>
      <c r="AL106" s="34">
        <f t="shared" si="96"/>
        <v>-0.17592772483013894</v>
      </c>
      <c r="AM106" s="34">
        <f t="shared" si="97"/>
        <v>-8.8191444418959139E-2</v>
      </c>
      <c r="AN106" s="227">
        <f t="shared" si="118"/>
        <v>12.40324603006883</v>
      </c>
      <c r="AO106" s="227">
        <f t="shared" si="118"/>
        <v>12.403246032060515</v>
      </c>
      <c r="AP106" s="227">
        <f t="shared" si="118"/>
        <v>12.403246058697848</v>
      </c>
      <c r="AQ106" s="227">
        <f t="shared" si="118"/>
        <v>12.403246414952429</v>
      </c>
      <c r="AR106" s="227">
        <f t="shared" si="118"/>
        <v>12.403251179591681</v>
      </c>
      <c r="AS106" s="227">
        <f t="shared" si="118"/>
        <v>12.403314902727802</v>
      </c>
      <c r="AT106" s="227">
        <f t="shared" si="118"/>
        <v>12.404167083227241</v>
      </c>
      <c r="AU106" s="227">
        <f t="shared" si="98"/>
        <v>12.415552284413177</v>
      </c>
      <c r="AV106" s="34"/>
      <c r="AW106" s="34">
        <f t="shared" si="102"/>
        <v>54000</v>
      </c>
      <c r="AX106" s="34">
        <f t="shared" si="103"/>
        <v>-6.7456261380431606E-2</v>
      </c>
      <c r="AY106" s="34">
        <f t="shared" si="104"/>
        <v>-5.9313506037340272E-2</v>
      </c>
      <c r="AZ106" s="34">
        <f t="shared" si="105"/>
        <v>-8.1427553430913312E-3</v>
      </c>
      <c r="BA106" s="34">
        <f t="shared" si="106"/>
        <v>0.98795352336286846</v>
      </c>
      <c r="BB106" s="34">
        <f t="shared" si="107"/>
        <v>-0.35940089158655608</v>
      </c>
      <c r="BC106" s="34">
        <f t="shared" si="108"/>
        <v>1.7304475603080127</v>
      </c>
      <c r="BD106" s="34">
        <f t="shared" si="109"/>
        <v>1.1739026538411037</v>
      </c>
      <c r="BE106" s="34">
        <f t="shared" si="110"/>
        <v>14.221478685441657</v>
      </c>
      <c r="BF106" s="34">
        <f t="shared" si="111"/>
        <v>14.221478685441655</v>
      </c>
      <c r="BG106" s="34">
        <f t="shared" si="112"/>
        <v>14.221478685442099</v>
      </c>
      <c r="BH106" s="34">
        <f t="shared" si="113"/>
        <v>14.221478685372368</v>
      </c>
      <c r="BI106" s="34">
        <f t="shared" si="114"/>
        <v>14.22147869629973</v>
      </c>
      <c r="BJ106" s="34">
        <f t="shared" si="115"/>
        <v>14.221476983872988</v>
      </c>
      <c r="BK106" s="34">
        <f t="shared" si="116"/>
        <v>14.22174491623467</v>
      </c>
      <c r="BL106" s="34">
        <f t="shared" si="117"/>
        <v>14.145971403391435</v>
      </c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</row>
    <row r="107" spans="1:86" s="227" customFormat="1" ht="12.95" customHeight="1">
      <c r="A107" s="295" t="s">
        <v>567</v>
      </c>
      <c r="B107" s="296" t="s">
        <v>87</v>
      </c>
      <c r="C107" s="295">
        <v>54883.981200000002</v>
      </c>
      <c r="D107" s="295" t="s">
        <v>264</v>
      </c>
      <c r="E107" s="227">
        <f t="shared" si="78"/>
        <v>31294.064365164832</v>
      </c>
      <c r="F107" s="227">
        <f t="shared" si="79"/>
        <v>31294</v>
      </c>
      <c r="G107" s="227">
        <f t="shared" si="80"/>
        <v>2.123429199855309E-2</v>
      </c>
      <c r="K107" s="227">
        <f t="shared" ref="K107:K112" si="119">G107</f>
        <v>2.123429199855309E-2</v>
      </c>
      <c r="L107" s="34"/>
      <c r="O107" s="227">
        <f ca="1">+C$11+C$12*F107</f>
        <v>2.782194198167659E-2</v>
      </c>
      <c r="P107" s="292">
        <f t="shared" si="81"/>
        <v>-6.5454999731268323E-3</v>
      </c>
      <c r="Q107" s="293">
        <f t="shared" si="82"/>
        <v>39865.481200000002</v>
      </c>
      <c r="R107" s="227">
        <f t="shared" si="83"/>
        <v>7.7171684198981227E-4</v>
      </c>
      <c r="S107" s="227">
        <v>1</v>
      </c>
      <c r="T107" s="227">
        <f t="shared" si="84"/>
        <v>7.7171684198981227E-4</v>
      </c>
      <c r="Z107" s="34">
        <f t="shared" si="85"/>
        <v>31294</v>
      </c>
      <c r="AA107" s="227">
        <f t="shared" si="86"/>
        <v>2.1727169369182429E-2</v>
      </c>
      <c r="AB107" s="227">
        <f t="shared" si="87"/>
        <v>-7.0383773437561713E-3</v>
      </c>
      <c r="AC107" s="227">
        <f t="shared" si="88"/>
        <v>2.7779791971679922E-2</v>
      </c>
      <c r="AD107" s="227">
        <f t="shared" si="89"/>
        <v>-4.9287737062933892E-4</v>
      </c>
      <c r="AE107" s="227">
        <f t="shared" si="90"/>
        <v>2.4292810247849073E-7</v>
      </c>
      <c r="AF107" s="34">
        <f t="shared" si="91"/>
        <v>2.7779791971679922E-2</v>
      </c>
      <c r="AG107" s="19"/>
      <c r="AH107" s="34">
        <f t="shared" si="92"/>
        <v>2.8272669342309261E-2</v>
      </c>
      <c r="AI107" s="34">
        <f t="shared" si="93"/>
        <v>1.0747437163129101</v>
      </c>
      <c r="AJ107" s="34">
        <f t="shared" si="94"/>
        <v>0.99908898794527834</v>
      </c>
      <c r="AK107" s="34">
        <f t="shared" si="95"/>
        <v>-1.2467847682572201E-2</v>
      </c>
      <c r="AL107" s="34">
        <f t="shared" si="96"/>
        <v>-0.16528615981349865</v>
      </c>
      <c r="AM107" s="34">
        <f t="shared" si="97"/>
        <v>-8.2831742743751061E-2</v>
      </c>
      <c r="AN107" s="227">
        <f t="shared" si="118"/>
        <v>12.413119674831739</v>
      </c>
      <c r="AO107" s="227">
        <f t="shared" si="118"/>
        <v>12.413119676721145</v>
      </c>
      <c r="AP107" s="227">
        <f t="shared" si="118"/>
        <v>12.413119701950791</v>
      </c>
      <c r="AQ107" s="227">
        <f t="shared" si="118"/>
        <v>12.413120038847573</v>
      </c>
      <c r="AR107" s="227">
        <f t="shared" si="118"/>
        <v>12.413124537499669</v>
      </c>
      <c r="AS107" s="227">
        <f t="shared" si="118"/>
        <v>12.413184608627921</v>
      </c>
      <c r="AT107" s="227">
        <f t="shared" si="118"/>
        <v>12.413986693474721</v>
      </c>
      <c r="AU107" s="227">
        <f t="shared" si="98"/>
        <v>12.4246870840468</v>
      </c>
      <c r="AV107" s="34"/>
      <c r="AW107" s="34">
        <f t="shared" si="102"/>
        <v>55000</v>
      </c>
      <c r="AX107" s="34">
        <f t="shared" si="103"/>
        <v>-7.2444638573584602E-2</v>
      </c>
      <c r="AY107" s="34">
        <f t="shared" si="104"/>
        <v>-6.2289771370581046E-2</v>
      </c>
      <c r="AZ107" s="34">
        <f t="shared" si="105"/>
        <v>-1.0154867203003563E-2</v>
      </c>
      <c r="BA107" s="34">
        <f t="shared" si="106"/>
        <v>0.98243944711068776</v>
      </c>
      <c r="BB107" s="34">
        <f t="shared" si="107"/>
        <v>-0.4276054537891924</v>
      </c>
      <c r="BC107" s="34">
        <f t="shared" si="108"/>
        <v>1.8046639280726171</v>
      </c>
      <c r="BD107" s="34">
        <f t="shared" si="109"/>
        <v>1.2662111358642807</v>
      </c>
      <c r="BE107" s="34">
        <f t="shared" si="110"/>
        <v>14.296594348375889</v>
      </c>
      <c r="BF107" s="34">
        <f t="shared" si="111"/>
        <v>14.296594348375713</v>
      </c>
      <c r="BG107" s="34">
        <f t="shared" si="112"/>
        <v>14.296594348390366</v>
      </c>
      <c r="BH107" s="34">
        <f t="shared" si="113"/>
        <v>14.29659434717234</v>
      </c>
      <c r="BI107" s="34">
        <f t="shared" si="114"/>
        <v>14.296594448423631</v>
      </c>
      <c r="BJ107" s="34">
        <f t="shared" si="115"/>
        <v>14.296586031454227</v>
      </c>
      <c r="BK107" s="34">
        <f t="shared" si="116"/>
        <v>14.297284232322614</v>
      </c>
      <c r="BL107" s="34">
        <f t="shared" si="117"/>
        <v>14.221778869230624</v>
      </c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</row>
    <row r="108" spans="1:86" s="227" customFormat="1" ht="12.95" customHeight="1">
      <c r="A108" s="302" t="s">
        <v>126</v>
      </c>
      <c r="B108" s="303" t="s">
        <v>87</v>
      </c>
      <c r="C108" s="126">
        <v>55059.488599999997</v>
      </c>
      <c r="D108" s="126">
        <v>1E-4</v>
      </c>
      <c r="E108" s="227">
        <f t="shared" si="78"/>
        <v>31826.060568830228</v>
      </c>
      <c r="F108" s="227">
        <f t="shared" si="79"/>
        <v>31826</v>
      </c>
      <c r="G108" s="227">
        <f t="shared" si="80"/>
        <v>1.9981867990281899E-2</v>
      </c>
      <c r="K108" s="227">
        <f t="shared" si="119"/>
        <v>1.9981867990281899E-2</v>
      </c>
      <c r="P108" s="292">
        <f t="shared" si="81"/>
        <v>-7.4572545582566215E-3</v>
      </c>
      <c r="Q108" s="293">
        <f t="shared" si="82"/>
        <v>40040.988599999997</v>
      </c>
      <c r="R108" s="227">
        <f t="shared" si="83"/>
        <v>7.5290544623371502E-4</v>
      </c>
      <c r="S108" s="227">
        <v>1</v>
      </c>
      <c r="T108" s="227">
        <f t="shared" si="84"/>
        <v>7.5290544623371502E-4</v>
      </c>
      <c r="Z108" s="34">
        <f t="shared" si="85"/>
        <v>31826</v>
      </c>
      <c r="AA108" s="227">
        <f t="shared" si="86"/>
        <v>2.0721747299885851E-2</v>
      </c>
      <c r="AB108" s="227">
        <f t="shared" si="87"/>
        <v>-8.1971338678605739E-3</v>
      </c>
      <c r="AC108" s="227">
        <f t="shared" si="88"/>
        <v>2.743912254853852E-2</v>
      </c>
      <c r="AD108" s="227">
        <f t="shared" si="89"/>
        <v>-7.3987930960395243E-4</v>
      </c>
      <c r="AE108" s="227">
        <f t="shared" si="90"/>
        <v>5.4742139278002124E-7</v>
      </c>
      <c r="AF108" s="34">
        <f t="shared" si="91"/>
        <v>2.743912254853852E-2</v>
      </c>
      <c r="AG108" s="19"/>
      <c r="AH108" s="34">
        <f t="shared" si="92"/>
        <v>2.8179001858142472E-2</v>
      </c>
      <c r="AI108" s="34">
        <f t="shared" si="93"/>
        <v>1.0752470484260901</v>
      </c>
      <c r="AJ108" s="34">
        <f t="shared" si="94"/>
        <v>0.9959797054466164</v>
      </c>
      <c r="AK108" s="34">
        <f t="shared" si="95"/>
        <v>-8.9415914278308702E-3</v>
      </c>
      <c r="AL108" s="34">
        <f t="shared" si="96"/>
        <v>-0.1182751747241282</v>
      </c>
      <c r="AM108" s="34">
        <f t="shared" si="97"/>
        <v>-5.9206623664702342E-2</v>
      </c>
      <c r="AN108" s="227">
        <f t="shared" si="118"/>
        <v>12.456724717061926</v>
      </c>
      <c r="AO108" s="227">
        <f t="shared" si="118"/>
        <v>12.456724718462695</v>
      </c>
      <c r="AP108" s="227">
        <f t="shared" si="118"/>
        <v>12.456724737059927</v>
      </c>
      <c r="AQ108" s="227">
        <f t="shared" si="118"/>
        <v>12.45672498396492</v>
      </c>
      <c r="AR108" s="227">
        <f t="shared" si="118"/>
        <v>12.456728261983178</v>
      </c>
      <c r="AS108" s="227">
        <f t="shared" si="118"/>
        <v>12.456771782269506</v>
      </c>
      <c r="AT108" s="227">
        <f t="shared" si="118"/>
        <v>12.457349555343347</v>
      </c>
      <c r="AU108" s="227">
        <f t="shared" si="98"/>
        <v>12.465016655873248</v>
      </c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</row>
    <row r="109" spans="1:86" s="227" customFormat="1" ht="12.95" customHeight="1">
      <c r="A109" s="302" t="s">
        <v>126</v>
      </c>
      <c r="B109" s="303" t="s">
        <v>86</v>
      </c>
      <c r="C109" s="126">
        <v>55068.561300000001</v>
      </c>
      <c r="D109" s="126">
        <v>2.0000000000000001E-4</v>
      </c>
      <c r="E109" s="227">
        <f t="shared" si="78"/>
        <v>31853.561642613997</v>
      </c>
      <c r="F109" s="227">
        <f t="shared" si="79"/>
        <v>31853.5</v>
      </c>
      <c r="G109" s="227">
        <f t="shared" si="80"/>
        <v>2.0336112997028977E-2</v>
      </c>
      <c r="K109" s="227">
        <f t="shared" si="119"/>
        <v>2.0336112997028977E-2</v>
      </c>
      <c r="O109" s="227">
        <f t="shared" ref="O109:O140" ca="1" si="120">+C$11+C$12*F109</f>
        <v>2.579193945019459E-2</v>
      </c>
      <c r="P109" s="292">
        <f t="shared" si="81"/>
        <v>-7.5048080998309993E-3</v>
      </c>
      <c r="Q109" s="293">
        <f t="shared" si="82"/>
        <v>40050.061300000001</v>
      </c>
      <c r="R109" s="227">
        <f t="shared" si="83"/>
        <v>7.7511688752158288E-4</v>
      </c>
      <c r="S109" s="227">
        <v>1</v>
      </c>
      <c r="T109" s="227">
        <f t="shared" si="84"/>
        <v>7.7511688752158288E-4</v>
      </c>
      <c r="Z109" s="34">
        <f t="shared" si="85"/>
        <v>31853.5</v>
      </c>
      <c r="AA109" s="227">
        <f t="shared" si="86"/>
        <v>2.0667892308339247E-2</v>
      </c>
      <c r="AB109" s="227">
        <f t="shared" si="87"/>
        <v>-7.8365874111412694E-3</v>
      </c>
      <c r="AC109" s="227">
        <f t="shared" si="88"/>
        <v>2.7840921096859976E-2</v>
      </c>
      <c r="AD109" s="227">
        <f t="shared" si="89"/>
        <v>-3.3177931131027003E-4</v>
      </c>
      <c r="AE109" s="227">
        <f t="shared" si="90"/>
        <v>1.1007751141351707E-7</v>
      </c>
      <c r="AF109" s="34">
        <f t="shared" si="91"/>
        <v>2.7840921096859976E-2</v>
      </c>
      <c r="AG109" s="19"/>
      <c r="AH109" s="34">
        <f t="shared" si="92"/>
        <v>2.8172700408170246E-2</v>
      </c>
      <c r="AI109" s="34">
        <f t="shared" si="93"/>
        <v>1.0752685648500688</v>
      </c>
      <c r="AJ109" s="34">
        <f t="shared" si="94"/>
        <v>0.99575897699386373</v>
      </c>
      <c r="AK109" s="34">
        <f t="shared" si="95"/>
        <v>-8.7586242933232073E-3</v>
      </c>
      <c r="AL109" s="34">
        <f t="shared" si="96"/>
        <v>-0.11584397120440833</v>
      </c>
      <c r="AM109" s="34">
        <f t="shared" si="97"/>
        <v>-5.7986847893402152E-2</v>
      </c>
      <c r="AN109" s="227">
        <f t="shared" si="118"/>
        <v>12.458979258532397</v>
      </c>
      <c r="AO109" s="227">
        <f t="shared" si="118"/>
        <v>12.458979259906444</v>
      </c>
      <c r="AP109" s="227">
        <f t="shared" si="118"/>
        <v>12.458979278144428</v>
      </c>
      <c r="AQ109" s="227">
        <f t="shared" si="118"/>
        <v>12.458979520220426</v>
      </c>
      <c r="AR109" s="227">
        <f t="shared" si="118"/>
        <v>12.458982733337542</v>
      </c>
      <c r="AS109" s="227">
        <f t="shared" si="118"/>
        <v>12.459025381498316</v>
      </c>
      <c r="AT109" s="227">
        <f t="shared" si="118"/>
        <v>12.459591438071154</v>
      </c>
      <c r="AU109" s="227">
        <f t="shared" si="98"/>
        <v>12.467101361183826</v>
      </c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</row>
    <row r="110" spans="1:86" s="227" customFormat="1" ht="12.95" customHeight="1">
      <c r="A110" s="302" t="s">
        <v>126</v>
      </c>
      <c r="B110" s="303" t="s">
        <v>86</v>
      </c>
      <c r="C110" s="126">
        <v>55100.561300000001</v>
      </c>
      <c r="D110" s="126">
        <v>2.9999999999999997E-4</v>
      </c>
      <c r="E110" s="227">
        <f t="shared" si="78"/>
        <v>31950.559709460711</v>
      </c>
      <c r="F110" s="227">
        <f t="shared" si="79"/>
        <v>31950.5</v>
      </c>
      <c r="G110" s="227">
        <f t="shared" si="80"/>
        <v>1.9698358999448828E-2</v>
      </c>
      <c r="K110" s="227">
        <f t="shared" si="119"/>
        <v>1.9698358999448828E-2</v>
      </c>
      <c r="O110" s="227">
        <f t="shared" ca="1" si="120"/>
        <v>2.5439999779857239E-2</v>
      </c>
      <c r="P110" s="292">
        <f t="shared" si="81"/>
        <v>-7.6728747088872958E-3</v>
      </c>
      <c r="Q110" s="293">
        <f t="shared" si="82"/>
        <v>40082.061300000001</v>
      </c>
      <c r="R110" s="227">
        <f t="shared" si="83"/>
        <v>7.4918443471635565E-4</v>
      </c>
      <c r="S110" s="227">
        <v>1</v>
      </c>
      <c r="T110" s="227">
        <f t="shared" si="84"/>
        <v>7.4918443471635565E-4</v>
      </c>
      <c r="Z110" s="34">
        <f t="shared" si="85"/>
        <v>31950.5</v>
      </c>
      <c r="AA110" s="227">
        <f t="shared" si="86"/>
        <v>2.0476454540769108E-2</v>
      </c>
      <c r="AB110" s="227">
        <f t="shared" si="87"/>
        <v>-8.4509702502075755E-3</v>
      </c>
      <c r="AC110" s="227">
        <f t="shared" si="88"/>
        <v>2.7371233708336124E-2</v>
      </c>
      <c r="AD110" s="227">
        <f t="shared" si="89"/>
        <v>-7.7809554132027975E-4</v>
      </c>
      <c r="AE110" s="227">
        <f t="shared" si="90"/>
        <v>6.0543267142249918E-7</v>
      </c>
      <c r="AF110" s="34">
        <f t="shared" si="91"/>
        <v>2.7371233708336124E-2</v>
      </c>
      <c r="AG110" s="19"/>
      <c r="AH110" s="34">
        <f t="shared" si="92"/>
        <v>2.8149329249656404E-2</v>
      </c>
      <c r="AI110" s="34">
        <f t="shared" si="93"/>
        <v>1.0753409122072102</v>
      </c>
      <c r="AJ110" s="34">
        <f t="shared" si="94"/>
        <v>0.99493334670565237</v>
      </c>
      <c r="AK110" s="34">
        <f t="shared" si="95"/>
        <v>-8.1127863207439335E-3</v>
      </c>
      <c r="AL110" s="34">
        <f t="shared" si="96"/>
        <v>-0.10726769796301482</v>
      </c>
      <c r="AM110" s="34">
        <f t="shared" si="97"/>
        <v>-5.3685335751707218E-2</v>
      </c>
      <c r="AN110" s="227">
        <f t="shared" si="118"/>
        <v>12.466931991406147</v>
      </c>
      <c r="AO110" s="227">
        <f t="shared" si="118"/>
        <v>12.466931992684938</v>
      </c>
      <c r="AP110" s="227">
        <f t="shared" si="118"/>
        <v>12.466932009644559</v>
      </c>
      <c r="AQ110" s="227">
        <f t="shared" si="118"/>
        <v>12.466932234566899</v>
      </c>
      <c r="AR110" s="227">
        <f t="shared" si="118"/>
        <v>12.46693521753749</v>
      </c>
      <c r="AS110" s="227">
        <f t="shared" si="118"/>
        <v>12.466974778279496</v>
      </c>
      <c r="AT110" s="227">
        <f t="shared" si="118"/>
        <v>12.467499425876275</v>
      </c>
      <c r="AU110" s="227">
        <f t="shared" si="98"/>
        <v>12.474454685370228</v>
      </c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</row>
    <row r="111" spans="1:86" s="227" customFormat="1" ht="12.95" customHeight="1">
      <c r="A111" s="21" t="s">
        <v>124</v>
      </c>
      <c r="B111" s="122" t="s">
        <v>86</v>
      </c>
      <c r="C111" s="21">
        <v>55135.863599999997</v>
      </c>
      <c r="D111" s="21">
        <v>5.9999999999999995E-4</v>
      </c>
      <c r="E111" s="227">
        <f t="shared" si="78"/>
        <v>32057.567673687034</v>
      </c>
      <c r="F111" s="227">
        <f t="shared" si="79"/>
        <v>32057.5</v>
      </c>
      <c r="G111" s="227">
        <f t="shared" si="80"/>
        <v>2.2325784993881825E-2</v>
      </c>
      <c r="K111" s="227">
        <f t="shared" si="119"/>
        <v>2.2325784993881825E-2</v>
      </c>
      <c r="O111" s="227">
        <f t="shared" ca="1" si="120"/>
        <v>2.5051777669278907E-2</v>
      </c>
      <c r="P111" s="292">
        <f t="shared" si="81"/>
        <v>-7.8588683949901185E-3</v>
      </c>
      <c r="Q111" s="293">
        <f t="shared" si="82"/>
        <v>40117.363599999997</v>
      </c>
      <c r="R111" s="227">
        <f t="shared" si="83"/>
        <v>9.1111330020633848E-4</v>
      </c>
      <c r="S111" s="227">
        <v>1</v>
      </c>
      <c r="T111" s="227">
        <f t="shared" si="84"/>
        <v>9.1111330020633848E-4</v>
      </c>
      <c r="Z111" s="34">
        <f t="shared" si="85"/>
        <v>32057.5</v>
      </c>
      <c r="AA111" s="227">
        <f t="shared" si="86"/>
        <v>2.0262613307531062E-2</v>
      </c>
      <c r="AB111" s="227">
        <f t="shared" si="87"/>
        <v>-5.795696708639355E-3</v>
      </c>
      <c r="AC111" s="227">
        <f t="shared" si="88"/>
        <v>3.0184653388871944E-2</v>
      </c>
      <c r="AD111" s="227">
        <f t="shared" si="89"/>
        <v>2.0631716863507635E-3</v>
      </c>
      <c r="AE111" s="227">
        <f t="shared" si="90"/>
        <v>4.256677407359453E-6</v>
      </c>
      <c r="AF111" s="34">
        <f t="shared" si="91"/>
        <v>3.0184653388871944E-2</v>
      </c>
      <c r="AG111" s="19"/>
      <c r="AH111" s="34">
        <f t="shared" si="92"/>
        <v>2.812148170252118E-2</v>
      </c>
      <c r="AI111" s="34">
        <f t="shared" si="93"/>
        <v>1.0754142995035683</v>
      </c>
      <c r="AJ111" s="34">
        <f t="shared" si="94"/>
        <v>0.99393757668997984</v>
      </c>
      <c r="AK111" s="34">
        <f t="shared" si="95"/>
        <v>-7.399580020968125E-3</v>
      </c>
      <c r="AL111" s="34">
        <f t="shared" si="96"/>
        <v>-9.7805988866243726E-2</v>
      </c>
      <c r="AM111" s="34">
        <f t="shared" si="97"/>
        <v>-4.8942015645039937E-2</v>
      </c>
      <c r="AN111" s="227">
        <f t="shared" ref="AN111:AT120" si="121">$AU111+$AB$7*SIN(AO111)</f>
        <v>12.475705188939534</v>
      </c>
      <c r="AO111" s="227">
        <f t="shared" si="121"/>
        <v>12.475705190111533</v>
      </c>
      <c r="AP111" s="227">
        <f t="shared" si="121"/>
        <v>12.47570520564188</v>
      </c>
      <c r="AQ111" s="227">
        <f t="shared" si="121"/>
        <v>12.475705411436648</v>
      </c>
      <c r="AR111" s="227">
        <f t="shared" si="121"/>
        <v>12.475708138451237</v>
      </c>
      <c r="AS111" s="227">
        <f t="shared" si="121"/>
        <v>12.475744274430287</v>
      </c>
      <c r="AT111" s="227">
        <f t="shared" si="121"/>
        <v>12.476223105193807</v>
      </c>
      <c r="AU111" s="227">
        <f t="shared" si="98"/>
        <v>12.482566084215021</v>
      </c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</row>
    <row r="112" spans="1:86" s="227" customFormat="1" ht="12.95" customHeight="1">
      <c r="A112" s="304" t="s">
        <v>125</v>
      </c>
      <c r="B112" s="122"/>
      <c r="C112" s="21">
        <v>55149.717499999999</v>
      </c>
      <c r="D112" s="21">
        <v>1E-4</v>
      </c>
      <c r="E112" s="227">
        <f t="shared" si="78"/>
        <v>32099.561471133533</v>
      </c>
      <c r="F112" s="227">
        <f t="shared" si="79"/>
        <v>32099.5</v>
      </c>
      <c r="G112" s="227">
        <f t="shared" si="80"/>
        <v>2.0279540993215051E-2</v>
      </c>
      <c r="K112" s="227">
        <f t="shared" si="119"/>
        <v>2.0279540993215051E-2</v>
      </c>
      <c r="O112" s="227">
        <f t="shared" ca="1" si="120"/>
        <v>2.4899391420266856E-2</v>
      </c>
      <c r="P112" s="292">
        <f t="shared" si="81"/>
        <v>-7.9320474584940182E-3</v>
      </c>
      <c r="Q112" s="293">
        <f t="shared" si="82"/>
        <v>40131.217499999999</v>
      </c>
      <c r="R112" s="227">
        <f t="shared" si="83"/>
        <v>7.9589372296860446E-4</v>
      </c>
      <c r="S112" s="227">
        <v>1</v>
      </c>
      <c r="T112" s="227">
        <f t="shared" si="84"/>
        <v>7.9589372296860446E-4</v>
      </c>
      <c r="Z112" s="34">
        <f t="shared" si="85"/>
        <v>32099.5</v>
      </c>
      <c r="AA112" s="227">
        <f t="shared" si="86"/>
        <v>2.0177911219786779E-2</v>
      </c>
      <c r="AB112" s="227">
        <f t="shared" si="87"/>
        <v>-7.8304176850657464E-3</v>
      </c>
      <c r="AC112" s="227">
        <f t="shared" si="88"/>
        <v>2.8211588451709069E-2</v>
      </c>
      <c r="AD112" s="227">
        <f t="shared" si="89"/>
        <v>1.0162977342827173E-4</v>
      </c>
      <c r="AE112" s="227">
        <f t="shared" si="90"/>
        <v>1.0328610847081846E-8</v>
      </c>
      <c r="AF112" s="34">
        <f t="shared" si="91"/>
        <v>2.8211588451709069E-2</v>
      </c>
      <c r="AG112" s="19"/>
      <c r="AH112" s="34">
        <f t="shared" si="92"/>
        <v>2.8109958678280797E-2</v>
      </c>
      <c r="AI112" s="34">
        <f t="shared" si="93"/>
        <v>1.0754412633868362</v>
      </c>
      <c r="AJ112" s="34">
        <f t="shared" si="94"/>
        <v>0.99352235119298926</v>
      </c>
      <c r="AK112" s="34">
        <f t="shared" si="95"/>
        <v>-7.1194194074099739E-3</v>
      </c>
      <c r="AL112" s="34">
        <f t="shared" si="96"/>
        <v>-9.4091703677141481E-2</v>
      </c>
      <c r="AM112" s="34">
        <f t="shared" si="97"/>
        <v>-4.7080591647134018E-2</v>
      </c>
      <c r="AN112" s="227">
        <f t="shared" si="121"/>
        <v>12.479149033109156</v>
      </c>
      <c r="AO112" s="227">
        <f t="shared" si="121"/>
        <v>12.479149034238779</v>
      </c>
      <c r="AP112" s="227">
        <f t="shared" si="121"/>
        <v>12.479149049202963</v>
      </c>
      <c r="AQ112" s="227">
        <f t="shared" si="121"/>
        <v>12.479149247434574</v>
      </c>
      <c r="AR112" s="227">
        <f t="shared" si="121"/>
        <v>12.479151873422126</v>
      </c>
      <c r="AS112" s="227">
        <f t="shared" si="121"/>
        <v>12.479186660000169</v>
      </c>
      <c r="AT112" s="227">
        <f t="shared" si="121"/>
        <v>12.479647469437145</v>
      </c>
      <c r="AU112" s="227">
        <f t="shared" si="98"/>
        <v>12.485749997780266</v>
      </c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</row>
    <row r="113" spans="1:86" s="227" customFormat="1" ht="12.95" customHeight="1">
      <c r="A113" s="21" t="s">
        <v>132</v>
      </c>
      <c r="B113" s="122" t="s">
        <v>87</v>
      </c>
      <c r="C113" s="21">
        <v>55194.4182</v>
      </c>
      <c r="D113" s="21">
        <v>1E-4</v>
      </c>
      <c r="E113" s="227">
        <f t="shared" si="78"/>
        <v>32235.057767592752</v>
      </c>
      <c r="F113" s="227">
        <f t="shared" si="79"/>
        <v>32235</v>
      </c>
      <c r="G113" s="227">
        <f t="shared" si="80"/>
        <v>1.9057729994528927E-2</v>
      </c>
      <c r="J113" s="227">
        <f>G113</f>
        <v>1.9057729994528927E-2</v>
      </c>
      <c r="O113" s="227">
        <f t="shared" ca="1" si="120"/>
        <v>2.4407764355001776E-2</v>
      </c>
      <c r="P113" s="292">
        <f t="shared" si="81"/>
        <v>-8.1687988540101765E-3</v>
      </c>
      <c r="Q113" s="293">
        <f t="shared" si="82"/>
        <v>40175.9182</v>
      </c>
      <c r="R113" s="227">
        <f t="shared" si="83"/>
        <v>7.4128387314033209E-4</v>
      </c>
      <c r="S113" s="227">
        <v>1</v>
      </c>
      <c r="T113" s="227">
        <f t="shared" si="84"/>
        <v>7.4128387314033209E-4</v>
      </c>
      <c r="Z113" s="34">
        <f t="shared" si="85"/>
        <v>32235</v>
      </c>
      <c r="AA113" s="227">
        <f t="shared" si="86"/>
        <v>1.9901710221558021E-2</v>
      </c>
      <c r="AB113" s="227">
        <f t="shared" si="87"/>
        <v>-9.0127790810392711E-3</v>
      </c>
      <c r="AC113" s="227">
        <f t="shared" si="88"/>
        <v>2.7226528848539103E-2</v>
      </c>
      <c r="AD113" s="227">
        <f t="shared" si="89"/>
        <v>-8.4398022702909456E-4</v>
      </c>
      <c r="AE113" s="227">
        <f t="shared" si="90"/>
        <v>7.1230262361608203E-7</v>
      </c>
      <c r="AF113" s="34">
        <f t="shared" si="91"/>
        <v>2.7226528848539103E-2</v>
      </c>
      <c r="AG113" s="19"/>
      <c r="AH113" s="34">
        <f t="shared" si="92"/>
        <v>2.8070509075568198E-2</v>
      </c>
      <c r="AI113" s="34">
        <f t="shared" si="93"/>
        <v>1.0755211644816212</v>
      </c>
      <c r="AJ113" s="34">
        <f t="shared" si="94"/>
        <v>0.99208919227630121</v>
      </c>
      <c r="AK113" s="34">
        <f t="shared" si="95"/>
        <v>-6.2148265816916477E-3</v>
      </c>
      <c r="AL113" s="34">
        <f t="shared" si="96"/>
        <v>-8.210750321194768E-2</v>
      </c>
      <c r="AM113" s="34">
        <f t="shared" si="97"/>
        <v>-4.1076831307233976E-2</v>
      </c>
      <c r="AN113" s="227">
        <f t="shared" si="121"/>
        <v>12.490260090822421</v>
      </c>
      <c r="AO113" s="227">
        <f t="shared" si="121"/>
        <v>12.490260091813688</v>
      </c>
      <c r="AP113" s="227">
        <f t="shared" si="121"/>
        <v>12.490260104933157</v>
      </c>
      <c r="AQ113" s="227">
        <f t="shared" si="121"/>
        <v>12.490260278569666</v>
      </c>
      <c r="AR113" s="227">
        <f t="shared" si="121"/>
        <v>12.490262576653459</v>
      </c>
      <c r="AS113" s="227">
        <f t="shared" si="121"/>
        <v>12.490292991815078</v>
      </c>
      <c r="AT113" s="227">
        <f t="shared" si="121"/>
        <v>12.490695530147276</v>
      </c>
      <c r="AU113" s="227">
        <f t="shared" si="98"/>
        <v>12.496021909401478</v>
      </c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</row>
    <row r="114" spans="1:86" s="227" customFormat="1" ht="12.95" customHeight="1">
      <c r="A114" s="302" t="s">
        <v>126</v>
      </c>
      <c r="B114" s="303" t="s">
        <v>86</v>
      </c>
      <c r="C114" s="126">
        <v>55212.4</v>
      </c>
      <c r="D114" s="126">
        <v>2.0000000000000001E-4</v>
      </c>
      <c r="E114" s="227">
        <f t="shared" si="78"/>
        <v>32289.564012543513</v>
      </c>
      <c r="F114" s="227">
        <f t="shared" si="79"/>
        <v>32289.5</v>
      </c>
      <c r="G114" s="227">
        <f t="shared" si="80"/>
        <v>2.1117960997798946E-2</v>
      </c>
      <c r="K114" s="227">
        <f>G114</f>
        <v>2.1117960997798946E-2</v>
      </c>
      <c r="O114" s="227">
        <f t="shared" ca="1" si="120"/>
        <v>2.4210025055688519E-2</v>
      </c>
      <c r="P114" s="292">
        <f t="shared" si="81"/>
        <v>-8.2643085147729653E-3</v>
      </c>
      <c r="Q114" s="293">
        <f t="shared" si="82"/>
        <v>40193.9</v>
      </c>
      <c r="R114" s="227">
        <f t="shared" si="83"/>
        <v>8.6331776170941283E-4</v>
      </c>
      <c r="S114" s="227">
        <v>1</v>
      </c>
      <c r="T114" s="227">
        <f t="shared" si="84"/>
        <v>8.6331776170941283E-4</v>
      </c>
      <c r="Z114" s="34">
        <f t="shared" si="85"/>
        <v>32289.5</v>
      </c>
      <c r="AA114" s="227">
        <f t="shared" si="86"/>
        <v>1.9789355000634688E-2</v>
      </c>
      <c r="AB114" s="227">
        <f t="shared" si="87"/>
        <v>-6.9357025176087078E-3</v>
      </c>
      <c r="AC114" s="227">
        <f t="shared" si="88"/>
        <v>2.9382269512571911E-2</v>
      </c>
      <c r="AD114" s="227">
        <f t="shared" si="89"/>
        <v>1.3286059971642575E-3</v>
      </c>
      <c r="AE114" s="227">
        <f t="shared" si="90"/>
        <v>1.7651938957008309E-6</v>
      </c>
      <c r="AF114" s="34">
        <f t="shared" si="91"/>
        <v>2.9382269512571911E-2</v>
      </c>
      <c r="AG114" s="19"/>
      <c r="AH114" s="34">
        <f t="shared" si="92"/>
        <v>2.8053663515407654E-2</v>
      </c>
      <c r="AI114" s="34">
        <f t="shared" si="93"/>
        <v>1.0755502466296605</v>
      </c>
      <c r="AJ114" s="34">
        <f t="shared" si="94"/>
        <v>0.99147250107716844</v>
      </c>
      <c r="AK114" s="34">
        <f t="shared" si="95"/>
        <v>-5.8506912666856344E-3</v>
      </c>
      <c r="AL114" s="34">
        <f t="shared" si="96"/>
        <v>-7.7286808056647366E-2</v>
      </c>
      <c r="AM114" s="34">
        <f t="shared" si="97"/>
        <v>-3.8662651086834893E-2</v>
      </c>
      <c r="AN114" s="227">
        <f t="shared" si="121"/>
        <v>12.494729337325591</v>
      </c>
      <c r="AO114" s="227">
        <f t="shared" si="121"/>
        <v>12.494729338260559</v>
      </c>
      <c r="AP114" s="227">
        <f t="shared" si="121"/>
        <v>12.494729350630786</v>
      </c>
      <c r="AQ114" s="227">
        <f t="shared" si="121"/>
        <v>12.494729514296926</v>
      </c>
      <c r="AR114" s="227">
        <f t="shared" si="121"/>
        <v>12.494731679706275</v>
      </c>
      <c r="AS114" s="227">
        <f t="shared" si="121"/>
        <v>12.494760329446615</v>
      </c>
      <c r="AT114" s="227">
        <f t="shared" si="121"/>
        <v>12.495139378165273</v>
      </c>
      <c r="AU114" s="227">
        <f t="shared" si="98"/>
        <v>12.500153416289713</v>
      </c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</row>
    <row r="115" spans="1:86" s="227" customFormat="1" ht="12.95" customHeight="1">
      <c r="A115" s="302" t="s">
        <v>126</v>
      </c>
      <c r="B115" s="303" t="s">
        <v>86</v>
      </c>
      <c r="C115" s="126">
        <v>55213.388800000001</v>
      </c>
      <c r="D115" s="126">
        <v>1E-4</v>
      </c>
      <c r="E115" s="227">
        <f t="shared" si="78"/>
        <v>32292.561252809075</v>
      </c>
      <c r="F115" s="227">
        <f t="shared" si="79"/>
        <v>32292.5</v>
      </c>
      <c r="G115" s="227">
        <f t="shared" si="80"/>
        <v>2.0207514993671793E-2</v>
      </c>
      <c r="K115" s="227">
        <f>G115</f>
        <v>2.0207514993671793E-2</v>
      </c>
      <c r="O115" s="227">
        <f t="shared" ca="1" si="120"/>
        <v>2.4199140323616225E-2</v>
      </c>
      <c r="P115" s="292">
        <f t="shared" si="81"/>
        <v>-8.2695706738277544E-3</v>
      </c>
      <c r="Q115" s="293">
        <f t="shared" si="82"/>
        <v>40194.888800000001</v>
      </c>
      <c r="R115" s="227">
        <f t="shared" si="83"/>
        <v>8.1094440811410812E-4</v>
      </c>
      <c r="S115" s="227">
        <v>1</v>
      </c>
      <c r="T115" s="227">
        <f t="shared" si="84"/>
        <v>8.1094440811410812E-4</v>
      </c>
      <c r="Z115" s="34">
        <f t="shared" si="85"/>
        <v>32292.5</v>
      </c>
      <c r="AA115" s="227">
        <f t="shared" si="86"/>
        <v>1.9783149275238419E-2</v>
      </c>
      <c r="AB115" s="227">
        <f t="shared" si="87"/>
        <v>-7.8452049553943796E-3</v>
      </c>
      <c r="AC115" s="227">
        <f t="shared" si="88"/>
        <v>2.8477085667499548E-2</v>
      </c>
      <c r="AD115" s="227">
        <f t="shared" si="89"/>
        <v>4.2436571843337476E-4</v>
      </c>
      <c r="AE115" s="227">
        <f t="shared" si="90"/>
        <v>1.8008626298147429E-7</v>
      </c>
      <c r="AF115" s="34">
        <f t="shared" si="91"/>
        <v>2.8477085667499548E-2</v>
      </c>
      <c r="AG115" s="19"/>
      <c r="AH115" s="34">
        <f t="shared" si="92"/>
        <v>2.8052719949066173E-2</v>
      </c>
      <c r="AI115" s="34">
        <f t="shared" si="93"/>
        <v>1.0755517965490586</v>
      </c>
      <c r="AJ115" s="34">
        <f t="shared" si="94"/>
        <v>0.99143788460123183</v>
      </c>
      <c r="AK115" s="34">
        <f t="shared" si="95"/>
        <v>-5.8306425297946322E-3</v>
      </c>
      <c r="AL115" s="34">
        <f t="shared" si="96"/>
        <v>-7.7021441204530916E-2</v>
      </c>
      <c r="AM115" s="34">
        <f t="shared" si="97"/>
        <v>-3.8529770006399178E-2</v>
      </c>
      <c r="AN115" s="227">
        <f t="shared" si="121"/>
        <v>12.494975354364568</v>
      </c>
      <c r="AO115" s="227">
        <f t="shared" si="121"/>
        <v>12.494975355296427</v>
      </c>
      <c r="AP115" s="227">
        <f t="shared" si="121"/>
        <v>12.494975367625297</v>
      </c>
      <c r="AQ115" s="227">
        <f t="shared" si="121"/>
        <v>12.494975530741398</v>
      </c>
      <c r="AR115" s="227">
        <f t="shared" si="121"/>
        <v>12.494977688835316</v>
      </c>
      <c r="AS115" s="227">
        <f t="shared" si="121"/>
        <v>12.49500624128488</v>
      </c>
      <c r="AT115" s="227">
        <f t="shared" si="121"/>
        <v>12.495383996186522</v>
      </c>
      <c r="AU115" s="227">
        <f t="shared" si="98"/>
        <v>12.50038083868723</v>
      </c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</row>
    <row r="116" spans="1:86" s="227" customFormat="1" ht="12.95" customHeight="1">
      <c r="A116" s="21" t="s">
        <v>132</v>
      </c>
      <c r="B116" s="122" t="s">
        <v>87</v>
      </c>
      <c r="C116" s="21">
        <v>55263.366099999999</v>
      </c>
      <c r="D116" s="21">
        <v>1E-3</v>
      </c>
      <c r="E116" s="227">
        <f t="shared" si="78"/>
        <v>32444.051924253396</v>
      </c>
      <c r="F116" s="227">
        <f t="shared" si="79"/>
        <v>32444</v>
      </c>
      <c r="G116" s="227">
        <f t="shared" si="80"/>
        <v>1.7129991996625904E-2</v>
      </c>
      <c r="J116" s="227">
        <f>G116</f>
        <v>1.7129991996625904E-2</v>
      </c>
      <c r="O116" s="227">
        <f t="shared" ca="1" si="120"/>
        <v>2.3649461353965603E-2</v>
      </c>
      <c r="P116" s="292">
        <f t="shared" si="81"/>
        <v>-8.5359537697197764E-3</v>
      </c>
      <c r="Q116" s="293">
        <f t="shared" si="82"/>
        <v>40244.866099999999</v>
      </c>
      <c r="R116" s="227">
        <f t="shared" si="83"/>
        <v>6.5874077208099777E-4</v>
      </c>
      <c r="S116" s="227">
        <v>1</v>
      </c>
      <c r="T116" s="227">
        <f t="shared" si="84"/>
        <v>6.5874077208099777E-4</v>
      </c>
      <c r="Z116" s="34">
        <f t="shared" si="85"/>
        <v>32444</v>
      </c>
      <c r="AA116" s="227">
        <f t="shared" si="86"/>
        <v>1.9466907643336816E-2</v>
      </c>
      <c r="AB116" s="227">
        <f t="shared" si="87"/>
        <v>-1.0872869416430689E-2</v>
      </c>
      <c r="AC116" s="227">
        <f t="shared" si="88"/>
        <v>2.566594576634568E-2</v>
      </c>
      <c r="AD116" s="227">
        <f t="shared" si="89"/>
        <v>-2.3369156467109124E-3</v>
      </c>
      <c r="AE116" s="227">
        <f t="shared" si="90"/>
        <v>5.4611747398422822E-6</v>
      </c>
      <c r="AF116" s="34">
        <f t="shared" si="91"/>
        <v>2.566594576634568E-2</v>
      </c>
      <c r="AG116" s="19"/>
      <c r="AH116" s="34">
        <f t="shared" si="92"/>
        <v>2.8002861413056593E-2</v>
      </c>
      <c r="AI116" s="34">
        <f t="shared" si="93"/>
        <v>1.0756231513371035</v>
      </c>
      <c r="AJ116" s="34">
        <f t="shared" si="94"/>
        <v>0.98959888373276428</v>
      </c>
      <c r="AK116" s="34">
        <f t="shared" si="95"/>
        <v>-4.8176068691959499E-3</v>
      </c>
      <c r="AL116" s="34">
        <f t="shared" si="96"/>
        <v>-6.3619478618967065E-2</v>
      </c>
      <c r="AM116" s="34">
        <f t="shared" si="97"/>
        <v>-3.1820472649553372E-2</v>
      </c>
      <c r="AN116" s="227">
        <f t="shared" si="121"/>
        <v>12.507399648954401</v>
      </c>
      <c r="AO116" s="227">
        <f t="shared" si="121"/>
        <v>12.507399649727956</v>
      </c>
      <c r="AP116" s="227">
        <f t="shared" si="121"/>
        <v>12.507399659954139</v>
      </c>
      <c r="AQ116" s="227">
        <f t="shared" si="121"/>
        <v>12.50739979514111</v>
      </c>
      <c r="AR116" s="227">
        <f t="shared" si="121"/>
        <v>12.507401582271088</v>
      </c>
      <c r="AS116" s="227">
        <f t="shared" si="121"/>
        <v>12.507425207559375</v>
      </c>
      <c r="AT116" s="227">
        <f t="shared" si="121"/>
        <v>12.507737523244225</v>
      </c>
      <c r="AU116" s="227">
        <f t="shared" si="98"/>
        <v>12.511865669761868</v>
      </c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</row>
    <row r="117" spans="1:86" s="227" customFormat="1" ht="12.95" customHeight="1">
      <c r="A117" s="291" t="s">
        <v>127</v>
      </c>
      <c r="B117" s="122" t="s">
        <v>87</v>
      </c>
      <c r="C117" s="21">
        <v>55476.813000000002</v>
      </c>
      <c r="D117" s="21">
        <v>8.9999999999999998E-4</v>
      </c>
      <c r="E117" s="227">
        <f t="shared" ref="E117:E148" si="122">+(C117-C$7)/C$8</f>
        <v>33091.049945329156</v>
      </c>
      <c r="F117" s="227">
        <f t="shared" ref="F117:F148" si="123">ROUND(2*E117,0)/2</f>
        <v>33091</v>
      </c>
      <c r="G117" s="227">
        <f t="shared" ref="G117:G148" si="124">+C117-(C$7+F117*C$8)</f>
        <v>1.6477138000482228E-2</v>
      </c>
      <c r="K117" s="227">
        <f>G117</f>
        <v>1.6477138000482228E-2</v>
      </c>
      <c r="O117" s="227">
        <f t="shared" ca="1" si="120"/>
        <v>2.1301987470375164E-2</v>
      </c>
      <c r="P117" s="292">
        <f t="shared" ref="P117:P148" si="125">+D$11+D$12*F117+D$13*F117^2</f>
        <v>-9.6877922824846543E-3</v>
      </c>
      <c r="Q117" s="293">
        <f t="shared" ref="Q117:Q148" si="126">+C117-15018.5</f>
        <v>40458.313000000002</v>
      </c>
      <c r="R117" s="227">
        <f t="shared" ref="R117:R148" si="127">+(P117-G117)^2</f>
        <v>6.8460357671251736E-4</v>
      </c>
      <c r="S117" s="227">
        <v>1</v>
      </c>
      <c r="T117" s="227">
        <f t="shared" ref="T117:T148" si="128">R117*S117</f>
        <v>6.8460357671251736E-4</v>
      </c>
      <c r="Z117" s="34">
        <f t="shared" ref="Z117:Z148" si="129">F117</f>
        <v>33091</v>
      </c>
      <c r="AA117" s="227">
        <f t="shared" ref="AA117:AA148" si="130">AB$3+AB$4*Z117+AB$5*Z117^2+AH117</f>
        <v>1.8053564606458135E-2</v>
      </c>
      <c r="AB117" s="227">
        <f t="shared" ref="AB117:AB148" si="131">IF(S117&lt;&gt;0,G117-AH117, -9999)</f>
        <v>-1.1264218888460562E-2</v>
      </c>
      <c r="AC117" s="227">
        <f t="shared" ref="AC117:AC148" si="132">+G117-P117</f>
        <v>2.6164930282966882E-2</v>
      </c>
      <c r="AD117" s="227">
        <f t="shared" ref="AD117:AD148" si="133">IF(S117&lt;&gt;0,G117-AA117, -9999)</f>
        <v>-1.5764266059759072E-3</v>
      </c>
      <c r="AE117" s="227">
        <f t="shared" ref="AE117:AE148" si="134">+(G117-AA117)^2*S117</f>
        <v>2.4851208440287182E-6</v>
      </c>
      <c r="AF117" s="34">
        <f t="shared" ref="AF117:AF148" si="135">IF(S117&lt;&gt;0,G117-P117, -9999)</f>
        <v>2.6164930282966882E-2</v>
      </c>
      <c r="AG117" s="19"/>
      <c r="AH117" s="34">
        <f t="shared" ref="AH117:AH148" si="136">$AB$6*($AB$11/AI117*AJ117+$AB$12)</f>
        <v>2.7741356888942789E-2</v>
      </c>
      <c r="AI117" s="34">
        <f t="shared" ref="AI117:AI148" si="137">1+$AB$7*COS(AL117)</f>
        <v>1.0757749121256428</v>
      </c>
      <c r="AJ117" s="34">
        <f t="shared" ref="AJ117:AJ148" si="138">SIN(AL117+RADIANS($AB$9))</f>
        <v>0.97974668471287507</v>
      </c>
      <c r="AK117" s="34">
        <f t="shared" ref="AK117:AK148" si="139">$AB$7*SIN(AL117)</f>
        <v>-4.8274884951924474E-4</v>
      </c>
      <c r="AL117" s="34">
        <f t="shared" ref="AL117:AL148" si="140">2*ATAN(AM117)</f>
        <v>-6.370740723507266E-3</v>
      </c>
      <c r="AM117" s="34">
        <f t="shared" ref="AM117:AM148" si="141">SQRT((1+$AB$7)/(1-$AB$7))*TAN(AN117/2)</f>
        <v>-3.1853811353403706E-3</v>
      </c>
      <c r="AN117" s="227">
        <f t="shared" si="121"/>
        <v>12.560465645163951</v>
      </c>
      <c r="AO117" s="227">
        <f t="shared" si="121"/>
        <v>12.560465645242237</v>
      </c>
      <c r="AP117" s="227">
        <f t="shared" si="121"/>
        <v>12.560465646275382</v>
      </c>
      <c r="AQ117" s="227">
        <f t="shared" si="121"/>
        <v>12.560465659909729</v>
      </c>
      <c r="AR117" s="227">
        <f t="shared" si="121"/>
        <v>12.560465839841426</v>
      </c>
      <c r="AS117" s="227">
        <f t="shared" si="121"/>
        <v>12.560468214389614</v>
      </c>
      <c r="AT117" s="227">
        <f t="shared" si="121"/>
        <v>12.560499551161605</v>
      </c>
      <c r="AU117" s="227">
        <f t="shared" ref="AU117:AU148" si="142">RADIANS($AB$9)+$AB$18*(F117-AB$15)</f>
        <v>12.560913100159823</v>
      </c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</row>
    <row r="118" spans="1:86" s="227" customFormat="1" ht="12.95" customHeight="1">
      <c r="A118" s="295" t="s">
        <v>128</v>
      </c>
      <c r="B118" s="296" t="s">
        <v>86</v>
      </c>
      <c r="C118" s="295">
        <v>55483.5766</v>
      </c>
      <c r="D118" s="295" t="s">
        <v>264</v>
      </c>
      <c r="E118" s="227">
        <f t="shared" si="122"/>
        <v>33111.551699233038</v>
      </c>
      <c r="F118" s="227">
        <f t="shared" si="123"/>
        <v>33111.5</v>
      </c>
      <c r="G118" s="227">
        <f t="shared" si="124"/>
        <v>1.7055756994523108E-2</v>
      </c>
      <c r="K118" s="291">
        <f>G118</f>
        <v>1.7055756994523108E-2</v>
      </c>
      <c r="O118" s="227">
        <f t="shared" ca="1" si="120"/>
        <v>2.1227608467881187E-2</v>
      </c>
      <c r="P118" s="292">
        <f t="shared" si="125"/>
        <v>-9.7246644627143643E-3</v>
      </c>
      <c r="Q118" s="293">
        <f t="shared" si="126"/>
        <v>40465.0766</v>
      </c>
      <c r="R118" s="227">
        <f t="shared" si="127"/>
        <v>7.1719097342726526E-4</v>
      </c>
      <c r="S118" s="227">
        <v>1</v>
      </c>
      <c r="T118" s="227">
        <f t="shared" si="128"/>
        <v>7.1719097342726526E-4</v>
      </c>
      <c r="Z118" s="34">
        <f t="shared" si="129"/>
        <v>33111.5</v>
      </c>
      <c r="AA118" s="227">
        <f t="shared" si="130"/>
        <v>1.8007125249792096E-2</v>
      </c>
      <c r="AB118" s="227">
        <f t="shared" si="131"/>
        <v>-1.0676032717983352E-2</v>
      </c>
      <c r="AC118" s="227">
        <f t="shared" si="132"/>
        <v>2.6780421457237472E-2</v>
      </c>
      <c r="AD118" s="227">
        <f t="shared" si="133"/>
        <v>-9.5136825526898755E-4</v>
      </c>
      <c r="AE118" s="227">
        <f t="shared" si="134"/>
        <v>9.0510155713355746E-7</v>
      </c>
      <c r="AF118" s="34">
        <f t="shared" si="135"/>
        <v>2.6780421457237472E-2</v>
      </c>
      <c r="AG118" s="19"/>
      <c r="AH118" s="34">
        <f t="shared" si="136"/>
        <v>2.773178971250646E-2</v>
      </c>
      <c r="AI118" s="34">
        <f t="shared" si="137"/>
        <v>1.075775663192623</v>
      </c>
      <c r="AJ118" s="34">
        <f t="shared" si="138"/>
        <v>0.97938181637603405</v>
      </c>
      <c r="AK118" s="34">
        <f t="shared" si="139"/>
        <v>-3.4528512674901268E-4</v>
      </c>
      <c r="AL118" s="34">
        <f t="shared" si="140"/>
        <v>-4.556644211069244E-3</v>
      </c>
      <c r="AM118" s="34">
        <f t="shared" si="141"/>
        <v>-2.2783260476108578E-3</v>
      </c>
      <c r="AN118" s="227">
        <f t="shared" si="121"/>
        <v>12.562147112162817</v>
      </c>
      <c r="AO118" s="227">
        <f t="shared" si="121"/>
        <v>12.562147112218813</v>
      </c>
      <c r="AP118" s="227">
        <f t="shared" si="121"/>
        <v>12.562147112957797</v>
      </c>
      <c r="AQ118" s="227">
        <f t="shared" si="121"/>
        <v>12.56214712271005</v>
      </c>
      <c r="AR118" s="227">
        <f t="shared" si="121"/>
        <v>12.562147251408847</v>
      </c>
      <c r="AS118" s="227">
        <f t="shared" si="121"/>
        <v>12.562148949824982</v>
      </c>
      <c r="AT118" s="227">
        <f t="shared" si="121"/>
        <v>12.562171363532581</v>
      </c>
      <c r="AU118" s="227">
        <f t="shared" si="142"/>
        <v>12.562467153209527</v>
      </c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</row>
    <row r="119" spans="1:86" s="227" customFormat="1" ht="12.95" customHeight="1">
      <c r="A119" s="291" t="s">
        <v>128</v>
      </c>
      <c r="B119" s="122" t="s">
        <v>86</v>
      </c>
      <c r="C119" s="21">
        <v>55483.576639999999</v>
      </c>
      <c r="D119" s="126">
        <v>2.0000000000000001E-4</v>
      </c>
      <c r="E119" s="227">
        <f t="shared" si="122"/>
        <v>33111.551820480621</v>
      </c>
      <c r="F119" s="227">
        <f t="shared" si="123"/>
        <v>33111.5</v>
      </c>
      <c r="G119" s="227">
        <f t="shared" si="124"/>
        <v>1.7095756993512623E-2</v>
      </c>
      <c r="K119" s="291">
        <f>G119</f>
        <v>1.7095756993512623E-2</v>
      </c>
      <c r="O119" s="227">
        <f t="shared" ca="1" si="120"/>
        <v>2.1227608467881187E-2</v>
      </c>
      <c r="P119" s="292">
        <f t="shared" si="125"/>
        <v>-9.7246644627143643E-3</v>
      </c>
      <c r="Q119" s="293">
        <f t="shared" si="126"/>
        <v>40465.076639999999</v>
      </c>
      <c r="R119" s="227">
        <f t="shared" si="127"/>
        <v>7.1933500708964092E-4</v>
      </c>
      <c r="S119" s="227">
        <v>1</v>
      </c>
      <c r="T119" s="227">
        <f t="shared" si="128"/>
        <v>7.1933500708964092E-4</v>
      </c>
      <c r="Z119" s="34">
        <f t="shared" si="129"/>
        <v>33111.5</v>
      </c>
      <c r="AA119" s="227">
        <f t="shared" si="130"/>
        <v>1.8007125249792096E-2</v>
      </c>
      <c r="AB119" s="227">
        <f t="shared" si="131"/>
        <v>-1.0636032718993837E-2</v>
      </c>
      <c r="AC119" s="227">
        <f t="shared" si="132"/>
        <v>2.6820421456226987E-2</v>
      </c>
      <c r="AD119" s="227">
        <f t="shared" si="133"/>
        <v>-9.1136825627947254E-4</v>
      </c>
      <c r="AE119" s="227">
        <f t="shared" si="134"/>
        <v>8.3059209855388635E-7</v>
      </c>
      <c r="AF119" s="34">
        <f t="shared" si="135"/>
        <v>2.6820421456226987E-2</v>
      </c>
      <c r="AG119" s="19"/>
      <c r="AH119" s="34">
        <f t="shared" si="136"/>
        <v>2.773178971250646E-2</v>
      </c>
      <c r="AI119" s="34">
        <f t="shared" si="137"/>
        <v>1.075775663192623</v>
      </c>
      <c r="AJ119" s="34">
        <f t="shared" si="138"/>
        <v>0.97938181637603405</v>
      </c>
      <c r="AK119" s="34">
        <f t="shared" si="139"/>
        <v>-3.4528512674901268E-4</v>
      </c>
      <c r="AL119" s="34">
        <f t="shared" si="140"/>
        <v>-4.556644211069244E-3</v>
      </c>
      <c r="AM119" s="34">
        <f t="shared" si="141"/>
        <v>-2.2783260476108578E-3</v>
      </c>
      <c r="AN119" s="227">
        <f t="shared" si="121"/>
        <v>12.562147112162817</v>
      </c>
      <c r="AO119" s="227">
        <f t="shared" si="121"/>
        <v>12.562147112218813</v>
      </c>
      <c r="AP119" s="227">
        <f t="shared" si="121"/>
        <v>12.562147112957797</v>
      </c>
      <c r="AQ119" s="227">
        <f t="shared" si="121"/>
        <v>12.56214712271005</v>
      </c>
      <c r="AR119" s="227">
        <f t="shared" si="121"/>
        <v>12.562147251408847</v>
      </c>
      <c r="AS119" s="227">
        <f t="shared" si="121"/>
        <v>12.562148949824982</v>
      </c>
      <c r="AT119" s="227">
        <f t="shared" si="121"/>
        <v>12.562171363532581</v>
      </c>
      <c r="AU119" s="227">
        <f t="shared" si="142"/>
        <v>12.562467153209527</v>
      </c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</row>
    <row r="120" spans="1:86" s="227" customFormat="1" ht="12.95" customHeight="1">
      <c r="A120" s="295" t="s">
        <v>128</v>
      </c>
      <c r="B120" s="296" t="s">
        <v>86</v>
      </c>
      <c r="C120" s="295">
        <v>55483.576800000003</v>
      </c>
      <c r="D120" s="295" t="s">
        <v>264</v>
      </c>
      <c r="E120" s="227">
        <f t="shared" si="122"/>
        <v>33111.552305470963</v>
      </c>
      <c r="F120" s="227">
        <f t="shared" si="123"/>
        <v>33111.5</v>
      </c>
      <c r="G120" s="227">
        <f t="shared" si="124"/>
        <v>1.7255756996746641E-2</v>
      </c>
      <c r="K120" s="291">
        <f>G120</f>
        <v>1.7255756996746641E-2</v>
      </c>
      <c r="O120" s="227">
        <f t="shared" ca="1" si="120"/>
        <v>2.1227608467881187E-2</v>
      </c>
      <c r="P120" s="292">
        <f t="shared" si="125"/>
        <v>-9.7246644627143643E-3</v>
      </c>
      <c r="Q120" s="293">
        <f t="shared" si="126"/>
        <v>40465.076800000003</v>
      </c>
      <c r="R120" s="227">
        <f t="shared" si="127"/>
        <v>7.2794314213014391E-4</v>
      </c>
      <c r="S120" s="227">
        <v>1</v>
      </c>
      <c r="T120" s="227">
        <f t="shared" si="128"/>
        <v>7.2794314213014391E-4</v>
      </c>
      <c r="Z120" s="34">
        <f t="shared" si="129"/>
        <v>33111.5</v>
      </c>
      <c r="AA120" s="227">
        <f t="shared" si="130"/>
        <v>1.8007125249792096E-2</v>
      </c>
      <c r="AB120" s="227">
        <f t="shared" si="131"/>
        <v>-1.0476032715759819E-2</v>
      </c>
      <c r="AC120" s="227">
        <f t="shared" si="132"/>
        <v>2.6980421459461005E-2</v>
      </c>
      <c r="AD120" s="227">
        <f t="shared" si="133"/>
        <v>-7.513682530454549E-4</v>
      </c>
      <c r="AE120" s="227">
        <f t="shared" si="134"/>
        <v>5.6455425168457872E-7</v>
      </c>
      <c r="AF120" s="34">
        <f t="shared" si="135"/>
        <v>2.6980421459461005E-2</v>
      </c>
      <c r="AG120" s="19"/>
      <c r="AH120" s="34">
        <f t="shared" si="136"/>
        <v>2.773178971250646E-2</v>
      </c>
      <c r="AI120" s="34">
        <f t="shared" si="137"/>
        <v>1.075775663192623</v>
      </c>
      <c r="AJ120" s="34">
        <f t="shared" si="138"/>
        <v>0.97938181637603405</v>
      </c>
      <c r="AK120" s="34">
        <f t="shared" si="139"/>
        <v>-3.4528512674901268E-4</v>
      </c>
      <c r="AL120" s="34">
        <f t="shared" si="140"/>
        <v>-4.556644211069244E-3</v>
      </c>
      <c r="AM120" s="34">
        <f t="shared" si="141"/>
        <v>-2.2783260476108578E-3</v>
      </c>
      <c r="AN120" s="227">
        <f t="shared" si="121"/>
        <v>12.562147112162817</v>
      </c>
      <c r="AO120" s="227">
        <f t="shared" si="121"/>
        <v>12.562147112218813</v>
      </c>
      <c r="AP120" s="227">
        <f t="shared" si="121"/>
        <v>12.562147112957797</v>
      </c>
      <c r="AQ120" s="227">
        <f t="shared" si="121"/>
        <v>12.56214712271005</v>
      </c>
      <c r="AR120" s="227">
        <f t="shared" si="121"/>
        <v>12.562147251408847</v>
      </c>
      <c r="AS120" s="227">
        <f t="shared" si="121"/>
        <v>12.562148949824982</v>
      </c>
      <c r="AT120" s="227">
        <f t="shared" si="121"/>
        <v>12.562171363532581</v>
      </c>
      <c r="AU120" s="227">
        <f t="shared" si="142"/>
        <v>12.562467153209527</v>
      </c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</row>
    <row r="121" spans="1:86" s="227" customFormat="1" ht="12.95" customHeight="1">
      <c r="A121" s="291" t="s">
        <v>128</v>
      </c>
      <c r="B121" s="122" t="s">
        <v>86</v>
      </c>
      <c r="C121" s="21">
        <v>55483.576849999998</v>
      </c>
      <c r="D121" s="21">
        <v>2.9999999999999997E-4</v>
      </c>
      <c r="E121" s="227">
        <f t="shared" si="122"/>
        <v>33111.552457030426</v>
      </c>
      <c r="F121" s="227">
        <f t="shared" si="123"/>
        <v>33111.5</v>
      </c>
      <c r="G121" s="227">
        <f t="shared" si="124"/>
        <v>1.7305756991845556E-2</v>
      </c>
      <c r="K121" s="291">
        <f>G121</f>
        <v>1.7305756991845556E-2</v>
      </c>
      <c r="O121" s="227">
        <f t="shared" ca="1" si="120"/>
        <v>2.1227608467881187E-2</v>
      </c>
      <c r="P121" s="292">
        <f t="shared" si="125"/>
        <v>-9.7246644627143643E-3</v>
      </c>
      <c r="Q121" s="293">
        <f t="shared" si="126"/>
        <v>40465.076849999998</v>
      </c>
      <c r="R121" s="227">
        <f t="shared" si="127"/>
        <v>7.3064368401113322E-4</v>
      </c>
      <c r="S121" s="227">
        <v>1</v>
      </c>
      <c r="T121" s="227">
        <f t="shared" si="128"/>
        <v>7.3064368401113322E-4</v>
      </c>
      <c r="Z121" s="34">
        <f t="shared" si="129"/>
        <v>33111.5</v>
      </c>
      <c r="AA121" s="227">
        <f t="shared" si="130"/>
        <v>1.8007125249792096E-2</v>
      </c>
      <c r="AB121" s="227">
        <f t="shared" si="131"/>
        <v>-1.0426032720660904E-2</v>
      </c>
      <c r="AC121" s="227">
        <f t="shared" si="132"/>
        <v>2.703042145455992E-2</v>
      </c>
      <c r="AD121" s="227">
        <f t="shared" si="133"/>
        <v>-7.0136825794653995E-4</v>
      </c>
      <c r="AE121" s="227">
        <f t="shared" si="134"/>
        <v>4.9191743325496426E-7</v>
      </c>
      <c r="AF121" s="34">
        <f t="shared" si="135"/>
        <v>2.703042145455992E-2</v>
      </c>
      <c r="AG121" s="19"/>
      <c r="AH121" s="34">
        <f t="shared" si="136"/>
        <v>2.773178971250646E-2</v>
      </c>
      <c r="AI121" s="34">
        <f t="shared" si="137"/>
        <v>1.075775663192623</v>
      </c>
      <c r="AJ121" s="34">
        <f t="shared" si="138"/>
        <v>0.97938181637603405</v>
      </c>
      <c r="AK121" s="34">
        <f t="shared" si="139"/>
        <v>-3.4528512674901268E-4</v>
      </c>
      <c r="AL121" s="34">
        <f t="shared" si="140"/>
        <v>-4.556644211069244E-3</v>
      </c>
      <c r="AM121" s="34">
        <f t="shared" si="141"/>
        <v>-2.2783260476108578E-3</v>
      </c>
      <c r="AN121" s="227">
        <f t="shared" ref="AN121:AT130" si="143">$AU121+$AB$7*SIN(AO121)</f>
        <v>12.562147112162817</v>
      </c>
      <c r="AO121" s="227">
        <f t="shared" si="143"/>
        <v>12.562147112218813</v>
      </c>
      <c r="AP121" s="227">
        <f t="shared" si="143"/>
        <v>12.562147112957797</v>
      </c>
      <c r="AQ121" s="227">
        <f t="shared" si="143"/>
        <v>12.56214712271005</v>
      </c>
      <c r="AR121" s="227">
        <f t="shared" si="143"/>
        <v>12.562147251408847</v>
      </c>
      <c r="AS121" s="227">
        <f t="shared" si="143"/>
        <v>12.562148949824982</v>
      </c>
      <c r="AT121" s="227">
        <f t="shared" si="143"/>
        <v>12.562171363532581</v>
      </c>
      <c r="AU121" s="227">
        <f t="shared" si="142"/>
        <v>12.562467153209527</v>
      </c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</row>
    <row r="122" spans="1:86" s="227" customFormat="1" ht="12.95" customHeight="1">
      <c r="A122" s="21" t="s">
        <v>133</v>
      </c>
      <c r="B122" s="122" t="s">
        <v>86</v>
      </c>
      <c r="C122" s="21">
        <v>55584.360800000002</v>
      </c>
      <c r="D122" s="126">
        <v>2.0000000000000001E-4</v>
      </c>
      <c r="E122" s="227">
        <f t="shared" si="122"/>
        <v>33417.047717004687</v>
      </c>
      <c r="F122" s="227">
        <f t="shared" si="123"/>
        <v>33417</v>
      </c>
      <c r="G122" s="227">
        <f t="shared" si="124"/>
        <v>1.5742005998617969E-2</v>
      </c>
      <c r="J122" s="227">
        <f>G122</f>
        <v>1.5742005998617969E-2</v>
      </c>
      <c r="O122" s="227">
        <f t="shared" ca="1" si="120"/>
        <v>2.0119179918519706E-2</v>
      </c>
      <c r="P122" s="292">
        <f t="shared" si="125"/>
        <v>-1.0276890296130811E-2</v>
      </c>
      <c r="Q122" s="293">
        <f t="shared" si="126"/>
        <v>40565.860800000002</v>
      </c>
      <c r="R122" s="227">
        <f t="shared" si="127"/>
        <v>6.7698296439689179E-4</v>
      </c>
      <c r="S122" s="227">
        <v>1</v>
      </c>
      <c r="T122" s="227">
        <f t="shared" si="128"/>
        <v>6.7698296439689179E-4</v>
      </c>
      <c r="Z122" s="34">
        <f t="shared" si="129"/>
        <v>33417</v>
      </c>
      <c r="AA122" s="227">
        <f t="shared" si="130"/>
        <v>1.7303050508889244E-2</v>
      </c>
      <c r="AB122" s="227">
        <f t="shared" si="131"/>
        <v>-1.1837934806402085E-2</v>
      </c>
      <c r="AC122" s="227">
        <f t="shared" si="132"/>
        <v>2.6018896294748781E-2</v>
      </c>
      <c r="AD122" s="227">
        <f t="shared" si="133"/>
        <v>-1.5610445102712742E-3</v>
      </c>
      <c r="AE122" s="227">
        <f t="shared" si="134"/>
        <v>2.4368599630480823E-6</v>
      </c>
      <c r="AF122" s="34">
        <f t="shared" si="135"/>
        <v>2.6018896294748781E-2</v>
      </c>
      <c r="AG122" s="19"/>
      <c r="AH122" s="34">
        <f t="shared" si="136"/>
        <v>2.7579940805020055E-2</v>
      </c>
      <c r="AI122" s="34">
        <f t="shared" si="137"/>
        <v>1.0757573079172964</v>
      </c>
      <c r="AJ122" s="34">
        <f t="shared" si="138"/>
        <v>0.97356320805693763</v>
      </c>
      <c r="AK122" s="34">
        <f t="shared" si="139"/>
        <v>1.7031298319681535E-3</v>
      </c>
      <c r="AL122" s="34">
        <f t="shared" si="140"/>
        <v>2.2477606949756264E-2</v>
      </c>
      <c r="AM122" s="34">
        <f t="shared" si="141"/>
        <v>1.1239276692511773E-2</v>
      </c>
      <c r="AN122" s="227">
        <f t="shared" si="143"/>
        <v>12.587204973565781</v>
      </c>
      <c r="AO122" s="227">
        <f t="shared" si="143"/>
        <v>12.587204973289904</v>
      </c>
      <c r="AP122" s="227">
        <f t="shared" si="143"/>
        <v>12.587204969648447</v>
      </c>
      <c r="AQ122" s="227">
        <f t="shared" si="143"/>
        <v>12.587204921582748</v>
      </c>
      <c r="AR122" s="227">
        <f t="shared" si="143"/>
        <v>12.587204287135881</v>
      </c>
      <c r="AS122" s="227">
        <f t="shared" si="143"/>
        <v>12.58719591270655</v>
      </c>
      <c r="AT122" s="227">
        <f t="shared" si="143"/>
        <v>12.587085373930774</v>
      </c>
      <c r="AU122" s="227">
        <f t="shared" si="142"/>
        <v>12.585626334023399</v>
      </c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</row>
    <row r="123" spans="1:86" s="227" customFormat="1" ht="12.95" customHeight="1">
      <c r="A123" s="295" t="s">
        <v>128</v>
      </c>
      <c r="B123" s="296" t="s">
        <v>86</v>
      </c>
      <c r="C123" s="295">
        <v>55600.361700000001</v>
      </c>
      <c r="D123" s="295" t="s">
        <v>264</v>
      </c>
      <c r="E123" s="227">
        <f t="shared" si="122"/>
        <v>33465.549478498673</v>
      </c>
      <c r="F123" s="227">
        <f t="shared" si="123"/>
        <v>33465.5</v>
      </c>
      <c r="G123" s="227">
        <f t="shared" si="124"/>
        <v>1.6323128998919856E-2</v>
      </c>
      <c r="K123" s="291">
        <f t="shared" ref="K123:K147" si="144">G123</f>
        <v>1.6323128998919856E-2</v>
      </c>
      <c r="O123" s="227">
        <f t="shared" ca="1" si="120"/>
        <v>1.9943210083351023E-2</v>
      </c>
      <c r="P123" s="292">
        <f t="shared" si="125"/>
        <v>-1.0365031961225971E-2</v>
      </c>
      <c r="Q123" s="293">
        <f t="shared" si="126"/>
        <v>40581.861700000001</v>
      </c>
      <c r="R123" s="227">
        <f t="shared" si="127"/>
        <v>7.1225793543465182E-4</v>
      </c>
      <c r="S123" s="227">
        <v>1</v>
      </c>
      <c r="T123" s="227">
        <f t="shared" si="128"/>
        <v>7.1225793543465182E-4</v>
      </c>
      <c r="Z123" s="34">
        <f t="shared" si="129"/>
        <v>33465.5</v>
      </c>
      <c r="AA123" s="227">
        <f t="shared" si="130"/>
        <v>1.7189206949910066E-2</v>
      </c>
      <c r="AB123" s="227">
        <f t="shared" si="131"/>
        <v>-1.1231109912216181E-2</v>
      </c>
      <c r="AC123" s="227">
        <f t="shared" si="132"/>
        <v>2.6688160960145826E-2</v>
      </c>
      <c r="AD123" s="227">
        <f t="shared" si="133"/>
        <v>-8.6607795099021001E-4</v>
      </c>
      <c r="AE123" s="227">
        <f t="shared" si="134"/>
        <v>7.5009101719140059E-7</v>
      </c>
      <c r="AF123" s="34">
        <f t="shared" si="135"/>
        <v>2.6688160960145826E-2</v>
      </c>
      <c r="AG123" s="19"/>
      <c r="AH123" s="34">
        <f t="shared" si="136"/>
        <v>2.7554238911136036E-2</v>
      </c>
      <c r="AI123" s="34">
        <f t="shared" si="137"/>
        <v>1.0757493009185632</v>
      </c>
      <c r="AJ123" s="34">
        <f t="shared" si="138"/>
        <v>0.97257394179236423</v>
      </c>
      <c r="AK123" s="34">
        <f t="shared" si="139"/>
        <v>2.0282417137869532E-3</v>
      </c>
      <c r="AL123" s="34">
        <f t="shared" si="140"/>
        <v>2.6769319176736514E-2</v>
      </c>
      <c r="AM123" s="34">
        <f t="shared" si="141"/>
        <v>1.3385458928943317E-2</v>
      </c>
      <c r="AN123" s="227">
        <f t="shared" si="143"/>
        <v>12.591182997478132</v>
      </c>
      <c r="AO123" s="227">
        <f t="shared" si="143"/>
        <v>12.591182997149764</v>
      </c>
      <c r="AP123" s="227">
        <f t="shared" si="143"/>
        <v>12.591182992815058</v>
      </c>
      <c r="AQ123" s="227">
        <f t="shared" si="143"/>
        <v>12.591182935593579</v>
      </c>
      <c r="AR123" s="227">
        <f t="shared" si="143"/>
        <v>12.591182180225688</v>
      </c>
      <c r="AS123" s="227">
        <f t="shared" si="143"/>
        <v>12.591172208785141</v>
      </c>
      <c r="AT123" s="227">
        <f t="shared" si="143"/>
        <v>12.591040578286396</v>
      </c>
      <c r="AU123" s="227">
        <f t="shared" si="142"/>
        <v>12.589302996116599</v>
      </c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</row>
    <row r="124" spans="1:86" s="227" customFormat="1" ht="12.95" customHeight="1">
      <c r="A124" s="291" t="s">
        <v>128</v>
      </c>
      <c r="B124" s="122" t="s">
        <v>86</v>
      </c>
      <c r="C124" s="21">
        <v>55600.36176</v>
      </c>
      <c r="D124" s="21">
        <v>2.9999999999999997E-4</v>
      </c>
      <c r="E124" s="227">
        <f t="shared" si="122"/>
        <v>33465.549660370045</v>
      </c>
      <c r="F124" s="227">
        <f t="shared" si="123"/>
        <v>33465.5</v>
      </c>
      <c r="G124" s="227">
        <f t="shared" si="124"/>
        <v>1.6383128997404128E-2</v>
      </c>
      <c r="K124" s="291">
        <f t="shared" si="144"/>
        <v>1.6383128997404128E-2</v>
      </c>
      <c r="O124" s="227">
        <f t="shared" ca="1" si="120"/>
        <v>1.9943210083351023E-2</v>
      </c>
      <c r="P124" s="292">
        <f t="shared" si="125"/>
        <v>-1.0365031961225971E-2</v>
      </c>
      <c r="Q124" s="293">
        <f t="shared" si="126"/>
        <v>40581.86176</v>
      </c>
      <c r="R124" s="227">
        <f t="shared" si="127"/>
        <v>7.1546411466878344E-4</v>
      </c>
      <c r="S124" s="227">
        <v>1</v>
      </c>
      <c r="T124" s="227">
        <f t="shared" si="128"/>
        <v>7.1546411466878344E-4</v>
      </c>
      <c r="Z124" s="34">
        <f t="shared" si="129"/>
        <v>33465.5</v>
      </c>
      <c r="AA124" s="227">
        <f t="shared" si="130"/>
        <v>1.7189206949910066E-2</v>
      </c>
      <c r="AB124" s="227">
        <f t="shared" si="131"/>
        <v>-1.1171109913731908E-2</v>
      </c>
      <c r="AC124" s="227">
        <f t="shared" si="132"/>
        <v>2.6748160958630099E-2</v>
      </c>
      <c r="AD124" s="227">
        <f t="shared" si="133"/>
        <v>-8.060779525059375E-4</v>
      </c>
      <c r="AE124" s="227">
        <f t="shared" si="134"/>
        <v>6.4976166551616448E-7</v>
      </c>
      <c r="AF124" s="34">
        <f t="shared" si="135"/>
        <v>2.6748160958630099E-2</v>
      </c>
      <c r="AG124" s="19"/>
      <c r="AH124" s="34">
        <f t="shared" si="136"/>
        <v>2.7554238911136036E-2</v>
      </c>
      <c r="AI124" s="34">
        <f t="shared" si="137"/>
        <v>1.0757493009185632</v>
      </c>
      <c r="AJ124" s="34">
        <f t="shared" si="138"/>
        <v>0.97257394179236423</v>
      </c>
      <c r="AK124" s="34">
        <f t="shared" si="139"/>
        <v>2.0282417137869532E-3</v>
      </c>
      <c r="AL124" s="34">
        <f t="shared" si="140"/>
        <v>2.6769319176736514E-2</v>
      </c>
      <c r="AM124" s="34">
        <f t="shared" si="141"/>
        <v>1.3385458928943317E-2</v>
      </c>
      <c r="AN124" s="227">
        <f t="shared" si="143"/>
        <v>12.591182997478132</v>
      </c>
      <c r="AO124" s="227">
        <f t="shared" si="143"/>
        <v>12.591182997149764</v>
      </c>
      <c r="AP124" s="227">
        <f t="shared" si="143"/>
        <v>12.591182992815058</v>
      </c>
      <c r="AQ124" s="227">
        <f t="shared" si="143"/>
        <v>12.591182935593579</v>
      </c>
      <c r="AR124" s="227">
        <f t="shared" si="143"/>
        <v>12.591182180225688</v>
      </c>
      <c r="AS124" s="227">
        <f t="shared" si="143"/>
        <v>12.591172208785141</v>
      </c>
      <c r="AT124" s="227">
        <f t="shared" si="143"/>
        <v>12.591040578286396</v>
      </c>
      <c r="AU124" s="227">
        <f t="shared" si="142"/>
        <v>12.589302996116599</v>
      </c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</row>
    <row r="125" spans="1:86" s="227" customFormat="1" ht="12.95" customHeight="1">
      <c r="A125" s="295" t="s">
        <v>128</v>
      </c>
      <c r="B125" s="296" t="s">
        <v>86</v>
      </c>
      <c r="C125" s="295">
        <v>55600.362200000003</v>
      </c>
      <c r="D125" s="295" t="s">
        <v>264</v>
      </c>
      <c r="E125" s="227">
        <f t="shared" si="122"/>
        <v>33465.550994093472</v>
      </c>
      <c r="F125" s="227">
        <f t="shared" si="123"/>
        <v>33465.5</v>
      </c>
      <c r="G125" s="227">
        <f t="shared" si="124"/>
        <v>1.6823129000840709E-2</v>
      </c>
      <c r="K125" s="291">
        <f t="shared" si="144"/>
        <v>1.6823129000840709E-2</v>
      </c>
      <c r="O125" s="227">
        <f t="shared" ca="1" si="120"/>
        <v>1.9943210083351023E-2</v>
      </c>
      <c r="P125" s="292">
        <f t="shared" si="125"/>
        <v>-1.0365031961225971E-2</v>
      </c>
      <c r="Q125" s="293">
        <f t="shared" si="126"/>
        <v>40581.862200000003</v>
      </c>
      <c r="R125" s="227">
        <f t="shared" si="127"/>
        <v>7.3919609649924654E-4</v>
      </c>
      <c r="S125" s="227">
        <v>1</v>
      </c>
      <c r="T125" s="227">
        <f t="shared" si="128"/>
        <v>7.3919609649924654E-4</v>
      </c>
      <c r="Z125" s="34">
        <f t="shared" si="129"/>
        <v>33465.5</v>
      </c>
      <c r="AA125" s="227">
        <f t="shared" si="130"/>
        <v>1.7189206949910066E-2</v>
      </c>
      <c r="AB125" s="227">
        <f t="shared" si="131"/>
        <v>-1.0731109910295328E-2</v>
      </c>
      <c r="AC125" s="227">
        <f t="shared" si="132"/>
        <v>2.7188160962066679E-2</v>
      </c>
      <c r="AD125" s="227">
        <f t="shared" si="133"/>
        <v>-3.660779490693572E-4</v>
      </c>
      <c r="AE125" s="227">
        <f t="shared" si="134"/>
        <v>1.3401306479482688E-7</v>
      </c>
      <c r="AF125" s="34">
        <f t="shared" si="135"/>
        <v>2.7188160962066679E-2</v>
      </c>
      <c r="AG125" s="19"/>
      <c r="AH125" s="34">
        <f t="shared" si="136"/>
        <v>2.7554238911136036E-2</v>
      </c>
      <c r="AI125" s="34">
        <f t="shared" si="137"/>
        <v>1.0757493009185632</v>
      </c>
      <c r="AJ125" s="34">
        <f t="shared" si="138"/>
        <v>0.97257394179236423</v>
      </c>
      <c r="AK125" s="34">
        <f t="shared" si="139"/>
        <v>2.0282417137869532E-3</v>
      </c>
      <c r="AL125" s="34">
        <f t="shared" si="140"/>
        <v>2.6769319176736514E-2</v>
      </c>
      <c r="AM125" s="34">
        <f t="shared" si="141"/>
        <v>1.3385458928943317E-2</v>
      </c>
      <c r="AN125" s="227">
        <f t="shared" si="143"/>
        <v>12.591182997478132</v>
      </c>
      <c r="AO125" s="227">
        <f t="shared" si="143"/>
        <v>12.591182997149764</v>
      </c>
      <c r="AP125" s="227">
        <f t="shared" si="143"/>
        <v>12.591182992815058</v>
      </c>
      <c r="AQ125" s="227">
        <f t="shared" si="143"/>
        <v>12.591182935593579</v>
      </c>
      <c r="AR125" s="227">
        <f t="shared" si="143"/>
        <v>12.591182180225688</v>
      </c>
      <c r="AS125" s="227">
        <f t="shared" si="143"/>
        <v>12.591172208785141</v>
      </c>
      <c r="AT125" s="227">
        <f t="shared" si="143"/>
        <v>12.591040578286396</v>
      </c>
      <c r="AU125" s="227">
        <f t="shared" si="142"/>
        <v>12.589302996116599</v>
      </c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</row>
    <row r="126" spans="1:86" s="227" customFormat="1" ht="12.95" customHeight="1">
      <c r="A126" s="291" t="s">
        <v>128</v>
      </c>
      <c r="B126" s="122" t="s">
        <v>86</v>
      </c>
      <c r="C126" s="21">
        <v>55600.362260000002</v>
      </c>
      <c r="D126" s="21">
        <v>2.0000000000000001E-4</v>
      </c>
      <c r="E126" s="227">
        <f t="shared" si="122"/>
        <v>33465.551175964843</v>
      </c>
      <c r="F126" s="227">
        <f t="shared" si="123"/>
        <v>33465.5</v>
      </c>
      <c r="G126" s="227">
        <f t="shared" si="124"/>
        <v>1.6883128999324981E-2</v>
      </c>
      <c r="K126" s="291">
        <f t="shared" si="144"/>
        <v>1.6883128999324981E-2</v>
      </c>
      <c r="O126" s="227">
        <f t="shared" ca="1" si="120"/>
        <v>1.9943210083351023E-2</v>
      </c>
      <c r="P126" s="292">
        <f t="shared" si="125"/>
        <v>-1.0365031961225971E-2</v>
      </c>
      <c r="Q126" s="293">
        <f t="shared" si="126"/>
        <v>40581.862260000002</v>
      </c>
      <c r="R126" s="227">
        <f t="shared" si="127"/>
        <v>7.4246227573209291E-4</v>
      </c>
      <c r="S126" s="227">
        <v>1</v>
      </c>
      <c r="T126" s="227">
        <f t="shared" si="128"/>
        <v>7.4246227573209291E-4</v>
      </c>
      <c r="Z126" s="34">
        <f t="shared" si="129"/>
        <v>33465.5</v>
      </c>
      <c r="AA126" s="227">
        <f t="shared" si="130"/>
        <v>1.7189206949910066E-2</v>
      </c>
      <c r="AB126" s="227">
        <f t="shared" si="131"/>
        <v>-1.0671109911811055E-2</v>
      </c>
      <c r="AC126" s="227">
        <f t="shared" si="132"/>
        <v>2.7248160960550952E-2</v>
      </c>
      <c r="AD126" s="227">
        <f t="shared" si="133"/>
        <v>-3.0607795058508469E-4</v>
      </c>
      <c r="AE126" s="227">
        <f t="shared" si="134"/>
        <v>9.3683711834365547E-8</v>
      </c>
      <c r="AF126" s="34">
        <f t="shared" si="135"/>
        <v>2.7248160960550952E-2</v>
      </c>
      <c r="AG126" s="19"/>
      <c r="AH126" s="34">
        <f t="shared" si="136"/>
        <v>2.7554238911136036E-2</v>
      </c>
      <c r="AI126" s="34">
        <f t="shared" si="137"/>
        <v>1.0757493009185632</v>
      </c>
      <c r="AJ126" s="34">
        <f t="shared" si="138"/>
        <v>0.97257394179236423</v>
      </c>
      <c r="AK126" s="34">
        <f t="shared" si="139"/>
        <v>2.0282417137869532E-3</v>
      </c>
      <c r="AL126" s="34">
        <f t="shared" si="140"/>
        <v>2.6769319176736514E-2</v>
      </c>
      <c r="AM126" s="34">
        <f t="shared" si="141"/>
        <v>1.3385458928943317E-2</v>
      </c>
      <c r="AN126" s="227">
        <f t="shared" si="143"/>
        <v>12.591182997478132</v>
      </c>
      <c r="AO126" s="227">
        <f t="shared" si="143"/>
        <v>12.591182997149764</v>
      </c>
      <c r="AP126" s="227">
        <f t="shared" si="143"/>
        <v>12.591182992815058</v>
      </c>
      <c r="AQ126" s="227">
        <f t="shared" si="143"/>
        <v>12.591182935593579</v>
      </c>
      <c r="AR126" s="227">
        <f t="shared" si="143"/>
        <v>12.591182180225688</v>
      </c>
      <c r="AS126" s="227">
        <f t="shared" si="143"/>
        <v>12.591172208785141</v>
      </c>
      <c r="AT126" s="227">
        <f t="shared" si="143"/>
        <v>12.591040578286396</v>
      </c>
      <c r="AU126" s="227">
        <f t="shared" si="142"/>
        <v>12.589302996116599</v>
      </c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</row>
    <row r="127" spans="1:86" s="227" customFormat="1" ht="12.95" customHeight="1">
      <c r="A127" s="295" t="s">
        <v>128</v>
      </c>
      <c r="B127" s="296" t="s">
        <v>86</v>
      </c>
      <c r="C127" s="295">
        <v>55600.362699999998</v>
      </c>
      <c r="D127" s="295" t="s">
        <v>264</v>
      </c>
      <c r="E127" s="227">
        <f t="shared" si="122"/>
        <v>33465.552509688256</v>
      </c>
      <c r="F127" s="227">
        <f t="shared" si="123"/>
        <v>33465.5</v>
      </c>
      <c r="G127" s="227">
        <f t="shared" si="124"/>
        <v>1.7323128995485604E-2</v>
      </c>
      <c r="K127" s="291">
        <f t="shared" si="144"/>
        <v>1.7323128995485604E-2</v>
      </c>
      <c r="O127" s="227">
        <f t="shared" ca="1" si="120"/>
        <v>1.9943210083351023E-2</v>
      </c>
      <c r="P127" s="292">
        <f t="shared" si="125"/>
        <v>-1.0365031961225971E-2</v>
      </c>
      <c r="Q127" s="293">
        <f t="shared" si="126"/>
        <v>40581.862699999998</v>
      </c>
      <c r="R127" s="227">
        <f t="shared" si="127"/>
        <v>7.6663425716476722E-4</v>
      </c>
      <c r="S127" s="227">
        <v>1</v>
      </c>
      <c r="T127" s="227">
        <f t="shared" si="128"/>
        <v>7.6663425716476722E-4</v>
      </c>
      <c r="Z127" s="34">
        <f t="shared" si="129"/>
        <v>33465.5</v>
      </c>
      <c r="AA127" s="227">
        <f t="shared" si="130"/>
        <v>1.7189206949910066E-2</v>
      </c>
      <c r="AB127" s="227">
        <f t="shared" si="131"/>
        <v>-1.0231109915650433E-2</v>
      </c>
      <c r="AC127" s="227">
        <f t="shared" si="132"/>
        <v>2.7688160956711574E-2</v>
      </c>
      <c r="AD127" s="227">
        <f t="shared" si="133"/>
        <v>1.33922045575538E-4</v>
      </c>
      <c r="AE127" s="227">
        <f t="shared" si="134"/>
        <v>1.7935114291136475E-8</v>
      </c>
      <c r="AF127" s="34">
        <f t="shared" si="135"/>
        <v>2.7688160956711574E-2</v>
      </c>
      <c r="AG127" s="19"/>
      <c r="AH127" s="34">
        <f t="shared" si="136"/>
        <v>2.7554238911136036E-2</v>
      </c>
      <c r="AI127" s="34">
        <f t="shared" si="137"/>
        <v>1.0757493009185632</v>
      </c>
      <c r="AJ127" s="34">
        <f t="shared" si="138"/>
        <v>0.97257394179236423</v>
      </c>
      <c r="AK127" s="34">
        <f t="shared" si="139"/>
        <v>2.0282417137869532E-3</v>
      </c>
      <c r="AL127" s="34">
        <f t="shared" si="140"/>
        <v>2.6769319176736514E-2</v>
      </c>
      <c r="AM127" s="34">
        <f t="shared" si="141"/>
        <v>1.3385458928943317E-2</v>
      </c>
      <c r="AN127" s="227">
        <f t="shared" si="143"/>
        <v>12.591182997478132</v>
      </c>
      <c r="AO127" s="227">
        <f t="shared" si="143"/>
        <v>12.591182997149764</v>
      </c>
      <c r="AP127" s="227">
        <f t="shared" si="143"/>
        <v>12.591182992815058</v>
      </c>
      <c r="AQ127" s="227">
        <f t="shared" si="143"/>
        <v>12.591182935593579</v>
      </c>
      <c r="AR127" s="227">
        <f t="shared" si="143"/>
        <v>12.591182180225688</v>
      </c>
      <c r="AS127" s="227">
        <f t="shared" si="143"/>
        <v>12.591172208785141</v>
      </c>
      <c r="AT127" s="227">
        <f t="shared" si="143"/>
        <v>12.591040578286396</v>
      </c>
      <c r="AU127" s="227">
        <f t="shared" si="142"/>
        <v>12.589302996116599</v>
      </c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</row>
    <row r="128" spans="1:86" s="227" customFormat="1" ht="12.95" customHeight="1">
      <c r="A128" s="291" t="s">
        <v>128</v>
      </c>
      <c r="B128" s="122" t="s">
        <v>86</v>
      </c>
      <c r="C128" s="21">
        <v>55600.362760000004</v>
      </c>
      <c r="D128" s="21">
        <v>2.0000000000000001E-4</v>
      </c>
      <c r="E128" s="227">
        <f t="shared" si="122"/>
        <v>33465.552691559649</v>
      </c>
      <c r="F128" s="227">
        <f t="shared" si="123"/>
        <v>33465.5</v>
      </c>
      <c r="G128" s="227">
        <f t="shared" si="124"/>
        <v>1.7383129001245834E-2</v>
      </c>
      <c r="K128" s="291">
        <f t="shared" si="144"/>
        <v>1.7383129001245834E-2</v>
      </c>
      <c r="O128" s="227">
        <f t="shared" ca="1" si="120"/>
        <v>1.9943210083351023E-2</v>
      </c>
      <c r="P128" s="292">
        <f t="shared" si="125"/>
        <v>-1.0365031961225971E-2</v>
      </c>
      <c r="Q128" s="293">
        <f t="shared" si="126"/>
        <v>40581.862760000004</v>
      </c>
      <c r="R128" s="227">
        <f t="shared" si="127"/>
        <v>7.6996043679924422E-4</v>
      </c>
      <c r="S128" s="227">
        <v>1</v>
      </c>
      <c r="T128" s="227">
        <f t="shared" si="128"/>
        <v>7.6996043679924422E-4</v>
      </c>
      <c r="Z128" s="34">
        <f t="shared" si="129"/>
        <v>33465.5</v>
      </c>
      <c r="AA128" s="227">
        <f t="shared" si="130"/>
        <v>1.7189206949910066E-2</v>
      </c>
      <c r="AB128" s="227">
        <f t="shared" si="131"/>
        <v>-1.0171109909890202E-2</v>
      </c>
      <c r="AC128" s="227">
        <f t="shared" si="132"/>
        <v>2.7748160962471805E-2</v>
      </c>
      <c r="AD128" s="227">
        <f t="shared" si="133"/>
        <v>1.9392205133576812E-4</v>
      </c>
      <c r="AE128" s="227">
        <f t="shared" si="134"/>
        <v>3.7605761994272287E-8</v>
      </c>
      <c r="AF128" s="34">
        <f t="shared" si="135"/>
        <v>2.7748160962471805E-2</v>
      </c>
      <c r="AG128" s="19"/>
      <c r="AH128" s="34">
        <f t="shared" si="136"/>
        <v>2.7554238911136036E-2</v>
      </c>
      <c r="AI128" s="34">
        <f t="shared" si="137"/>
        <v>1.0757493009185632</v>
      </c>
      <c r="AJ128" s="34">
        <f t="shared" si="138"/>
        <v>0.97257394179236423</v>
      </c>
      <c r="AK128" s="34">
        <f t="shared" si="139"/>
        <v>2.0282417137869532E-3</v>
      </c>
      <c r="AL128" s="34">
        <f t="shared" si="140"/>
        <v>2.6769319176736514E-2</v>
      </c>
      <c r="AM128" s="34">
        <f t="shared" si="141"/>
        <v>1.3385458928943317E-2</v>
      </c>
      <c r="AN128" s="227">
        <f t="shared" si="143"/>
        <v>12.591182997478132</v>
      </c>
      <c r="AO128" s="227">
        <f t="shared" si="143"/>
        <v>12.591182997149764</v>
      </c>
      <c r="AP128" s="227">
        <f t="shared" si="143"/>
        <v>12.591182992815058</v>
      </c>
      <c r="AQ128" s="227">
        <f t="shared" si="143"/>
        <v>12.591182935593579</v>
      </c>
      <c r="AR128" s="227">
        <f t="shared" si="143"/>
        <v>12.591182180225688</v>
      </c>
      <c r="AS128" s="227">
        <f t="shared" si="143"/>
        <v>12.591172208785141</v>
      </c>
      <c r="AT128" s="227">
        <f t="shared" si="143"/>
        <v>12.591040578286396</v>
      </c>
      <c r="AU128" s="227">
        <f t="shared" si="142"/>
        <v>12.589302996116599</v>
      </c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</row>
    <row r="129" spans="1:86" ht="12.95" customHeight="1">
      <c r="A129" s="295" t="s">
        <v>128</v>
      </c>
      <c r="B129" s="296" t="s">
        <v>87</v>
      </c>
      <c r="C129" s="295">
        <v>55622.298900000002</v>
      </c>
      <c r="D129" s="295" t="s">
        <v>264</v>
      </c>
      <c r="E129" s="227">
        <f t="shared" si="122"/>
        <v>33532.045290749607</v>
      </c>
      <c r="F129" s="227">
        <f t="shared" si="123"/>
        <v>33532</v>
      </c>
      <c r="G129" s="227">
        <f t="shared" si="124"/>
        <v>1.4941575995180756E-2</v>
      </c>
      <c r="H129" s="227"/>
      <c r="I129" s="227"/>
      <c r="J129" s="227"/>
      <c r="K129" s="291">
        <f t="shared" si="144"/>
        <v>1.4941575995180756E-2</v>
      </c>
      <c r="L129" s="227"/>
      <c r="M129" s="227"/>
      <c r="N129" s="227"/>
      <c r="O129" s="227">
        <f t="shared" ca="1" si="120"/>
        <v>1.9701931855748617E-2</v>
      </c>
      <c r="P129" s="292">
        <f t="shared" si="125"/>
        <v>-1.0486096426622883E-2</v>
      </c>
      <c r="Q129" s="293">
        <f t="shared" si="126"/>
        <v>40603.798900000002</v>
      </c>
      <c r="R129" s="227">
        <f t="shared" si="127"/>
        <v>6.4656652479055336E-4</v>
      </c>
      <c r="S129" s="227">
        <v>1</v>
      </c>
      <c r="T129" s="227">
        <f t="shared" si="128"/>
        <v>6.4656652479055336E-4</v>
      </c>
      <c r="U129" s="227"/>
      <c r="Z129" s="34">
        <f t="shared" si="129"/>
        <v>33532</v>
      </c>
      <c r="AA129" s="227">
        <f t="shared" si="130"/>
        <v>1.7032193374041802E-2</v>
      </c>
      <c r="AB129" s="227">
        <f t="shared" si="131"/>
        <v>-1.2576713805483929E-2</v>
      </c>
      <c r="AC129" s="227">
        <f t="shared" si="132"/>
        <v>2.5427672421803639E-2</v>
      </c>
      <c r="AD129" s="227">
        <f t="shared" si="133"/>
        <v>-2.0906173788610462E-3</v>
      </c>
      <c r="AE129" s="227">
        <f t="shared" si="134"/>
        <v>4.3706810247958308E-6</v>
      </c>
      <c r="AF129" s="34">
        <f t="shared" si="135"/>
        <v>2.5427672421803639E-2</v>
      </c>
      <c r="AG129" s="19"/>
      <c r="AH129" s="34">
        <f t="shared" si="136"/>
        <v>2.7518289800664685E-2</v>
      </c>
      <c r="AI129" s="34">
        <f t="shared" si="137"/>
        <v>1.0757360545580301</v>
      </c>
      <c r="AJ129" s="34">
        <f t="shared" si="138"/>
        <v>0.97118843646900155</v>
      </c>
      <c r="AK129" s="34">
        <f t="shared" si="139"/>
        <v>2.4739430235336279E-3</v>
      </c>
      <c r="AL129" s="34">
        <f t="shared" si="140"/>
        <v>3.2653716678628306E-2</v>
      </c>
      <c r="AM129" s="34">
        <f t="shared" si="141"/>
        <v>1.6328309224107451E-2</v>
      </c>
      <c r="AN129" s="227">
        <f t="shared" si="143"/>
        <v>12.596637348037161</v>
      </c>
      <c r="AO129" s="227">
        <f t="shared" si="143"/>
        <v>12.596637347636982</v>
      </c>
      <c r="AP129" s="227">
        <f t="shared" si="143"/>
        <v>12.59663734235351</v>
      </c>
      <c r="AQ129" s="227">
        <f t="shared" si="143"/>
        <v>12.596637272597125</v>
      </c>
      <c r="AR129" s="227">
        <f t="shared" si="143"/>
        <v>12.596636351620381</v>
      </c>
      <c r="AS129" s="227">
        <f t="shared" si="143"/>
        <v>12.596624192188916</v>
      </c>
      <c r="AT129" s="227">
        <f t="shared" si="143"/>
        <v>12.596463654597768</v>
      </c>
      <c r="AU129" s="227">
        <f t="shared" si="142"/>
        <v>12.594344192594905</v>
      </c>
    </row>
    <row r="130" spans="1:86" s="227" customFormat="1" ht="12.95" customHeight="1">
      <c r="A130" s="291" t="s">
        <v>128</v>
      </c>
      <c r="B130" s="122" t="s">
        <v>87</v>
      </c>
      <c r="C130" s="21">
        <v>55622.298920000001</v>
      </c>
      <c r="D130" s="21">
        <v>2.0000000000000001E-4</v>
      </c>
      <c r="E130" s="227">
        <f t="shared" si="122"/>
        <v>33532.045351373396</v>
      </c>
      <c r="F130" s="227">
        <f t="shared" si="123"/>
        <v>33532</v>
      </c>
      <c r="G130" s="227">
        <f t="shared" si="124"/>
        <v>1.4961575994675513E-2</v>
      </c>
      <c r="K130" s="291">
        <f t="shared" si="144"/>
        <v>1.4961575994675513E-2</v>
      </c>
      <c r="O130" s="227">
        <f t="shared" ca="1" si="120"/>
        <v>1.9701931855748617E-2</v>
      </c>
      <c r="P130" s="292">
        <f t="shared" si="125"/>
        <v>-1.0486096426622883E-2</v>
      </c>
      <c r="Q130" s="293">
        <f t="shared" si="126"/>
        <v>40603.798920000001</v>
      </c>
      <c r="R130" s="227">
        <f t="shared" si="127"/>
        <v>6.47584031661711E-4</v>
      </c>
      <c r="S130" s="227">
        <v>1</v>
      </c>
      <c r="T130" s="227">
        <f t="shared" si="128"/>
        <v>6.47584031661711E-4</v>
      </c>
      <c r="Z130" s="34">
        <f t="shared" si="129"/>
        <v>33532</v>
      </c>
      <c r="AA130" s="227">
        <f t="shared" si="130"/>
        <v>1.7032193374041802E-2</v>
      </c>
      <c r="AB130" s="227">
        <f t="shared" si="131"/>
        <v>-1.2556713805989172E-2</v>
      </c>
      <c r="AC130" s="227">
        <f t="shared" si="132"/>
        <v>2.5447672421298397E-2</v>
      </c>
      <c r="AD130" s="227">
        <f t="shared" si="133"/>
        <v>-2.0706173793662887E-3</v>
      </c>
      <c r="AE130" s="227">
        <f t="shared" si="134"/>
        <v>4.287456331733717E-6</v>
      </c>
      <c r="AF130" s="34">
        <f t="shared" si="135"/>
        <v>2.5447672421298397E-2</v>
      </c>
      <c r="AG130" s="19"/>
      <c r="AH130" s="34">
        <f t="shared" si="136"/>
        <v>2.7518289800664685E-2</v>
      </c>
      <c r="AI130" s="34">
        <f t="shared" si="137"/>
        <v>1.0757360545580301</v>
      </c>
      <c r="AJ130" s="34">
        <f t="shared" si="138"/>
        <v>0.97118843646900155</v>
      </c>
      <c r="AK130" s="34">
        <f t="shared" si="139"/>
        <v>2.4739430235336279E-3</v>
      </c>
      <c r="AL130" s="34">
        <f t="shared" si="140"/>
        <v>3.2653716678628306E-2</v>
      </c>
      <c r="AM130" s="34">
        <f t="shared" si="141"/>
        <v>1.6328309224107451E-2</v>
      </c>
      <c r="AN130" s="227">
        <f t="shared" si="143"/>
        <v>12.596637348037161</v>
      </c>
      <c r="AO130" s="227">
        <f t="shared" si="143"/>
        <v>12.596637347636982</v>
      </c>
      <c r="AP130" s="227">
        <f t="shared" si="143"/>
        <v>12.59663734235351</v>
      </c>
      <c r="AQ130" s="227">
        <f t="shared" si="143"/>
        <v>12.596637272597125</v>
      </c>
      <c r="AR130" s="227">
        <f t="shared" si="143"/>
        <v>12.596636351620381</v>
      </c>
      <c r="AS130" s="227">
        <f t="shared" si="143"/>
        <v>12.596624192188916</v>
      </c>
      <c r="AT130" s="227">
        <f t="shared" si="143"/>
        <v>12.596463654597768</v>
      </c>
      <c r="AU130" s="227">
        <f t="shared" si="142"/>
        <v>12.594344192594905</v>
      </c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</row>
    <row r="131" spans="1:86" ht="12.95" customHeight="1">
      <c r="A131" s="295" t="s">
        <v>128</v>
      </c>
      <c r="B131" s="296" t="s">
        <v>87</v>
      </c>
      <c r="C131" s="295">
        <v>55622.299599999998</v>
      </c>
      <c r="D131" s="295" t="s">
        <v>264</v>
      </c>
      <c r="E131" s="227">
        <f t="shared" si="122"/>
        <v>33532.047412582309</v>
      </c>
      <c r="F131" s="227">
        <f t="shared" si="123"/>
        <v>33532</v>
      </c>
      <c r="G131" s="227">
        <f t="shared" si="124"/>
        <v>1.5641575992049184E-2</v>
      </c>
      <c r="H131" s="227"/>
      <c r="I131" s="227"/>
      <c r="J131" s="227"/>
      <c r="K131" s="291">
        <f t="shared" si="144"/>
        <v>1.5641575992049184E-2</v>
      </c>
      <c r="L131" s="227"/>
      <c r="M131" s="227"/>
      <c r="N131" s="227"/>
      <c r="O131" s="227">
        <f t="shared" ca="1" si="120"/>
        <v>1.9701931855748617E-2</v>
      </c>
      <c r="P131" s="292">
        <f t="shared" si="125"/>
        <v>-1.0486096426622883E-2</v>
      </c>
      <c r="Q131" s="293">
        <f t="shared" si="126"/>
        <v>40603.799599999998</v>
      </c>
      <c r="R131" s="227">
        <f t="shared" si="127"/>
        <v>6.8265526601743703E-4</v>
      </c>
      <c r="S131" s="227">
        <v>1</v>
      </c>
      <c r="T131" s="227">
        <f t="shared" si="128"/>
        <v>6.8265526601743703E-4</v>
      </c>
      <c r="U131" s="227"/>
      <c r="Z131" s="34">
        <f t="shared" si="129"/>
        <v>33532</v>
      </c>
      <c r="AA131" s="227">
        <f t="shared" si="130"/>
        <v>1.7032193374041802E-2</v>
      </c>
      <c r="AB131" s="227">
        <f t="shared" si="131"/>
        <v>-1.1876713808615501E-2</v>
      </c>
      <c r="AC131" s="227">
        <f t="shared" si="132"/>
        <v>2.6127672418672067E-2</v>
      </c>
      <c r="AD131" s="227">
        <f t="shared" si="133"/>
        <v>-1.3906173819926183E-3</v>
      </c>
      <c r="AE131" s="227">
        <f t="shared" si="134"/>
        <v>1.9338167031000038E-6</v>
      </c>
      <c r="AF131" s="34">
        <f t="shared" si="135"/>
        <v>2.6127672418672067E-2</v>
      </c>
      <c r="AG131" s="19"/>
      <c r="AH131" s="34">
        <f t="shared" si="136"/>
        <v>2.7518289800664685E-2</v>
      </c>
      <c r="AI131" s="34">
        <f t="shared" si="137"/>
        <v>1.0757360545580301</v>
      </c>
      <c r="AJ131" s="34">
        <f t="shared" si="138"/>
        <v>0.97118843646900155</v>
      </c>
      <c r="AK131" s="34">
        <f t="shared" si="139"/>
        <v>2.4739430235336279E-3</v>
      </c>
      <c r="AL131" s="34">
        <f t="shared" si="140"/>
        <v>3.2653716678628306E-2</v>
      </c>
      <c r="AM131" s="34">
        <f t="shared" si="141"/>
        <v>1.6328309224107451E-2</v>
      </c>
      <c r="AN131" s="227">
        <f t="shared" ref="AN131:AT140" si="145">$AU131+$AB$7*SIN(AO131)</f>
        <v>12.596637348037161</v>
      </c>
      <c r="AO131" s="227">
        <f t="shared" si="145"/>
        <v>12.596637347636982</v>
      </c>
      <c r="AP131" s="227">
        <f t="shared" si="145"/>
        <v>12.59663734235351</v>
      </c>
      <c r="AQ131" s="227">
        <f t="shared" si="145"/>
        <v>12.596637272597125</v>
      </c>
      <c r="AR131" s="227">
        <f t="shared" si="145"/>
        <v>12.596636351620381</v>
      </c>
      <c r="AS131" s="227">
        <f t="shared" si="145"/>
        <v>12.596624192188916</v>
      </c>
      <c r="AT131" s="227">
        <f t="shared" si="145"/>
        <v>12.596463654597768</v>
      </c>
      <c r="AU131" s="227">
        <f t="shared" si="142"/>
        <v>12.594344192594905</v>
      </c>
    </row>
    <row r="132" spans="1:86" ht="12.95" customHeight="1">
      <c r="A132" s="291" t="s">
        <v>128</v>
      </c>
      <c r="B132" s="122" t="s">
        <v>87</v>
      </c>
      <c r="C132" s="21">
        <v>55622.299619999998</v>
      </c>
      <c r="D132" s="21">
        <v>2.0000000000000001E-4</v>
      </c>
      <c r="E132" s="227">
        <f t="shared" si="122"/>
        <v>33532.047473206097</v>
      </c>
      <c r="F132" s="227">
        <f t="shared" si="123"/>
        <v>33532</v>
      </c>
      <c r="G132" s="227">
        <f t="shared" si="124"/>
        <v>1.5661575991543941E-2</v>
      </c>
      <c r="H132" s="227"/>
      <c r="I132" s="227"/>
      <c r="J132" s="227"/>
      <c r="K132" s="291">
        <f t="shared" si="144"/>
        <v>1.5661575991543941E-2</v>
      </c>
      <c r="L132" s="227"/>
      <c r="M132" s="227"/>
      <c r="N132" s="227"/>
      <c r="O132" s="227">
        <f t="shared" ca="1" si="120"/>
        <v>1.9701931855748617E-2</v>
      </c>
      <c r="P132" s="292">
        <f t="shared" si="125"/>
        <v>-1.0486096426622883E-2</v>
      </c>
      <c r="Q132" s="293">
        <f t="shared" si="126"/>
        <v>40603.799619999998</v>
      </c>
      <c r="R132" s="227">
        <f t="shared" si="127"/>
        <v>6.8370077288776212E-4</v>
      </c>
      <c r="S132" s="227">
        <v>1</v>
      </c>
      <c r="T132" s="227">
        <f t="shared" si="128"/>
        <v>6.8370077288776212E-4</v>
      </c>
      <c r="U132" s="227"/>
      <c r="Z132" s="34">
        <f t="shared" si="129"/>
        <v>33532</v>
      </c>
      <c r="AA132" s="227">
        <f t="shared" si="130"/>
        <v>1.7032193374041802E-2</v>
      </c>
      <c r="AB132" s="227">
        <f t="shared" si="131"/>
        <v>-1.1856713809120744E-2</v>
      </c>
      <c r="AC132" s="227">
        <f t="shared" si="132"/>
        <v>2.6147672418166824E-2</v>
      </c>
      <c r="AD132" s="227">
        <f t="shared" si="133"/>
        <v>-1.3706173824978608E-3</v>
      </c>
      <c r="AE132" s="227">
        <f t="shared" si="134"/>
        <v>1.8785920092052874E-6</v>
      </c>
      <c r="AF132" s="34">
        <f t="shared" si="135"/>
        <v>2.6147672418166824E-2</v>
      </c>
      <c r="AG132" s="19"/>
      <c r="AH132" s="34">
        <f t="shared" si="136"/>
        <v>2.7518289800664685E-2</v>
      </c>
      <c r="AI132" s="34">
        <f t="shared" si="137"/>
        <v>1.0757360545580301</v>
      </c>
      <c r="AJ132" s="34">
        <f t="shared" si="138"/>
        <v>0.97118843646900155</v>
      </c>
      <c r="AK132" s="34">
        <f t="shared" si="139"/>
        <v>2.4739430235336279E-3</v>
      </c>
      <c r="AL132" s="34">
        <f t="shared" si="140"/>
        <v>3.2653716678628306E-2</v>
      </c>
      <c r="AM132" s="34">
        <f t="shared" si="141"/>
        <v>1.6328309224107451E-2</v>
      </c>
      <c r="AN132" s="227">
        <f t="shared" si="145"/>
        <v>12.596637348037161</v>
      </c>
      <c r="AO132" s="227">
        <f t="shared" si="145"/>
        <v>12.596637347636982</v>
      </c>
      <c r="AP132" s="227">
        <f t="shared" si="145"/>
        <v>12.59663734235351</v>
      </c>
      <c r="AQ132" s="227">
        <f t="shared" si="145"/>
        <v>12.596637272597125</v>
      </c>
      <c r="AR132" s="227">
        <f t="shared" si="145"/>
        <v>12.596636351620381</v>
      </c>
      <c r="AS132" s="227">
        <f t="shared" si="145"/>
        <v>12.596624192188916</v>
      </c>
      <c r="AT132" s="227">
        <f t="shared" si="145"/>
        <v>12.596463654597768</v>
      </c>
      <c r="AU132" s="227">
        <f t="shared" si="142"/>
        <v>12.594344192594905</v>
      </c>
    </row>
    <row r="133" spans="1:86" ht="12.95" customHeight="1">
      <c r="A133" s="295" t="s">
        <v>128</v>
      </c>
      <c r="B133" s="296" t="s">
        <v>87</v>
      </c>
      <c r="C133" s="295">
        <v>55622.299800000001</v>
      </c>
      <c r="D133" s="295" t="s">
        <v>264</v>
      </c>
      <c r="E133" s="227">
        <f t="shared" si="122"/>
        <v>33532.048018820235</v>
      </c>
      <c r="F133" s="227">
        <f t="shared" si="123"/>
        <v>33532</v>
      </c>
      <c r="G133" s="227">
        <f t="shared" si="124"/>
        <v>1.5841575994272716E-2</v>
      </c>
      <c r="H133" s="227"/>
      <c r="I133" s="227"/>
      <c r="J133" s="227"/>
      <c r="K133" s="291">
        <f t="shared" si="144"/>
        <v>1.5841575994272716E-2</v>
      </c>
      <c r="L133" s="227"/>
      <c r="M133" s="227"/>
      <c r="N133" s="227"/>
      <c r="O133" s="227">
        <f t="shared" ca="1" si="120"/>
        <v>1.9701931855748617E-2</v>
      </c>
      <c r="P133" s="292">
        <f t="shared" si="125"/>
        <v>-1.0486096426622883E-2</v>
      </c>
      <c r="Q133" s="293">
        <f t="shared" si="126"/>
        <v>40603.799800000001</v>
      </c>
      <c r="R133" s="227">
        <f t="shared" si="127"/>
        <v>6.931463351019868E-4</v>
      </c>
      <c r="S133" s="227">
        <v>1</v>
      </c>
      <c r="T133" s="227">
        <f t="shared" si="128"/>
        <v>6.931463351019868E-4</v>
      </c>
      <c r="U133" s="227"/>
      <c r="Z133" s="34">
        <f t="shared" si="129"/>
        <v>33532</v>
      </c>
      <c r="AA133" s="227">
        <f t="shared" si="130"/>
        <v>1.7032193374041802E-2</v>
      </c>
      <c r="AB133" s="227">
        <f t="shared" si="131"/>
        <v>-1.1676713806391969E-2</v>
      </c>
      <c r="AC133" s="227">
        <f t="shared" si="132"/>
        <v>2.63276724208956E-2</v>
      </c>
      <c r="AD133" s="227">
        <f t="shared" si="133"/>
        <v>-1.1906173797690857E-3</v>
      </c>
      <c r="AE133" s="227">
        <f t="shared" si="134"/>
        <v>1.4175697450082031E-6</v>
      </c>
      <c r="AF133" s="34">
        <f t="shared" si="135"/>
        <v>2.63276724208956E-2</v>
      </c>
      <c r="AG133" s="19"/>
      <c r="AH133" s="34">
        <f t="shared" si="136"/>
        <v>2.7518289800664685E-2</v>
      </c>
      <c r="AI133" s="34">
        <f t="shared" si="137"/>
        <v>1.0757360545580301</v>
      </c>
      <c r="AJ133" s="34">
        <f t="shared" si="138"/>
        <v>0.97118843646900155</v>
      </c>
      <c r="AK133" s="34">
        <f t="shared" si="139"/>
        <v>2.4739430235336279E-3</v>
      </c>
      <c r="AL133" s="34">
        <f t="shared" si="140"/>
        <v>3.2653716678628306E-2</v>
      </c>
      <c r="AM133" s="34">
        <f t="shared" si="141"/>
        <v>1.6328309224107451E-2</v>
      </c>
      <c r="AN133" s="227">
        <f t="shared" si="145"/>
        <v>12.596637348037161</v>
      </c>
      <c r="AO133" s="227">
        <f t="shared" si="145"/>
        <v>12.596637347636982</v>
      </c>
      <c r="AP133" s="227">
        <f t="shared" si="145"/>
        <v>12.59663734235351</v>
      </c>
      <c r="AQ133" s="227">
        <f t="shared" si="145"/>
        <v>12.596637272597125</v>
      </c>
      <c r="AR133" s="227">
        <f t="shared" si="145"/>
        <v>12.596636351620381</v>
      </c>
      <c r="AS133" s="227">
        <f t="shared" si="145"/>
        <v>12.596624192188916</v>
      </c>
      <c r="AT133" s="227">
        <f t="shared" si="145"/>
        <v>12.596463654597768</v>
      </c>
      <c r="AU133" s="227">
        <f t="shared" si="142"/>
        <v>12.594344192594905</v>
      </c>
    </row>
    <row r="134" spans="1:86" s="227" customFormat="1" ht="12.95" customHeight="1">
      <c r="A134" s="291" t="s">
        <v>128</v>
      </c>
      <c r="B134" s="122" t="s">
        <v>87</v>
      </c>
      <c r="C134" s="21">
        <v>55622.29982</v>
      </c>
      <c r="D134" s="21">
        <v>2.0000000000000001E-4</v>
      </c>
      <c r="E134" s="227">
        <f t="shared" si="122"/>
        <v>33532.048079444023</v>
      </c>
      <c r="F134" s="227">
        <f t="shared" si="123"/>
        <v>33532</v>
      </c>
      <c r="G134" s="227">
        <f t="shared" si="124"/>
        <v>1.5861575993767474E-2</v>
      </c>
      <c r="K134" s="291">
        <f t="shared" si="144"/>
        <v>1.5861575993767474E-2</v>
      </c>
      <c r="O134" s="227">
        <f t="shared" ca="1" si="120"/>
        <v>1.9701931855748617E-2</v>
      </c>
      <c r="P134" s="292">
        <f t="shared" si="125"/>
        <v>-1.0486096426622883E-2</v>
      </c>
      <c r="Q134" s="293">
        <f t="shared" si="126"/>
        <v>40603.79982</v>
      </c>
      <c r="R134" s="227">
        <f t="shared" si="127"/>
        <v>6.9419984197219861E-4</v>
      </c>
      <c r="S134" s="227">
        <v>1</v>
      </c>
      <c r="T134" s="227">
        <f t="shared" si="128"/>
        <v>6.9419984197219861E-4</v>
      </c>
      <c r="Z134" s="34">
        <f t="shared" si="129"/>
        <v>33532</v>
      </c>
      <c r="AA134" s="227">
        <f t="shared" si="130"/>
        <v>1.7032193374041802E-2</v>
      </c>
      <c r="AB134" s="227">
        <f t="shared" si="131"/>
        <v>-1.1656713806897211E-2</v>
      </c>
      <c r="AC134" s="227">
        <f t="shared" si="132"/>
        <v>2.6347672420390357E-2</v>
      </c>
      <c r="AD134" s="227">
        <f t="shared" si="133"/>
        <v>-1.1706173802743282E-3</v>
      </c>
      <c r="AE134" s="227">
        <f t="shared" si="134"/>
        <v>1.3703450510003311E-6</v>
      </c>
      <c r="AF134" s="34">
        <f t="shared" si="135"/>
        <v>2.6347672420390357E-2</v>
      </c>
      <c r="AG134" s="19"/>
      <c r="AH134" s="34">
        <f t="shared" si="136"/>
        <v>2.7518289800664685E-2</v>
      </c>
      <c r="AI134" s="34">
        <f t="shared" si="137"/>
        <v>1.0757360545580301</v>
      </c>
      <c r="AJ134" s="34">
        <f t="shared" si="138"/>
        <v>0.97118843646900155</v>
      </c>
      <c r="AK134" s="34">
        <f t="shared" si="139"/>
        <v>2.4739430235336279E-3</v>
      </c>
      <c r="AL134" s="34">
        <f t="shared" si="140"/>
        <v>3.2653716678628306E-2</v>
      </c>
      <c r="AM134" s="34">
        <f t="shared" si="141"/>
        <v>1.6328309224107451E-2</v>
      </c>
      <c r="AN134" s="227">
        <f t="shared" si="145"/>
        <v>12.596637348037161</v>
      </c>
      <c r="AO134" s="227">
        <f t="shared" si="145"/>
        <v>12.596637347636982</v>
      </c>
      <c r="AP134" s="227">
        <f t="shared" si="145"/>
        <v>12.59663734235351</v>
      </c>
      <c r="AQ134" s="227">
        <f t="shared" si="145"/>
        <v>12.596637272597125</v>
      </c>
      <c r="AR134" s="227">
        <f t="shared" si="145"/>
        <v>12.596636351620381</v>
      </c>
      <c r="AS134" s="227">
        <f t="shared" si="145"/>
        <v>12.596624192188916</v>
      </c>
      <c r="AT134" s="227">
        <f t="shared" si="145"/>
        <v>12.596463654597768</v>
      </c>
      <c r="AU134" s="227">
        <f t="shared" si="142"/>
        <v>12.594344192594905</v>
      </c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</row>
    <row r="135" spans="1:86" s="227" customFormat="1" ht="12.95" customHeight="1">
      <c r="A135" s="21" t="s">
        <v>134</v>
      </c>
      <c r="B135" s="122" t="s">
        <v>86</v>
      </c>
      <c r="C135" s="21">
        <v>55804.572</v>
      </c>
      <c r="D135" s="341">
        <v>4.0000000000000001E-3</v>
      </c>
      <c r="E135" s="227">
        <f t="shared" si="122"/>
        <v>34084.549613817035</v>
      </c>
      <c r="F135" s="227">
        <f t="shared" si="123"/>
        <v>34084.5</v>
      </c>
      <c r="G135" s="227">
        <f t="shared" si="124"/>
        <v>1.6367770993383601E-2</v>
      </c>
      <c r="K135" s="291">
        <f t="shared" si="144"/>
        <v>1.6367770993383601E-2</v>
      </c>
      <c r="M135" s="291"/>
      <c r="O135" s="227">
        <f t="shared" ca="1" si="120"/>
        <v>1.7697327032435289E-2</v>
      </c>
      <c r="P135" s="292">
        <f t="shared" si="125"/>
        <v>-1.1501343228703997E-2</v>
      </c>
      <c r="Q135" s="293">
        <f t="shared" si="126"/>
        <v>40786.072</v>
      </c>
      <c r="R135" s="227">
        <f t="shared" si="127"/>
        <v>7.7668752752376531E-4</v>
      </c>
      <c r="S135" s="227">
        <v>1</v>
      </c>
      <c r="T135" s="227">
        <f t="shared" si="128"/>
        <v>7.7668752752376531E-4</v>
      </c>
      <c r="Z135" s="34">
        <f t="shared" si="129"/>
        <v>34084.5</v>
      </c>
      <c r="AA135" s="227">
        <f t="shared" si="130"/>
        <v>1.5686754728079563E-2</v>
      </c>
      <c r="AB135" s="227">
        <f t="shared" si="131"/>
        <v>-1.0820326963399959E-2</v>
      </c>
      <c r="AC135" s="227">
        <f t="shared" si="132"/>
        <v>2.7869114222087599E-2</v>
      </c>
      <c r="AD135" s="227">
        <f t="shared" si="133"/>
        <v>6.8101626530403872E-4</v>
      </c>
      <c r="AE135" s="227">
        <f t="shared" si="134"/>
        <v>4.6378315360866087E-7</v>
      </c>
      <c r="AF135" s="34">
        <f t="shared" si="135"/>
        <v>2.7869114222087599E-2</v>
      </c>
      <c r="AG135" s="19"/>
      <c r="AH135" s="34">
        <f t="shared" si="136"/>
        <v>2.718809795678356E-2</v>
      </c>
      <c r="AI135" s="34">
        <f t="shared" si="137"/>
        <v>1.0755247161222588</v>
      </c>
      <c r="AJ135" s="34">
        <f t="shared" si="138"/>
        <v>0.95838427624439881</v>
      </c>
      <c r="AK135" s="34">
        <f t="shared" si="139"/>
        <v>6.1715159201633065E-3</v>
      </c>
      <c r="AL135" s="34">
        <f t="shared" si="140"/>
        <v>8.1534026329715611E-2</v>
      </c>
      <c r="AM135" s="34">
        <f t="shared" si="141"/>
        <v>4.07896124256861E-2</v>
      </c>
      <c r="AN135" s="227">
        <f t="shared" si="145"/>
        <v>12.641949463473138</v>
      </c>
      <c r="AO135" s="227">
        <f t="shared" si="145"/>
        <v>12.641949462488547</v>
      </c>
      <c r="AP135" s="227">
        <f t="shared" si="145"/>
        <v>12.641949449458005</v>
      </c>
      <c r="AQ135" s="227">
        <f t="shared" si="145"/>
        <v>12.641949277005384</v>
      </c>
      <c r="AR135" s="227">
        <f t="shared" si="145"/>
        <v>12.641946994682597</v>
      </c>
      <c r="AS135" s="227">
        <f t="shared" si="145"/>
        <v>12.641916789337854</v>
      </c>
      <c r="AT135" s="227">
        <f t="shared" si="145"/>
        <v>12.641517043940242</v>
      </c>
      <c r="AU135" s="227">
        <f t="shared" si="142"/>
        <v>12.636227817471058</v>
      </c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</row>
    <row r="136" spans="1:86" ht="12.95" customHeight="1">
      <c r="A136" s="295" t="s">
        <v>646</v>
      </c>
      <c r="B136" s="296" t="s">
        <v>87</v>
      </c>
      <c r="C136" s="295">
        <v>55867.087299999999</v>
      </c>
      <c r="D136" s="295" t="s">
        <v>264</v>
      </c>
      <c r="E136" s="227">
        <f t="shared" si="122"/>
        <v>34274.045340327735</v>
      </c>
      <c r="F136" s="227">
        <f t="shared" si="123"/>
        <v>34274</v>
      </c>
      <c r="G136" s="227">
        <f t="shared" si="124"/>
        <v>1.4957931998651475E-2</v>
      </c>
      <c r="H136" s="227"/>
      <c r="I136" s="227"/>
      <c r="J136" s="227"/>
      <c r="K136" s="227">
        <f t="shared" si="144"/>
        <v>1.4957931998651475E-2</v>
      </c>
      <c r="M136" s="227"/>
      <c r="N136" s="227"/>
      <c r="O136" s="227">
        <f t="shared" ca="1" si="120"/>
        <v>1.7009774789869009E-2</v>
      </c>
      <c r="P136" s="292">
        <f t="shared" si="125"/>
        <v>-1.1853428118409289E-2</v>
      </c>
      <c r="Q136" s="293">
        <f t="shared" si="126"/>
        <v>40848.587299999999</v>
      </c>
      <c r="R136" s="227">
        <f t="shared" si="127"/>
        <v>7.1884903132671653E-4</v>
      </c>
      <c r="S136" s="227">
        <v>1</v>
      </c>
      <c r="T136" s="227">
        <f t="shared" si="128"/>
        <v>7.1884903132671653E-4</v>
      </c>
      <c r="U136" s="227"/>
      <c r="Z136" s="34">
        <f t="shared" si="129"/>
        <v>34274</v>
      </c>
      <c r="AA136" s="227">
        <f t="shared" si="130"/>
        <v>1.5208547703101597E-2</v>
      </c>
      <c r="AB136" s="227">
        <f t="shared" si="131"/>
        <v>-1.2104043822859411E-2</v>
      </c>
      <c r="AC136" s="227">
        <f t="shared" si="132"/>
        <v>2.6811360117060763E-2</v>
      </c>
      <c r="AD136" s="227">
        <f t="shared" si="133"/>
        <v>-2.5061570445012241E-4</v>
      </c>
      <c r="AE136" s="227">
        <f t="shared" si="134"/>
        <v>6.2808231317031098E-8</v>
      </c>
      <c r="AF136" s="34">
        <f t="shared" si="135"/>
        <v>2.6811360117060763E-2</v>
      </c>
      <c r="AG136" s="19"/>
      <c r="AH136" s="34">
        <f t="shared" si="136"/>
        <v>2.7061975821510886E-2</v>
      </c>
      <c r="AI136" s="34">
        <f t="shared" si="137"/>
        <v>1.0754106807567405</v>
      </c>
      <c r="AJ136" s="34">
        <f t="shared" si="138"/>
        <v>0.95346529377105571</v>
      </c>
      <c r="AK136" s="34">
        <f t="shared" si="139"/>
        <v>7.4363688656196424E-3</v>
      </c>
      <c r="AL136" s="34">
        <f t="shared" si="140"/>
        <v>9.8293823757498885E-2</v>
      </c>
      <c r="AM136" s="34">
        <f t="shared" si="141"/>
        <v>4.9186520274920938E-2</v>
      </c>
      <c r="AN136" s="227">
        <f t="shared" si="145"/>
        <v>12.657488361364756</v>
      </c>
      <c r="AO136" s="227">
        <f t="shared" si="145"/>
        <v>12.657488360187207</v>
      </c>
      <c r="AP136" s="227">
        <f t="shared" si="145"/>
        <v>12.657488344582708</v>
      </c>
      <c r="AQ136" s="227">
        <f t="shared" si="145"/>
        <v>12.657488137796808</v>
      </c>
      <c r="AR136" s="227">
        <f t="shared" si="145"/>
        <v>12.657485397535641</v>
      </c>
      <c r="AS136" s="227">
        <f t="shared" si="145"/>
        <v>12.657449084528372</v>
      </c>
      <c r="AT136" s="227">
        <f t="shared" si="145"/>
        <v>12.656967888282676</v>
      </c>
      <c r="AU136" s="227">
        <f t="shared" si="142"/>
        <v>12.650593332247583</v>
      </c>
    </row>
    <row r="137" spans="1:86" ht="12.95" customHeight="1">
      <c r="A137" s="295" t="s">
        <v>646</v>
      </c>
      <c r="B137" s="296" t="s">
        <v>86</v>
      </c>
      <c r="C137" s="295">
        <v>55867.253199999999</v>
      </c>
      <c r="D137" s="295" t="s">
        <v>264</v>
      </c>
      <c r="E137" s="227">
        <f t="shared" si="122"/>
        <v>34274.548214680544</v>
      </c>
      <c r="F137" s="227">
        <f t="shared" si="123"/>
        <v>34274.5</v>
      </c>
      <c r="G137" s="227">
        <f t="shared" si="124"/>
        <v>1.5906190994428471E-2</v>
      </c>
      <c r="H137" s="227"/>
      <c r="I137" s="227"/>
      <c r="J137" s="227"/>
      <c r="K137" s="227">
        <f t="shared" si="144"/>
        <v>1.5906190994428471E-2</v>
      </c>
      <c r="M137" s="227"/>
      <c r="N137" s="227"/>
      <c r="O137" s="227">
        <f t="shared" ca="1" si="120"/>
        <v>1.7007960667856953E-2</v>
      </c>
      <c r="P137" s="292">
        <f t="shared" si="125"/>
        <v>-1.1854359716321317E-2</v>
      </c>
      <c r="Q137" s="293">
        <f t="shared" si="126"/>
        <v>40848.753199999999</v>
      </c>
      <c r="R137" s="227">
        <f t="shared" si="127"/>
        <v>7.7064817576411049E-4</v>
      </c>
      <c r="S137" s="227">
        <v>1</v>
      </c>
      <c r="T137" s="227">
        <f t="shared" si="128"/>
        <v>7.7064817576411049E-4</v>
      </c>
      <c r="U137" s="227"/>
      <c r="Z137" s="34">
        <f t="shared" si="129"/>
        <v>34274.5</v>
      </c>
      <c r="AA137" s="227">
        <f t="shared" si="130"/>
        <v>1.5207274691045807E-2</v>
      </c>
      <c r="AB137" s="227">
        <f t="shared" si="131"/>
        <v>-1.1155443412938653E-2</v>
      </c>
      <c r="AC137" s="227">
        <f t="shared" si="132"/>
        <v>2.7760550710749787E-2</v>
      </c>
      <c r="AD137" s="227">
        <f t="shared" si="133"/>
        <v>6.9891630338266356E-4</v>
      </c>
      <c r="AE137" s="227">
        <f t="shared" si="134"/>
        <v>4.8848399913408737E-7</v>
      </c>
      <c r="AF137" s="34">
        <f t="shared" si="135"/>
        <v>2.7760550710749787E-2</v>
      </c>
      <c r="AG137" s="19"/>
      <c r="AH137" s="34">
        <f t="shared" si="136"/>
        <v>2.7061634407367124E-2</v>
      </c>
      <c r="AI137" s="34">
        <f t="shared" si="137"/>
        <v>1.0754103518746496</v>
      </c>
      <c r="AJ137" s="34">
        <f t="shared" si="138"/>
        <v>0.95345196151499312</v>
      </c>
      <c r="AK137" s="34">
        <f t="shared" si="139"/>
        <v>7.4397032361603081E-3</v>
      </c>
      <c r="AL137" s="34">
        <f t="shared" si="140"/>
        <v>9.8338040011451619E-2</v>
      </c>
      <c r="AM137" s="34">
        <f t="shared" si="141"/>
        <v>4.9208681912496138E-2</v>
      </c>
      <c r="AN137" s="227">
        <f t="shared" si="145"/>
        <v>12.657529358848139</v>
      </c>
      <c r="AO137" s="227">
        <f t="shared" si="145"/>
        <v>12.657529357670088</v>
      </c>
      <c r="AP137" s="227">
        <f t="shared" si="145"/>
        <v>12.65752934205887</v>
      </c>
      <c r="AQ137" s="227">
        <f t="shared" si="145"/>
        <v>12.657529135183163</v>
      </c>
      <c r="AR137" s="227">
        <f t="shared" si="145"/>
        <v>12.657526393721616</v>
      </c>
      <c r="AS137" s="227">
        <f t="shared" si="145"/>
        <v>12.657490064671263</v>
      </c>
      <c r="AT137" s="227">
        <f t="shared" si="145"/>
        <v>12.657008654040389</v>
      </c>
      <c r="AU137" s="227">
        <f t="shared" si="142"/>
        <v>12.650631235980503</v>
      </c>
    </row>
    <row r="138" spans="1:86" ht="12.95" customHeight="1">
      <c r="A138" s="21" t="s">
        <v>135</v>
      </c>
      <c r="B138" s="122" t="s">
        <v>86</v>
      </c>
      <c r="C138" s="21">
        <v>55874.841999999997</v>
      </c>
      <c r="D138" s="21">
        <v>2.9999999999999997E-4</v>
      </c>
      <c r="E138" s="227">
        <f t="shared" si="122"/>
        <v>34297.551306233232</v>
      </c>
      <c r="F138" s="227">
        <f t="shared" si="123"/>
        <v>34297.5</v>
      </c>
      <c r="G138" s="227">
        <f t="shared" si="124"/>
        <v>1.6926104995945934E-2</v>
      </c>
      <c r="H138" s="227"/>
      <c r="I138" s="227"/>
      <c r="J138" s="227"/>
      <c r="K138" s="227">
        <f t="shared" si="144"/>
        <v>1.6926104995945934E-2</v>
      </c>
      <c r="L138" s="227"/>
      <c r="M138" s="227"/>
      <c r="N138" s="227"/>
      <c r="O138" s="227">
        <f t="shared" ca="1" si="120"/>
        <v>1.6924511055302738E-2</v>
      </c>
      <c r="P138" s="292">
        <f t="shared" si="125"/>
        <v>-1.1897228092753061E-2</v>
      </c>
      <c r="Q138" s="293">
        <f t="shared" si="126"/>
        <v>40856.341999999997</v>
      </c>
      <c r="R138" s="227">
        <f t="shared" si="127"/>
        <v>8.3078453034209033E-4</v>
      </c>
      <c r="S138" s="227">
        <v>1</v>
      </c>
      <c r="T138" s="227">
        <f t="shared" si="128"/>
        <v>8.3078453034209033E-4</v>
      </c>
      <c r="U138" s="227"/>
      <c r="Z138" s="34">
        <f t="shared" si="129"/>
        <v>34297.5</v>
      </c>
      <c r="AA138" s="227">
        <f t="shared" si="130"/>
        <v>1.5148652218366511E-2</v>
      </c>
      <c r="AB138" s="227">
        <f t="shared" si="131"/>
        <v>-1.0119775315173638E-2</v>
      </c>
      <c r="AC138" s="227">
        <f t="shared" si="132"/>
        <v>2.8823333088698996E-2</v>
      </c>
      <c r="AD138" s="227">
        <f t="shared" si="133"/>
        <v>1.7774527775794233E-3</v>
      </c>
      <c r="AE138" s="227">
        <f t="shared" si="134"/>
        <v>3.1593383765248066E-6</v>
      </c>
      <c r="AF138" s="34">
        <f t="shared" si="135"/>
        <v>2.8823333088698996E-2</v>
      </c>
      <c r="AG138" s="19"/>
      <c r="AH138" s="34">
        <f t="shared" si="136"/>
        <v>2.7045880311119572E-2</v>
      </c>
      <c r="AI138" s="34">
        <f t="shared" si="137"/>
        <v>1.0753950641573384</v>
      </c>
      <c r="AJ138" s="34">
        <f t="shared" si="138"/>
        <v>0.95283667203139599</v>
      </c>
      <c r="AK138" s="34">
        <f t="shared" si="139"/>
        <v>7.5930662325179614E-3</v>
      </c>
      <c r="AL138" s="34">
        <f t="shared" si="140"/>
        <v>0.10037195825554815</v>
      </c>
      <c r="AM138" s="34">
        <f t="shared" si="141"/>
        <v>5.0228154964499123E-2</v>
      </c>
      <c r="AN138" s="227">
        <f t="shared" si="145"/>
        <v>12.659415229436318</v>
      </c>
      <c r="AO138" s="227">
        <f t="shared" si="145"/>
        <v>12.659415228235188</v>
      </c>
      <c r="AP138" s="227">
        <f t="shared" si="145"/>
        <v>12.659415212315356</v>
      </c>
      <c r="AQ138" s="227">
        <f t="shared" si="145"/>
        <v>12.659415001313205</v>
      </c>
      <c r="AR138" s="227">
        <f t="shared" si="145"/>
        <v>12.659412204682065</v>
      </c>
      <c r="AS138" s="227">
        <f t="shared" si="145"/>
        <v>12.65937513808742</v>
      </c>
      <c r="AT138" s="227">
        <f t="shared" si="145"/>
        <v>12.658883868924015</v>
      </c>
      <c r="AU138" s="227">
        <f t="shared" si="142"/>
        <v>12.652374807694805</v>
      </c>
    </row>
    <row r="139" spans="1:86" s="227" customFormat="1" ht="12.95" customHeight="1">
      <c r="A139" s="291" t="s">
        <v>252</v>
      </c>
      <c r="B139" s="122" t="s">
        <v>87</v>
      </c>
      <c r="C139" s="21">
        <v>55877.643960000001</v>
      </c>
      <c r="D139" s="21">
        <v>1E-4</v>
      </c>
      <c r="E139" s="227">
        <f t="shared" si="122"/>
        <v>34306.044578213929</v>
      </c>
      <c r="F139" s="227">
        <f t="shared" si="123"/>
        <v>34306</v>
      </c>
      <c r="G139" s="227">
        <f t="shared" si="124"/>
        <v>1.4706507994560525E-2</v>
      </c>
      <c r="K139" s="291">
        <f t="shared" si="144"/>
        <v>1.4706507994560525E-2</v>
      </c>
      <c r="O139" s="227">
        <f t="shared" ca="1" si="120"/>
        <v>1.6893670981097911E-2</v>
      </c>
      <c r="P139" s="292">
        <f t="shared" si="125"/>
        <v>-1.191307812105722E-2</v>
      </c>
      <c r="Q139" s="293">
        <f t="shared" si="126"/>
        <v>40859.143960000001</v>
      </c>
      <c r="R139" s="227">
        <f t="shared" si="127"/>
        <v>7.0860236496678901E-4</v>
      </c>
      <c r="S139" s="227">
        <v>1</v>
      </c>
      <c r="T139" s="227">
        <f t="shared" si="128"/>
        <v>7.0860236496678901E-4</v>
      </c>
      <c r="Z139" s="34">
        <f t="shared" si="129"/>
        <v>34306</v>
      </c>
      <c r="AA139" s="227">
        <f t="shared" si="130"/>
        <v>1.5126955735691318E-2</v>
      </c>
      <c r="AB139" s="227">
        <f t="shared" si="131"/>
        <v>-1.2333525862188013E-2</v>
      </c>
      <c r="AC139" s="227">
        <f t="shared" si="132"/>
        <v>2.6619586115617745E-2</v>
      </c>
      <c r="AD139" s="227">
        <f t="shared" si="133"/>
        <v>-4.2044774113079303E-4</v>
      </c>
      <c r="AE139" s="227">
        <f t="shared" si="134"/>
        <v>1.7677630302198634E-7</v>
      </c>
      <c r="AF139" s="34">
        <f t="shared" si="135"/>
        <v>2.6619586115617745E-2</v>
      </c>
      <c r="AG139" s="19"/>
      <c r="AH139" s="34">
        <f t="shared" si="136"/>
        <v>2.7040033856748538E-2</v>
      </c>
      <c r="AI139" s="34">
        <f t="shared" si="137"/>
        <v>1.0753893355258914</v>
      </c>
      <c r="AJ139" s="34">
        <f t="shared" si="138"/>
        <v>0.95260828924462193</v>
      </c>
      <c r="AK139" s="34">
        <f t="shared" si="139"/>
        <v>7.6497348362639652E-3</v>
      </c>
      <c r="AL139" s="34">
        <f t="shared" si="140"/>
        <v>0.1011236089726914</v>
      </c>
      <c r="AM139" s="34">
        <f t="shared" si="141"/>
        <v>5.0604935610905878E-2</v>
      </c>
      <c r="AN139" s="227">
        <f t="shared" si="145"/>
        <v>12.6601121747855</v>
      </c>
      <c r="AO139" s="227">
        <f t="shared" si="145"/>
        <v>12.660112173575859</v>
      </c>
      <c r="AP139" s="227">
        <f t="shared" si="145"/>
        <v>12.660112157542192</v>
      </c>
      <c r="AQ139" s="227">
        <f t="shared" si="145"/>
        <v>12.660111945017416</v>
      </c>
      <c r="AR139" s="227">
        <f t="shared" si="145"/>
        <v>12.660109128021453</v>
      </c>
      <c r="AS139" s="227">
        <f t="shared" si="145"/>
        <v>12.660071789074843</v>
      </c>
      <c r="AT139" s="227">
        <f t="shared" si="145"/>
        <v>12.659576878133681</v>
      </c>
      <c r="AU139" s="227">
        <f t="shared" si="142"/>
        <v>12.653019171154439</v>
      </c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</row>
    <row r="140" spans="1:86" ht="12.95" customHeight="1">
      <c r="A140" s="291" t="s">
        <v>252</v>
      </c>
      <c r="B140" s="122" t="s">
        <v>87</v>
      </c>
      <c r="C140" s="21">
        <v>55877.644160000003</v>
      </c>
      <c r="D140" s="21">
        <v>1E-4</v>
      </c>
      <c r="E140" s="227">
        <f t="shared" si="122"/>
        <v>34306.045184451854</v>
      </c>
      <c r="F140" s="227">
        <f t="shared" si="123"/>
        <v>34306</v>
      </c>
      <c r="G140" s="227">
        <f t="shared" si="124"/>
        <v>1.4906507996784057E-2</v>
      </c>
      <c r="H140" s="227"/>
      <c r="I140" s="227"/>
      <c r="J140" s="227"/>
      <c r="K140" s="291">
        <f t="shared" si="144"/>
        <v>1.4906507996784057E-2</v>
      </c>
      <c r="L140" s="227"/>
      <c r="M140" s="227"/>
      <c r="N140" s="227"/>
      <c r="O140" s="227">
        <f t="shared" ca="1" si="120"/>
        <v>1.6893670981097911E-2</v>
      </c>
      <c r="P140" s="292">
        <f t="shared" si="125"/>
        <v>-1.191307812105722E-2</v>
      </c>
      <c r="Q140" s="293">
        <f t="shared" si="126"/>
        <v>40859.144160000003</v>
      </c>
      <c r="R140" s="227">
        <f t="shared" si="127"/>
        <v>7.1929019953230456E-4</v>
      </c>
      <c r="S140" s="227">
        <v>1</v>
      </c>
      <c r="T140" s="227">
        <f t="shared" si="128"/>
        <v>7.1929019953230456E-4</v>
      </c>
      <c r="U140" s="227"/>
      <c r="Z140" s="34">
        <f t="shared" si="129"/>
        <v>34306</v>
      </c>
      <c r="AA140" s="227">
        <f t="shared" si="130"/>
        <v>1.5126955735691318E-2</v>
      </c>
      <c r="AB140" s="227">
        <f t="shared" si="131"/>
        <v>-1.2133525859964481E-2</v>
      </c>
      <c r="AC140" s="227">
        <f t="shared" si="132"/>
        <v>2.6819586117841278E-2</v>
      </c>
      <c r="AD140" s="227">
        <f t="shared" si="133"/>
        <v>-2.2044773890726038E-4</v>
      </c>
      <c r="AE140" s="227">
        <f t="shared" si="134"/>
        <v>4.859720558932364E-8</v>
      </c>
      <c r="AF140" s="34">
        <f t="shared" si="135"/>
        <v>2.6819586117841278E-2</v>
      </c>
      <c r="AG140" s="19"/>
      <c r="AH140" s="34">
        <f t="shared" si="136"/>
        <v>2.7040033856748538E-2</v>
      </c>
      <c r="AI140" s="34">
        <f t="shared" si="137"/>
        <v>1.0753893355258914</v>
      </c>
      <c r="AJ140" s="34">
        <f t="shared" si="138"/>
        <v>0.95260828924462193</v>
      </c>
      <c r="AK140" s="34">
        <f t="shared" si="139"/>
        <v>7.6497348362639652E-3</v>
      </c>
      <c r="AL140" s="34">
        <f t="shared" si="140"/>
        <v>0.1011236089726914</v>
      </c>
      <c r="AM140" s="34">
        <f t="shared" si="141"/>
        <v>5.0604935610905878E-2</v>
      </c>
      <c r="AN140" s="227">
        <f t="shared" si="145"/>
        <v>12.6601121747855</v>
      </c>
      <c r="AO140" s="227">
        <f t="shared" si="145"/>
        <v>12.660112173575859</v>
      </c>
      <c r="AP140" s="227">
        <f t="shared" si="145"/>
        <v>12.660112157542192</v>
      </c>
      <c r="AQ140" s="227">
        <f t="shared" si="145"/>
        <v>12.660111945017416</v>
      </c>
      <c r="AR140" s="227">
        <f t="shared" si="145"/>
        <v>12.660109128021453</v>
      </c>
      <c r="AS140" s="227">
        <f t="shared" si="145"/>
        <v>12.660071789074843</v>
      </c>
      <c r="AT140" s="227">
        <f t="shared" si="145"/>
        <v>12.659576878133681</v>
      </c>
      <c r="AU140" s="227">
        <f t="shared" si="142"/>
        <v>12.653019171154439</v>
      </c>
    </row>
    <row r="141" spans="1:86" ht="12.95" customHeight="1">
      <c r="A141" s="291" t="s">
        <v>252</v>
      </c>
      <c r="B141" s="122" t="s">
        <v>87</v>
      </c>
      <c r="C141" s="21">
        <v>55877.644160000003</v>
      </c>
      <c r="D141" s="21">
        <v>1E-4</v>
      </c>
      <c r="E141" s="227">
        <f t="shared" si="122"/>
        <v>34306.045184451854</v>
      </c>
      <c r="F141" s="227">
        <f t="shared" si="123"/>
        <v>34306</v>
      </c>
      <c r="G141" s="227">
        <f t="shared" si="124"/>
        <v>1.4906507996784057E-2</v>
      </c>
      <c r="H141" s="227"/>
      <c r="I141" s="227"/>
      <c r="J141" s="227"/>
      <c r="K141" s="291">
        <f t="shared" si="144"/>
        <v>1.4906507996784057E-2</v>
      </c>
      <c r="L141" s="227"/>
      <c r="M141" s="227"/>
      <c r="N141" s="227"/>
      <c r="O141" s="227">
        <f t="shared" ref="O141:O172" ca="1" si="146">+C$11+C$12*F141</f>
        <v>1.6893670981097911E-2</v>
      </c>
      <c r="P141" s="292">
        <f t="shared" si="125"/>
        <v>-1.191307812105722E-2</v>
      </c>
      <c r="Q141" s="293">
        <f t="shared" si="126"/>
        <v>40859.144160000003</v>
      </c>
      <c r="R141" s="227">
        <f t="shared" si="127"/>
        <v>7.1929019953230456E-4</v>
      </c>
      <c r="S141" s="227">
        <v>1</v>
      </c>
      <c r="T141" s="227">
        <f t="shared" si="128"/>
        <v>7.1929019953230456E-4</v>
      </c>
      <c r="U141" s="227"/>
      <c r="Z141" s="34">
        <f t="shared" si="129"/>
        <v>34306</v>
      </c>
      <c r="AA141" s="227">
        <f t="shared" si="130"/>
        <v>1.5126955735691318E-2</v>
      </c>
      <c r="AB141" s="227">
        <f t="shared" si="131"/>
        <v>-1.2133525859964481E-2</v>
      </c>
      <c r="AC141" s="227">
        <f t="shared" si="132"/>
        <v>2.6819586117841278E-2</v>
      </c>
      <c r="AD141" s="227">
        <f t="shared" si="133"/>
        <v>-2.2044773890726038E-4</v>
      </c>
      <c r="AE141" s="227">
        <f t="shared" si="134"/>
        <v>4.859720558932364E-8</v>
      </c>
      <c r="AF141" s="34">
        <f t="shared" si="135"/>
        <v>2.6819586117841278E-2</v>
      </c>
      <c r="AG141" s="19"/>
      <c r="AH141" s="34">
        <f t="shared" si="136"/>
        <v>2.7040033856748538E-2</v>
      </c>
      <c r="AI141" s="34">
        <f t="shared" si="137"/>
        <v>1.0753893355258914</v>
      </c>
      <c r="AJ141" s="34">
        <f t="shared" si="138"/>
        <v>0.95260828924462193</v>
      </c>
      <c r="AK141" s="34">
        <f t="shared" si="139"/>
        <v>7.6497348362639652E-3</v>
      </c>
      <c r="AL141" s="34">
        <f t="shared" si="140"/>
        <v>0.1011236089726914</v>
      </c>
      <c r="AM141" s="34">
        <f t="shared" si="141"/>
        <v>5.0604935610905878E-2</v>
      </c>
      <c r="AN141" s="227">
        <f t="shared" ref="AN141:AT150" si="147">$AU141+$AB$7*SIN(AO141)</f>
        <v>12.6601121747855</v>
      </c>
      <c r="AO141" s="227">
        <f t="shared" si="147"/>
        <v>12.660112173575859</v>
      </c>
      <c r="AP141" s="227">
        <f t="shared" si="147"/>
        <v>12.660112157542192</v>
      </c>
      <c r="AQ141" s="227">
        <f t="shared" si="147"/>
        <v>12.660111945017416</v>
      </c>
      <c r="AR141" s="227">
        <f t="shared" si="147"/>
        <v>12.660109128021453</v>
      </c>
      <c r="AS141" s="227">
        <f t="shared" si="147"/>
        <v>12.660071789074843</v>
      </c>
      <c r="AT141" s="227">
        <f t="shared" si="147"/>
        <v>12.659576878133681</v>
      </c>
      <c r="AU141" s="227">
        <f t="shared" si="142"/>
        <v>12.653019171154439</v>
      </c>
    </row>
    <row r="142" spans="1:86" ht="12.95" customHeight="1">
      <c r="A142" s="295" t="s">
        <v>666</v>
      </c>
      <c r="B142" s="296" t="s">
        <v>86</v>
      </c>
      <c r="C142" s="295">
        <v>55896.284599999999</v>
      </c>
      <c r="D142" s="295" t="s">
        <v>264</v>
      </c>
      <c r="E142" s="227">
        <f t="shared" si="122"/>
        <v>34362.547892113471</v>
      </c>
      <c r="F142" s="227">
        <f t="shared" si="123"/>
        <v>34362.5</v>
      </c>
      <c r="G142" s="227">
        <f t="shared" si="124"/>
        <v>1.5799774992046878E-2</v>
      </c>
      <c r="H142" s="227"/>
      <c r="I142" s="227"/>
      <c r="J142" s="227"/>
      <c r="K142" s="227">
        <f t="shared" si="144"/>
        <v>1.5799774992046878E-2</v>
      </c>
      <c r="L142" s="227"/>
      <c r="M142" s="227"/>
      <c r="N142" s="227"/>
      <c r="O142" s="227">
        <f t="shared" ca="1" si="146"/>
        <v>1.6688675193736457E-2</v>
      </c>
      <c r="P142" s="292">
        <f t="shared" si="125"/>
        <v>-1.201853524460747E-2</v>
      </c>
      <c r="Q142" s="293">
        <f t="shared" si="126"/>
        <v>40877.784599999999</v>
      </c>
      <c r="R142" s="227">
        <f t="shared" si="127"/>
        <v>7.7385838442274807E-4</v>
      </c>
      <c r="S142" s="227">
        <v>1</v>
      </c>
      <c r="T142" s="227">
        <f t="shared" si="128"/>
        <v>7.7385838442274807E-4</v>
      </c>
      <c r="U142" s="227"/>
      <c r="Z142" s="34">
        <f t="shared" si="129"/>
        <v>34362.5</v>
      </c>
      <c r="AA142" s="227">
        <f t="shared" si="130"/>
        <v>1.4982304031559906E-2</v>
      </c>
      <c r="AB142" s="227">
        <f t="shared" si="131"/>
        <v>-1.1201064284120498E-2</v>
      </c>
      <c r="AC142" s="227">
        <f t="shared" si="132"/>
        <v>2.7818310236654348E-2</v>
      </c>
      <c r="AD142" s="227">
        <f t="shared" si="133"/>
        <v>8.174709604869719E-4</v>
      </c>
      <c r="AE142" s="227">
        <f t="shared" si="134"/>
        <v>6.6825877123949239E-7</v>
      </c>
      <c r="AF142" s="34">
        <f t="shared" si="135"/>
        <v>2.7818310236654348E-2</v>
      </c>
      <c r="AG142" s="19"/>
      <c r="AH142" s="34">
        <f t="shared" si="136"/>
        <v>2.7000839276167376E-2</v>
      </c>
      <c r="AI142" s="34">
        <f t="shared" si="137"/>
        <v>1.0753501762752653</v>
      </c>
      <c r="AJ142" s="34">
        <f t="shared" si="138"/>
        <v>0.95107660706116492</v>
      </c>
      <c r="AK142" s="34">
        <f t="shared" si="139"/>
        <v>8.0262873974854734E-3</v>
      </c>
      <c r="AL142" s="34">
        <f t="shared" si="140"/>
        <v>0.10611966837972255</v>
      </c>
      <c r="AM142" s="34">
        <f t="shared" si="141"/>
        <v>5.3109684259415924E-2</v>
      </c>
      <c r="AN142" s="227">
        <f t="shared" si="147"/>
        <v>12.664744715492068</v>
      </c>
      <c r="AO142" s="227">
        <f t="shared" si="147"/>
        <v>12.664744714226142</v>
      </c>
      <c r="AP142" s="227">
        <f t="shared" si="147"/>
        <v>12.664744697438911</v>
      </c>
      <c r="AQ142" s="227">
        <f t="shared" si="147"/>
        <v>12.664744474826378</v>
      </c>
      <c r="AR142" s="227">
        <f t="shared" si="147"/>
        <v>12.664741522800796</v>
      </c>
      <c r="AS142" s="227">
        <f t="shared" si="147"/>
        <v>12.664702376591013</v>
      </c>
      <c r="AT142" s="227">
        <f t="shared" si="147"/>
        <v>12.664183280949143</v>
      </c>
      <c r="AU142" s="227">
        <f t="shared" si="142"/>
        <v>12.657302292974352</v>
      </c>
    </row>
    <row r="143" spans="1:86" ht="12.95" customHeight="1">
      <c r="A143" s="295" t="s">
        <v>646</v>
      </c>
      <c r="B143" s="296" t="s">
        <v>87</v>
      </c>
      <c r="C143" s="295">
        <v>55907.004999999997</v>
      </c>
      <c r="D143" s="295" t="s">
        <v>264</v>
      </c>
      <c r="E143" s="227">
        <f t="shared" si="122"/>
        <v>34395.043456982952</v>
      </c>
      <c r="F143" s="227">
        <f t="shared" si="123"/>
        <v>34395</v>
      </c>
      <c r="G143" s="227">
        <f t="shared" si="124"/>
        <v>1.4336609994643368E-2</v>
      </c>
      <c r="H143" s="227"/>
      <c r="I143" s="227"/>
      <c r="J143" s="227"/>
      <c r="K143" s="227">
        <f t="shared" si="144"/>
        <v>1.4336609994643368E-2</v>
      </c>
      <c r="M143" s="227"/>
      <c r="N143" s="227"/>
      <c r="O143" s="227">
        <f t="shared" ca="1" si="146"/>
        <v>1.6570757262953331E-2</v>
      </c>
      <c r="P143" s="292">
        <f t="shared" si="125"/>
        <v>-1.2079276012332447E-2</v>
      </c>
      <c r="Q143" s="293">
        <f t="shared" si="126"/>
        <v>40888.504999999997</v>
      </c>
      <c r="R143" s="227">
        <f t="shared" si="127"/>
        <v>6.9779903353354067E-4</v>
      </c>
      <c r="S143" s="227">
        <v>1</v>
      </c>
      <c r="T143" s="227">
        <f t="shared" si="128"/>
        <v>6.9779903353354067E-4</v>
      </c>
      <c r="U143" s="227"/>
      <c r="Z143" s="34">
        <f t="shared" si="129"/>
        <v>34395</v>
      </c>
      <c r="AA143" s="227">
        <f t="shared" si="130"/>
        <v>1.4898755802922534E-2</v>
      </c>
      <c r="AB143" s="227">
        <f t="shared" si="131"/>
        <v>-1.2641421820611613E-2</v>
      </c>
      <c r="AC143" s="227">
        <f t="shared" si="132"/>
        <v>2.6415886006975815E-2</v>
      </c>
      <c r="AD143" s="227">
        <f t="shared" si="133"/>
        <v>-5.6214580827916583E-4</v>
      </c>
      <c r="AE143" s="227">
        <f t="shared" si="134"/>
        <v>3.1600790976583665E-7</v>
      </c>
      <c r="AF143" s="34">
        <f t="shared" si="135"/>
        <v>2.6415886006975815E-2</v>
      </c>
      <c r="AG143" s="19"/>
      <c r="AH143" s="34">
        <f t="shared" si="136"/>
        <v>2.6978031815254981E-2</v>
      </c>
      <c r="AI143" s="34">
        <f t="shared" si="137"/>
        <v>1.0753268002709542</v>
      </c>
      <c r="AJ143" s="34">
        <f t="shared" si="138"/>
        <v>0.95018484557929039</v>
      </c>
      <c r="AK143" s="34">
        <f t="shared" si="139"/>
        <v>8.2427856359596468E-3</v>
      </c>
      <c r="AL143" s="34">
        <f t="shared" si="140"/>
        <v>0.108993340183471</v>
      </c>
      <c r="AM143" s="34">
        <f t="shared" si="141"/>
        <v>5.4550683910230068E-2</v>
      </c>
      <c r="AN143" s="227">
        <f t="shared" si="147"/>
        <v>12.66740937355684</v>
      </c>
      <c r="AO143" s="227">
        <f t="shared" si="147"/>
        <v>12.66740937225876</v>
      </c>
      <c r="AP143" s="227">
        <f t="shared" si="147"/>
        <v>12.667409355040565</v>
      </c>
      <c r="AQ143" s="227">
        <f t="shared" si="147"/>
        <v>12.667409126652199</v>
      </c>
      <c r="AR143" s="227">
        <f t="shared" si="147"/>
        <v>12.667406097226904</v>
      </c>
      <c r="AS143" s="227">
        <f t="shared" si="147"/>
        <v>12.667365913930057</v>
      </c>
      <c r="AT143" s="227">
        <f t="shared" si="147"/>
        <v>12.666832924874397</v>
      </c>
      <c r="AU143" s="227">
        <f t="shared" si="142"/>
        <v>12.659766035614126</v>
      </c>
    </row>
    <row r="144" spans="1:86" ht="12.95" customHeight="1">
      <c r="A144" s="291" t="s">
        <v>252</v>
      </c>
      <c r="B144" s="122" t="s">
        <v>87</v>
      </c>
      <c r="C144" s="21">
        <v>55958.46933</v>
      </c>
      <c r="D144" s="21">
        <v>2.0000000000000001E-4</v>
      </c>
      <c r="E144" s="227">
        <f t="shared" si="122"/>
        <v>34551.04159828175</v>
      </c>
      <c r="F144" s="227">
        <f t="shared" si="123"/>
        <v>34551</v>
      </c>
      <c r="G144" s="227">
        <f t="shared" si="124"/>
        <v>1.372341799287824E-2</v>
      </c>
      <c r="H144" s="227"/>
      <c r="I144" s="227"/>
      <c r="J144" s="227"/>
      <c r="K144" s="291">
        <f t="shared" si="144"/>
        <v>1.372341799287824E-2</v>
      </c>
      <c r="L144" s="227"/>
      <c r="M144" s="227"/>
      <c r="N144" s="227"/>
      <c r="O144" s="227">
        <f t="shared" ca="1" si="146"/>
        <v>1.6004751195194261E-2</v>
      </c>
      <c r="P144" s="292">
        <f t="shared" si="125"/>
        <v>-1.2371640837295556E-2</v>
      </c>
      <c r="Q144" s="293">
        <f t="shared" si="126"/>
        <v>40939.96933</v>
      </c>
      <c r="R144" s="227">
        <f t="shared" si="127"/>
        <v>6.8095209535023137E-4</v>
      </c>
      <c r="S144" s="227">
        <v>1</v>
      </c>
      <c r="T144" s="227">
        <f t="shared" si="128"/>
        <v>6.8095209535023137E-4</v>
      </c>
      <c r="U144" s="227"/>
      <c r="Z144" s="34">
        <f t="shared" si="129"/>
        <v>34551</v>
      </c>
      <c r="AA144" s="227">
        <f t="shared" si="130"/>
        <v>1.449425916547778E-2</v>
      </c>
      <c r="AB144" s="227">
        <f t="shared" si="131"/>
        <v>-1.3142482009895096E-2</v>
      </c>
      <c r="AC144" s="227">
        <f t="shared" si="132"/>
        <v>2.6095058830173795E-2</v>
      </c>
      <c r="AD144" s="227">
        <f t="shared" si="133"/>
        <v>-7.708411725995401E-4</v>
      </c>
      <c r="AE144" s="227">
        <f t="shared" si="134"/>
        <v>5.9419611337463393E-7</v>
      </c>
      <c r="AF144" s="34">
        <f t="shared" si="135"/>
        <v>2.6095058830173795E-2</v>
      </c>
      <c r="AG144" s="19"/>
      <c r="AH144" s="34">
        <f t="shared" si="136"/>
        <v>2.6865900002773335E-2</v>
      </c>
      <c r="AI144" s="34">
        <f t="shared" si="137"/>
        <v>1.0752059570037766</v>
      </c>
      <c r="AJ144" s="34">
        <f t="shared" si="138"/>
        <v>0.94579588869951858</v>
      </c>
      <c r="AK144" s="34">
        <f t="shared" si="139"/>
        <v>9.2808612341040778E-3</v>
      </c>
      <c r="AL144" s="34">
        <f t="shared" si="140"/>
        <v>0.12278514420258833</v>
      </c>
      <c r="AM144" s="34">
        <f t="shared" si="141"/>
        <v>6.1469819077579681E-2</v>
      </c>
      <c r="AN144" s="227">
        <f t="shared" si="147"/>
        <v>12.680198888125288</v>
      </c>
      <c r="AO144" s="227">
        <f t="shared" si="147"/>
        <v>12.680198886675292</v>
      </c>
      <c r="AP144" s="227">
        <f t="shared" si="147"/>
        <v>12.680198867415474</v>
      </c>
      <c r="AQ144" s="227">
        <f t="shared" si="147"/>
        <v>12.680198611593644</v>
      </c>
      <c r="AR144" s="227">
        <f t="shared" si="147"/>
        <v>12.680195213597413</v>
      </c>
      <c r="AS144" s="227">
        <f t="shared" si="147"/>
        <v>12.680150079269247</v>
      </c>
      <c r="AT144" s="227">
        <f t="shared" si="147"/>
        <v>12.679550598712135</v>
      </c>
      <c r="AU144" s="227">
        <f t="shared" si="142"/>
        <v>12.67159200028504</v>
      </c>
    </row>
    <row r="145" spans="1:47" ht="12.95" customHeight="1">
      <c r="A145" s="291" t="s">
        <v>252</v>
      </c>
      <c r="B145" s="122" t="s">
        <v>87</v>
      </c>
      <c r="C145" s="21">
        <v>55958.469929999999</v>
      </c>
      <c r="D145" s="21">
        <v>2.0000000000000001E-4</v>
      </c>
      <c r="E145" s="227">
        <f t="shared" si="122"/>
        <v>34551.043416995504</v>
      </c>
      <c r="F145" s="227">
        <f t="shared" si="123"/>
        <v>34551</v>
      </c>
      <c r="G145" s="227">
        <f t="shared" si="124"/>
        <v>1.432341799227288E-2</v>
      </c>
      <c r="H145" s="227"/>
      <c r="I145" s="227"/>
      <c r="J145" s="227"/>
      <c r="K145" s="291">
        <f t="shared" si="144"/>
        <v>1.432341799227288E-2</v>
      </c>
      <c r="L145" s="227"/>
      <c r="M145" s="227"/>
      <c r="N145" s="227"/>
      <c r="O145" s="227">
        <f t="shared" ca="1" si="146"/>
        <v>1.6004751195194261E-2</v>
      </c>
      <c r="P145" s="292">
        <f t="shared" si="125"/>
        <v>-1.2371640837295556E-2</v>
      </c>
      <c r="Q145" s="293">
        <f t="shared" si="126"/>
        <v>40939.969929999999</v>
      </c>
      <c r="R145" s="227">
        <f t="shared" si="127"/>
        <v>7.1262616591411974E-4</v>
      </c>
      <c r="S145" s="227">
        <v>1</v>
      </c>
      <c r="T145" s="227">
        <f t="shared" si="128"/>
        <v>7.1262616591411974E-4</v>
      </c>
      <c r="U145" s="227"/>
      <c r="Z145" s="34">
        <f t="shared" si="129"/>
        <v>34551</v>
      </c>
      <c r="AA145" s="227">
        <f t="shared" si="130"/>
        <v>1.449425916547778E-2</v>
      </c>
      <c r="AB145" s="227">
        <f t="shared" si="131"/>
        <v>-1.2542482010500455E-2</v>
      </c>
      <c r="AC145" s="227">
        <f t="shared" si="132"/>
        <v>2.6695058829568435E-2</v>
      </c>
      <c r="AD145" s="227">
        <f t="shared" si="133"/>
        <v>-1.7084117320489978E-4</v>
      </c>
      <c r="AE145" s="227">
        <f t="shared" si="134"/>
        <v>2.9186706462026566E-8</v>
      </c>
      <c r="AF145" s="34">
        <f t="shared" si="135"/>
        <v>2.6695058829568435E-2</v>
      </c>
      <c r="AG145" s="19"/>
      <c r="AH145" s="34">
        <f t="shared" si="136"/>
        <v>2.6865900002773335E-2</v>
      </c>
      <c r="AI145" s="34">
        <f t="shared" si="137"/>
        <v>1.0752059570037766</v>
      </c>
      <c r="AJ145" s="34">
        <f t="shared" si="138"/>
        <v>0.94579588869951858</v>
      </c>
      <c r="AK145" s="34">
        <f t="shared" si="139"/>
        <v>9.2808612341040778E-3</v>
      </c>
      <c r="AL145" s="34">
        <f t="shared" si="140"/>
        <v>0.12278514420258833</v>
      </c>
      <c r="AM145" s="34">
        <f t="shared" si="141"/>
        <v>6.1469819077579681E-2</v>
      </c>
      <c r="AN145" s="227">
        <f t="shared" si="147"/>
        <v>12.680198888125288</v>
      </c>
      <c r="AO145" s="227">
        <f t="shared" si="147"/>
        <v>12.680198886675292</v>
      </c>
      <c r="AP145" s="227">
        <f t="shared" si="147"/>
        <v>12.680198867415474</v>
      </c>
      <c r="AQ145" s="227">
        <f t="shared" si="147"/>
        <v>12.680198611593644</v>
      </c>
      <c r="AR145" s="227">
        <f t="shared" si="147"/>
        <v>12.680195213597413</v>
      </c>
      <c r="AS145" s="227">
        <f t="shared" si="147"/>
        <v>12.680150079269247</v>
      </c>
      <c r="AT145" s="227">
        <f t="shared" si="147"/>
        <v>12.679550598712135</v>
      </c>
      <c r="AU145" s="227">
        <f t="shared" si="142"/>
        <v>12.67159200028504</v>
      </c>
    </row>
    <row r="146" spans="1:47" ht="12.95" customHeight="1">
      <c r="A146" s="291" t="s">
        <v>252</v>
      </c>
      <c r="B146" s="122" t="s">
        <v>87</v>
      </c>
      <c r="C146" s="21">
        <v>55958.470730000001</v>
      </c>
      <c r="D146" s="21">
        <v>2.9999999999999997E-4</v>
      </c>
      <c r="E146" s="227">
        <f t="shared" si="122"/>
        <v>34551.045841947183</v>
      </c>
      <c r="F146" s="227">
        <f t="shared" si="123"/>
        <v>34551</v>
      </c>
      <c r="G146" s="227">
        <f t="shared" si="124"/>
        <v>1.5123417993891053E-2</v>
      </c>
      <c r="H146" s="227"/>
      <c r="I146" s="227"/>
      <c r="J146" s="227"/>
      <c r="K146" s="291">
        <f t="shared" si="144"/>
        <v>1.5123417993891053E-2</v>
      </c>
      <c r="L146" s="227"/>
      <c r="M146" s="227"/>
      <c r="N146" s="227"/>
      <c r="O146" s="227">
        <f t="shared" ca="1" si="146"/>
        <v>1.6004751195194261E-2</v>
      </c>
      <c r="P146" s="292">
        <f t="shared" si="125"/>
        <v>-1.2371640837295556E-2</v>
      </c>
      <c r="Q146" s="293">
        <f t="shared" si="126"/>
        <v>40939.970730000001</v>
      </c>
      <c r="R146" s="227">
        <f t="shared" si="127"/>
        <v>7.5597826013041268E-4</v>
      </c>
      <c r="S146" s="227">
        <v>1</v>
      </c>
      <c r="T146" s="227">
        <f t="shared" si="128"/>
        <v>7.5597826013041268E-4</v>
      </c>
      <c r="U146" s="227"/>
      <c r="Z146" s="34">
        <f t="shared" si="129"/>
        <v>34551</v>
      </c>
      <c r="AA146" s="227">
        <f t="shared" si="130"/>
        <v>1.449425916547778E-2</v>
      </c>
      <c r="AB146" s="227">
        <f t="shared" si="131"/>
        <v>-1.1742482008882282E-2</v>
      </c>
      <c r="AC146" s="227">
        <f t="shared" si="132"/>
        <v>2.7495058831186608E-2</v>
      </c>
      <c r="AD146" s="227">
        <f t="shared" si="133"/>
        <v>6.291588284132732E-4</v>
      </c>
      <c r="AE146" s="227">
        <f t="shared" si="134"/>
        <v>3.9584083137036254E-7</v>
      </c>
      <c r="AF146" s="34">
        <f t="shared" si="135"/>
        <v>2.7495058831186608E-2</v>
      </c>
      <c r="AG146" s="19"/>
      <c r="AH146" s="34">
        <f t="shared" si="136"/>
        <v>2.6865900002773335E-2</v>
      </c>
      <c r="AI146" s="34">
        <f t="shared" si="137"/>
        <v>1.0752059570037766</v>
      </c>
      <c r="AJ146" s="34">
        <f t="shared" si="138"/>
        <v>0.94579588869951858</v>
      </c>
      <c r="AK146" s="34">
        <f t="shared" si="139"/>
        <v>9.2808612341040778E-3</v>
      </c>
      <c r="AL146" s="34">
        <f t="shared" si="140"/>
        <v>0.12278514420258833</v>
      </c>
      <c r="AM146" s="34">
        <f t="shared" si="141"/>
        <v>6.1469819077579681E-2</v>
      </c>
      <c r="AN146" s="227">
        <f t="shared" si="147"/>
        <v>12.680198888125288</v>
      </c>
      <c r="AO146" s="227">
        <f t="shared" si="147"/>
        <v>12.680198886675292</v>
      </c>
      <c r="AP146" s="227">
        <f t="shared" si="147"/>
        <v>12.680198867415474</v>
      </c>
      <c r="AQ146" s="227">
        <f t="shared" si="147"/>
        <v>12.680198611593644</v>
      </c>
      <c r="AR146" s="227">
        <f t="shared" si="147"/>
        <v>12.680195213597413</v>
      </c>
      <c r="AS146" s="227">
        <f t="shared" si="147"/>
        <v>12.680150079269247</v>
      </c>
      <c r="AT146" s="227">
        <f t="shared" si="147"/>
        <v>12.679550598712135</v>
      </c>
      <c r="AU146" s="227">
        <f t="shared" si="142"/>
        <v>12.67159200028504</v>
      </c>
    </row>
    <row r="147" spans="1:47" ht="12.95" customHeight="1">
      <c r="A147" s="291" t="s">
        <v>252</v>
      </c>
      <c r="B147" s="122" t="s">
        <v>87</v>
      </c>
      <c r="C147" s="21">
        <v>56009.274140000001</v>
      </c>
      <c r="D147" s="21">
        <v>2.0000000000000001E-4</v>
      </c>
      <c r="E147" s="227">
        <f t="shared" si="122"/>
        <v>34705.040609422838</v>
      </c>
      <c r="F147" s="227">
        <f t="shared" si="123"/>
        <v>34705</v>
      </c>
      <c r="G147" s="227">
        <f t="shared" si="124"/>
        <v>1.3397189999523107E-2</v>
      </c>
      <c r="H147" s="227"/>
      <c r="I147" s="227"/>
      <c r="J147" s="227"/>
      <c r="K147" s="291">
        <f t="shared" si="144"/>
        <v>1.3397189999523107E-2</v>
      </c>
      <c r="L147" s="227"/>
      <c r="M147" s="227"/>
      <c r="N147" s="227"/>
      <c r="O147" s="227">
        <f t="shared" ca="1" si="146"/>
        <v>1.5446001615483401E-2</v>
      </c>
      <c r="P147" s="292">
        <f t="shared" si="125"/>
        <v>-1.2661571016234562E-2</v>
      </c>
      <c r="Q147" s="293">
        <f t="shared" si="126"/>
        <v>40990.774140000001</v>
      </c>
      <c r="R147" s="227">
        <f t="shared" si="127"/>
        <v>6.7905902567637171E-4</v>
      </c>
      <c r="S147" s="227">
        <v>1</v>
      </c>
      <c r="T147" s="227">
        <f t="shared" si="128"/>
        <v>6.7905902567637171E-4</v>
      </c>
      <c r="U147" s="227"/>
      <c r="Z147" s="34">
        <f t="shared" si="129"/>
        <v>34705</v>
      </c>
      <c r="AA147" s="227">
        <f t="shared" si="130"/>
        <v>1.4089338235383518E-2</v>
      </c>
      <c r="AB147" s="227">
        <f t="shared" si="131"/>
        <v>-1.3353719252094973E-2</v>
      </c>
      <c r="AC147" s="227">
        <f t="shared" si="132"/>
        <v>2.6058761015757669E-2</v>
      </c>
      <c r="AD147" s="227">
        <f t="shared" si="133"/>
        <v>-6.9214823586041113E-4</v>
      </c>
      <c r="AE147" s="227">
        <f t="shared" si="134"/>
        <v>4.7906918040467931E-7</v>
      </c>
      <c r="AF147" s="34">
        <f t="shared" si="135"/>
        <v>2.6058761015757669E-2</v>
      </c>
      <c r="AG147" s="19"/>
      <c r="AH147" s="34">
        <f t="shared" si="136"/>
        <v>2.675090925161808E-2</v>
      </c>
      <c r="AI147" s="34">
        <f t="shared" si="137"/>
        <v>1.0750726649989246</v>
      </c>
      <c r="AJ147" s="34">
        <f t="shared" si="138"/>
        <v>0.94128782768785413</v>
      </c>
      <c r="AK147" s="34">
        <f t="shared" si="139"/>
        <v>1.0303655858957407E-2</v>
      </c>
      <c r="AL147" s="34">
        <f t="shared" si="140"/>
        <v>0.1363969117209097</v>
      </c>
      <c r="AM147" s="34">
        <f t="shared" si="141"/>
        <v>6.8304383942000585E-2</v>
      </c>
      <c r="AN147" s="227">
        <f t="shared" si="147"/>
        <v>12.692822942167297</v>
      </c>
      <c r="AO147" s="227">
        <f t="shared" si="147"/>
        <v>12.692822940571567</v>
      </c>
      <c r="AP147" s="227">
        <f t="shared" si="147"/>
        <v>12.692822919343692</v>
      </c>
      <c r="AQ147" s="227">
        <f t="shared" si="147"/>
        <v>12.692822636950785</v>
      </c>
      <c r="AR147" s="227">
        <f t="shared" si="147"/>
        <v>12.69281888029912</v>
      </c>
      <c r="AS147" s="227">
        <f t="shared" si="147"/>
        <v>12.692768906014264</v>
      </c>
      <c r="AT147" s="227">
        <f t="shared" si="147"/>
        <v>12.692104134260086</v>
      </c>
      <c r="AU147" s="227">
        <f t="shared" si="142"/>
        <v>12.683266350024274</v>
      </c>
    </row>
    <row r="148" spans="1:47" ht="12.95" customHeight="1">
      <c r="A148" s="291" t="s">
        <v>253</v>
      </c>
      <c r="B148" s="122" t="s">
        <v>87</v>
      </c>
      <c r="C148" s="21">
        <v>56015.378100000002</v>
      </c>
      <c r="D148" s="21">
        <v>5.0000000000000001E-4</v>
      </c>
      <c r="E148" s="227">
        <f t="shared" si="122"/>
        <v>34723.542869426266</v>
      </c>
      <c r="F148" s="227">
        <f t="shared" si="123"/>
        <v>34723.5</v>
      </c>
      <c r="G148" s="227">
        <f t="shared" si="124"/>
        <v>1.414277299772948E-2</v>
      </c>
      <c r="H148" s="227"/>
      <c r="I148" s="227"/>
      <c r="J148" s="227">
        <f>G148</f>
        <v>1.414277299772948E-2</v>
      </c>
      <c r="K148" s="227"/>
      <c r="L148" s="227"/>
      <c r="M148" s="227"/>
      <c r="N148" s="227"/>
      <c r="O148" s="227">
        <f t="shared" ca="1" si="146"/>
        <v>1.5378879101037635E-2</v>
      </c>
      <c r="P148" s="292">
        <f t="shared" si="125"/>
        <v>-1.2696488101888358E-2</v>
      </c>
      <c r="Q148" s="293">
        <f t="shared" si="126"/>
        <v>40996.878100000002</v>
      </c>
      <c r="R148" s="227">
        <f t="shared" si="127"/>
        <v>7.203459363734593E-4</v>
      </c>
      <c r="S148" s="227">
        <v>1</v>
      </c>
      <c r="T148" s="227">
        <f t="shared" si="128"/>
        <v>7.203459363734593E-4</v>
      </c>
      <c r="U148" s="227"/>
      <c r="Z148" s="34">
        <f t="shared" si="129"/>
        <v>34723.5</v>
      </c>
      <c r="AA148" s="227">
        <f t="shared" si="130"/>
        <v>1.4040321132479133E-2</v>
      </c>
      <c r="AB148" s="227">
        <f t="shared" si="131"/>
        <v>-1.2594036236638011E-2</v>
      </c>
      <c r="AC148" s="227">
        <f t="shared" si="132"/>
        <v>2.6839261099617838E-2</v>
      </c>
      <c r="AD148" s="227">
        <f t="shared" si="133"/>
        <v>1.02451865250347E-4</v>
      </c>
      <c r="AE148" s="227">
        <f t="shared" si="134"/>
        <v>1.0496384693275259E-8</v>
      </c>
      <c r="AF148" s="34">
        <f t="shared" si="135"/>
        <v>2.6839261099617838E-2</v>
      </c>
      <c r="AG148" s="19"/>
      <c r="AH148" s="34">
        <f t="shared" si="136"/>
        <v>2.6736809234367491E-2</v>
      </c>
      <c r="AI148" s="34">
        <f t="shared" si="137"/>
        <v>1.0750557187292411</v>
      </c>
      <c r="AJ148" s="34">
        <f t="shared" si="138"/>
        <v>0.9407346030737247</v>
      </c>
      <c r="AK148" s="34">
        <f t="shared" si="139"/>
        <v>1.0426381929395531E-2</v>
      </c>
      <c r="AL148" s="34">
        <f t="shared" si="140"/>
        <v>0.13803185962419959</v>
      </c>
      <c r="AM148" s="34">
        <f t="shared" si="141"/>
        <v>6.9125717853087285E-2</v>
      </c>
      <c r="AN148" s="227">
        <f t="shared" si="147"/>
        <v>12.694339360572483</v>
      </c>
      <c r="AO148" s="227">
        <f t="shared" si="147"/>
        <v>12.694339358959549</v>
      </c>
      <c r="AP148" s="227">
        <f t="shared" si="147"/>
        <v>12.694339337498642</v>
      </c>
      <c r="AQ148" s="227">
        <f t="shared" si="147"/>
        <v>12.694339051950351</v>
      </c>
      <c r="AR148" s="227">
        <f t="shared" si="147"/>
        <v>12.694335252586045</v>
      </c>
      <c r="AS148" s="227">
        <f t="shared" si="147"/>
        <v>12.694284700300772</v>
      </c>
      <c r="AT148" s="227">
        <f t="shared" si="147"/>
        <v>12.693612110179073</v>
      </c>
      <c r="AU148" s="227">
        <f t="shared" si="142"/>
        <v>12.6846687881423</v>
      </c>
    </row>
    <row r="149" spans="1:47" ht="12.95" customHeight="1">
      <c r="A149" s="291" t="s">
        <v>252</v>
      </c>
      <c r="B149" s="122" t="s">
        <v>87</v>
      </c>
      <c r="C149" s="21">
        <v>56177.525090000003</v>
      </c>
      <c r="D149" s="21">
        <v>2.0000000000000001E-4</v>
      </c>
      <c r="E149" s="227">
        <f t="shared" ref="E149:E180" si="148">+(C149-C$7)/C$8</f>
        <v>35215.041137395448</v>
      </c>
      <c r="F149" s="227">
        <f t="shared" ref="F149:F180" si="149">ROUND(2*E149,0)/2</f>
        <v>35215</v>
      </c>
      <c r="G149" s="227">
        <f t="shared" ref="G149:G180" si="150">+C149-(C$7+F149*C$8)</f>
        <v>1.3571370000136085E-2</v>
      </c>
      <c r="H149" s="227"/>
      <c r="I149" s="227"/>
      <c r="J149" s="227"/>
      <c r="K149" s="291">
        <f t="shared" ref="K149:K162" si="151">G149</f>
        <v>1.3571370000136085E-2</v>
      </c>
      <c r="L149" s="227"/>
      <c r="M149" s="227"/>
      <c r="N149" s="227"/>
      <c r="O149" s="227">
        <f t="shared" ca="1" si="146"/>
        <v>1.3595597163194195E-2</v>
      </c>
      <c r="P149" s="292">
        <f t="shared" ref="P149:P180" si="152">+D$11+D$12*F149+D$13*F149^2</f>
        <v>-1.363104746979624E-2</v>
      </c>
      <c r="Q149" s="293">
        <f t="shared" ref="Q149:Q180" si="153">+C149-15018.5</f>
        <v>41159.025090000003</v>
      </c>
      <c r="R149" s="227">
        <f t="shared" ref="R149:R180" si="154">+(P149-G149)^2</f>
        <v>7.3997151620847936E-4</v>
      </c>
      <c r="S149" s="227">
        <v>1</v>
      </c>
      <c r="T149" s="227">
        <f t="shared" ref="T149:T180" si="155">R149*S149</f>
        <v>7.3997151620847936E-4</v>
      </c>
      <c r="U149" s="227"/>
      <c r="Z149" s="34">
        <f t="shared" ref="Z149:Z180" si="156">F149</f>
        <v>35215</v>
      </c>
      <c r="AA149" s="227">
        <f t="shared" ref="AA149:AA180" si="157">AB$3+AB$4*Z149+AB$5*Z149^2+AH149</f>
        <v>1.2708848743452857E-2</v>
      </c>
      <c r="AB149" s="227">
        <f t="shared" ref="AB149:AB180" si="158">IF(S149&lt;&gt;0,G149-AH149, -9999)</f>
        <v>-1.2768526213113012E-2</v>
      </c>
      <c r="AC149" s="227">
        <f t="shared" ref="AC149:AC180" si="159">+G149-P149</f>
        <v>2.7202417469932325E-2</v>
      </c>
      <c r="AD149" s="227">
        <f t="shared" ref="AD149:AD180" si="160">IF(S149&lt;&gt;0,G149-AA149, -9999)</f>
        <v>8.6252125668322827E-4</v>
      </c>
      <c r="AE149" s="227">
        <f t="shared" ref="AE149:AE180" si="161">+(G149-AA149)^2*S149</f>
        <v>7.4394291823041533E-7</v>
      </c>
      <c r="AF149" s="34">
        <f t="shared" ref="AF149:AF180" si="162">IF(S149&lt;&gt;0,G149-P149, -9999)</f>
        <v>2.7202417469932325E-2</v>
      </c>
      <c r="AG149" s="19"/>
      <c r="AH149" s="34">
        <f t="shared" ref="AH149:AH180" si="163">$AB$6*($AB$11/AI149*AJ149+$AB$12)</f>
        <v>2.6339896213249097E-2</v>
      </c>
      <c r="AI149" s="34">
        <f t="shared" ref="AI149:AI180" si="164">1+$AB$7*COS(AL149)</f>
        <v>1.0745324660884239</v>
      </c>
      <c r="AJ149" s="34">
        <f t="shared" ref="AJ149:AJ180" si="165">SIN(AL149+RADIANS($AB$9))</f>
        <v>0.92512859882606602</v>
      </c>
      <c r="AK149" s="34">
        <f t="shared" ref="AK149:AK180" si="166">$AB$7*SIN(AL149)</f>
        <v>1.3674130790603412E-2</v>
      </c>
      <c r="AL149" s="34">
        <f t="shared" ref="AL149:AL180" si="167">2*ATAN(AM149)</f>
        <v>0.18144757059765562</v>
      </c>
      <c r="AM149" s="34">
        <f t="shared" ref="AM149:AM180" si="168">SQRT((1+$AB$7)/(1-$AB$7))*TAN(AN149/2)</f>
        <v>9.0973517464965098E-2</v>
      </c>
      <c r="AN149" s="227">
        <f t="shared" si="147"/>
        <v>12.734617225291808</v>
      </c>
      <c r="AO149" s="227">
        <f t="shared" si="147"/>
        <v>12.734617223248412</v>
      </c>
      <c r="AP149" s="227">
        <f t="shared" si="147"/>
        <v>12.734617195896075</v>
      </c>
      <c r="AQ149" s="227">
        <f t="shared" si="147"/>
        <v>12.73461682976537</v>
      </c>
      <c r="AR149" s="227">
        <f t="shared" si="147"/>
        <v>12.73461192884465</v>
      </c>
      <c r="AS149" s="227">
        <f t="shared" si="147"/>
        <v>12.734546326916712</v>
      </c>
      <c r="AT149" s="227">
        <f t="shared" si="147"/>
        <v>12.733668273786893</v>
      </c>
      <c r="AU149" s="227">
        <f t="shared" ref="AU149:AU180" si="169">RADIANS($AB$9)+$AB$18*(F149-AB$15)</f>
        <v>12.72192815760226</v>
      </c>
    </row>
    <row r="150" spans="1:47" ht="12.95" customHeight="1">
      <c r="A150" s="305" t="s">
        <v>257</v>
      </c>
      <c r="B150" s="306"/>
      <c r="C150" s="305">
        <v>56177.525199999996</v>
      </c>
      <c r="D150" s="305">
        <v>1E-4</v>
      </c>
      <c r="E150" s="227">
        <f t="shared" si="148"/>
        <v>35215.041470826283</v>
      </c>
      <c r="F150" s="227">
        <f t="shared" si="149"/>
        <v>35215</v>
      </c>
      <c r="G150" s="227">
        <f t="shared" si="150"/>
        <v>1.3681369993719272E-2</v>
      </c>
      <c r="H150" s="227"/>
      <c r="I150" s="227"/>
      <c r="K150" s="291">
        <f t="shared" si="151"/>
        <v>1.3681369993719272E-2</v>
      </c>
      <c r="L150" s="227"/>
      <c r="M150" s="227"/>
      <c r="N150" s="227"/>
      <c r="O150" s="227">
        <f t="shared" ca="1" si="146"/>
        <v>1.3595597163194195E-2</v>
      </c>
      <c r="P150" s="292">
        <f t="shared" si="152"/>
        <v>-1.363104746979624E-2</v>
      </c>
      <c r="Q150" s="293">
        <f t="shared" si="153"/>
        <v>41159.025199999996</v>
      </c>
      <c r="R150" s="227">
        <f t="shared" si="154"/>
        <v>7.459681477013472E-4</v>
      </c>
      <c r="S150" s="227">
        <v>1</v>
      </c>
      <c r="T150" s="227">
        <f t="shared" si="155"/>
        <v>7.459681477013472E-4</v>
      </c>
      <c r="U150" s="227"/>
      <c r="Z150" s="34">
        <f t="shared" si="156"/>
        <v>35215</v>
      </c>
      <c r="AA150" s="227">
        <f t="shared" si="157"/>
        <v>1.2708848743452857E-2</v>
      </c>
      <c r="AB150" s="227">
        <f t="shared" si="158"/>
        <v>-1.2658526219529825E-2</v>
      </c>
      <c r="AC150" s="227">
        <f t="shared" si="159"/>
        <v>2.7312417463515513E-2</v>
      </c>
      <c r="AD150" s="227">
        <f t="shared" si="160"/>
        <v>9.7252125026641573E-4</v>
      </c>
      <c r="AE150" s="227">
        <f t="shared" si="161"/>
        <v>9.4579758221975246E-7</v>
      </c>
      <c r="AF150" s="34">
        <f t="shared" si="162"/>
        <v>2.7312417463515513E-2</v>
      </c>
      <c r="AG150" s="19"/>
      <c r="AH150" s="34">
        <f t="shared" si="163"/>
        <v>2.6339896213249097E-2</v>
      </c>
      <c r="AI150" s="34">
        <f t="shared" si="164"/>
        <v>1.0745324660884239</v>
      </c>
      <c r="AJ150" s="34">
        <f t="shared" si="165"/>
        <v>0.92512859882606602</v>
      </c>
      <c r="AK150" s="34">
        <f t="shared" si="166"/>
        <v>1.3674130790603412E-2</v>
      </c>
      <c r="AL150" s="34">
        <f t="shared" si="167"/>
        <v>0.18144757059765562</v>
      </c>
      <c r="AM150" s="34">
        <f t="shared" si="168"/>
        <v>9.0973517464965098E-2</v>
      </c>
      <c r="AN150" s="227">
        <f t="shared" si="147"/>
        <v>12.734617225291808</v>
      </c>
      <c r="AO150" s="227">
        <f t="shared" si="147"/>
        <v>12.734617223248412</v>
      </c>
      <c r="AP150" s="227">
        <f t="shared" si="147"/>
        <v>12.734617195896075</v>
      </c>
      <c r="AQ150" s="227">
        <f t="shared" si="147"/>
        <v>12.73461682976537</v>
      </c>
      <c r="AR150" s="227">
        <f t="shared" si="147"/>
        <v>12.73461192884465</v>
      </c>
      <c r="AS150" s="227">
        <f t="shared" si="147"/>
        <v>12.734546326916712</v>
      </c>
      <c r="AT150" s="227">
        <f t="shared" si="147"/>
        <v>12.733668273786893</v>
      </c>
      <c r="AU150" s="227">
        <f t="shared" si="169"/>
        <v>12.72192815760226</v>
      </c>
    </row>
    <row r="151" spans="1:47" ht="12.95" customHeight="1">
      <c r="A151" s="291" t="s">
        <v>252</v>
      </c>
      <c r="B151" s="122" t="s">
        <v>87</v>
      </c>
      <c r="C151" s="21">
        <v>56177.525269999998</v>
      </c>
      <c r="D151" s="21">
        <v>2.0000000000000001E-4</v>
      </c>
      <c r="E151" s="227">
        <f t="shared" si="148"/>
        <v>35215.041683009556</v>
      </c>
      <c r="F151" s="227">
        <f t="shared" si="149"/>
        <v>35215</v>
      </c>
      <c r="G151" s="227">
        <f t="shared" si="150"/>
        <v>1.3751369995588902E-2</v>
      </c>
      <c r="H151" s="227"/>
      <c r="I151" s="227"/>
      <c r="J151" s="227"/>
      <c r="K151" s="291">
        <f t="shared" si="151"/>
        <v>1.3751369995588902E-2</v>
      </c>
      <c r="L151" s="227"/>
      <c r="M151" s="227"/>
      <c r="N151" s="227"/>
      <c r="O151" s="227">
        <f t="shared" ca="1" si="146"/>
        <v>1.3595597163194195E-2</v>
      </c>
      <c r="P151" s="292">
        <f t="shared" si="152"/>
        <v>-1.363104746979624E-2</v>
      </c>
      <c r="Q151" s="293">
        <f t="shared" si="153"/>
        <v>41159.025269999998</v>
      </c>
      <c r="R151" s="227">
        <f t="shared" si="154"/>
        <v>7.497967862486293E-4</v>
      </c>
      <c r="S151" s="227">
        <v>1</v>
      </c>
      <c r="T151" s="227">
        <f t="shared" si="155"/>
        <v>7.497967862486293E-4</v>
      </c>
      <c r="U151" s="227"/>
      <c r="Z151" s="34">
        <f t="shared" si="156"/>
        <v>35215</v>
      </c>
      <c r="AA151" s="227">
        <f t="shared" si="157"/>
        <v>1.2708848743452857E-2</v>
      </c>
      <c r="AB151" s="227">
        <f t="shared" si="158"/>
        <v>-1.2588526217660195E-2</v>
      </c>
      <c r="AC151" s="227">
        <f t="shared" si="159"/>
        <v>2.7382417465385143E-2</v>
      </c>
      <c r="AD151" s="227">
        <f t="shared" si="160"/>
        <v>1.0425212521360458E-3</v>
      </c>
      <c r="AE151" s="227">
        <f t="shared" si="161"/>
        <v>1.0868505611553088E-6</v>
      </c>
      <c r="AF151" s="34">
        <f t="shared" si="162"/>
        <v>2.7382417465385143E-2</v>
      </c>
      <c r="AG151" s="19"/>
      <c r="AH151" s="34">
        <f t="shared" si="163"/>
        <v>2.6339896213249097E-2</v>
      </c>
      <c r="AI151" s="34">
        <f t="shared" si="164"/>
        <v>1.0745324660884239</v>
      </c>
      <c r="AJ151" s="34">
        <f t="shared" si="165"/>
        <v>0.92512859882606602</v>
      </c>
      <c r="AK151" s="34">
        <f t="shared" si="166"/>
        <v>1.3674130790603412E-2</v>
      </c>
      <c r="AL151" s="34">
        <f t="shared" si="167"/>
        <v>0.18144757059765562</v>
      </c>
      <c r="AM151" s="34">
        <f t="shared" si="168"/>
        <v>9.0973517464965098E-2</v>
      </c>
      <c r="AN151" s="227">
        <f t="shared" ref="AN151:AT160" si="170">$AU151+$AB$7*SIN(AO151)</f>
        <v>12.734617225291808</v>
      </c>
      <c r="AO151" s="227">
        <f t="shared" si="170"/>
        <v>12.734617223248412</v>
      </c>
      <c r="AP151" s="227">
        <f t="shared" si="170"/>
        <v>12.734617195896075</v>
      </c>
      <c r="AQ151" s="227">
        <f t="shared" si="170"/>
        <v>12.73461682976537</v>
      </c>
      <c r="AR151" s="227">
        <f t="shared" si="170"/>
        <v>12.73461192884465</v>
      </c>
      <c r="AS151" s="227">
        <f t="shared" si="170"/>
        <v>12.734546326916712</v>
      </c>
      <c r="AT151" s="227">
        <f t="shared" si="170"/>
        <v>12.733668273786893</v>
      </c>
      <c r="AU151" s="227">
        <f t="shared" si="169"/>
        <v>12.72192815760226</v>
      </c>
    </row>
    <row r="152" spans="1:47" ht="12.95" customHeight="1">
      <c r="A152" s="291" t="s">
        <v>252</v>
      </c>
      <c r="B152" s="122" t="s">
        <v>87</v>
      </c>
      <c r="C152" s="21">
        <v>56177.525329999997</v>
      </c>
      <c r="D152" s="21">
        <v>1E-4</v>
      </c>
      <c r="E152" s="227">
        <f t="shared" si="148"/>
        <v>35215.041864880928</v>
      </c>
      <c r="F152" s="227">
        <f t="shared" si="149"/>
        <v>35215</v>
      </c>
      <c r="G152" s="227">
        <f t="shared" si="150"/>
        <v>1.3811369994073175E-2</v>
      </c>
      <c r="H152" s="227"/>
      <c r="I152" s="227"/>
      <c r="K152" s="291">
        <f t="shared" si="151"/>
        <v>1.3811369994073175E-2</v>
      </c>
      <c r="L152" s="227"/>
      <c r="M152" s="227"/>
      <c r="N152" s="227"/>
      <c r="O152" s="227">
        <f t="shared" ca="1" si="146"/>
        <v>1.3595597163194195E-2</v>
      </c>
      <c r="P152" s="292">
        <f t="shared" si="152"/>
        <v>-1.363104746979624E-2</v>
      </c>
      <c r="Q152" s="293">
        <f t="shared" si="153"/>
        <v>41159.025329999997</v>
      </c>
      <c r="R152" s="227">
        <f t="shared" si="154"/>
        <v>7.5308627626128504E-4</v>
      </c>
      <c r="S152" s="227">
        <v>1</v>
      </c>
      <c r="T152" s="227">
        <f t="shared" si="155"/>
        <v>7.5308627626128504E-4</v>
      </c>
      <c r="U152" s="227"/>
      <c r="Z152" s="34">
        <f t="shared" si="156"/>
        <v>35215</v>
      </c>
      <c r="AA152" s="227">
        <f t="shared" si="157"/>
        <v>1.2708848743452857E-2</v>
      </c>
      <c r="AB152" s="227">
        <f t="shared" si="158"/>
        <v>-1.2528526219175922E-2</v>
      </c>
      <c r="AC152" s="227">
        <f t="shared" si="159"/>
        <v>2.7442417463869415E-2</v>
      </c>
      <c r="AD152" s="227">
        <f t="shared" si="160"/>
        <v>1.1025212506203183E-3</v>
      </c>
      <c r="AE152" s="227">
        <f t="shared" si="161"/>
        <v>1.2155531080693906E-6</v>
      </c>
      <c r="AF152" s="34">
        <f t="shared" si="162"/>
        <v>2.7442417463869415E-2</v>
      </c>
      <c r="AG152" s="19"/>
      <c r="AH152" s="34">
        <f t="shared" si="163"/>
        <v>2.6339896213249097E-2</v>
      </c>
      <c r="AI152" s="34">
        <f t="shared" si="164"/>
        <v>1.0745324660884239</v>
      </c>
      <c r="AJ152" s="34">
        <f t="shared" si="165"/>
        <v>0.92512859882606602</v>
      </c>
      <c r="AK152" s="34">
        <f t="shared" si="166"/>
        <v>1.3674130790603412E-2</v>
      </c>
      <c r="AL152" s="34">
        <f t="shared" si="167"/>
        <v>0.18144757059765562</v>
      </c>
      <c r="AM152" s="34">
        <f t="shared" si="168"/>
        <v>9.0973517464965098E-2</v>
      </c>
      <c r="AN152" s="227">
        <f t="shared" si="170"/>
        <v>12.734617225291808</v>
      </c>
      <c r="AO152" s="227">
        <f t="shared" si="170"/>
        <v>12.734617223248412</v>
      </c>
      <c r="AP152" s="227">
        <f t="shared" si="170"/>
        <v>12.734617195896075</v>
      </c>
      <c r="AQ152" s="227">
        <f t="shared" si="170"/>
        <v>12.73461682976537</v>
      </c>
      <c r="AR152" s="227">
        <f t="shared" si="170"/>
        <v>12.73461192884465</v>
      </c>
      <c r="AS152" s="227">
        <f t="shared" si="170"/>
        <v>12.734546326916712</v>
      </c>
      <c r="AT152" s="227">
        <f t="shared" si="170"/>
        <v>12.733668273786893</v>
      </c>
      <c r="AU152" s="227">
        <f t="shared" si="169"/>
        <v>12.72192815760226</v>
      </c>
    </row>
    <row r="153" spans="1:47" ht="12.95" customHeight="1">
      <c r="A153" s="305" t="s">
        <v>257</v>
      </c>
      <c r="B153" s="306"/>
      <c r="C153" s="305">
        <v>56177.525430000002</v>
      </c>
      <c r="D153" s="305">
        <v>1E-4</v>
      </c>
      <c r="E153" s="227">
        <f t="shared" si="148"/>
        <v>35215.042167999905</v>
      </c>
      <c r="F153" s="227">
        <f t="shared" si="149"/>
        <v>35215</v>
      </c>
      <c r="G153" s="227">
        <f t="shared" si="150"/>
        <v>1.391136999882292E-2</v>
      </c>
      <c r="H153" s="227"/>
      <c r="I153" s="227"/>
      <c r="K153" s="291">
        <f t="shared" si="151"/>
        <v>1.391136999882292E-2</v>
      </c>
      <c r="L153" s="227"/>
      <c r="M153" s="227"/>
      <c r="N153" s="227"/>
      <c r="O153" s="227">
        <f t="shared" ca="1" si="146"/>
        <v>1.3595597163194195E-2</v>
      </c>
      <c r="P153" s="292">
        <f t="shared" si="152"/>
        <v>-1.363104746979624E-2</v>
      </c>
      <c r="Q153" s="293">
        <f t="shared" si="153"/>
        <v>41159.025430000002</v>
      </c>
      <c r="R153" s="227">
        <f t="shared" si="154"/>
        <v>7.5858476001569792E-4</v>
      </c>
      <c r="S153" s="227">
        <v>1</v>
      </c>
      <c r="T153" s="227">
        <f t="shared" si="155"/>
        <v>7.5858476001569792E-4</v>
      </c>
      <c r="U153" s="227"/>
      <c r="Z153" s="34">
        <f t="shared" si="156"/>
        <v>35215</v>
      </c>
      <c r="AA153" s="227">
        <f t="shared" si="157"/>
        <v>1.2708848743452857E-2</v>
      </c>
      <c r="AB153" s="227">
        <f t="shared" si="158"/>
        <v>-1.2428526214426177E-2</v>
      </c>
      <c r="AC153" s="227">
        <f t="shared" si="159"/>
        <v>2.754241746861916E-2</v>
      </c>
      <c r="AD153" s="227">
        <f t="shared" si="160"/>
        <v>1.2025212553700634E-3</v>
      </c>
      <c r="AE153" s="227">
        <f t="shared" si="161"/>
        <v>1.4460573696167934E-6</v>
      </c>
      <c r="AF153" s="34">
        <f t="shared" si="162"/>
        <v>2.754241746861916E-2</v>
      </c>
      <c r="AG153" s="19"/>
      <c r="AH153" s="34">
        <f t="shared" si="163"/>
        <v>2.6339896213249097E-2</v>
      </c>
      <c r="AI153" s="34">
        <f t="shared" si="164"/>
        <v>1.0745324660884239</v>
      </c>
      <c r="AJ153" s="34">
        <f t="shared" si="165"/>
        <v>0.92512859882606602</v>
      </c>
      <c r="AK153" s="34">
        <f t="shared" si="166"/>
        <v>1.3674130790603412E-2</v>
      </c>
      <c r="AL153" s="34">
        <f t="shared" si="167"/>
        <v>0.18144757059765562</v>
      </c>
      <c r="AM153" s="34">
        <f t="shared" si="168"/>
        <v>9.0973517464965098E-2</v>
      </c>
      <c r="AN153" s="227">
        <f t="shared" si="170"/>
        <v>12.734617225291808</v>
      </c>
      <c r="AO153" s="227">
        <f t="shared" si="170"/>
        <v>12.734617223248412</v>
      </c>
      <c r="AP153" s="227">
        <f t="shared" si="170"/>
        <v>12.734617195896075</v>
      </c>
      <c r="AQ153" s="227">
        <f t="shared" si="170"/>
        <v>12.73461682976537</v>
      </c>
      <c r="AR153" s="227">
        <f t="shared" si="170"/>
        <v>12.73461192884465</v>
      </c>
      <c r="AS153" s="227">
        <f t="shared" si="170"/>
        <v>12.734546326916712</v>
      </c>
      <c r="AT153" s="227">
        <f t="shared" si="170"/>
        <v>12.733668273786893</v>
      </c>
      <c r="AU153" s="227">
        <f t="shared" si="169"/>
        <v>12.72192815760226</v>
      </c>
    </row>
    <row r="154" spans="1:47" ht="12.95" customHeight="1">
      <c r="A154" s="291" t="s">
        <v>252</v>
      </c>
      <c r="B154" s="122" t="s">
        <v>87</v>
      </c>
      <c r="C154" s="21">
        <v>56177.525560000002</v>
      </c>
      <c r="D154" s="21">
        <v>1E-4</v>
      </c>
      <c r="E154" s="227">
        <f t="shared" si="148"/>
        <v>35215.04256205455</v>
      </c>
      <c r="F154" s="227">
        <f t="shared" si="149"/>
        <v>35215</v>
      </c>
      <c r="G154" s="227">
        <f t="shared" si="150"/>
        <v>1.4041369999176823E-2</v>
      </c>
      <c r="H154" s="227"/>
      <c r="I154" s="227"/>
      <c r="K154" s="291">
        <f t="shared" si="151"/>
        <v>1.4041369999176823E-2</v>
      </c>
      <c r="L154" s="227"/>
      <c r="M154" s="227"/>
      <c r="N154" s="227"/>
      <c r="O154" s="227">
        <f t="shared" ca="1" si="146"/>
        <v>1.3595597163194195E-2</v>
      </c>
      <c r="P154" s="292">
        <f t="shared" si="152"/>
        <v>-1.363104746979624E-2</v>
      </c>
      <c r="Q154" s="293">
        <f t="shared" si="153"/>
        <v>41159.025560000002</v>
      </c>
      <c r="R154" s="227">
        <f t="shared" si="154"/>
        <v>7.6576268857712557E-4</v>
      </c>
      <c r="S154" s="227">
        <v>1</v>
      </c>
      <c r="T154" s="227">
        <f t="shared" si="155"/>
        <v>7.6576268857712557E-4</v>
      </c>
      <c r="U154" s="227"/>
      <c r="Z154" s="34">
        <f t="shared" si="156"/>
        <v>35215</v>
      </c>
      <c r="AA154" s="227">
        <f t="shared" si="157"/>
        <v>1.2708848743452857E-2</v>
      </c>
      <c r="AB154" s="227">
        <f t="shared" si="158"/>
        <v>-1.2298526214072274E-2</v>
      </c>
      <c r="AC154" s="227">
        <f t="shared" si="159"/>
        <v>2.7672417468973063E-2</v>
      </c>
      <c r="AD154" s="227">
        <f t="shared" si="160"/>
        <v>1.332521255723966E-3</v>
      </c>
      <c r="AE154" s="227">
        <f t="shared" si="161"/>
        <v>1.7756128969561752E-6</v>
      </c>
      <c r="AF154" s="34">
        <f t="shared" si="162"/>
        <v>2.7672417468973063E-2</v>
      </c>
      <c r="AG154" s="19"/>
      <c r="AH154" s="34">
        <f t="shared" si="163"/>
        <v>2.6339896213249097E-2</v>
      </c>
      <c r="AI154" s="34">
        <f t="shared" si="164"/>
        <v>1.0745324660884239</v>
      </c>
      <c r="AJ154" s="34">
        <f t="shared" si="165"/>
        <v>0.92512859882606602</v>
      </c>
      <c r="AK154" s="34">
        <f t="shared" si="166"/>
        <v>1.3674130790603412E-2</v>
      </c>
      <c r="AL154" s="34">
        <f t="shared" si="167"/>
        <v>0.18144757059765562</v>
      </c>
      <c r="AM154" s="34">
        <f t="shared" si="168"/>
        <v>9.0973517464965098E-2</v>
      </c>
      <c r="AN154" s="227">
        <f t="shared" si="170"/>
        <v>12.734617225291808</v>
      </c>
      <c r="AO154" s="227">
        <f t="shared" si="170"/>
        <v>12.734617223248412</v>
      </c>
      <c r="AP154" s="227">
        <f t="shared" si="170"/>
        <v>12.734617195896075</v>
      </c>
      <c r="AQ154" s="227">
        <f t="shared" si="170"/>
        <v>12.73461682976537</v>
      </c>
      <c r="AR154" s="227">
        <f t="shared" si="170"/>
        <v>12.73461192884465</v>
      </c>
      <c r="AS154" s="227">
        <f t="shared" si="170"/>
        <v>12.734546326916712</v>
      </c>
      <c r="AT154" s="227">
        <f t="shared" si="170"/>
        <v>12.733668273786893</v>
      </c>
      <c r="AU154" s="227">
        <f t="shared" si="169"/>
        <v>12.72192815760226</v>
      </c>
    </row>
    <row r="155" spans="1:47" ht="12.95" customHeight="1">
      <c r="A155" s="291" t="s">
        <v>250</v>
      </c>
      <c r="B155" s="303" t="s">
        <v>86</v>
      </c>
      <c r="C155" s="126">
        <v>56181.483899999999</v>
      </c>
      <c r="D155" s="126">
        <v>1E-4</v>
      </c>
      <c r="E155" s="227">
        <f t="shared" si="148"/>
        <v>35227.041041052107</v>
      </c>
      <c r="F155" s="227">
        <f t="shared" si="149"/>
        <v>35227</v>
      </c>
      <c r="G155" s="227">
        <f t="shared" si="150"/>
        <v>1.3539585990656633E-2</v>
      </c>
      <c r="H155" s="227"/>
      <c r="I155" s="227"/>
      <c r="J155" s="227"/>
      <c r="K155" s="227">
        <f t="shared" si="151"/>
        <v>1.3539585990656633E-2</v>
      </c>
      <c r="L155" s="227"/>
      <c r="M155" s="227"/>
      <c r="N155" s="227"/>
      <c r="O155" s="227">
        <f t="shared" ca="1" si="146"/>
        <v>1.3552058234905046E-2</v>
      </c>
      <c r="P155" s="292">
        <f t="shared" si="152"/>
        <v>-1.3654031041626841E-2</v>
      </c>
      <c r="Q155" s="293">
        <f t="shared" si="153"/>
        <v>41162.983899999999</v>
      </c>
      <c r="R155" s="227">
        <f t="shared" si="154"/>
        <v>7.3949280729849792E-4</v>
      </c>
      <c r="S155" s="227">
        <v>1</v>
      </c>
      <c r="T155" s="227">
        <f t="shared" si="155"/>
        <v>7.3949280729849792E-4</v>
      </c>
      <c r="U155" s="227"/>
      <c r="Z155" s="34">
        <f t="shared" si="156"/>
        <v>35227</v>
      </c>
      <c r="AA155" s="227">
        <f t="shared" si="157"/>
        <v>1.2675640121301845E-2</v>
      </c>
      <c r="AB155" s="227">
        <f t="shared" si="158"/>
        <v>-1.2790085172272054E-2</v>
      </c>
      <c r="AC155" s="227">
        <f t="shared" si="159"/>
        <v>2.7193617032283474E-2</v>
      </c>
      <c r="AD155" s="227">
        <f t="shared" si="160"/>
        <v>8.6394586935478745E-4</v>
      </c>
      <c r="AE155" s="227">
        <f t="shared" si="161"/>
        <v>7.4640246517519946E-7</v>
      </c>
      <c r="AF155" s="34">
        <f t="shared" si="162"/>
        <v>2.7193617032283474E-2</v>
      </c>
      <c r="AG155" s="19"/>
      <c r="AH155" s="34">
        <f t="shared" si="163"/>
        <v>2.6329671162928687E-2</v>
      </c>
      <c r="AI155" s="34">
        <f t="shared" si="164"/>
        <v>1.074517937292226</v>
      </c>
      <c r="AJ155" s="34">
        <f t="shared" si="165"/>
        <v>0.9247258578217642</v>
      </c>
      <c r="AK155" s="34">
        <f t="shared" si="166"/>
        <v>1.3753086046865136E-2</v>
      </c>
      <c r="AL155" s="34">
        <f t="shared" si="167"/>
        <v>0.18250701420982754</v>
      </c>
      <c r="AM155" s="34">
        <f t="shared" si="168"/>
        <v>9.1507649134649857E-2</v>
      </c>
      <c r="AN155" s="227">
        <f t="shared" si="170"/>
        <v>12.735600354886907</v>
      </c>
      <c r="AO155" s="227">
        <f t="shared" si="170"/>
        <v>12.735600352833693</v>
      </c>
      <c r="AP155" s="227">
        <f t="shared" si="170"/>
        <v>12.73560032534534</v>
      </c>
      <c r="AQ155" s="227">
        <f t="shared" si="170"/>
        <v>12.735599957332317</v>
      </c>
      <c r="AR155" s="227">
        <f t="shared" si="170"/>
        <v>12.735595030390352</v>
      </c>
      <c r="AS155" s="227">
        <f t="shared" si="170"/>
        <v>12.735529069109885</v>
      </c>
      <c r="AT155" s="227">
        <f t="shared" si="170"/>
        <v>12.734646059211887</v>
      </c>
      <c r="AU155" s="227">
        <f t="shared" si="169"/>
        <v>12.722837847192331</v>
      </c>
    </row>
    <row r="156" spans="1:47" ht="12.95" customHeight="1">
      <c r="A156" s="291" t="s">
        <v>249</v>
      </c>
      <c r="B156" s="122" t="s">
        <v>86</v>
      </c>
      <c r="C156" s="21">
        <v>56230.801599999999</v>
      </c>
      <c r="D156" s="21">
        <v>3.0000000000000003E-4</v>
      </c>
      <c r="E156" s="227">
        <f t="shared" si="148"/>
        <v>35376.53233984355</v>
      </c>
      <c r="F156" s="227">
        <f t="shared" si="149"/>
        <v>35376.5</v>
      </c>
      <c r="G156" s="227">
        <f t="shared" si="150"/>
        <v>1.0669026996765751E-2</v>
      </c>
      <c r="H156" s="227"/>
      <c r="I156" s="227"/>
      <c r="J156" s="227"/>
      <c r="K156" s="227">
        <f t="shared" si="151"/>
        <v>1.0669026996765751E-2</v>
      </c>
      <c r="L156" s="227"/>
      <c r="M156" s="227"/>
      <c r="N156" s="227"/>
      <c r="O156" s="227">
        <f t="shared" ca="1" si="146"/>
        <v>1.3009635753302606E-2</v>
      </c>
      <c r="P156" s="292">
        <f t="shared" si="152"/>
        <v>-1.3941032397468311E-2</v>
      </c>
      <c r="Q156" s="293">
        <f t="shared" si="153"/>
        <v>41212.301599999999</v>
      </c>
      <c r="R156" s="227">
        <f t="shared" si="154"/>
        <v>6.0565502338772825E-4</v>
      </c>
      <c r="S156" s="227">
        <v>1</v>
      </c>
      <c r="T156" s="227">
        <f t="shared" si="155"/>
        <v>6.0565502338772825E-4</v>
      </c>
      <c r="U156" s="227"/>
      <c r="Z156" s="34">
        <f t="shared" si="156"/>
        <v>35376.5</v>
      </c>
      <c r="AA156" s="227">
        <f t="shared" si="157"/>
        <v>1.2259133654344594E-2</v>
      </c>
      <c r="AB156" s="227">
        <f t="shared" si="158"/>
        <v>-1.5531139055047154E-2</v>
      </c>
      <c r="AC156" s="227">
        <f t="shared" si="159"/>
        <v>2.4610059394234062E-2</v>
      </c>
      <c r="AD156" s="227">
        <f t="shared" si="160"/>
        <v>-1.5901066575788429E-3</v>
      </c>
      <c r="AE156" s="227">
        <f t="shared" si="161"/>
        <v>2.5284391824765596E-6</v>
      </c>
      <c r="AF156" s="34">
        <f t="shared" si="162"/>
        <v>2.4610059394234062E-2</v>
      </c>
      <c r="AG156" s="19"/>
      <c r="AH156" s="34">
        <f t="shared" si="163"/>
        <v>2.6200166051812905E-2</v>
      </c>
      <c r="AI156" s="34">
        <f t="shared" si="164"/>
        <v>1.0743299623689726</v>
      </c>
      <c r="AJ156" s="34">
        <f t="shared" si="165"/>
        <v>0.91962247480427339</v>
      </c>
      <c r="AK156" s="34">
        <f t="shared" si="166"/>
        <v>1.4735231532883784E-2</v>
      </c>
      <c r="AL156" s="34">
        <f t="shared" si="167"/>
        <v>0.19570345480657289</v>
      </c>
      <c r="AM156" s="34">
        <f t="shared" si="168"/>
        <v>9.816523700495336E-2</v>
      </c>
      <c r="AN156" s="227">
        <f t="shared" si="170"/>
        <v>12.747847369126267</v>
      </c>
      <c r="AO156" s="227">
        <f t="shared" si="170"/>
        <v>12.747847366953746</v>
      </c>
      <c r="AP156" s="227">
        <f t="shared" si="170"/>
        <v>12.747847337804927</v>
      </c>
      <c r="AQ156" s="227">
        <f t="shared" si="170"/>
        <v>12.747846946713986</v>
      </c>
      <c r="AR156" s="227">
        <f t="shared" si="170"/>
        <v>12.747841699432657</v>
      </c>
      <c r="AS156" s="227">
        <f t="shared" si="170"/>
        <v>12.747771296957664</v>
      </c>
      <c r="AT156" s="227">
        <f t="shared" si="170"/>
        <v>12.746826798727097</v>
      </c>
      <c r="AU156" s="227">
        <f t="shared" si="169"/>
        <v>12.734171063335291</v>
      </c>
    </row>
    <row r="157" spans="1:47" ht="12.95" customHeight="1">
      <c r="A157" s="295" t="s">
        <v>712</v>
      </c>
      <c r="B157" s="296" t="s">
        <v>86</v>
      </c>
      <c r="C157" s="295">
        <v>56243.999499999998</v>
      </c>
      <c r="D157" s="295" t="s">
        <v>264</v>
      </c>
      <c r="E157" s="227">
        <f t="shared" si="148"/>
        <v>35416.537676919681</v>
      </c>
      <c r="F157" s="227">
        <f t="shared" si="149"/>
        <v>35416.5</v>
      </c>
      <c r="G157" s="227">
        <f t="shared" si="150"/>
        <v>1.2429746995621826E-2</v>
      </c>
      <c r="H157" s="227"/>
      <c r="I157" s="227"/>
      <c r="J157" s="227"/>
      <c r="K157" s="227">
        <f t="shared" si="151"/>
        <v>1.2429746995621826E-2</v>
      </c>
      <c r="M157" s="227"/>
      <c r="N157" s="227"/>
      <c r="O157" s="227">
        <f t="shared" ca="1" si="146"/>
        <v>1.2864505992338737E-2</v>
      </c>
      <c r="P157" s="292">
        <f t="shared" si="152"/>
        <v>-1.4018030630305031E-2</v>
      </c>
      <c r="Q157" s="293">
        <f t="shared" si="153"/>
        <v>41225.499499999998</v>
      </c>
      <c r="R157" s="227">
        <f t="shared" si="154"/>
        <v>6.9948494135047728E-4</v>
      </c>
      <c r="S157" s="227">
        <v>1</v>
      </c>
      <c r="T157" s="227">
        <f t="shared" si="155"/>
        <v>6.9948494135047728E-4</v>
      </c>
      <c r="U157" s="227"/>
      <c r="Z157" s="34">
        <f t="shared" si="156"/>
        <v>35416.5</v>
      </c>
      <c r="AA157" s="227">
        <f t="shared" si="157"/>
        <v>1.2146822036458584E-2</v>
      </c>
      <c r="AB157" s="227">
        <f t="shared" si="158"/>
        <v>-1.3735105671141789E-2</v>
      </c>
      <c r="AC157" s="227">
        <f t="shared" si="159"/>
        <v>2.6447777625926858E-2</v>
      </c>
      <c r="AD157" s="227">
        <f t="shared" si="160"/>
        <v>2.8292495916324226E-4</v>
      </c>
      <c r="AE157" s="227">
        <f t="shared" si="161"/>
        <v>8.0046532517522293E-8</v>
      </c>
      <c r="AF157" s="34">
        <f t="shared" si="162"/>
        <v>2.6447777625926858E-2</v>
      </c>
      <c r="AG157" s="19"/>
      <c r="AH157" s="34">
        <f t="shared" si="163"/>
        <v>2.6164852666763615E-2</v>
      </c>
      <c r="AI157" s="34">
        <f t="shared" si="164"/>
        <v>1.0742774836483713</v>
      </c>
      <c r="AJ157" s="34">
        <f t="shared" si="165"/>
        <v>0.91823014274501491</v>
      </c>
      <c r="AK157" s="34">
        <f t="shared" si="166"/>
        <v>1.4997525694811248E-2</v>
      </c>
      <c r="AL157" s="34">
        <f t="shared" si="167"/>
        <v>0.19923347832268556</v>
      </c>
      <c r="AM157" s="34">
        <f t="shared" si="168"/>
        <v>9.9947567809028429E-2</v>
      </c>
      <c r="AN157" s="227">
        <f t="shared" si="170"/>
        <v>12.751123792521529</v>
      </c>
      <c r="AO157" s="227">
        <f t="shared" si="170"/>
        <v>12.751123790318049</v>
      </c>
      <c r="AP157" s="227">
        <f t="shared" si="170"/>
        <v>12.751123760735915</v>
      </c>
      <c r="AQ157" s="227">
        <f t="shared" si="170"/>
        <v>12.751123363590249</v>
      </c>
      <c r="AR157" s="227">
        <f t="shared" si="170"/>
        <v>12.751118031838487</v>
      </c>
      <c r="AS157" s="227">
        <f t="shared" si="170"/>
        <v>12.751046452629277</v>
      </c>
      <c r="AT157" s="227">
        <f t="shared" si="170"/>
        <v>12.750085588326574</v>
      </c>
      <c r="AU157" s="227">
        <f t="shared" si="169"/>
        <v>12.737203361968858</v>
      </c>
    </row>
    <row r="158" spans="1:47" ht="12.95" customHeight="1">
      <c r="A158" s="295" t="s">
        <v>712</v>
      </c>
      <c r="B158" s="296" t="s">
        <v>87</v>
      </c>
      <c r="C158" s="295">
        <v>56244.165200000003</v>
      </c>
      <c r="D158" s="295" t="s">
        <v>264</v>
      </c>
      <c r="E158" s="227">
        <f t="shared" si="148"/>
        <v>35417.039945034587</v>
      </c>
      <c r="F158" s="227">
        <f t="shared" si="149"/>
        <v>35417</v>
      </c>
      <c r="G158" s="227">
        <f t="shared" si="150"/>
        <v>1.3178005996451247E-2</v>
      </c>
      <c r="H158" s="227"/>
      <c r="I158" s="227"/>
      <c r="J158" s="227"/>
      <c r="K158" s="227">
        <f t="shared" si="151"/>
        <v>1.3178005996451247E-2</v>
      </c>
      <c r="M158" s="227"/>
      <c r="N158" s="227"/>
      <c r="O158" s="227">
        <f t="shared" ca="1" si="146"/>
        <v>1.2862691870326709E-2</v>
      </c>
      <c r="P158" s="292">
        <f t="shared" si="152"/>
        <v>-1.4018993665417506E-2</v>
      </c>
      <c r="Q158" s="293">
        <f t="shared" si="153"/>
        <v>41225.665200000003</v>
      </c>
      <c r="R158" s="227">
        <f t="shared" si="154"/>
        <v>7.3967679060768911E-4</v>
      </c>
      <c r="S158" s="227">
        <v>1</v>
      </c>
      <c r="T158" s="227">
        <f t="shared" si="155"/>
        <v>7.3967679060768911E-4</v>
      </c>
      <c r="U158" s="227"/>
      <c r="Z158" s="34">
        <f t="shared" si="156"/>
        <v>35417</v>
      </c>
      <c r="AA158" s="227">
        <f t="shared" si="157"/>
        <v>1.2145415816801741E-2</v>
      </c>
      <c r="AB158" s="227">
        <f t="shared" si="158"/>
        <v>-1.2986403485767999E-2</v>
      </c>
      <c r="AC158" s="227">
        <f t="shared" si="159"/>
        <v>2.7196999661868754E-2</v>
      </c>
      <c r="AD158" s="227">
        <f t="shared" si="160"/>
        <v>1.032590179649507E-3</v>
      </c>
      <c r="AE158" s="227">
        <f t="shared" si="161"/>
        <v>1.0662424791086012E-6</v>
      </c>
      <c r="AF158" s="34">
        <f t="shared" si="162"/>
        <v>2.7196999661868754E-2</v>
      </c>
      <c r="AG158" s="19"/>
      <c r="AH158" s="34">
        <f t="shared" si="163"/>
        <v>2.6164409482219247E-2</v>
      </c>
      <c r="AI158" s="34">
        <f t="shared" si="164"/>
        <v>1.0742768218386669</v>
      </c>
      <c r="AJ158" s="34">
        <f t="shared" si="165"/>
        <v>0.91821266701786741</v>
      </c>
      <c r="AK158" s="34">
        <f t="shared" si="166"/>
        <v>1.5000803033421934E-2</v>
      </c>
      <c r="AL158" s="34">
        <f t="shared" si="167"/>
        <v>0.19927760142769296</v>
      </c>
      <c r="AM158" s="34">
        <f t="shared" si="168"/>
        <v>9.9969849794906057E-2</v>
      </c>
      <c r="AN158" s="227">
        <f t="shared" si="170"/>
        <v>12.751164746798118</v>
      </c>
      <c r="AO158" s="227">
        <f t="shared" si="170"/>
        <v>12.751164744594252</v>
      </c>
      <c r="AP158" s="227">
        <f t="shared" si="170"/>
        <v>12.751164715006732</v>
      </c>
      <c r="AQ158" s="227">
        <f t="shared" si="170"/>
        <v>12.751164317785712</v>
      </c>
      <c r="AR158" s="227">
        <f t="shared" si="170"/>
        <v>12.75115898498146</v>
      </c>
      <c r="AS158" s="227">
        <f t="shared" si="170"/>
        <v>12.751087391094728</v>
      </c>
      <c r="AT158" s="227">
        <f t="shared" si="170"/>
        <v>12.750126322451338</v>
      </c>
      <c r="AU158" s="227">
        <f t="shared" si="169"/>
        <v>12.737241265701778</v>
      </c>
    </row>
    <row r="159" spans="1:47" ht="12.95" customHeight="1">
      <c r="A159" s="295" t="s">
        <v>712</v>
      </c>
      <c r="B159" s="296" t="s">
        <v>86</v>
      </c>
      <c r="C159" s="295">
        <v>56244.3295</v>
      </c>
      <c r="D159" s="295" t="s">
        <v>264</v>
      </c>
      <c r="E159" s="227">
        <f t="shared" si="148"/>
        <v>35417.537969484045</v>
      </c>
      <c r="F159" s="227">
        <f t="shared" si="149"/>
        <v>35417.5</v>
      </c>
      <c r="G159" s="227">
        <f t="shared" si="150"/>
        <v>1.2526264996267855E-2</v>
      </c>
      <c r="H159" s="227"/>
      <c r="I159" s="227"/>
      <c r="J159" s="227"/>
      <c r="K159" s="227">
        <f t="shared" si="151"/>
        <v>1.2526264996267855E-2</v>
      </c>
      <c r="M159" s="227"/>
      <c r="N159" s="227"/>
      <c r="O159" s="227">
        <f t="shared" ca="1" si="146"/>
        <v>1.2860877748314653E-2</v>
      </c>
      <c r="P159" s="292">
        <f t="shared" si="152"/>
        <v>-1.4019956714288059E-2</v>
      </c>
      <c r="Q159" s="293">
        <f t="shared" si="153"/>
        <v>41225.8295</v>
      </c>
      <c r="R159" s="227">
        <f t="shared" si="154"/>
        <v>7.0470188710599019E-4</v>
      </c>
      <c r="S159" s="227">
        <v>1</v>
      </c>
      <c r="T159" s="227">
        <f t="shared" si="155"/>
        <v>7.0470188710599019E-4</v>
      </c>
      <c r="U159" s="227"/>
      <c r="Z159" s="34">
        <f t="shared" si="156"/>
        <v>35417.5</v>
      </c>
      <c r="AA159" s="227">
        <f t="shared" si="157"/>
        <v>1.2144009539775607E-2</v>
      </c>
      <c r="AB159" s="227">
        <f t="shared" si="158"/>
        <v>-1.3637701257795811E-2</v>
      </c>
      <c r="AC159" s="227">
        <f t="shared" si="159"/>
        <v>2.6546221710555915E-2</v>
      </c>
      <c r="AD159" s="227">
        <f t="shared" si="160"/>
        <v>3.8225545649224826E-4</v>
      </c>
      <c r="AE159" s="227">
        <f t="shared" si="161"/>
        <v>1.4611923401809711E-7</v>
      </c>
      <c r="AF159" s="34">
        <f t="shared" si="162"/>
        <v>2.6546221710555915E-2</v>
      </c>
      <c r="AG159" s="19"/>
      <c r="AH159" s="34">
        <f t="shared" si="163"/>
        <v>2.6163966254063666E-2</v>
      </c>
      <c r="AI159" s="34">
        <f t="shared" si="164"/>
        <v>1.0742761598851727</v>
      </c>
      <c r="AJ159" s="34">
        <f t="shared" si="165"/>
        <v>0.91819518952463752</v>
      </c>
      <c r="AK159" s="34">
        <f t="shared" si="166"/>
        <v>1.5004080338789739E-2</v>
      </c>
      <c r="AL159" s="34">
        <f t="shared" si="167"/>
        <v>0.19932172447832774</v>
      </c>
      <c r="AM159" s="34">
        <f t="shared" si="168"/>
        <v>9.9992131851611196E-2</v>
      </c>
      <c r="AN159" s="227">
        <f t="shared" si="170"/>
        <v>12.751205701049471</v>
      </c>
      <c r="AO159" s="227">
        <f t="shared" si="170"/>
        <v>12.751205698845222</v>
      </c>
      <c r="AP159" s="227">
        <f t="shared" si="170"/>
        <v>12.751205669252316</v>
      </c>
      <c r="AQ159" s="227">
        <f t="shared" si="170"/>
        <v>12.751205271955948</v>
      </c>
      <c r="AR159" s="227">
        <f t="shared" si="170"/>
        <v>12.751199938099292</v>
      </c>
      <c r="AS159" s="227">
        <f t="shared" si="170"/>
        <v>12.751128329535826</v>
      </c>
      <c r="AT159" s="227">
        <f t="shared" si="170"/>
        <v>12.75016705655759</v>
      </c>
      <c r="AU159" s="227">
        <f t="shared" si="169"/>
        <v>12.737279169434697</v>
      </c>
    </row>
    <row r="160" spans="1:47" ht="12.95" customHeight="1">
      <c r="A160" s="291" t="s">
        <v>252</v>
      </c>
      <c r="B160" s="122" t="s">
        <v>86</v>
      </c>
      <c r="C160" s="21">
        <v>56291.505039999996</v>
      </c>
      <c r="D160" s="21">
        <v>1E-4</v>
      </c>
      <c r="E160" s="227">
        <f t="shared" si="148"/>
        <v>35560.535975185594</v>
      </c>
      <c r="F160" s="227">
        <f t="shared" si="149"/>
        <v>35560.5</v>
      </c>
      <c r="G160" s="227">
        <f t="shared" si="150"/>
        <v>1.186833899555495E-2</v>
      </c>
      <c r="H160" s="227"/>
      <c r="I160" s="227"/>
      <c r="K160" s="291">
        <f t="shared" si="151"/>
        <v>1.186833899555495E-2</v>
      </c>
      <c r="L160" s="227"/>
      <c r="M160" s="227"/>
      <c r="N160" s="227"/>
      <c r="O160" s="227">
        <f t="shared" ca="1" si="146"/>
        <v>1.2342038852868858E-2</v>
      </c>
      <c r="P160" s="292">
        <f t="shared" si="152"/>
        <v>-1.4295953336406288E-2</v>
      </c>
      <c r="Q160" s="293">
        <f t="shared" si="153"/>
        <v>41273.005039999996</v>
      </c>
      <c r="R160" s="227">
        <f t="shared" si="154"/>
        <v>6.8457019323232566E-4</v>
      </c>
      <c r="S160" s="227">
        <v>1</v>
      </c>
      <c r="T160" s="227">
        <f t="shared" si="155"/>
        <v>6.8457019323232566E-4</v>
      </c>
      <c r="U160" s="227"/>
      <c r="Z160" s="34">
        <f t="shared" si="156"/>
        <v>35560.5</v>
      </c>
      <c r="AA160" s="227">
        <f t="shared" si="157"/>
        <v>1.1739463325017047E-2</v>
      </c>
      <c r="AB160" s="227">
        <f t="shared" si="158"/>
        <v>-1.4167077665868385E-2</v>
      </c>
      <c r="AC160" s="227">
        <f t="shared" si="159"/>
        <v>2.6164292331961238E-2</v>
      </c>
      <c r="AD160" s="227">
        <f t="shared" si="160"/>
        <v>1.288756705379035E-4</v>
      </c>
      <c r="AE160" s="227">
        <f t="shared" si="161"/>
        <v>1.6608938456594249E-8</v>
      </c>
      <c r="AF160" s="34">
        <f t="shared" si="162"/>
        <v>2.6164292331961238E-2</v>
      </c>
      <c r="AG160" s="19"/>
      <c r="AH160" s="34">
        <f t="shared" si="163"/>
        <v>2.6035416661423335E-2</v>
      </c>
      <c r="AI160" s="34">
        <f t="shared" si="164"/>
        <v>1.0740809479014688</v>
      </c>
      <c r="AJ160" s="34">
        <f t="shared" si="165"/>
        <v>0.9131243245295243</v>
      </c>
      <c r="AK160" s="34">
        <f t="shared" si="166"/>
        <v>1.5939997243426821E-2</v>
      </c>
      <c r="AL160" s="34">
        <f t="shared" si="167"/>
        <v>0.21193863920684219</v>
      </c>
      <c r="AM160" s="34">
        <f t="shared" si="168"/>
        <v>0.10636777016705359</v>
      </c>
      <c r="AN160" s="227">
        <f t="shared" si="170"/>
        <v>12.76291755978767</v>
      </c>
      <c r="AO160" s="227">
        <f t="shared" si="170"/>
        <v>12.762917557476221</v>
      </c>
      <c r="AP160" s="227">
        <f t="shared" si="170"/>
        <v>12.762917526373862</v>
      </c>
      <c r="AQ160" s="227">
        <f t="shared" si="170"/>
        <v>12.762917107867379</v>
      </c>
      <c r="AR160" s="227">
        <f t="shared" si="170"/>
        <v>12.762911476540021</v>
      </c>
      <c r="AS160" s="227">
        <f t="shared" si="170"/>
        <v>12.762835703303038</v>
      </c>
      <c r="AT160" s="227">
        <f t="shared" si="170"/>
        <v>12.761816235186545</v>
      </c>
      <c r="AU160" s="227">
        <f t="shared" si="169"/>
        <v>12.748119637049701</v>
      </c>
    </row>
    <row r="161" spans="1:48" ht="12.95" customHeight="1">
      <c r="A161" s="291" t="s">
        <v>252</v>
      </c>
      <c r="B161" s="122" t="s">
        <v>86</v>
      </c>
      <c r="C161" s="21">
        <v>56291.505149999997</v>
      </c>
      <c r="D161" s="21">
        <v>1E-4</v>
      </c>
      <c r="E161" s="227">
        <f t="shared" si="148"/>
        <v>35560.536308616451</v>
      </c>
      <c r="F161" s="227">
        <f t="shared" si="149"/>
        <v>35560.5</v>
      </c>
      <c r="G161" s="227">
        <f t="shared" si="150"/>
        <v>1.1978338996414095E-2</v>
      </c>
      <c r="H161" s="227"/>
      <c r="I161" s="227"/>
      <c r="K161" s="291">
        <f t="shared" si="151"/>
        <v>1.1978338996414095E-2</v>
      </c>
      <c r="L161" s="227"/>
      <c r="M161" s="227"/>
      <c r="N161" s="227"/>
      <c r="O161" s="227">
        <f t="shared" ca="1" si="146"/>
        <v>1.2342038852868858E-2</v>
      </c>
      <c r="P161" s="292">
        <f t="shared" si="152"/>
        <v>-1.4295953336406288E-2</v>
      </c>
      <c r="Q161" s="293">
        <f t="shared" si="153"/>
        <v>41273.005149999997</v>
      </c>
      <c r="R161" s="227">
        <f t="shared" si="154"/>
        <v>6.9033843759050396E-4</v>
      </c>
      <c r="S161" s="227">
        <v>1</v>
      </c>
      <c r="T161" s="227">
        <f t="shared" si="155"/>
        <v>6.9033843759050396E-4</v>
      </c>
      <c r="U161" s="227"/>
      <c r="Z161" s="34">
        <f t="shared" si="156"/>
        <v>35560.5</v>
      </c>
      <c r="AA161" s="227">
        <f t="shared" si="157"/>
        <v>1.1739463325017047E-2</v>
      </c>
      <c r="AB161" s="227">
        <f t="shared" si="158"/>
        <v>-1.405707766500924E-2</v>
      </c>
      <c r="AC161" s="227">
        <f t="shared" si="159"/>
        <v>2.6274292332820384E-2</v>
      </c>
      <c r="AD161" s="227">
        <f t="shared" si="160"/>
        <v>2.3887567139704857E-4</v>
      </c>
      <c r="AE161" s="227">
        <f t="shared" si="161"/>
        <v>5.7061586385390732E-8</v>
      </c>
      <c r="AF161" s="34">
        <f t="shared" si="162"/>
        <v>2.6274292332820384E-2</v>
      </c>
      <c r="AG161" s="19"/>
      <c r="AH161" s="34">
        <f t="shared" si="163"/>
        <v>2.6035416661423335E-2</v>
      </c>
      <c r="AI161" s="34">
        <f t="shared" si="164"/>
        <v>1.0740809479014688</v>
      </c>
      <c r="AJ161" s="34">
        <f t="shared" si="165"/>
        <v>0.9131243245295243</v>
      </c>
      <c r="AK161" s="34">
        <f t="shared" si="166"/>
        <v>1.5939997243426821E-2</v>
      </c>
      <c r="AL161" s="34">
        <f t="shared" si="167"/>
        <v>0.21193863920684219</v>
      </c>
      <c r="AM161" s="34">
        <f t="shared" si="168"/>
        <v>0.10636777016705359</v>
      </c>
      <c r="AN161" s="227">
        <f t="shared" ref="AN161:AT170" si="171">$AU161+$AB$7*SIN(AO161)</f>
        <v>12.76291755978767</v>
      </c>
      <c r="AO161" s="227">
        <f t="shared" si="171"/>
        <v>12.762917557476221</v>
      </c>
      <c r="AP161" s="227">
        <f t="shared" si="171"/>
        <v>12.762917526373862</v>
      </c>
      <c r="AQ161" s="227">
        <f t="shared" si="171"/>
        <v>12.762917107867379</v>
      </c>
      <c r="AR161" s="227">
        <f t="shared" si="171"/>
        <v>12.762911476540021</v>
      </c>
      <c r="AS161" s="227">
        <f t="shared" si="171"/>
        <v>12.762835703303038</v>
      </c>
      <c r="AT161" s="227">
        <f t="shared" si="171"/>
        <v>12.761816235186545</v>
      </c>
      <c r="AU161" s="227">
        <f t="shared" si="169"/>
        <v>12.748119637049701</v>
      </c>
    </row>
    <row r="162" spans="1:48" ht="12.95" customHeight="1">
      <c r="A162" s="245" t="s">
        <v>254</v>
      </c>
      <c r="B162" s="122"/>
      <c r="C162" s="21">
        <v>56600.787400000001</v>
      </c>
      <c r="D162" s="21">
        <v>1E-4</v>
      </c>
      <c r="E162" s="227">
        <f t="shared" si="148"/>
        <v>36498.029444866537</v>
      </c>
      <c r="F162" s="227">
        <f t="shared" si="149"/>
        <v>36498</v>
      </c>
      <c r="G162" s="227">
        <f t="shared" si="150"/>
        <v>9.713963998365216E-3</v>
      </c>
      <c r="H162" s="227"/>
      <c r="I162" s="227"/>
      <c r="J162" s="227"/>
      <c r="K162" s="227">
        <f t="shared" si="151"/>
        <v>9.713963998365216E-3</v>
      </c>
      <c r="L162" s="227"/>
      <c r="M162" s="227"/>
      <c r="N162" s="227"/>
      <c r="O162" s="227">
        <f t="shared" ca="1" si="146"/>
        <v>8.9405600802783813E-3</v>
      </c>
      <c r="P162" s="292">
        <f t="shared" si="152"/>
        <v>-1.6133244749898589E-2</v>
      </c>
      <c r="Q162" s="293">
        <f t="shared" si="153"/>
        <v>41582.287400000001</v>
      </c>
      <c r="R162" s="227">
        <f t="shared" si="154"/>
        <v>6.6807820007632498E-4</v>
      </c>
      <c r="S162" s="227">
        <v>1</v>
      </c>
      <c r="T162" s="227">
        <f t="shared" si="155"/>
        <v>6.6807820007632498E-4</v>
      </c>
      <c r="U162" s="227"/>
      <c r="Z162" s="34">
        <f t="shared" si="156"/>
        <v>36498</v>
      </c>
      <c r="AA162" s="227">
        <f t="shared" si="157"/>
        <v>8.9726001500315677E-3</v>
      </c>
      <c r="AB162" s="227">
        <f t="shared" si="158"/>
        <v>-1.5391880901564941E-2</v>
      </c>
      <c r="AC162" s="227">
        <f t="shared" si="159"/>
        <v>2.5847208748263805E-2</v>
      </c>
      <c r="AD162" s="227">
        <f t="shared" si="160"/>
        <v>7.4136384833364821E-4</v>
      </c>
      <c r="AE162" s="227">
        <f t="shared" si="161"/>
        <v>5.4962035561607653E-7</v>
      </c>
      <c r="AF162" s="34">
        <f t="shared" si="162"/>
        <v>2.5847208748263805E-2</v>
      </c>
      <c r="AG162" s="19"/>
      <c r="AH162" s="34">
        <f t="shared" si="163"/>
        <v>2.5105844899930157E-2</v>
      </c>
      <c r="AI162" s="34">
        <f t="shared" si="164"/>
        <v>1.072513526815227</v>
      </c>
      <c r="AJ162" s="34">
        <f t="shared" si="165"/>
        <v>0.87638147428480206</v>
      </c>
      <c r="AK162" s="34">
        <f t="shared" si="166"/>
        <v>2.1996790286720275E-2</v>
      </c>
      <c r="AL162" s="34">
        <f t="shared" si="167"/>
        <v>0.29452497314015347</v>
      </c>
      <c r="AM162" s="34">
        <f t="shared" si="168"/>
        <v>0.14833632575312627</v>
      </c>
      <c r="AN162" s="227">
        <f t="shared" si="171"/>
        <v>12.839639736696059</v>
      </c>
      <c r="AO162" s="227">
        <f t="shared" si="171"/>
        <v>12.839639733826674</v>
      </c>
      <c r="AP162" s="227">
        <f t="shared" si="171"/>
        <v>12.839639694500995</v>
      </c>
      <c r="AQ162" s="227">
        <f t="shared" si="171"/>
        <v>12.83963915553227</v>
      </c>
      <c r="AR162" s="227">
        <f t="shared" si="171"/>
        <v>12.839631768833081</v>
      </c>
      <c r="AS162" s="227">
        <f t="shared" si="171"/>
        <v>12.839530533841392</v>
      </c>
      <c r="AT162" s="227">
        <f t="shared" si="171"/>
        <v>12.838143393224208</v>
      </c>
      <c r="AU162" s="227">
        <f t="shared" si="169"/>
        <v>12.819189136273941</v>
      </c>
    </row>
    <row r="163" spans="1:48" ht="12.95" customHeight="1">
      <c r="A163" s="302" t="s">
        <v>255</v>
      </c>
      <c r="B163" s="303" t="s">
        <v>87</v>
      </c>
      <c r="C163" s="21">
        <v>56650.272799999999</v>
      </c>
      <c r="D163" s="126">
        <v>1.1000000000000001E-3</v>
      </c>
      <c r="E163" s="227">
        <f t="shared" si="148"/>
        <v>36648.029074152044</v>
      </c>
      <c r="F163" s="227">
        <f t="shared" si="149"/>
        <v>36648</v>
      </c>
      <c r="G163" s="227">
        <f t="shared" si="150"/>
        <v>9.5916639911592938E-3</v>
      </c>
      <c r="H163" s="227"/>
      <c r="I163" s="227"/>
      <c r="J163" s="227">
        <f>G163</f>
        <v>9.5916639911592938E-3</v>
      </c>
      <c r="K163" s="227"/>
      <c r="L163" s="227"/>
      <c r="M163" s="227"/>
      <c r="N163" s="227"/>
      <c r="O163" s="227">
        <f t="shared" ca="1" si="146"/>
        <v>8.3963234766639139E-3</v>
      </c>
      <c r="P163" s="292">
        <f t="shared" si="152"/>
        <v>-1.643169994789492E-2</v>
      </c>
      <c r="Q163" s="293">
        <f t="shared" si="153"/>
        <v>41631.772799999999</v>
      </c>
      <c r="R163" s="227">
        <f t="shared" si="154"/>
        <v>6.7721547070446727E-4</v>
      </c>
      <c r="S163" s="227">
        <v>1</v>
      </c>
      <c r="T163" s="227">
        <f t="shared" si="155"/>
        <v>6.7721547070446727E-4</v>
      </c>
      <c r="U163" s="227"/>
      <c r="Z163" s="34">
        <f t="shared" si="156"/>
        <v>36648</v>
      </c>
      <c r="AA163" s="227">
        <f t="shared" si="157"/>
        <v>8.5117006749430187E-3</v>
      </c>
      <c r="AB163" s="227">
        <f t="shared" si="158"/>
        <v>-1.5351736631678645E-2</v>
      </c>
      <c r="AC163" s="227">
        <f t="shared" si="159"/>
        <v>2.6023363939054214E-2</v>
      </c>
      <c r="AD163" s="227">
        <f t="shared" si="160"/>
        <v>1.0799633162162751E-3</v>
      </c>
      <c r="AE163" s="227">
        <f t="shared" si="161"/>
        <v>1.1663207643728543E-6</v>
      </c>
      <c r="AF163" s="34">
        <f t="shared" si="162"/>
        <v>2.6023363939054214E-2</v>
      </c>
      <c r="AG163" s="19"/>
      <c r="AH163" s="34">
        <f t="shared" si="163"/>
        <v>2.4943400622837938E-2</v>
      </c>
      <c r="AI163" s="34">
        <f t="shared" si="164"/>
        <v>1.072217092493043</v>
      </c>
      <c r="AJ163" s="34">
        <f t="shared" si="165"/>
        <v>0.869952945632819</v>
      </c>
      <c r="AK163" s="34">
        <f t="shared" si="166"/>
        <v>2.2951294210825701E-2</v>
      </c>
      <c r="AL163" s="34">
        <f t="shared" si="167"/>
        <v>0.30771485777497981</v>
      </c>
      <c r="AM163" s="34">
        <f t="shared" si="168"/>
        <v>0.15508307893152903</v>
      </c>
      <c r="AN163" s="227">
        <f t="shared" si="171"/>
        <v>12.851904166170268</v>
      </c>
      <c r="AO163" s="227">
        <f t="shared" si="171"/>
        <v>12.851904163236476</v>
      </c>
      <c r="AP163" s="227">
        <f t="shared" si="171"/>
        <v>12.851904122886355</v>
      </c>
      <c r="AQ163" s="227">
        <f t="shared" si="171"/>
        <v>12.851903567928026</v>
      </c>
      <c r="AR163" s="227">
        <f t="shared" si="171"/>
        <v>12.851895935277653</v>
      </c>
      <c r="AS163" s="227">
        <f t="shared" si="171"/>
        <v>12.851790960928966</v>
      </c>
      <c r="AT163" s="227">
        <f t="shared" si="171"/>
        <v>12.85034754163097</v>
      </c>
      <c r="AU163" s="227">
        <f t="shared" si="169"/>
        <v>12.83056025614982</v>
      </c>
    </row>
    <row r="164" spans="1:48" ht="12.95" customHeight="1">
      <c r="A164" s="302" t="s">
        <v>255</v>
      </c>
      <c r="B164" s="303" t="s">
        <v>87</v>
      </c>
      <c r="C164" s="21">
        <v>56650.438099999999</v>
      </c>
      <c r="D164" s="126">
        <v>1.9E-3</v>
      </c>
      <c r="E164" s="227">
        <f t="shared" si="148"/>
        <v>36648.530129791099</v>
      </c>
      <c r="F164" s="227">
        <f t="shared" si="149"/>
        <v>36648.5</v>
      </c>
      <c r="G164" s="227">
        <f t="shared" si="150"/>
        <v>9.9399229948176071E-3</v>
      </c>
      <c r="H164" s="227"/>
      <c r="I164" s="227"/>
      <c r="J164" s="227">
        <f>G164</f>
        <v>9.9399229948176071E-3</v>
      </c>
      <c r="K164" s="227"/>
      <c r="L164" s="227"/>
      <c r="M164" s="227"/>
      <c r="N164" s="227"/>
      <c r="O164" s="227">
        <f t="shared" ca="1" si="146"/>
        <v>8.3945093546518579E-3</v>
      </c>
      <c r="P164" s="292">
        <f t="shared" si="152"/>
        <v>-1.6432696869145131E-2</v>
      </c>
      <c r="Q164" s="293">
        <f t="shared" si="153"/>
        <v>41631.938099999999</v>
      </c>
      <c r="R164" s="227">
        <f t="shared" si="154"/>
        <v>6.9551507848908194E-4</v>
      </c>
      <c r="S164" s="227">
        <v>1</v>
      </c>
      <c r="T164" s="227">
        <f t="shared" si="155"/>
        <v>6.9551507848908194E-4</v>
      </c>
      <c r="U164" s="227"/>
      <c r="Z164" s="34">
        <f t="shared" si="156"/>
        <v>36648.5</v>
      </c>
      <c r="AA164" s="227">
        <f t="shared" si="157"/>
        <v>8.5101560616178129E-3</v>
      </c>
      <c r="AB164" s="227">
        <f t="shared" si="158"/>
        <v>-1.5002929935945337E-2</v>
      </c>
      <c r="AC164" s="227">
        <f t="shared" si="159"/>
        <v>2.6372619863962738E-2</v>
      </c>
      <c r="AD164" s="227">
        <f t="shared" si="160"/>
        <v>1.4297669331997942E-3</v>
      </c>
      <c r="AE164" s="227">
        <f t="shared" si="161"/>
        <v>2.0442334832715446E-6</v>
      </c>
      <c r="AF164" s="34">
        <f t="shared" si="162"/>
        <v>2.6372619863962738E-2</v>
      </c>
      <c r="AG164" s="19"/>
      <c r="AH164" s="34">
        <f t="shared" si="163"/>
        <v>2.4942852930762944E-2</v>
      </c>
      <c r="AI164" s="34">
        <f t="shared" si="164"/>
        <v>1.0722160836220327</v>
      </c>
      <c r="AJ164" s="34">
        <f t="shared" si="165"/>
        <v>0.86993126954669298</v>
      </c>
      <c r="AK164" s="34">
        <f t="shared" si="166"/>
        <v>2.2954468418941269E-2</v>
      </c>
      <c r="AL164" s="34">
        <f t="shared" si="167"/>
        <v>0.30775881177779885</v>
      </c>
      <c r="AM164" s="34">
        <f t="shared" si="168"/>
        <v>0.15510558457326382</v>
      </c>
      <c r="AN164" s="227">
        <f t="shared" si="171"/>
        <v>12.851945041892714</v>
      </c>
      <c r="AO164" s="227">
        <f t="shared" si="171"/>
        <v>12.85194503895872</v>
      </c>
      <c r="AP164" s="227">
        <f t="shared" si="171"/>
        <v>12.851944998605324</v>
      </c>
      <c r="AQ164" s="227">
        <f t="shared" si="171"/>
        <v>12.851944443595311</v>
      </c>
      <c r="AR164" s="227">
        <f t="shared" si="171"/>
        <v>12.85193681014249</v>
      </c>
      <c r="AS164" s="227">
        <f t="shared" si="171"/>
        <v>12.851831823498131</v>
      </c>
      <c r="AT164" s="227">
        <f t="shared" si="171"/>
        <v>12.850388217907001</v>
      </c>
      <c r="AU164" s="227">
        <f t="shared" si="169"/>
        <v>12.830598159882738</v>
      </c>
    </row>
    <row r="165" spans="1:48" ht="12.95" customHeight="1">
      <c r="A165" s="302" t="s">
        <v>255</v>
      </c>
      <c r="B165" s="303" t="s">
        <v>87</v>
      </c>
      <c r="C165" s="21">
        <v>56650.602400000003</v>
      </c>
      <c r="D165" s="126">
        <v>1.5E-3</v>
      </c>
      <c r="E165" s="227">
        <f t="shared" si="148"/>
        <v>36649.028154240572</v>
      </c>
      <c r="F165" s="227">
        <f t="shared" si="149"/>
        <v>36649</v>
      </c>
      <c r="G165" s="227">
        <f t="shared" si="150"/>
        <v>9.2881820019101724E-3</v>
      </c>
      <c r="H165" s="227"/>
      <c r="I165" s="227"/>
      <c r="J165" s="227">
        <f>G165</f>
        <v>9.2881820019101724E-3</v>
      </c>
      <c r="K165" s="227"/>
      <c r="L165" s="227"/>
      <c r="M165" s="227"/>
      <c r="N165" s="227"/>
      <c r="O165" s="227">
        <f t="shared" ca="1" si="146"/>
        <v>8.3926952326398019E-3</v>
      </c>
      <c r="P165" s="292">
        <f t="shared" si="152"/>
        <v>-1.643369380415342E-2</v>
      </c>
      <c r="Q165" s="293">
        <f t="shared" si="153"/>
        <v>41632.102400000003</v>
      </c>
      <c r="R165" s="227">
        <f t="shared" si="154"/>
        <v>6.6161489498255956E-4</v>
      </c>
      <c r="S165" s="227">
        <v>1</v>
      </c>
      <c r="T165" s="227">
        <f t="shared" si="155"/>
        <v>6.6161489498255956E-4</v>
      </c>
      <c r="U165" s="227"/>
      <c r="Z165" s="34">
        <f t="shared" si="156"/>
        <v>36649</v>
      </c>
      <c r="AA165" s="227">
        <f t="shared" si="157"/>
        <v>8.508611393374773E-3</v>
      </c>
      <c r="AB165" s="227">
        <f t="shared" si="158"/>
        <v>-1.5654123195618021E-2</v>
      </c>
      <c r="AC165" s="227">
        <f t="shared" si="159"/>
        <v>2.5721875806063593E-2</v>
      </c>
      <c r="AD165" s="227">
        <f t="shared" si="160"/>
        <v>7.7957060853539942E-4</v>
      </c>
      <c r="AE165" s="227">
        <f t="shared" si="161"/>
        <v>6.0773033369225297E-7</v>
      </c>
      <c r="AF165" s="34">
        <f t="shared" si="162"/>
        <v>2.5721875806063593E-2</v>
      </c>
      <c r="AG165" s="19"/>
      <c r="AH165" s="34">
        <f t="shared" si="163"/>
        <v>2.4942305197528193E-2</v>
      </c>
      <c r="AI165" s="34">
        <f t="shared" si="164"/>
        <v>1.0722150746134034</v>
      </c>
      <c r="AJ165" s="34">
        <f t="shared" si="165"/>
        <v>0.86990959182069594</v>
      </c>
      <c r="AK165" s="34">
        <f t="shared" si="166"/>
        <v>2.2957642576736496E-2</v>
      </c>
      <c r="AL165" s="34">
        <f t="shared" si="167"/>
        <v>0.3078027656979016</v>
      </c>
      <c r="AM165" s="34">
        <f t="shared" si="168"/>
        <v>0.15512809032607819</v>
      </c>
      <c r="AN165" s="227">
        <f t="shared" si="171"/>
        <v>12.8519859175767</v>
      </c>
      <c r="AO165" s="227">
        <f t="shared" si="171"/>
        <v>12.851985914642501</v>
      </c>
      <c r="AP165" s="227">
        <f t="shared" si="171"/>
        <v>12.851985874285834</v>
      </c>
      <c r="AQ165" s="227">
        <f t="shared" si="171"/>
        <v>12.851985319224147</v>
      </c>
      <c r="AR165" s="227">
        <f t="shared" si="171"/>
        <v>12.851977684968995</v>
      </c>
      <c r="AS165" s="227">
        <f t="shared" si="171"/>
        <v>12.851872686030097</v>
      </c>
      <c r="AT165" s="227">
        <f t="shared" si="171"/>
        <v>12.850428894154602</v>
      </c>
      <c r="AU165" s="227">
        <f t="shared" si="169"/>
        <v>12.830636063615659</v>
      </c>
      <c r="AV165" s="227"/>
    </row>
    <row r="166" spans="1:48" ht="12.95" customHeight="1">
      <c r="A166" s="295" t="s">
        <v>750</v>
      </c>
      <c r="B166" s="296" t="s">
        <v>86</v>
      </c>
      <c r="C166" s="295">
        <v>56670.559000000001</v>
      </c>
      <c r="D166" s="295" t="s">
        <v>264</v>
      </c>
      <c r="E166" s="227">
        <f t="shared" si="148"/>
        <v>36709.520392391605</v>
      </c>
      <c r="F166" s="227">
        <f t="shared" si="149"/>
        <v>36709.5</v>
      </c>
      <c r="G166" s="227">
        <f t="shared" si="150"/>
        <v>6.7275209949002601E-3</v>
      </c>
      <c r="H166" s="227"/>
      <c r="I166" s="291">
        <f>G166</f>
        <v>6.7275209949002601E-3</v>
      </c>
      <c r="J166" s="227"/>
      <c r="L166" s="227"/>
      <c r="M166" s="227"/>
      <c r="N166" s="227"/>
      <c r="O166" s="227">
        <f t="shared" ca="1" si="146"/>
        <v>8.17318646918197E-3</v>
      </c>
      <c r="P166" s="292">
        <f t="shared" si="152"/>
        <v>-1.6554424488505037E-2</v>
      </c>
      <c r="Q166" s="293">
        <f t="shared" si="153"/>
        <v>41652.059000000001</v>
      </c>
      <c r="R166" s="227">
        <f t="shared" si="154"/>
        <v>5.4204898549225632E-4</v>
      </c>
      <c r="S166" s="227">
        <v>0.1</v>
      </c>
      <c r="T166" s="227">
        <f t="shared" si="155"/>
        <v>5.4204898549225637E-5</v>
      </c>
      <c r="U166" s="227"/>
      <c r="Z166" s="34">
        <f t="shared" si="156"/>
        <v>36709.5</v>
      </c>
      <c r="AA166" s="227">
        <f t="shared" si="157"/>
        <v>8.3213015224258002E-3</v>
      </c>
      <c r="AB166" s="227">
        <f t="shared" si="158"/>
        <v>-1.8148205016030577E-2</v>
      </c>
      <c r="AC166" s="227">
        <f t="shared" si="159"/>
        <v>2.3281945483405297E-2</v>
      </c>
      <c r="AD166" s="227">
        <f t="shared" si="160"/>
        <v>-1.5937805275255401E-3</v>
      </c>
      <c r="AE166" s="227">
        <f t="shared" si="161"/>
        <v>2.540136369919589E-7</v>
      </c>
      <c r="AF166" s="34">
        <f t="shared" si="162"/>
        <v>2.3281945483405297E-2</v>
      </c>
      <c r="AG166" s="19"/>
      <c r="AH166" s="34">
        <f t="shared" si="163"/>
        <v>2.4875726010930837E-2</v>
      </c>
      <c r="AI166" s="34">
        <f t="shared" si="164"/>
        <v>1.0720919697121396</v>
      </c>
      <c r="AJ166" s="34">
        <f t="shared" si="165"/>
        <v>0.86727450035894083</v>
      </c>
      <c r="AK166" s="34">
        <f t="shared" si="166"/>
        <v>2.3341342230569179E-2</v>
      </c>
      <c r="AL166" s="34">
        <f t="shared" si="167"/>
        <v>0.31312057608480171</v>
      </c>
      <c r="AM166" s="34">
        <f t="shared" si="168"/>
        <v>0.15785211133900409</v>
      </c>
      <c r="AN166" s="227">
        <f t="shared" si="171"/>
        <v>12.856931589853472</v>
      </c>
      <c r="AO166" s="227">
        <f t="shared" si="171"/>
        <v>12.856931586895328</v>
      </c>
      <c r="AP166" s="227">
        <f t="shared" si="171"/>
        <v>12.856931546149628</v>
      </c>
      <c r="AQ166" s="227">
        <f t="shared" si="171"/>
        <v>12.856930984915332</v>
      </c>
      <c r="AR166" s="227">
        <f t="shared" si="171"/>
        <v>12.856923254441892</v>
      </c>
      <c r="AS166" s="227">
        <f t="shared" si="171"/>
        <v>12.856816776274826</v>
      </c>
      <c r="AT166" s="227">
        <f t="shared" si="171"/>
        <v>12.855350509050737</v>
      </c>
      <c r="AU166" s="227">
        <f t="shared" si="169"/>
        <v>12.835222415298929</v>
      </c>
    </row>
    <row r="167" spans="1:48" ht="12.95" customHeight="1">
      <c r="A167" s="305" t="s">
        <v>258</v>
      </c>
      <c r="B167" s="306" t="s">
        <v>86</v>
      </c>
      <c r="C167" s="307">
        <v>56692.334940000001</v>
      </c>
      <c r="D167" s="305">
        <v>1E-4</v>
      </c>
      <c r="E167" s="227">
        <f t="shared" si="148"/>
        <v>36775.52739500942</v>
      </c>
      <c r="F167" s="227">
        <f t="shared" si="149"/>
        <v>36775.5</v>
      </c>
      <c r="G167" s="227">
        <f t="shared" si="150"/>
        <v>9.0377089945832267E-3</v>
      </c>
      <c r="H167" s="227"/>
      <c r="I167" s="227"/>
      <c r="K167" s="291">
        <f t="shared" ref="K167:K182" si="172">G167</f>
        <v>9.0377089945832267E-3</v>
      </c>
      <c r="L167" s="227"/>
      <c r="M167" s="227"/>
      <c r="N167" s="227"/>
      <c r="O167" s="227">
        <f t="shared" ca="1" si="146"/>
        <v>7.9337223635916054E-3</v>
      </c>
      <c r="P167" s="292">
        <f t="shared" si="152"/>
        <v>-1.6686360421945528E-2</v>
      </c>
      <c r="Q167" s="293">
        <f t="shared" si="153"/>
        <v>41673.834940000001</v>
      </c>
      <c r="R167" s="227">
        <f t="shared" si="154"/>
        <v>6.6172774734639004E-4</v>
      </c>
      <c r="S167" s="227">
        <v>1</v>
      </c>
      <c r="T167" s="227">
        <f t="shared" si="155"/>
        <v>6.6172774734639004E-4</v>
      </c>
      <c r="U167" s="227"/>
      <c r="Z167" s="34">
        <f t="shared" si="156"/>
        <v>36775.5</v>
      </c>
      <c r="AA167" s="227">
        <f t="shared" si="157"/>
        <v>8.1160487919195515E-3</v>
      </c>
      <c r="AB167" s="227">
        <f t="shared" si="158"/>
        <v>-1.5764700219281853E-2</v>
      </c>
      <c r="AC167" s="227">
        <f t="shared" si="159"/>
        <v>2.5724069416528755E-2</v>
      </c>
      <c r="AD167" s="227">
        <f t="shared" si="160"/>
        <v>9.2166020266367527E-4</v>
      </c>
      <c r="AE167" s="227">
        <f t="shared" si="161"/>
        <v>8.4945752917404692E-7</v>
      </c>
      <c r="AF167" s="34">
        <f t="shared" si="162"/>
        <v>2.5724069416528755E-2</v>
      </c>
      <c r="AG167" s="19"/>
      <c r="AH167" s="34">
        <f t="shared" si="163"/>
        <v>2.4802409213865079E-2</v>
      </c>
      <c r="AI167" s="34">
        <f t="shared" si="164"/>
        <v>1.0719553818336982</v>
      </c>
      <c r="AJ167" s="34">
        <f t="shared" si="165"/>
        <v>0.86437259264448507</v>
      </c>
      <c r="AK167" s="34">
        <f t="shared" si="166"/>
        <v>2.3759069410801841E-2</v>
      </c>
      <c r="AL167" s="34">
        <f t="shared" si="167"/>
        <v>0.31892041905010554</v>
      </c>
      <c r="AM167" s="34">
        <f t="shared" si="168"/>
        <v>0.16082566050696351</v>
      </c>
      <c r="AN167" s="227">
        <f t="shared" si="171"/>
        <v>12.862326215447125</v>
      </c>
      <c r="AO167" s="227">
        <f t="shared" si="171"/>
        <v>12.862326212464181</v>
      </c>
      <c r="AP167" s="227">
        <f t="shared" si="171"/>
        <v>12.862326171309901</v>
      </c>
      <c r="AQ167" s="227">
        <f t="shared" si="171"/>
        <v>12.862325603523628</v>
      </c>
      <c r="AR167" s="227">
        <f t="shared" si="171"/>
        <v>12.862317770052984</v>
      </c>
      <c r="AS167" s="227">
        <f t="shared" si="171"/>
        <v>12.862209697383596</v>
      </c>
      <c r="AT167" s="227">
        <f t="shared" si="171"/>
        <v>12.860719060369306</v>
      </c>
      <c r="AU167" s="227">
        <f t="shared" si="169"/>
        <v>12.840225708044317</v>
      </c>
    </row>
    <row r="168" spans="1:48" ht="12.95" customHeight="1">
      <c r="A168" s="305" t="s">
        <v>258</v>
      </c>
      <c r="B168" s="306" t="s">
        <v>86</v>
      </c>
      <c r="C168" s="307">
        <v>56692.335059999998</v>
      </c>
      <c r="D168" s="305">
        <v>2.0000000000000001E-4</v>
      </c>
      <c r="E168" s="227">
        <f t="shared" si="148"/>
        <v>36775.527758752156</v>
      </c>
      <c r="F168" s="227">
        <f t="shared" si="149"/>
        <v>36775.5</v>
      </c>
      <c r="G168" s="227">
        <f t="shared" si="150"/>
        <v>9.1577089915517718E-3</v>
      </c>
      <c r="H168" s="227"/>
      <c r="I168" s="227"/>
      <c r="K168" s="291">
        <f t="shared" si="172"/>
        <v>9.1577089915517718E-3</v>
      </c>
      <c r="L168" s="227"/>
      <c r="M168" s="227"/>
      <c r="N168" s="227"/>
      <c r="O168" s="227">
        <f t="shared" ca="1" si="146"/>
        <v>7.9337223635916054E-3</v>
      </c>
      <c r="P168" s="292">
        <f t="shared" si="152"/>
        <v>-1.6686360421945528E-2</v>
      </c>
      <c r="Q168" s="293">
        <f t="shared" si="153"/>
        <v>41673.835059999998</v>
      </c>
      <c r="R168" s="227">
        <f t="shared" si="154"/>
        <v>6.6791592384966663E-4</v>
      </c>
      <c r="S168" s="227">
        <v>1</v>
      </c>
      <c r="T168" s="227">
        <f t="shared" si="155"/>
        <v>6.6791592384966663E-4</v>
      </c>
      <c r="U168" s="227"/>
      <c r="Z168" s="34">
        <f t="shared" si="156"/>
        <v>36775.5</v>
      </c>
      <c r="AA168" s="227">
        <f t="shared" si="157"/>
        <v>8.1160487919195515E-3</v>
      </c>
      <c r="AB168" s="227">
        <f t="shared" si="158"/>
        <v>-1.5644700222313308E-2</v>
      </c>
      <c r="AC168" s="227">
        <f t="shared" si="159"/>
        <v>2.58440694134973E-2</v>
      </c>
      <c r="AD168" s="227">
        <f t="shared" si="160"/>
        <v>1.0416601996322203E-3</v>
      </c>
      <c r="AE168" s="227">
        <f t="shared" si="161"/>
        <v>1.0850559714978371E-6</v>
      </c>
      <c r="AF168" s="34">
        <f t="shared" si="162"/>
        <v>2.58440694134973E-2</v>
      </c>
      <c r="AG168" s="19"/>
      <c r="AH168" s="34">
        <f t="shared" si="163"/>
        <v>2.4802409213865079E-2</v>
      </c>
      <c r="AI168" s="34">
        <f t="shared" si="164"/>
        <v>1.0719553818336982</v>
      </c>
      <c r="AJ168" s="34">
        <f t="shared" si="165"/>
        <v>0.86437259264448507</v>
      </c>
      <c r="AK168" s="34">
        <f t="shared" si="166"/>
        <v>2.3759069410801841E-2</v>
      </c>
      <c r="AL168" s="34">
        <f t="shared" si="167"/>
        <v>0.31892041905010554</v>
      </c>
      <c r="AM168" s="34">
        <f t="shared" si="168"/>
        <v>0.16082566050696351</v>
      </c>
      <c r="AN168" s="227">
        <f t="shared" si="171"/>
        <v>12.862326215447125</v>
      </c>
      <c r="AO168" s="227">
        <f t="shared" si="171"/>
        <v>12.862326212464181</v>
      </c>
      <c r="AP168" s="227">
        <f t="shared" si="171"/>
        <v>12.862326171309901</v>
      </c>
      <c r="AQ168" s="227">
        <f t="shared" si="171"/>
        <v>12.862325603523628</v>
      </c>
      <c r="AR168" s="227">
        <f t="shared" si="171"/>
        <v>12.862317770052984</v>
      </c>
      <c r="AS168" s="227">
        <f t="shared" si="171"/>
        <v>12.862209697383596</v>
      </c>
      <c r="AT168" s="227">
        <f t="shared" si="171"/>
        <v>12.860719060369306</v>
      </c>
      <c r="AU168" s="227">
        <f t="shared" si="169"/>
        <v>12.840225708044317</v>
      </c>
      <c r="AV168" s="227"/>
    </row>
    <row r="169" spans="1:48" ht="12.95" customHeight="1">
      <c r="A169" s="305" t="s">
        <v>258</v>
      </c>
      <c r="B169" s="306" t="s">
        <v>86</v>
      </c>
      <c r="C169" s="307">
        <v>56692.33539</v>
      </c>
      <c r="D169" s="305">
        <v>1E-4</v>
      </c>
      <c r="E169" s="227">
        <f t="shared" si="148"/>
        <v>36775.528759044733</v>
      </c>
      <c r="F169" s="227">
        <f t="shared" si="149"/>
        <v>36775.5</v>
      </c>
      <c r="G169" s="227">
        <f t="shared" si="150"/>
        <v>9.487708994129207E-3</v>
      </c>
      <c r="H169" s="227"/>
      <c r="I169" s="227"/>
      <c r="K169" s="291">
        <f t="shared" si="172"/>
        <v>9.487708994129207E-3</v>
      </c>
      <c r="L169" s="227"/>
      <c r="M169" s="227"/>
      <c r="N169" s="227"/>
      <c r="O169" s="227">
        <f t="shared" ca="1" si="146"/>
        <v>7.9337223635916054E-3</v>
      </c>
      <c r="P169" s="292">
        <f t="shared" si="152"/>
        <v>-1.6686360421945528E-2</v>
      </c>
      <c r="Q169" s="293">
        <f t="shared" si="153"/>
        <v>41673.83539</v>
      </c>
      <c r="R169" s="227">
        <f t="shared" si="154"/>
        <v>6.8508190979749877E-4</v>
      </c>
      <c r="S169" s="227">
        <v>1</v>
      </c>
      <c r="T169" s="227">
        <f t="shared" si="155"/>
        <v>6.8508190979749877E-4</v>
      </c>
      <c r="U169" s="227"/>
      <c r="Z169" s="34">
        <f t="shared" si="156"/>
        <v>36775.5</v>
      </c>
      <c r="AA169" s="227">
        <f t="shared" si="157"/>
        <v>8.1160487919195515E-3</v>
      </c>
      <c r="AB169" s="227">
        <f t="shared" si="158"/>
        <v>-1.5314700219735872E-2</v>
      </c>
      <c r="AC169" s="227">
        <f t="shared" si="159"/>
        <v>2.6174069416074735E-2</v>
      </c>
      <c r="AD169" s="227">
        <f t="shared" si="160"/>
        <v>1.3716602022096555E-3</v>
      </c>
      <c r="AE169" s="227">
        <f t="shared" si="161"/>
        <v>1.8814517103258331E-6</v>
      </c>
      <c r="AF169" s="34">
        <f t="shared" si="162"/>
        <v>2.6174069416074735E-2</v>
      </c>
      <c r="AG169" s="19"/>
      <c r="AH169" s="34">
        <f t="shared" si="163"/>
        <v>2.4802409213865079E-2</v>
      </c>
      <c r="AI169" s="34">
        <f t="shared" si="164"/>
        <v>1.0719553818336982</v>
      </c>
      <c r="AJ169" s="34">
        <f t="shared" si="165"/>
        <v>0.86437259264448507</v>
      </c>
      <c r="AK169" s="34">
        <f t="shared" si="166"/>
        <v>2.3759069410801841E-2</v>
      </c>
      <c r="AL169" s="34">
        <f t="shared" si="167"/>
        <v>0.31892041905010554</v>
      </c>
      <c r="AM169" s="34">
        <f t="shared" si="168"/>
        <v>0.16082566050696351</v>
      </c>
      <c r="AN169" s="227">
        <f t="shared" si="171"/>
        <v>12.862326215447125</v>
      </c>
      <c r="AO169" s="227">
        <f t="shared" si="171"/>
        <v>12.862326212464181</v>
      </c>
      <c r="AP169" s="227">
        <f t="shared" si="171"/>
        <v>12.862326171309901</v>
      </c>
      <c r="AQ169" s="227">
        <f t="shared" si="171"/>
        <v>12.862325603523628</v>
      </c>
      <c r="AR169" s="227">
        <f t="shared" si="171"/>
        <v>12.862317770052984</v>
      </c>
      <c r="AS169" s="227">
        <f t="shared" si="171"/>
        <v>12.862209697383596</v>
      </c>
      <c r="AT169" s="227">
        <f t="shared" si="171"/>
        <v>12.860719060369306</v>
      </c>
      <c r="AU169" s="227">
        <f t="shared" si="169"/>
        <v>12.840225708044317</v>
      </c>
    </row>
    <row r="170" spans="1:48" ht="12.95" customHeight="1">
      <c r="A170" s="305" t="s">
        <v>258</v>
      </c>
      <c r="B170" s="306" t="s">
        <v>86</v>
      </c>
      <c r="C170" s="307">
        <v>56692.335859999999</v>
      </c>
      <c r="D170" s="305">
        <v>1E-4</v>
      </c>
      <c r="E170" s="227">
        <f t="shared" si="148"/>
        <v>36775.530183703835</v>
      </c>
      <c r="F170" s="227">
        <f t="shared" si="149"/>
        <v>36775.5</v>
      </c>
      <c r="G170" s="227">
        <f t="shared" si="150"/>
        <v>9.9577089931699447E-3</v>
      </c>
      <c r="H170" s="227"/>
      <c r="I170" s="227"/>
      <c r="K170" s="291">
        <f t="shared" si="172"/>
        <v>9.9577089931699447E-3</v>
      </c>
      <c r="L170" s="227"/>
      <c r="M170" s="227"/>
      <c r="N170" s="227"/>
      <c r="O170" s="227">
        <f t="shared" ca="1" si="146"/>
        <v>7.9337223635916054E-3</v>
      </c>
      <c r="P170" s="292">
        <f t="shared" si="152"/>
        <v>-1.6686360421945528E-2</v>
      </c>
      <c r="Q170" s="293">
        <f t="shared" si="153"/>
        <v>41673.835859999999</v>
      </c>
      <c r="R170" s="227">
        <f t="shared" si="154"/>
        <v>7.0990643499749175E-4</v>
      </c>
      <c r="S170" s="227">
        <v>1</v>
      </c>
      <c r="T170" s="227">
        <f t="shared" si="155"/>
        <v>7.0990643499749175E-4</v>
      </c>
      <c r="U170" s="227"/>
      <c r="Z170" s="34">
        <f t="shared" si="156"/>
        <v>36775.5</v>
      </c>
      <c r="AA170" s="227">
        <f t="shared" si="157"/>
        <v>8.1160487919195515E-3</v>
      </c>
      <c r="AB170" s="227">
        <f t="shared" si="158"/>
        <v>-1.4844700220695135E-2</v>
      </c>
      <c r="AC170" s="227">
        <f t="shared" si="159"/>
        <v>2.6644069415115473E-2</v>
      </c>
      <c r="AD170" s="227">
        <f t="shared" si="160"/>
        <v>1.8416602012503933E-3</v>
      </c>
      <c r="AE170" s="227">
        <f t="shared" si="161"/>
        <v>3.3917122968696392E-6</v>
      </c>
      <c r="AF170" s="34">
        <f t="shared" si="162"/>
        <v>2.6644069415115473E-2</v>
      </c>
      <c r="AG170" s="19"/>
      <c r="AH170" s="34">
        <f t="shared" si="163"/>
        <v>2.4802409213865079E-2</v>
      </c>
      <c r="AI170" s="34">
        <f t="shared" si="164"/>
        <v>1.0719553818336982</v>
      </c>
      <c r="AJ170" s="34">
        <f t="shared" si="165"/>
        <v>0.86437259264448507</v>
      </c>
      <c r="AK170" s="34">
        <f t="shared" si="166"/>
        <v>2.3759069410801841E-2</v>
      </c>
      <c r="AL170" s="34">
        <f t="shared" si="167"/>
        <v>0.31892041905010554</v>
      </c>
      <c r="AM170" s="34">
        <f t="shared" si="168"/>
        <v>0.16082566050696351</v>
      </c>
      <c r="AN170" s="227">
        <f t="shared" si="171"/>
        <v>12.862326215447125</v>
      </c>
      <c r="AO170" s="227">
        <f t="shared" si="171"/>
        <v>12.862326212464181</v>
      </c>
      <c r="AP170" s="227">
        <f t="shared" si="171"/>
        <v>12.862326171309901</v>
      </c>
      <c r="AQ170" s="227">
        <f t="shared" si="171"/>
        <v>12.862325603523628</v>
      </c>
      <c r="AR170" s="227">
        <f t="shared" si="171"/>
        <v>12.862317770052984</v>
      </c>
      <c r="AS170" s="227">
        <f t="shared" si="171"/>
        <v>12.862209697383596</v>
      </c>
      <c r="AT170" s="227">
        <f t="shared" si="171"/>
        <v>12.860719060369306</v>
      </c>
      <c r="AU170" s="227">
        <f t="shared" si="169"/>
        <v>12.840225708044317</v>
      </c>
      <c r="AV170" s="227"/>
    </row>
    <row r="171" spans="1:48" ht="12.95" customHeight="1">
      <c r="A171" s="305" t="s">
        <v>258</v>
      </c>
      <c r="B171" s="306" t="s">
        <v>87</v>
      </c>
      <c r="C171" s="307">
        <v>56714.272239999998</v>
      </c>
      <c r="D171" s="305">
        <v>4.0000000000000002E-4</v>
      </c>
      <c r="E171" s="227">
        <f t="shared" si="148"/>
        <v>36842.023510379302</v>
      </c>
      <c r="F171" s="227">
        <f t="shared" si="149"/>
        <v>36842</v>
      </c>
      <c r="G171" s="227">
        <f t="shared" si="150"/>
        <v>7.7561559955938719E-3</v>
      </c>
      <c r="H171" s="227"/>
      <c r="I171" s="227"/>
      <c r="K171" s="291">
        <f t="shared" si="172"/>
        <v>7.7561559955938719E-3</v>
      </c>
      <c r="L171" s="227"/>
      <c r="M171" s="227"/>
      <c r="N171" s="227"/>
      <c r="O171" s="227">
        <f t="shared" ca="1" si="146"/>
        <v>7.6924441359891849E-3</v>
      </c>
      <c r="P171" s="292">
        <f t="shared" si="152"/>
        <v>-1.6819538321702899E-2</v>
      </c>
      <c r="Q171" s="293">
        <f t="shared" si="153"/>
        <v>41695.772239999998</v>
      </c>
      <c r="R171" s="227">
        <f t="shared" si="154"/>
        <v>6.0396475117721279E-4</v>
      </c>
      <c r="S171" s="227">
        <v>1</v>
      </c>
      <c r="T171" s="227">
        <f t="shared" si="155"/>
        <v>6.0396475117721279E-4</v>
      </c>
      <c r="U171" s="227"/>
      <c r="Z171" s="34">
        <f t="shared" si="156"/>
        <v>36842</v>
      </c>
      <c r="AA171" s="227">
        <f t="shared" si="157"/>
        <v>7.9082783218261711E-3</v>
      </c>
      <c r="AB171" s="227">
        <f t="shared" si="158"/>
        <v>-1.6971660647935198E-2</v>
      </c>
      <c r="AC171" s="227">
        <f t="shared" si="159"/>
        <v>2.4575694317296771E-2</v>
      </c>
      <c r="AD171" s="227">
        <f t="shared" si="160"/>
        <v>-1.5212232623229918E-4</v>
      </c>
      <c r="AE171" s="227">
        <f t="shared" si="161"/>
        <v>2.3141202138326059E-8</v>
      </c>
      <c r="AF171" s="34">
        <f t="shared" si="162"/>
        <v>2.4575694317296771E-2</v>
      </c>
      <c r="AG171" s="19"/>
      <c r="AH171" s="34">
        <f t="shared" si="163"/>
        <v>2.472781664352907E-2</v>
      </c>
      <c r="AI171" s="34">
        <f t="shared" si="164"/>
        <v>1.0718153476518095</v>
      </c>
      <c r="AJ171" s="34">
        <f t="shared" si="165"/>
        <v>0.86142005974890323</v>
      </c>
      <c r="AK171" s="34">
        <f t="shared" si="166"/>
        <v>2.4179044558260282E-2</v>
      </c>
      <c r="AL171" s="34">
        <f t="shared" si="167"/>
        <v>0.32476269243086692</v>
      </c>
      <c r="AM171" s="34">
        <f t="shared" si="168"/>
        <v>0.16382376910581484</v>
      </c>
      <c r="AN171" s="227">
        <f t="shared" ref="AN171:AT180" si="173">$AU171+$AB$7*SIN(AO171)</f>
        <v>12.867761008149015</v>
      </c>
      <c r="AO171" s="227">
        <f t="shared" si="173"/>
        <v>12.867761005142484</v>
      </c>
      <c r="AP171" s="227">
        <f t="shared" si="173"/>
        <v>12.867760963593302</v>
      </c>
      <c r="AQ171" s="227">
        <f t="shared" si="173"/>
        <v>12.867760389398756</v>
      </c>
      <c r="AR171" s="227">
        <f t="shared" si="173"/>
        <v>12.867752454249995</v>
      </c>
      <c r="AS171" s="227">
        <f t="shared" si="173"/>
        <v>12.867642795536575</v>
      </c>
      <c r="AT171" s="227">
        <f t="shared" si="173"/>
        <v>12.866127763655758</v>
      </c>
      <c r="AU171" s="227">
        <f t="shared" si="169"/>
        <v>12.845266904522623</v>
      </c>
    </row>
    <row r="172" spans="1:48" ht="12.95" customHeight="1">
      <c r="A172" s="305" t="s">
        <v>258</v>
      </c>
      <c r="B172" s="306" t="s">
        <v>87</v>
      </c>
      <c r="C172" s="307">
        <v>56714.272669999998</v>
      </c>
      <c r="D172" s="305">
        <v>2.0000000000000001E-4</v>
      </c>
      <c r="E172" s="227">
        <f t="shared" si="148"/>
        <v>36842.02481379082</v>
      </c>
      <c r="F172" s="227">
        <f t="shared" si="149"/>
        <v>36842</v>
      </c>
      <c r="G172" s="227">
        <f t="shared" si="150"/>
        <v>8.1861559956450947E-3</v>
      </c>
      <c r="H172" s="227"/>
      <c r="I172" s="227"/>
      <c r="K172" s="291">
        <f t="shared" si="172"/>
        <v>8.1861559956450947E-3</v>
      </c>
      <c r="L172" s="227"/>
      <c r="M172" s="227"/>
      <c r="N172" s="227"/>
      <c r="O172" s="227">
        <f t="shared" ca="1" si="146"/>
        <v>7.6924441359891849E-3</v>
      </c>
      <c r="P172" s="292">
        <f t="shared" si="152"/>
        <v>-1.6819538321702899E-2</v>
      </c>
      <c r="Q172" s="293">
        <f t="shared" si="153"/>
        <v>41695.772669999998</v>
      </c>
      <c r="R172" s="227">
        <f t="shared" si="154"/>
        <v>6.2528474829264978E-4</v>
      </c>
      <c r="S172" s="227">
        <v>1</v>
      </c>
      <c r="T172" s="227">
        <f t="shared" si="155"/>
        <v>6.2528474829264978E-4</v>
      </c>
      <c r="U172" s="227"/>
      <c r="Z172" s="34">
        <f t="shared" si="156"/>
        <v>36842</v>
      </c>
      <c r="AA172" s="227">
        <f t="shared" si="157"/>
        <v>7.9082783218261711E-3</v>
      </c>
      <c r="AB172" s="227">
        <f t="shared" si="158"/>
        <v>-1.6541660647883975E-2</v>
      </c>
      <c r="AC172" s="227">
        <f t="shared" si="159"/>
        <v>2.5005694317347994E-2</v>
      </c>
      <c r="AD172" s="227">
        <f t="shared" si="160"/>
        <v>2.7787767381892356E-4</v>
      </c>
      <c r="AE172" s="227">
        <f t="shared" si="161"/>
        <v>7.7216001607016075E-8</v>
      </c>
      <c r="AF172" s="34">
        <f t="shared" si="162"/>
        <v>2.5005694317347994E-2</v>
      </c>
      <c r="AG172" s="19"/>
      <c r="AH172" s="34">
        <f t="shared" si="163"/>
        <v>2.472781664352907E-2</v>
      </c>
      <c r="AI172" s="34">
        <f t="shared" si="164"/>
        <v>1.0718153476518095</v>
      </c>
      <c r="AJ172" s="34">
        <f t="shared" si="165"/>
        <v>0.86142005974890323</v>
      </c>
      <c r="AK172" s="34">
        <f t="shared" si="166"/>
        <v>2.4179044558260282E-2</v>
      </c>
      <c r="AL172" s="34">
        <f t="shared" si="167"/>
        <v>0.32476269243086692</v>
      </c>
      <c r="AM172" s="34">
        <f t="shared" si="168"/>
        <v>0.16382376910581484</v>
      </c>
      <c r="AN172" s="227">
        <f t="shared" si="173"/>
        <v>12.867761008149015</v>
      </c>
      <c r="AO172" s="227">
        <f t="shared" si="173"/>
        <v>12.867761005142484</v>
      </c>
      <c r="AP172" s="227">
        <f t="shared" si="173"/>
        <v>12.867760963593302</v>
      </c>
      <c r="AQ172" s="227">
        <f t="shared" si="173"/>
        <v>12.867760389398756</v>
      </c>
      <c r="AR172" s="227">
        <f t="shared" si="173"/>
        <v>12.867752454249995</v>
      </c>
      <c r="AS172" s="227">
        <f t="shared" si="173"/>
        <v>12.867642795536575</v>
      </c>
      <c r="AT172" s="227">
        <f t="shared" si="173"/>
        <v>12.866127763655758</v>
      </c>
      <c r="AU172" s="227">
        <f t="shared" si="169"/>
        <v>12.845266904522623</v>
      </c>
    </row>
    <row r="173" spans="1:48" ht="12.95" customHeight="1">
      <c r="A173" s="305" t="s">
        <v>258</v>
      </c>
      <c r="B173" s="306" t="s">
        <v>87</v>
      </c>
      <c r="C173" s="307">
        <v>56714.272830000002</v>
      </c>
      <c r="D173" s="305">
        <v>2.0000000000000001E-4</v>
      </c>
      <c r="E173" s="227">
        <f t="shared" si="148"/>
        <v>36842.025298781169</v>
      </c>
      <c r="F173" s="227">
        <f t="shared" si="149"/>
        <v>36842</v>
      </c>
      <c r="G173" s="227">
        <f t="shared" si="150"/>
        <v>8.3461559988791123E-3</v>
      </c>
      <c r="H173" s="227"/>
      <c r="I173" s="227"/>
      <c r="K173" s="291">
        <f t="shared" si="172"/>
        <v>8.3461559988791123E-3</v>
      </c>
      <c r="L173" s="227"/>
      <c r="M173" s="227"/>
      <c r="N173" s="227"/>
      <c r="O173" s="227">
        <f t="shared" ref="O173:O204" ca="1" si="174">+C$11+C$12*F173</f>
        <v>7.6924441359891849E-3</v>
      </c>
      <c r="P173" s="292">
        <f t="shared" si="152"/>
        <v>-1.6819538321702899E-2</v>
      </c>
      <c r="Q173" s="293">
        <f t="shared" si="153"/>
        <v>41695.772830000002</v>
      </c>
      <c r="R173" s="227">
        <f t="shared" si="154"/>
        <v>6.3331217063697365E-4</v>
      </c>
      <c r="S173" s="227">
        <v>1</v>
      </c>
      <c r="T173" s="227">
        <f t="shared" si="155"/>
        <v>6.3331217063697365E-4</v>
      </c>
      <c r="U173" s="227"/>
      <c r="Z173" s="34">
        <f t="shared" si="156"/>
        <v>36842</v>
      </c>
      <c r="AA173" s="227">
        <f t="shared" si="157"/>
        <v>7.9082783218261711E-3</v>
      </c>
      <c r="AB173" s="227">
        <f t="shared" si="158"/>
        <v>-1.6381660644649958E-2</v>
      </c>
      <c r="AC173" s="227">
        <f t="shared" si="159"/>
        <v>2.5165694320582011E-2</v>
      </c>
      <c r="AD173" s="227">
        <f t="shared" si="160"/>
        <v>4.378776770529412E-4</v>
      </c>
      <c r="AE173" s="227">
        <f t="shared" si="161"/>
        <v>1.9173686006127986E-7</v>
      </c>
      <c r="AF173" s="34">
        <f t="shared" si="162"/>
        <v>2.5165694320582011E-2</v>
      </c>
      <c r="AG173" s="19"/>
      <c r="AH173" s="34">
        <f t="shared" si="163"/>
        <v>2.472781664352907E-2</v>
      </c>
      <c r="AI173" s="34">
        <f t="shared" si="164"/>
        <v>1.0718153476518095</v>
      </c>
      <c r="AJ173" s="34">
        <f t="shared" si="165"/>
        <v>0.86142005974890323</v>
      </c>
      <c r="AK173" s="34">
        <f t="shared" si="166"/>
        <v>2.4179044558260282E-2</v>
      </c>
      <c r="AL173" s="34">
        <f t="shared" si="167"/>
        <v>0.32476269243086692</v>
      </c>
      <c r="AM173" s="34">
        <f t="shared" si="168"/>
        <v>0.16382376910581484</v>
      </c>
      <c r="AN173" s="227">
        <f t="shared" si="173"/>
        <v>12.867761008149015</v>
      </c>
      <c r="AO173" s="227">
        <f t="shared" si="173"/>
        <v>12.867761005142484</v>
      </c>
      <c r="AP173" s="227">
        <f t="shared" si="173"/>
        <v>12.867760963593302</v>
      </c>
      <c r="AQ173" s="227">
        <f t="shared" si="173"/>
        <v>12.867760389398756</v>
      </c>
      <c r="AR173" s="227">
        <f t="shared" si="173"/>
        <v>12.867752454249995</v>
      </c>
      <c r="AS173" s="227">
        <f t="shared" si="173"/>
        <v>12.867642795536575</v>
      </c>
      <c r="AT173" s="227">
        <f t="shared" si="173"/>
        <v>12.866127763655758</v>
      </c>
      <c r="AU173" s="227">
        <f t="shared" si="169"/>
        <v>12.845266904522623</v>
      </c>
    </row>
    <row r="174" spans="1:48" ht="12.95" customHeight="1">
      <c r="A174" s="305" t="s">
        <v>258</v>
      </c>
      <c r="B174" s="306" t="s">
        <v>87</v>
      </c>
      <c r="C174" s="307">
        <v>56714.272949999999</v>
      </c>
      <c r="D174" s="305">
        <v>2.0000000000000001E-4</v>
      </c>
      <c r="E174" s="227">
        <f t="shared" si="148"/>
        <v>36842.025662523905</v>
      </c>
      <c r="F174" s="227">
        <f t="shared" si="149"/>
        <v>36842</v>
      </c>
      <c r="G174" s="227">
        <f t="shared" si="150"/>
        <v>8.4661559958476573E-3</v>
      </c>
      <c r="H174" s="227"/>
      <c r="I174" s="227"/>
      <c r="K174" s="291">
        <f t="shared" si="172"/>
        <v>8.4661559958476573E-3</v>
      </c>
      <c r="L174" s="227"/>
      <c r="M174" s="227"/>
      <c r="N174" s="227"/>
      <c r="O174" s="227">
        <f t="shared" ca="1" si="174"/>
        <v>7.6924441359891849E-3</v>
      </c>
      <c r="P174" s="292">
        <f t="shared" si="152"/>
        <v>-1.6819538321702899E-2</v>
      </c>
      <c r="Q174" s="293">
        <f t="shared" si="153"/>
        <v>41695.772949999999</v>
      </c>
      <c r="R174" s="227">
        <f t="shared" si="154"/>
        <v>6.3936633712060849E-4</v>
      </c>
      <c r="S174" s="227">
        <v>1</v>
      </c>
      <c r="T174" s="227">
        <f t="shared" si="155"/>
        <v>6.3936633712060849E-4</v>
      </c>
      <c r="U174" s="227"/>
      <c r="Z174" s="34">
        <f t="shared" si="156"/>
        <v>36842</v>
      </c>
      <c r="AA174" s="227">
        <f t="shared" si="157"/>
        <v>7.9082783218261711E-3</v>
      </c>
      <c r="AB174" s="227">
        <f t="shared" si="158"/>
        <v>-1.6261660647681413E-2</v>
      </c>
      <c r="AC174" s="227">
        <f t="shared" si="159"/>
        <v>2.5285694317550556E-2</v>
      </c>
      <c r="AD174" s="227">
        <f t="shared" si="160"/>
        <v>5.5787767402148622E-4</v>
      </c>
      <c r="AE174" s="227">
        <f t="shared" si="161"/>
        <v>3.1122749917162364E-7</v>
      </c>
      <c r="AF174" s="34">
        <f t="shared" si="162"/>
        <v>2.5285694317550556E-2</v>
      </c>
      <c r="AG174" s="19"/>
      <c r="AH174" s="34">
        <f t="shared" si="163"/>
        <v>2.472781664352907E-2</v>
      </c>
      <c r="AI174" s="34">
        <f t="shared" si="164"/>
        <v>1.0718153476518095</v>
      </c>
      <c r="AJ174" s="34">
        <f t="shared" si="165"/>
        <v>0.86142005974890323</v>
      </c>
      <c r="AK174" s="34">
        <f t="shared" si="166"/>
        <v>2.4179044558260282E-2</v>
      </c>
      <c r="AL174" s="34">
        <f t="shared" si="167"/>
        <v>0.32476269243086692</v>
      </c>
      <c r="AM174" s="34">
        <f t="shared" si="168"/>
        <v>0.16382376910581484</v>
      </c>
      <c r="AN174" s="227">
        <f t="shared" si="173"/>
        <v>12.867761008149015</v>
      </c>
      <c r="AO174" s="227">
        <f t="shared" si="173"/>
        <v>12.867761005142484</v>
      </c>
      <c r="AP174" s="227">
        <f t="shared" si="173"/>
        <v>12.867760963593302</v>
      </c>
      <c r="AQ174" s="227">
        <f t="shared" si="173"/>
        <v>12.867760389398756</v>
      </c>
      <c r="AR174" s="227">
        <f t="shared" si="173"/>
        <v>12.867752454249995</v>
      </c>
      <c r="AS174" s="227">
        <f t="shared" si="173"/>
        <v>12.867642795536575</v>
      </c>
      <c r="AT174" s="227">
        <f t="shared" si="173"/>
        <v>12.866127763655758</v>
      </c>
      <c r="AU174" s="227">
        <f t="shared" si="169"/>
        <v>12.845266904522623</v>
      </c>
    </row>
    <row r="175" spans="1:48" ht="12.95" customHeight="1">
      <c r="A175" s="308" t="s">
        <v>753</v>
      </c>
      <c r="B175" s="309" t="s">
        <v>86</v>
      </c>
      <c r="C175" s="310">
        <v>56943.384879999998</v>
      </c>
      <c r="D175" s="310">
        <v>1E-4</v>
      </c>
      <c r="E175" s="227">
        <f t="shared" si="148"/>
        <v>37536.507359446397</v>
      </c>
      <c r="F175" s="227">
        <f t="shared" si="149"/>
        <v>37536.5</v>
      </c>
      <c r="G175" s="227">
        <f t="shared" si="150"/>
        <v>2.4279069912154227E-3</v>
      </c>
      <c r="H175" s="227"/>
      <c r="I175" s="227"/>
      <c r="J175" s="227"/>
      <c r="K175" s="227">
        <f t="shared" si="172"/>
        <v>2.4279069912154227E-3</v>
      </c>
      <c r="M175" s="227"/>
      <c r="N175" s="227"/>
      <c r="O175" s="227">
        <f t="shared" ca="1" si="174"/>
        <v>5.1726286612541472E-3</v>
      </c>
      <c r="P175" s="292">
        <f t="shared" si="152"/>
        <v>-1.8224938921048189E-2</v>
      </c>
      <c r="Q175" s="293">
        <f t="shared" si="153"/>
        <v>41924.884879999998</v>
      </c>
      <c r="R175" s="227">
        <f t="shared" si="154"/>
        <v>4.2654004427570376E-4</v>
      </c>
      <c r="S175" s="227">
        <v>1</v>
      </c>
      <c r="T175" s="227">
        <f t="shared" si="155"/>
        <v>4.2654004427570376E-4</v>
      </c>
      <c r="U175" s="227"/>
      <c r="Z175" s="34">
        <f t="shared" si="156"/>
        <v>37536.5</v>
      </c>
      <c r="AA175" s="227">
        <f t="shared" si="157"/>
        <v>5.6813280137222553E-3</v>
      </c>
      <c r="AB175" s="227">
        <f t="shared" si="158"/>
        <v>-2.1478359943555021E-2</v>
      </c>
      <c r="AC175" s="227">
        <f t="shared" si="159"/>
        <v>2.0652845912263611E-2</v>
      </c>
      <c r="AD175" s="227">
        <f t="shared" si="160"/>
        <v>-3.2534210225068326E-3</v>
      </c>
      <c r="AE175" s="227">
        <f t="shared" si="161"/>
        <v>1.0584748349689404E-5</v>
      </c>
      <c r="AF175" s="34">
        <f t="shared" si="162"/>
        <v>2.0652845912263611E-2</v>
      </c>
      <c r="AG175" s="19"/>
      <c r="AH175" s="34">
        <f t="shared" si="163"/>
        <v>2.3906266934770444E-2</v>
      </c>
      <c r="AI175" s="34">
        <f t="shared" si="164"/>
        <v>1.0702101198303222</v>
      </c>
      <c r="AJ175" s="34">
        <f t="shared" si="165"/>
        <v>0.82890173208585749</v>
      </c>
      <c r="AK175" s="34">
        <f t="shared" si="166"/>
        <v>2.8506305048399308E-2</v>
      </c>
      <c r="AL175" s="34">
        <f t="shared" si="167"/>
        <v>0.38568024894031383</v>
      </c>
      <c r="AM175" s="34">
        <f t="shared" si="168"/>
        <v>0.19526662697772257</v>
      </c>
      <c r="AN175" s="227">
        <f t="shared" si="173"/>
        <v>12.924474781773265</v>
      </c>
      <c r="AO175" s="227">
        <f t="shared" si="173"/>
        <v>12.924474778604088</v>
      </c>
      <c r="AP175" s="227">
        <f t="shared" si="173"/>
        <v>12.924474733948569</v>
      </c>
      <c r="AQ175" s="227">
        <f t="shared" si="173"/>
        <v>12.924474104726665</v>
      </c>
      <c r="AR175" s="227">
        <f t="shared" si="173"/>
        <v>12.924465238644459</v>
      </c>
      <c r="AS175" s="227">
        <f t="shared" si="173"/>
        <v>12.924340313803921</v>
      </c>
      <c r="AT175" s="227">
        <f t="shared" si="173"/>
        <v>12.922580717598139</v>
      </c>
      <c r="AU175" s="227">
        <f t="shared" si="169"/>
        <v>12.897915189547939</v>
      </c>
    </row>
    <row r="176" spans="1:48" ht="12.95" customHeight="1">
      <c r="A176" s="308" t="s">
        <v>753</v>
      </c>
      <c r="B176" s="309" t="s">
        <v>86</v>
      </c>
      <c r="C176" s="310">
        <v>56943.387410000003</v>
      </c>
      <c r="D176" s="310">
        <v>2.0000000000000001E-4</v>
      </c>
      <c r="E176" s="227">
        <f t="shared" si="148"/>
        <v>37536.51502835608</v>
      </c>
      <c r="F176" s="227">
        <f t="shared" si="149"/>
        <v>37536.5</v>
      </c>
      <c r="G176" s="227">
        <f t="shared" si="150"/>
        <v>4.9579069964238442E-3</v>
      </c>
      <c r="H176" s="227"/>
      <c r="I176" s="227"/>
      <c r="J176" s="227"/>
      <c r="K176" s="227">
        <f t="shared" si="172"/>
        <v>4.9579069964238442E-3</v>
      </c>
      <c r="M176" s="227"/>
      <c r="N176" s="227"/>
      <c r="O176" s="227">
        <f t="shared" ca="1" si="174"/>
        <v>5.1726286612541472E-3</v>
      </c>
      <c r="P176" s="292">
        <f t="shared" si="152"/>
        <v>-1.8224938921048189E-2</v>
      </c>
      <c r="Q176" s="293">
        <f t="shared" si="153"/>
        <v>41924.887410000003</v>
      </c>
      <c r="R176" s="227">
        <f t="shared" si="154"/>
        <v>5.3744434483324972E-4</v>
      </c>
      <c r="S176" s="227">
        <v>1</v>
      </c>
      <c r="T176" s="227">
        <f t="shared" si="155"/>
        <v>5.3744434483324972E-4</v>
      </c>
      <c r="U176" s="227"/>
      <c r="Z176" s="34">
        <f t="shared" si="156"/>
        <v>37536.5</v>
      </c>
      <c r="AA176" s="227">
        <f t="shared" si="157"/>
        <v>5.6813280137222553E-3</v>
      </c>
      <c r="AB176" s="227">
        <f t="shared" si="158"/>
        <v>-1.89483599383466E-2</v>
      </c>
      <c r="AC176" s="227">
        <f t="shared" si="159"/>
        <v>2.3182845917472033E-2</v>
      </c>
      <c r="AD176" s="227">
        <f t="shared" si="160"/>
        <v>-7.234210172984111E-4</v>
      </c>
      <c r="AE176" s="227">
        <f t="shared" si="161"/>
        <v>5.2333796826906797E-7</v>
      </c>
      <c r="AF176" s="34">
        <f t="shared" si="162"/>
        <v>2.3182845917472033E-2</v>
      </c>
      <c r="AG176" s="19"/>
      <c r="AH176" s="34">
        <f t="shared" si="163"/>
        <v>2.3906266934770444E-2</v>
      </c>
      <c r="AI176" s="34">
        <f t="shared" si="164"/>
        <v>1.0702101198303222</v>
      </c>
      <c r="AJ176" s="34">
        <f t="shared" si="165"/>
        <v>0.82890173208585749</v>
      </c>
      <c r="AK176" s="34">
        <f t="shared" si="166"/>
        <v>2.8506305048399308E-2</v>
      </c>
      <c r="AL176" s="34">
        <f t="shared" si="167"/>
        <v>0.38568024894031383</v>
      </c>
      <c r="AM176" s="34">
        <f t="shared" si="168"/>
        <v>0.19526662697772257</v>
      </c>
      <c r="AN176" s="227">
        <f t="shared" si="173"/>
        <v>12.924474781773265</v>
      </c>
      <c r="AO176" s="227">
        <f t="shared" si="173"/>
        <v>12.924474778604088</v>
      </c>
      <c r="AP176" s="227">
        <f t="shared" si="173"/>
        <v>12.924474733948569</v>
      </c>
      <c r="AQ176" s="227">
        <f t="shared" si="173"/>
        <v>12.924474104726665</v>
      </c>
      <c r="AR176" s="227">
        <f t="shared" si="173"/>
        <v>12.924465238644459</v>
      </c>
      <c r="AS176" s="227">
        <f t="shared" si="173"/>
        <v>12.924340313803921</v>
      </c>
      <c r="AT176" s="227">
        <f t="shared" si="173"/>
        <v>12.922580717598139</v>
      </c>
      <c r="AU176" s="227">
        <f t="shared" si="169"/>
        <v>12.897915189547939</v>
      </c>
    </row>
    <row r="177" spans="1:48" ht="12.95" customHeight="1">
      <c r="A177" s="308" t="s">
        <v>753</v>
      </c>
      <c r="B177" s="309" t="s">
        <v>86</v>
      </c>
      <c r="C177" s="310">
        <v>56943.38768</v>
      </c>
      <c r="D177" s="310">
        <v>1E-4</v>
      </c>
      <c r="E177" s="227">
        <f t="shared" si="148"/>
        <v>37536.515846777256</v>
      </c>
      <c r="F177" s="227">
        <f t="shared" si="149"/>
        <v>37536.5</v>
      </c>
      <c r="G177" s="227">
        <f t="shared" si="150"/>
        <v>5.2279069932410493E-3</v>
      </c>
      <c r="H177" s="227"/>
      <c r="I177" s="227"/>
      <c r="J177" s="227"/>
      <c r="K177" s="227">
        <f t="shared" si="172"/>
        <v>5.2279069932410493E-3</v>
      </c>
      <c r="M177" s="227"/>
      <c r="N177" s="227"/>
      <c r="O177" s="227">
        <f t="shared" ca="1" si="174"/>
        <v>5.1726286612541472E-3</v>
      </c>
      <c r="P177" s="292">
        <f t="shared" si="152"/>
        <v>-1.8224938921048189E-2</v>
      </c>
      <c r="Q177" s="293">
        <f t="shared" si="153"/>
        <v>41924.88768</v>
      </c>
      <c r="R177" s="227">
        <f t="shared" si="154"/>
        <v>5.5003598147939335E-4</v>
      </c>
      <c r="S177" s="227">
        <v>1</v>
      </c>
      <c r="T177" s="227">
        <f t="shared" si="155"/>
        <v>5.5003598147939335E-4</v>
      </c>
      <c r="U177" s="227"/>
      <c r="Z177" s="34">
        <f t="shared" si="156"/>
        <v>37536.5</v>
      </c>
      <c r="AA177" s="227">
        <f t="shared" si="157"/>
        <v>5.6813280137222553E-3</v>
      </c>
      <c r="AB177" s="227">
        <f t="shared" si="158"/>
        <v>-1.8678359941529395E-2</v>
      </c>
      <c r="AC177" s="227">
        <f t="shared" si="159"/>
        <v>2.3452845914289238E-2</v>
      </c>
      <c r="AD177" s="227">
        <f t="shared" si="160"/>
        <v>-4.53421020481206E-4</v>
      </c>
      <c r="AE177" s="227">
        <f t="shared" si="161"/>
        <v>2.0559062181421824E-7</v>
      </c>
      <c r="AF177" s="34">
        <f t="shared" si="162"/>
        <v>2.3452845914289238E-2</v>
      </c>
      <c r="AG177" s="19"/>
      <c r="AH177" s="34">
        <f t="shared" si="163"/>
        <v>2.3906266934770444E-2</v>
      </c>
      <c r="AI177" s="34">
        <f t="shared" si="164"/>
        <v>1.0702101198303222</v>
      </c>
      <c r="AJ177" s="34">
        <f t="shared" si="165"/>
        <v>0.82890173208585749</v>
      </c>
      <c r="AK177" s="34">
        <f t="shared" si="166"/>
        <v>2.8506305048399308E-2</v>
      </c>
      <c r="AL177" s="34">
        <f t="shared" si="167"/>
        <v>0.38568024894031383</v>
      </c>
      <c r="AM177" s="34">
        <f t="shared" si="168"/>
        <v>0.19526662697772257</v>
      </c>
      <c r="AN177" s="227">
        <f t="shared" si="173"/>
        <v>12.924474781773265</v>
      </c>
      <c r="AO177" s="227">
        <f t="shared" si="173"/>
        <v>12.924474778604088</v>
      </c>
      <c r="AP177" s="227">
        <f t="shared" si="173"/>
        <v>12.924474733948569</v>
      </c>
      <c r="AQ177" s="227">
        <f t="shared" si="173"/>
        <v>12.924474104726665</v>
      </c>
      <c r="AR177" s="227">
        <f t="shared" si="173"/>
        <v>12.924465238644459</v>
      </c>
      <c r="AS177" s="227">
        <f t="shared" si="173"/>
        <v>12.924340313803921</v>
      </c>
      <c r="AT177" s="227">
        <f t="shared" si="173"/>
        <v>12.922580717598139</v>
      </c>
      <c r="AU177" s="227">
        <f t="shared" si="169"/>
        <v>12.897915189547939</v>
      </c>
    </row>
    <row r="178" spans="1:48" ht="12.95" customHeight="1">
      <c r="A178" s="308" t="s">
        <v>753</v>
      </c>
      <c r="B178" s="309" t="s">
        <v>86</v>
      </c>
      <c r="C178" s="310">
        <v>56943.388140000003</v>
      </c>
      <c r="D178" s="310">
        <v>1E-4</v>
      </c>
      <c r="E178" s="227">
        <f t="shared" si="148"/>
        <v>37536.517241124478</v>
      </c>
      <c r="F178" s="227">
        <f t="shared" si="149"/>
        <v>37536.5</v>
      </c>
      <c r="G178" s="227">
        <f t="shared" si="150"/>
        <v>5.6879069961723872E-3</v>
      </c>
      <c r="H178" s="227"/>
      <c r="I178" s="227"/>
      <c r="J178" s="227"/>
      <c r="K178" s="227">
        <f t="shared" si="172"/>
        <v>5.6879069961723872E-3</v>
      </c>
      <c r="M178" s="227"/>
      <c r="N178" s="227"/>
      <c r="O178" s="227">
        <f t="shared" ca="1" si="174"/>
        <v>5.1726286612541472E-3</v>
      </c>
      <c r="P178" s="292">
        <f t="shared" si="152"/>
        <v>-1.8224938921048189E-2</v>
      </c>
      <c r="Q178" s="293">
        <f t="shared" si="153"/>
        <v>41924.888140000003</v>
      </c>
      <c r="R178" s="227">
        <f t="shared" si="154"/>
        <v>5.7182419986073275E-4</v>
      </c>
      <c r="S178" s="227">
        <v>1</v>
      </c>
      <c r="T178" s="227">
        <f t="shared" si="155"/>
        <v>5.7182419986073275E-4</v>
      </c>
      <c r="U178" s="227"/>
      <c r="Z178" s="34">
        <f t="shared" si="156"/>
        <v>37536.5</v>
      </c>
      <c r="AA178" s="227">
        <f t="shared" si="157"/>
        <v>5.6813280137222553E-3</v>
      </c>
      <c r="AB178" s="227">
        <f t="shared" si="158"/>
        <v>-1.8218359938598057E-2</v>
      </c>
      <c r="AC178" s="227">
        <f t="shared" si="159"/>
        <v>2.3912845917220576E-2</v>
      </c>
      <c r="AD178" s="227">
        <f t="shared" si="160"/>
        <v>6.5789824501318039E-6</v>
      </c>
      <c r="AE178" s="227">
        <f t="shared" si="161"/>
        <v>4.3283010079142273E-11</v>
      </c>
      <c r="AF178" s="34">
        <f t="shared" si="162"/>
        <v>2.3912845917220576E-2</v>
      </c>
      <c r="AG178" s="19"/>
      <c r="AH178" s="34">
        <f t="shared" si="163"/>
        <v>2.3906266934770444E-2</v>
      </c>
      <c r="AI178" s="34">
        <f t="shared" si="164"/>
        <v>1.0702101198303222</v>
      </c>
      <c r="AJ178" s="34">
        <f t="shared" si="165"/>
        <v>0.82890173208585749</v>
      </c>
      <c r="AK178" s="34">
        <f t="shared" si="166"/>
        <v>2.8506305048399308E-2</v>
      </c>
      <c r="AL178" s="34">
        <f t="shared" si="167"/>
        <v>0.38568024894031383</v>
      </c>
      <c r="AM178" s="34">
        <f t="shared" si="168"/>
        <v>0.19526662697772257</v>
      </c>
      <c r="AN178" s="227">
        <f t="shared" si="173"/>
        <v>12.924474781773265</v>
      </c>
      <c r="AO178" s="227">
        <f t="shared" si="173"/>
        <v>12.924474778604088</v>
      </c>
      <c r="AP178" s="227">
        <f t="shared" si="173"/>
        <v>12.924474733948569</v>
      </c>
      <c r="AQ178" s="227">
        <f t="shared" si="173"/>
        <v>12.924474104726665</v>
      </c>
      <c r="AR178" s="227">
        <f t="shared" si="173"/>
        <v>12.924465238644459</v>
      </c>
      <c r="AS178" s="227">
        <f t="shared" si="173"/>
        <v>12.924340313803921</v>
      </c>
      <c r="AT178" s="227">
        <f t="shared" si="173"/>
        <v>12.922580717598139</v>
      </c>
      <c r="AU178" s="227">
        <f t="shared" si="169"/>
        <v>12.897915189547939</v>
      </c>
    </row>
    <row r="179" spans="1:48" ht="12.95" customHeight="1">
      <c r="A179" s="308" t="s">
        <v>753</v>
      </c>
      <c r="B179" s="309" t="s">
        <v>86</v>
      </c>
      <c r="C179" s="310">
        <v>56985.284829999997</v>
      </c>
      <c r="D179" s="310">
        <v>2.0000000000000001E-4</v>
      </c>
      <c r="E179" s="227">
        <f t="shared" si="148"/>
        <v>37663.514051664337</v>
      </c>
      <c r="F179" s="227">
        <f t="shared" si="149"/>
        <v>37663.5</v>
      </c>
      <c r="G179" s="227">
        <f t="shared" si="150"/>
        <v>4.6356929888133891E-3</v>
      </c>
      <c r="H179" s="227"/>
      <c r="I179" s="227"/>
      <c r="J179" s="227"/>
      <c r="K179" s="227">
        <f t="shared" si="172"/>
        <v>4.6356929888133891E-3</v>
      </c>
      <c r="M179" s="227"/>
      <c r="N179" s="227"/>
      <c r="O179" s="227">
        <f t="shared" ca="1" si="174"/>
        <v>4.7118416701938948E-3</v>
      </c>
      <c r="P179" s="292">
        <f t="shared" si="152"/>
        <v>-1.8484808796331992E-2</v>
      </c>
      <c r="Q179" s="293">
        <f t="shared" si="153"/>
        <v>41966.784829999997</v>
      </c>
      <c r="R179" s="227">
        <f t="shared" si="154"/>
        <v>5.3455760279691076E-4</v>
      </c>
      <c r="S179" s="227">
        <v>1</v>
      </c>
      <c r="T179" s="227">
        <f t="shared" si="155"/>
        <v>5.3455760279691076E-4</v>
      </c>
      <c r="U179" s="227"/>
      <c r="Z179" s="34">
        <f t="shared" si="156"/>
        <v>37663.5</v>
      </c>
      <c r="AA179" s="227">
        <f t="shared" si="157"/>
        <v>5.2629762452561651E-3</v>
      </c>
      <c r="AB179" s="227">
        <f t="shared" si="158"/>
        <v>-1.9112092052774768E-2</v>
      </c>
      <c r="AC179" s="227">
        <f t="shared" si="159"/>
        <v>2.3120501785145381E-2</v>
      </c>
      <c r="AD179" s="227">
        <f t="shared" si="160"/>
        <v>-6.2728325644277605E-4</v>
      </c>
      <c r="AE179" s="227">
        <f t="shared" si="161"/>
        <v>3.9348428381345352E-7</v>
      </c>
      <c r="AF179" s="34">
        <f t="shared" si="162"/>
        <v>2.3120501785145381E-2</v>
      </c>
      <c r="AG179" s="19"/>
      <c r="AH179" s="34">
        <f t="shared" si="163"/>
        <v>2.3747785041588157E-2</v>
      </c>
      <c r="AI179" s="34">
        <f t="shared" si="164"/>
        <v>1.0698888174414634</v>
      </c>
      <c r="AJ179" s="34">
        <f t="shared" si="165"/>
        <v>0.82263057608697854</v>
      </c>
      <c r="AK179" s="34">
        <f t="shared" si="166"/>
        <v>2.928521044374436E-2</v>
      </c>
      <c r="AL179" s="34">
        <f t="shared" si="167"/>
        <v>0.39679949631400824</v>
      </c>
      <c r="AM179" s="34">
        <f t="shared" si="168"/>
        <v>0.2010445659787081</v>
      </c>
      <c r="AN179" s="227">
        <f t="shared" si="173"/>
        <v>12.934836237569669</v>
      </c>
      <c r="AO179" s="227">
        <f t="shared" si="173"/>
        <v>12.93483623438704</v>
      </c>
      <c r="AP179" s="227">
        <f t="shared" si="173"/>
        <v>12.93483618936496</v>
      </c>
      <c r="AQ179" s="227">
        <f t="shared" si="173"/>
        <v>12.934835552474194</v>
      </c>
      <c r="AR179" s="227">
        <f t="shared" si="173"/>
        <v>12.934826542915234</v>
      </c>
      <c r="AS179" s="227">
        <f t="shared" si="173"/>
        <v>12.934699095605517</v>
      </c>
      <c r="AT179" s="227">
        <f t="shared" si="173"/>
        <v>12.932896923102382</v>
      </c>
      <c r="AU179" s="227">
        <f t="shared" si="169"/>
        <v>12.907542737709516</v>
      </c>
      <c r="AV179" s="227"/>
    </row>
    <row r="180" spans="1:48" ht="12.95" customHeight="1">
      <c r="A180" s="308" t="s">
        <v>753</v>
      </c>
      <c r="B180" s="309" t="s">
        <v>86</v>
      </c>
      <c r="C180" s="310">
        <v>56985.284899999999</v>
      </c>
      <c r="D180" s="310">
        <v>2.0000000000000001E-4</v>
      </c>
      <c r="E180" s="227">
        <f t="shared" si="148"/>
        <v>37663.51426384761</v>
      </c>
      <c r="F180" s="227">
        <f t="shared" si="149"/>
        <v>37663.5</v>
      </c>
      <c r="G180" s="227">
        <f t="shared" si="150"/>
        <v>4.7056929906830192E-3</v>
      </c>
      <c r="H180" s="227"/>
      <c r="I180" s="227"/>
      <c r="J180" s="227"/>
      <c r="K180" s="227">
        <f t="shared" si="172"/>
        <v>4.7056929906830192E-3</v>
      </c>
      <c r="M180" s="227"/>
      <c r="N180" s="227"/>
      <c r="O180" s="227">
        <f t="shared" ca="1" si="174"/>
        <v>4.7118416701938948E-3</v>
      </c>
      <c r="P180" s="292">
        <f t="shared" si="152"/>
        <v>-1.8484808796331992E-2</v>
      </c>
      <c r="Q180" s="293">
        <f t="shared" si="153"/>
        <v>41966.784899999999</v>
      </c>
      <c r="R180" s="227">
        <f t="shared" si="154"/>
        <v>5.3779937313354646E-4</v>
      </c>
      <c r="S180" s="227">
        <v>1</v>
      </c>
      <c r="T180" s="227">
        <f t="shared" si="155"/>
        <v>5.3779937313354646E-4</v>
      </c>
      <c r="Z180" s="34">
        <f t="shared" si="156"/>
        <v>37663.5</v>
      </c>
      <c r="AA180" s="227">
        <f t="shared" si="157"/>
        <v>5.2629762452561651E-3</v>
      </c>
      <c r="AB180" s="227">
        <f t="shared" si="158"/>
        <v>-1.9042092050905138E-2</v>
      </c>
      <c r="AC180" s="227">
        <f t="shared" si="159"/>
        <v>2.3190501787015011E-2</v>
      </c>
      <c r="AD180" s="227">
        <f t="shared" si="160"/>
        <v>-5.5728325457314598E-4</v>
      </c>
      <c r="AE180" s="227">
        <f t="shared" si="161"/>
        <v>3.1056462582763784E-7</v>
      </c>
      <c r="AF180" s="34">
        <f t="shared" si="162"/>
        <v>2.3190501787015011E-2</v>
      </c>
      <c r="AG180" s="19"/>
      <c r="AH180" s="34">
        <f t="shared" si="163"/>
        <v>2.3747785041588157E-2</v>
      </c>
      <c r="AI180" s="34">
        <f t="shared" si="164"/>
        <v>1.0698888174414634</v>
      </c>
      <c r="AJ180" s="34">
        <f t="shared" si="165"/>
        <v>0.82263057608697854</v>
      </c>
      <c r="AK180" s="34">
        <f t="shared" si="166"/>
        <v>2.928521044374436E-2</v>
      </c>
      <c r="AL180" s="34">
        <f t="shared" si="167"/>
        <v>0.39679949631400824</v>
      </c>
      <c r="AM180" s="34">
        <f t="shared" si="168"/>
        <v>0.2010445659787081</v>
      </c>
      <c r="AN180" s="227">
        <f t="shared" si="173"/>
        <v>12.934836237569669</v>
      </c>
      <c r="AO180" s="227">
        <f t="shared" si="173"/>
        <v>12.93483623438704</v>
      </c>
      <c r="AP180" s="227">
        <f t="shared" si="173"/>
        <v>12.93483618936496</v>
      </c>
      <c r="AQ180" s="227">
        <f t="shared" si="173"/>
        <v>12.934835552474194</v>
      </c>
      <c r="AR180" s="227">
        <f t="shared" si="173"/>
        <v>12.934826542915234</v>
      </c>
      <c r="AS180" s="227">
        <f t="shared" si="173"/>
        <v>12.934699095605517</v>
      </c>
      <c r="AT180" s="227">
        <f t="shared" si="173"/>
        <v>12.932896923102382</v>
      </c>
      <c r="AU180" s="227">
        <f t="shared" si="169"/>
        <v>12.907542737709516</v>
      </c>
    </row>
    <row r="181" spans="1:48" ht="12.95" customHeight="1">
      <c r="A181" s="308" t="s">
        <v>753</v>
      </c>
      <c r="B181" s="309" t="s">
        <v>86</v>
      </c>
      <c r="C181" s="310">
        <v>56985.28501</v>
      </c>
      <c r="D181" s="310">
        <v>2.0000000000000001E-4</v>
      </c>
      <c r="E181" s="227">
        <f t="shared" ref="E181:E204" si="175">+(C181-C$7)/C$8</f>
        <v>37663.514597278467</v>
      </c>
      <c r="F181" s="227">
        <f t="shared" ref="F181:F206" si="176">ROUND(2*E181,0)/2</f>
        <v>37663.5</v>
      </c>
      <c r="G181" s="227">
        <f t="shared" ref="G181:G204" si="177">+C181-(C$7+F181*C$8)</f>
        <v>4.8156929915421642E-3</v>
      </c>
      <c r="H181" s="227"/>
      <c r="I181" s="227"/>
      <c r="J181" s="227"/>
      <c r="K181" s="227">
        <f t="shared" si="172"/>
        <v>4.8156929915421642E-3</v>
      </c>
      <c r="M181" s="227"/>
      <c r="N181" s="227"/>
      <c r="O181" s="227">
        <f t="shared" ca="1" si="174"/>
        <v>4.7118416701938948E-3</v>
      </c>
      <c r="P181" s="292">
        <f t="shared" ref="P181:P204" si="178">+D$11+D$12*F181+D$13*F181^2</f>
        <v>-1.8484808796331992E-2</v>
      </c>
      <c r="Q181" s="293">
        <f t="shared" ref="Q181:Q204" si="179">+C181-15018.5</f>
        <v>41966.78501</v>
      </c>
      <c r="R181" s="227">
        <f t="shared" ref="R181:R204" si="180">+(P181-G181)^2</f>
        <v>5.4291338356672679E-4</v>
      </c>
      <c r="S181" s="227">
        <v>1</v>
      </c>
      <c r="T181" s="227">
        <f t="shared" ref="T181:T204" si="181">R181*S181</f>
        <v>5.4291338356672679E-4</v>
      </c>
      <c r="Z181" s="34">
        <f t="shared" ref="Z181:Z204" si="182">F181</f>
        <v>37663.5</v>
      </c>
      <c r="AA181" s="227">
        <f t="shared" ref="AA181:AA204" si="183">AB$3+AB$4*Z181+AB$5*Z181^2+AH181</f>
        <v>5.2629762452561651E-3</v>
      </c>
      <c r="AB181" s="227">
        <f t="shared" ref="AB181:AB204" si="184">IF(S181&lt;&gt;0,G181-AH181, -9999)</f>
        <v>-1.8932092050045993E-2</v>
      </c>
      <c r="AC181" s="227">
        <f t="shared" ref="AC181:AC204" si="185">+G181-P181</f>
        <v>2.3300501787874156E-2</v>
      </c>
      <c r="AD181" s="227">
        <f t="shared" ref="AD181:AD204" si="186">IF(S181&lt;&gt;0,G181-AA181, -9999)</f>
        <v>-4.4728325371400091E-4</v>
      </c>
      <c r="AE181" s="227">
        <f t="shared" ref="AE181:AE204" si="187">+(G181-AA181)^2*S181</f>
        <v>2.000623090529833E-7</v>
      </c>
      <c r="AF181" s="34">
        <f t="shared" ref="AF181:AF204" si="188">IF(S181&lt;&gt;0,G181-P181, -9999)</f>
        <v>2.3300501787874156E-2</v>
      </c>
      <c r="AG181" s="19"/>
      <c r="AH181" s="34">
        <f t="shared" ref="AH181:AH204" si="189">$AB$6*($AB$11/AI181*AJ181+$AB$12)</f>
        <v>2.3747785041588157E-2</v>
      </c>
      <c r="AI181" s="34">
        <f t="shared" ref="AI181:AI204" si="190">1+$AB$7*COS(AL181)</f>
        <v>1.0698888174414634</v>
      </c>
      <c r="AJ181" s="34">
        <f t="shared" ref="AJ181:AJ204" si="191">SIN(AL181+RADIANS($AB$9))</f>
        <v>0.82263057608697854</v>
      </c>
      <c r="AK181" s="34">
        <f t="shared" ref="AK181:AK206" si="192">$AB$7*SIN(AL181)</f>
        <v>2.928521044374436E-2</v>
      </c>
      <c r="AL181" s="34">
        <f t="shared" ref="AL181:AL206" si="193">2*ATAN(AM181)</f>
        <v>0.39679949631400824</v>
      </c>
      <c r="AM181" s="34">
        <f t="shared" ref="AM181:AM206" si="194">SQRT((1+$AB$7)/(1-$AB$7))*TAN(AN181/2)</f>
        <v>0.2010445659787081</v>
      </c>
      <c r="AN181" s="227">
        <f t="shared" ref="AN181:AT190" si="195">$AU181+$AB$7*SIN(AO181)</f>
        <v>12.934836237569669</v>
      </c>
      <c r="AO181" s="227">
        <f t="shared" si="195"/>
        <v>12.93483623438704</v>
      </c>
      <c r="AP181" s="227">
        <f t="shared" si="195"/>
        <v>12.93483618936496</v>
      </c>
      <c r="AQ181" s="227">
        <f t="shared" si="195"/>
        <v>12.934835552474194</v>
      </c>
      <c r="AR181" s="227">
        <f t="shared" si="195"/>
        <v>12.934826542915234</v>
      </c>
      <c r="AS181" s="227">
        <f t="shared" si="195"/>
        <v>12.934699095605517</v>
      </c>
      <c r="AT181" s="227">
        <f t="shared" si="195"/>
        <v>12.932896923102382</v>
      </c>
      <c r="AU181" s="227">
        <f t="shared" ref="AU181:AU204" si="196">RADIANS($AB$9)+$AB$18*(F181-AB$15)</f>
        <v>12.907542737709516</v>
      </c>
    </row>
    <row r="182" spans="1:48" ht="12.95" customHeight="1">
      <c r="A182" s="304" t="s">
        <v>751</v>
      </c>
      <c r="B182" s="122"/>
      <c r="C182" s="21">
        <v>57308.917699999998</v>
      </c>
      <c r="D182" s="21">
        <v>2.9999999999999997E-4</v>
      </c>
      <c r="E182" s="227">
        <f t="shared" si="175"/>
        <v>38644.506637853534</v>
      </c>
      <c r="F182" s="227">
        <f t="shared" si="176"/>
        <v>38644.5</v>
      </c>
      <c r="G182" s="227">
        <f t="shared" si="177"/>
        <v>2.1898509949096479E-3</v>
      </c>
      <c r="H182" s="227"/>
      <c r="I182" s="227"/>
      <c r="J182" s="227"/>
      <c r="K182" s="227">
        <f t="shared" si="172"/>
        <v>2.1898509949096479E-3</v>
      </c>
      <c r="M182" s="227"/>
      <c r="N182" s="227"/>
      <c r="O182" s="227">
        <f t="shared" ca="1" si="174"/>
        <v>1.1525342825552398E-3</v>
      </c>
      <c r="P182" s="292">
        <f t="shared" si="178"/>
        <v>-2.0522058739773627E-2</v>
      </c>
      <c r="Q182" s="293">
        <f t="shared" si="179"/>
        <v>42290.417699999998</v>
      </c>
      <c r="R182" s="227">
        <f t="shared" si="180"/>
        <v>5.1583084379640091E-4</v>
      </c>
      <c r="S182" s="227">
        <v>1</v>
      </c>
      <c r="T182" s="227">
        <f t="shared" si="181"/>
        <v>5.1583084379640091E-4</v>
      </c>
      <c r="U182" s="227"/>
      <c r="Z182" s="34">
        <f t="shared" si="182"/>
        <v>38644.5</v>
      </c>
      <c r="AA182" s="227">
        <f t="shared" si="183"/>
        <v>1.9189134181365787E-3</v>
      </c>
      <c r="AB182" s="227">
        <f t="shared" si="184"/>
        <v>-2.0251121163000558E-2</v>
      </c>
      <c r="AC182" s="227">
        <f t="shared" si="185"/>
        <v>2.2711909734683275E-2</v>
      </c>
      <c r="AD182" s="227">
        <f t="shared" si="186"/>
        <v>2.7093757677306915E-4</v>
      </c>
      <c r="AE182" s="227">
        <f t="shared" si="187"/>
        <v>7.3407170507662736E-8</v>
      </c>
      <c r="AF182" s="34">
        <f t="shared" si="188"/>
        <v>2.2711909734683275E-2</v>
      </c>
      <c r="AG182" s="19"/>
      <c r="AH182" s="34">
        <f t="shared" si="189"/>
        <v>2.2440972157910206E-2</v>
      </c>
      <c r="AI182" s="34">
        <f t="shared" si="190"/>
        <v>1.0671274533713277</v>
      </c>
      <c r="AJ182" s="34">
        <f t="shared" si="191"/>
        <v>0.77097675771485608</v>
      </c>
      <c r="AK182" s="34">
        <f t="shared" si="192"/>
        <v>3.5156441201873896E-2</v>
      </c>
      <c r="AL182" s="34">
        <f t="shared" si="193"/>
        <v>0.48244831950716116</v>
      </c>
      <c r="AM182" s="34">
        <f t="shared" si="194"/>
        <v>0.24601456227407903</v>
      </c>
      <c r="AN182" s="227">
        <f t="shared" si="195"/>
        <v>13.014760071081584</v>
      </c>
      <c r="AO182" s="227">
        <f t="shared" si="195"/>
        <v>13.014760067952681</v>
      </c>
      <c r="AP182" s="227">
        <f t="shared" si="195"/>
        <v>13.014760022131902</v>
      </c>
      <c r="AQ182" s="227">
        <f t="shared" si="195"/>
        <v>13.014759351116108</v>
      </c>
      <c r="AR182" s="227">
        <f t="shared" si="195"/>
        <v>13.014749524546662</v>
      </c>
      <c r="AS182" s="227">
        <f t="shared" si="195"/>
        <v>13.014605626447754</v>
      </c>
      <c r="AT182" s="227">
        <f t="shared" si="195"/>
        <v>13.012499552510537</v>
      </c>
      <c r="AU182" s="227">
        <f t="shared" si="196"/>
        <v>12.981909861697762</v>
      </c>
    </row>
    <row r="183" spans="1:48" ht="12.95" customHeight="1">
      <c r="A183" s="311" t="s">
        <v>55</v>
      </c>
      <c r="B183" s="312" t="s">
        <v>86</v>
      </c>
      <c r="C183" s="313">
        <v>57369.288</v>
      </c>
      <c r="D183" s="342">
        <v>3.0000000000000001E-3</v>
      </c>
      <c r="E183" s="227">
        <f t="shared" si="175"/>
        <v>38827.50046269592</v>
      </c>
      <c r="F183" s="227">
        <f t="shared" si="176"/>
        <v>38827.5</v>
      </c>
      <c r="G183" s="227">
        <f t="shared" si="177"/>
        <v>1.5264499234035611E-4</v>
      </c>
      <c r="H183" s="227"/>
      <c r="I183" s="227">
        <f>G183</f>
        <v>1.5264499234035611E-4</v>
      </c>
      <c r="J183" s="227"/>
      <c r="M183" s="227"/>
      <c r="N183" s="227"/>
      <c r="O183" s="227">
        <f t="shared" ca="1" si="174"/>
        <v>4.8856562614557619E-4</v>
      </c>
      <c r="P183" s="292">
        <f t="shared" si="178"/>
        <v>-2.0907957460969174E-2</v>
      </c>
      <c r="Q183" s="293">
        <f t="shared" si="179"/>
        <v>42350.788</v>
      </c>
      <c r="R183" s="227">
        <f t="shared" si="180"/>
        <v>4.4354897569634738E-4</v>
      </c>
      <c r="S183" s="227">
        <v>0.1</v>
      </c>
      <c r="T183" s="227">
        <f t="shared" si="181"/>
        <v>4.4354897569634742E-5</v>
      </c>
      <c r="Z183" s="34">
        <f t="shared" si="182"/>
        <v>38827.5</v>
      </c>
      <c r="AA183" s="227">
        <f t="shared" si="183"/>
        <v>1.2735326938357744E-3</v>
      </c>
      <c r="AB183" s="227">
        <f t="shared" si="184"/>
        <v>-2.2028845162464592E-2</v>
      </c>
      <c r="AC183" s="227">
        <f t="shared" si="185"/>
        <v>2.106060245330953E-2</v>
      </c>
      <c r="AD183" s="227">
        <f t="shared" si="186"/>
        <v>-1.1208877014954183E-3</v>
      </c>
      <c r="AE183" s="227">
        <f t="shared" si="187"/>
        <v>1.2563892393636818E-7</v>
      </c>
      <c r="AF183" s="34">
        <f t="shared" si="188"/>
        <v>2.106060245330953E-2</v>
      </c>
      <c r="AG183" s="19"/>
      <c r="AH183" s="34">
        <f t="shared" si="189"/>
        <v>2.2181490154804948E-2</v>
      </c>
      <c r="AI183" s="34">
        <f t="shared" si="190"/>
        <v>1.0665590492886878</v>
      </c>
      <c r="AJ183" s="34">
        <f t="shared" si="191"/>
        <v>0.7607364889713627</v>
      </c>
      <c r="AK183" s="34">
        <f t="shared" si="192"/>
        <v>3.6221034108465354E-2</v>
      </c>
      <c r="AL183" s="34">
        <f t="shared" si="193"/>
        <v>0.49837469027077508</v>
      </c>
      <c r="AM183" s="34">
        <f t="shared" si="194"/>
        <v>0.25447646106489835</v>
      </c>
      <c r="AN183" s="227">
        <f t="shared" si="195"/>
        <v>13.02964563096875</v>
      </c>
      <c r="AO183" s="227">
        <f t="shared" si="195"/>
        <v>13.029645627878139</v>
      </c>
      <c r="AP183" s="227">
        <f t="shared" si="195"/>
        <v>13.029645582286609</v>
      </c>
      <c r="AQ183" s="227">
        <f t="shared" si="195"/>
        <v>13.029644909737531</v>
      </c>
      <c r="AR183" s="227">
        <f t="shared" si="195"/>
        <v>13.029634988573486</v>
      </c>
      <c r="AS183" s="227">
        <f t="shared" si="195"/>
        <v>13.029488641402489</v>
      </c>
      <c r="AT183" s="227">
        <f t="shared" si="195"/>
        <v>13.027331112504106</v>
      </c>
      <c r="AU183" s="227">
        <f t="shared" si="196"/>
        <v>12.995782627946333</v>
      </c>
    </row>
    <row r="184" spans="1:48" ht="12.95" customHeight="1">
      <c r="A184" s="308" t="s">
        <v>753</v>
      </c>
      <c r="B184" s="309" t="s">
        <v>86</v>
      </c>
      <c r="C184" s="310">
        <v>57402.280059999997</v>
      </c>
      <c r="D184" s="310">
        <v>1E-4</v>
      </c>
      <c r="E184" s="227">
        <f t="shared" si="175"/>
        <v>38927.505651486252</v>
      </c>
      <c r="F184" s="227">
        <f t="shared" si="176"/>
        <v>38927.5</v>
      </c>
      <c r="G184" s="227">
        <f t="shared" si="177"/>
        <v>1.86444499559002E-3</v>
      </c>
      <c r="H184" s="227"/>
      <c r="I184" s="227"/>
      <c r="J184" s="227"/>
      <c r="K184" s="227">
        <f t="shared" ref="K184:K204" si="197">G184</f>
        <v>1.86444499559002E-3</v>
      </c>
      <c r="M184" s="227"/>
      <c r="N184" s="227"/>
      <c r="O184" s="227">
        <f t="shared" ca="1" si="174"/>
        <v>1.2574122373590346E-4</v>
      </c>
      <c r="P184" s="292">
        <f t="shared" si="178"/>
        <v>-2.1119609786131057E-2</v>
      </c>
      <c r="Q184" s="293">
        <f t="shared" si="179"/>
        <v>42383.780059999997</v>
      </c>
      <c r="R184" s="227">
        <f t="shared" si="180"/>
        <v>5.2826677420915555E-4</v>
      </c>
      <c r="S184" s="227">
        <v>1</v>
      </c>
      <c r="T184" s="227">
        <f t="shared" si="181"/>
        <v>5.2826677420915555E-4</v>
      </c>
      <c r="Z184" s="34">
        <f t="shared" si="182"/>
        <v>38927.5</v>
      </c>
      <c r="AA184" s="227">
        <f t="shared" si="183"/>
        <v>9.1806670614783675E-4</v>
      </c>
      <c r="AB184" s="227">
        <f t="shared" si="184"/>
        <v>-2.0173231496688874E-2</v>
      </c>
      <c r="AC184" s="227">
        <f t="shared" si="185"/>
        <v>2.2984054781721077E-2</v>
      </c>
      <c r="AD184" s="227">
        <f t="shared" si="186"/>
        <v>9.4637828944218322E-4</v>
      </c>
      <c r="AE184" s="227">
        <f t="shared" si="187"/>
        <v>8.9563186672751271E-7</v>
      </c>
      <c r="AF184" s="34">
        <f t="shared" si="188"/>
        <v>2.2984054781721077E-2</v>
      </c>
      <c r="AG184" s="19"/>
      <c r="AH184" s="34">
        <f t="shared" si="189"/>
        <v>2.2037676492278894E-2</v>
      </c>
      <c r="AI184" s="34">
        <f t="shared" si="190"/>
        <v>1.0662415698168013</v>
      </c>
      <c r="AJ184" s="34">
        <f t="shared" si="191"/>
        <v>0.75506376422400745</v>
      </c>
      <c r="AK184" s="34">
        <f t="shared" si="192"/>
        <v>3.6798434508908462E-2</v>
      </c>
      <c r="AL184" s="34">
        <f t="shared" si="193"/>
        <v>0.50707038410080474</v>
      </c>
      <c r="AM184" s="34">
        <f t="shared" si="194"/>
        <v>0.25911102401955399</v>
      </c>
      <c r="AN184" s="227">
        <f t="shared" si="195"/>
        <v>13.037776432160051</v>
      </c>
      <c r="AO184" s="227">
        <f t="shared" si="195"/>
        <v>13.037776429093707</v>
      </c>
      <c r="AP184" s="227">
        <f t="shared" si="195"/>
        <v>13.037776383674192</v>
      </c>
      <c r="AQ184" s="227">
        <f t="shared" si="195"/>
        <v>13.0377757109079</v>
      </c>
      <c r="AR184" s="227">
        <f t="shared" si="195"/>
        <v>13.03776574573665</v>
      </c>
      <c r="AS184" s="227">
        <f t="shared" si="195"/>
        <v>13.037618145222254</v>
      </c>
      <c r="AT184" s="227">
        <f t="shared" si="195"/>
        <v>13.035433236454789</v>
      </c>
      <c r="AU184" s="227">
        <f t="shared" si="196"/>
        <v>13.003363374530252</v>
      </c>
    </row>
    <row r="185" spans="1:48" ht="12.95" customHeight="1">
      <c r="A185" s="308" t="s">
        <v>753</v>
      </c>
      <c r="B185" s="309" t="s">
        <v>86</v>
      </c>
      <c r="C185" s="310">
        <v>57402.280169999998</v>
      </c>
      <c r="D185" s="310">
        <v>1E-4</v>
      </c>
      <c r="E185" s="227">
        <f t="shared" si="175"/>
        <v>38927.505984917108</v>
      </c>
      <c r="F185" s="227">
        <f t="shared" si="176"/>
        <v>38927.5</v>
      </c>
      <c r="G185" s="227">
        <f t="shared" si="177"/>
        <v>1.974444996449165E-3</v>
      </c>
      <c r="H185" s="227"/>
      <c r="I185" s="227"/>
      <c r="J185" s="227"/>
      <c r="K185" s="227">
        <f t="shared" si="197"/>
        <v>1.974444996449165E-3</v>
      </c>
      <c r="M185" s="227"/>
      <c r="N185" s="227"/>
      <c r="O185" s="227">
        <f t="shared" ca="1" si="174"/>
        <v>1.2574122373590346E-4</v>
      </c>
      <c r="P185" s="292">
        <f t="shared" si="178"/>
        <v>-2.1119609786131057E-2</v>
      </c>
      <c r="Q185" s="293">
        <f t="shared" si="179"/>
        <v>42383.780169999998</v>
      </c>
      <c r="R185" s="227">
        <f t="shared" si="180"/>
        <v>5.3333536630081641E-4</v>
      </c>
      <c r="S185" s="227">
        <v>1</v>
      </c>
      <c r="T185" s="227">
        <f t="shared" si="181"/>
        <v>5.3333536630081641E-4</v>
      </c>
      <c r="Z185" s="34">
        <f t="shared" si="182"/>
        <v>38927.5</v>
      </c>
      <c r="AA185" s="227">
        <f t="shared" si="183"/>
        <v>9.1806670614783675E-4</v>
      </c>
      <c r="AB185" s="227">
        <f t="shared" si="184"/>
        <v>-2.0063231495829729E-2</v>
      </c>
      <c r="AC185" s="227">
        <f t="shared" si="185"/>
        <v>2.3094054782580222E-2</v>
      </c>
      <c r="AD185" s="227">
        <f t="shared" si="186"/>
        <v>1.0563782903013283E-3</v>
      </c>
      <c r="AE185" s="227">
        <f t="shared" si="187"/>
        <v>1.1159350922199575E-6</v>
      </c>
      <c r="AF185" s="34">
        <f t="shared" si="188"/>
        <v>2.3094054782580222E-2</v>
      </c>
      <c r="AG185" s="19"/>
      <c r="AH185" s="34">
        <f t="shared" si="189"/>
        <v>2.2037676492278894E-2</v>
      </c>
      <c r="AI185" s="34">
        <f t="shared" si="190"/>
        <v>1.0662415698168013</v>
      </c>
      <c r="AJ185" s="34">
        <f t="shared" si="191"/>
        <v>0.75506376422400745</v>
      </c>
      <c r="AK185" s="34">
        <f t="shared" si="192"/>
        <v>3.6798434508908462E-2</v>
      </c>
      <c r="AL185" s="34">
        <f t="shared" si="193"/>
        <v>0.50707038410080474</v>
      </c>
      <c r="AM185" s="34">
        <f t="shared" si="194"/>
        <v>0.25911102401955399</v>
      </c>
      <c r="AN185" s="227">
        <f t="shared" si="195"/>
        <v>13.037776432160051</v>
      </c>
      <c r="AO185" s="227">
        <f t="shared" si="195"/>
        <v>13.037776429093707</v>
      </c>
      <c r="AP185" s="227">
        <f t="shared" si="195"/>
        <v>13.037776383674192</v>
      </c>
      <c r="AQ185" s="227">
        <f t="shared" si="195"/>
        <v>13.0377757109079</v>
      </c>
      <c r="AR185" s="227">
        <f t="shared" si="195"/>
        <v>13.03776574573665</v>
      </c>
      <c r="AS185" s="227">
        <f t="shared" si="195"/>
        <v>13.037618145222254</v>
      </c>
      <c r="AT185" s="227">
        <f t="shared" si="195"/>
        <v>13.035433236454789</v>
      </c>
      <c r="AU185" s="227">
        <f t="shared" si="196"/>
        <v>13.003363374530252</v>
      </c>
    </row>
    <row r="186" spans="1:48" ht="12.95" customHeight="1">
      <c r="A186" s="308" t="s">
        <v>753</v>
      </c>
      <c r="B186" s="309" t="s">
        <v>86</v>
      </c>
      <c r="C186" s="310">
        <v>57657.623</v>
      </c>
      <c r="D186" s="310">
        <v>1E-4</v>
      </c>
      <c r="E186" s="227">
        <f t="shared" si="175"/>
        <v>39701.498512828657</v>
      </c>
      <c r="F186" s="227">
        <f t="shared" si="176"/>
        <v>39701.5</v>
      </c>
      <c r="G186" s="227">
        <f t="shared" si="177"/>
        <v>-4.9062300240620971E-4</v>
      </c>
      <c r="H186" s="227"/>
      <c r="I186" s="227"/>
      <c r="J186" s="227"/>
      <c r="K186" s="227">
        <f t="shared" si="197"/>
        <v>-4.9062300240620971E-4</v>
      </c>
      <c r="M186" s="227"/>
      <c r="N186" s="227"/>
      <c r="O186" s="227">
        <f t="shared" ca="1" si="174"/>
        <v>-2.6825196509147886E-3</v>
      </c>
      <c r="P186" s="292">
        <f t="shared" si="178"/>
        <v>-2.2776412797427398E-2</v>
      </c>
      <c r="Q186" s="293">
        <f t="shared" si="179"/>
        <v>42639.123</v>
      </c>
      <c r="R186" s="227">
        <f t="shared" si="180"/>
        <v>4.966564267878705E-4</v>
      </c>
      <c r="S186" s="227">
        <v>1</v>
      </c>
      <c r="T186" s="227">
        <f t="shared" si="181"/>
        <v>4.966564267878705E-4</v>
      </c>
      <c r="Z186" s="34">
        <f t="shared" si="182"/>
        <v>39701.5</v>
      </c>
      <c r="AA186" s="227">
        <f t="shared" si="183"/>
        <v>-1.8987613350159166E-3</v>
      </c>
      <c r="AB186" s="227">
        <f t="shared" si="184"/>
        <v>-2.1368274464817691E-2</v>
      </c>
      <c r="AC186" s="227">
        <f t="shared" si="185"/>
        <v>2.2285789795021188E-2</v>
      </c>
      <c r="AD186" s="227">
        <f t="shared" si="186"/>
        <v>1.4081383326097069E-3</v>
      </c>
      <c r="AE186" s="227">
        <f t="shared" si="187"/>
        <v>1.9828535637648457E-6</v>
      </c>
      <c r="AF186" s="34">
        <f t="shared" si="188"/>
        <v>2.2285789795021188E-2</v>
      </c>
      <c r="AG186" s="19"/>
      <c r="AH186" s="34">
        <f t="shared" si="189"/>
        <v>2.0877651462411481E-2</v>
      </c>
      <c r="AI186" s="34">
        <f t="shared" si="190"/>
        <v>1.0636242541320635</v>
      </c>
      <c r="AJ186" s="34">
        <f t="shared" si="191"/>
        <v>0.70938754439001228</v>
      </c>
      <c r="AK186" s="34">
        <f t="shared" si="192"/>
        <v>4.1158530588921639E-2</v>
      </c>
      <c r="AL186" s="34">
        <f t="shared" si="193"/>
        <v>0.57419287739270919</v>
      </c>
      <c r="AM186" s="34">
        <f t="shared" si="194"/>
        <v>0.29525339118711341</v>
      </c>
      <c r="AN186" s="227">
        <f t="shared" si="195"/>
        <v>13.10062358892386</v>
      </c>
      <c r="AO186" s="227">
        <f t="shared" si="195"/>
        <v>13.100623586115415</v>
      </c>
      <c r="AP186" s="227">
        <f t="shared" si="195"/>
        <v>13.100623543052311</v>
      </c>
      <c r="AQ186" s="227">
        <f t="shared" si="195"/>
        <v>13.100622882747011</v>
      </c>
      <c r="AR186" s="227">
        <f t="shared" si="195"/>
        <v>13.100612758031009</v>
      </c>
      <c r="AS186" s="227">
        <f t="shared" si="195"/>
        <v>13.100457519446286</v>
      </c>
      <c r="AT186" s="227">
        <f t="shared" si="195"/>
        <v>13.098079082591001</v>
      </c>
      <c r="AU186" s="227">
        <f t="shared" si="196"/>
        <v>13.062038353089784</v>
      </c>
      <c r="AV186" s="227"/>
    </row>
    <row r="187" spans="1:48" ht="12.95" customHeight="1">
      <c r="A187" s="308" t="s">
        <v>753</v>
      </c>
      <c r="B187" s="309" t="s">
        <v>86</v>
      </c>
      <c r="C187" s="310">
        <v>57657.623440000003</v>
      </c>
      <c r="D187" s="310">
        <v>2.0000000000000001E-4</v>
      </c>
      <c r="E187" s="227">
        <f t="shared" si="175"/>
        <v>39701.499846552084</v>
      </c>
      <c r="F187" s="227">
        <f t="shared" si="176"/>
        <v>39701.5</v>
      </c>
      <c r="G187" s="227">
        <f t="shared" si="177"/>
        <v>-5.0622998969629407E-5</v>
      </c>
      <c r="H187" s="227"/>
      <c r="I187" s="227"/>
      <c r="J187" s="227"/>
      <c r="K187" s="227">
        <f t="shared" si="197"/>
        <v>-5.0622998969629407E-5</v>
      </c>
      <c r="M187" s="227"/>
      <c r="N187" s="227"/>
      <c r="O187" s="227">
        <f t="shared" ca="1" si="174"/>
        <v>-2.6825196509147886E-3</v>
      </c>
      <c r="P187" s="292">
        <f t="shared" si="178"/>
        <v>-2.2776412797427398E-2</v>
      </c>
      <c r="Q187" s="293">
        <f t="shared" si="179"/>
        <v>42639.123440000003</v>
      </c>
      <c r="R187" s="227">
        <f t="shared" si="180"/>
        <v>5.1646152196368718E-4</v>
      </c>
      <c r="S187" s="227">
        <v>1</v>
      </c>
      <c r="T187" s="227">
        <f t="shared" si="181"/>
        <v>5.1646152196368718E-4</v>
      </c>
      <c r="Z187" s="34">
        <f t="shared" si="182"/>
        <v>39701.5</v>
      </c>
      <c r="AA187" s="227">
        <f t="shared" si="183"/>
        <v>-1.8987613350159166E-3</v>
      </c>
      <c r="AB187" s="227">
        <f t="shared" si="184"/>
        <v>-2.0928274461381111E-2</v>
      </c>
      <c r="AC187" s="227">
        <f t="shared" si="185"/>
        <v>2.2725789798457768E-2</v>
      </c>
      <c r="AD187" s="227">
        <f t="shared" si="186"/>
        <v>1.8481383360462872E-3</v>
      </c>
      <c r="AE187" s="227">
        <f t="shared" si="187"/>
        <v>3.4156153091639393E-6</v>
      </c>
      <c r="AF187" s="34">
        <f t="shared" si="188"/>
        <v>2.2725789798457768E-2</v>
      </c>
      <c r="AG187" s="19"/>
      <c r="AH187" s="34">
        <f t="shared" si="189"/>
        <v>2.0877651462411481E-2</v>
      </c>
      <c r="AI187" s="34">
        <f t="shared" si="190"/>
        <v>1.0636242541320635</v>
      </c>
      <c r="AJ187" s="34">
        <f t="shared" si="191"/>
        <v>0.70938754439001228</v>
      </c>
      <c r="AK187" s="34">
        <f t="shared" si="192"/>
        <v>4.1158530588921639E-2</v>
      </c>
      <c r="AL187" s="34">
        <f t="shared" si="193"/>
        <v>0.57419287739270919</v>
      </c>
      <c r="AM187" s="34">
        <f t="shared" si="194"/>
        <v>0.29525339118711341</v>
      </c>
      <c r="AN187" s="227">
        <f t="shared" si="195"/>
        <v>13.10062358892386</v>
      </c>
      <c r="AO187" s="227">
        <f t="shared" si="195"/>
        <v>13.100623586115415</v>
      </c>
      <c r="AP187" s="227">
        <f t="shared" si="195"/>
        <v>13.100623543052311</v>
      </c>
      <c r="AQ187" s="227">
        <f t="shared" si="195"/>
        <v>13.100622882747011</v>
      </c>
      <c r="AR187" s="227">
        <f t="shared" si="195"/>
        <v>13.100612758031009</v>
      </c>
      <c r="AS187" s="227">
        <f t="shared" si="195"/>
        <v>13.100457519446286</v>
      </c>
      <c r="AT187" s="227">
        <f t="shared" si="195"/>
        <v>13.098079082591001</v>
      </c>
      <c r="AU187" s="227">
        <f t="shared" si="196"/>
        <v>13.062038353089784</v>
      </c>
    </row>
    <row r="188" spans="1:48" ht="12.95" customHeight="1">
      <c r="A188" s="308" t="s">
        <v>753</v>
      </c>
      <c r="B188" s="309" t="s">
        <v>86</v>
      </c>
      <c r="C188" s="310">
        <v>57657.623500000002</v>
      </c>
      <c r="D188" s="310">
        <v>1E-4</v>
      </c>
      <c r="E188" s="227">
        <f t="shared" si="175"/>
        <v>39701.500028423456</v>
      </c>
      <c r="F188" s="227">
        <f t="shared" si="176"/>
        <v>39701.5</v>
      </c>
      <c r="G188" s="227">
        <f t="shared" si="177"/>
        <v>9.3769995146431029E-6</v>
      </c>
      <c r="H188" s="227"/>
      <c r="I188" s="227"/>
      <c r="J188" s="227"/>
      <c r="K188" s="227">
        <f t="shared" si="197"/>
        <v>9.3769995146431029E-6</v>
      </c>
      <c r="M188" s="227"/>
      <c r="N188" s="227"/>
      <c r="O188" s="227">
        <f t="shared" ca="1" si="174"/>
        <v>-2.6825196509147886E-3</v>
      </c>
      <c r="P188" s="292">
        <f t="shared" si="178"/>
        <v>-2.2776412797427398E-2</v>
      </c>
      <c r="Q188" s="293">
        <f t="shared" si="179"/>
        <v>42639.123500000002</v>
      </c>
      <c r="R188" s="227">
        <f t="shared" si="180"/>
        <v>5.1919221667042804E-4</v>
      </c>
      <c r="S188" s="227">
        <v>1</v>
      </c>
      <c r="T188" s="227">
        <f t="shared" si="181"/>
        <v>5.1919221667042804E-4</v>
      </c>
      <c r="Z188" s="34">
        <f t="shared" si="182"/>
        <v>39701.5</v>
      </c>
      <c r="AA188" s="227">
        <f t="shared" si="183"/>
        <v>-1.8987613350159166E-3</v>
      </c>
      <c r="AB188" s="227">
        <f t="shared" si="184"/>
        <v>-2.0868274462896838E-2</v>
      </c>
      <c r="AC188" s="227">
        <f t="shared" si="185"/>
        <v>2.2785789796942041E-2</v>
      </c>
      <c r="AD188" s="227">
        <f t="shared" si="186"/>
        <v>1.9081383345305597E-3</v>
      </c>
      <c r="AE188" s="227">
        <f t="shared" si="187"/>
        <v>3.6409919037050583E-6</v>
      </c>
      <c r="AF188" s="34">
        <f t="shared" si="188"/>
        <v>2.2785789796942041E-2</v>
      </c>
      <c r="AG188" s="19"/>
      <c r="AH188" s="34">
        <f t="shared" si="189"/>
        <v>2.0877651462411481E-2</v>
      </c>
      <c r="AI188" s="34">
        <f t="shared" si="190"/>
        <v>1.0636242541320635</v>
      </c>
      <c r="AJ188" s="34">
        <f t="shared" si="191"/>
        <v>0.70938754439001228</v>
      </c>
      <c r="AK188" s="34">
        <f t="shared" si="192"/>
        <v>4.1158530588921639E-2</v>
      </c>
      <c r="AL188" s="34">
        <f t="shared" si="193"/>
        <v>0.57419287739270919</v>
      </c>
      <c r="AM188" s="34">
        <f t="shared" si="194"/>
        <v>0.29525339118711341</v>
      </c>
      <c r="AN188" s="227">
        <f t="shared" si="195"/>
        <v>13.10062358892386</v>
      </c>
      <c r="AO188" s="227">
        <f t="shared" si="195"/>
        <v>13.100623586115415</v>
      </c>
      <c r="AP188" s="227">
        <f t="shared" si="195"/>
        <v>13.100623543052311</v>
      </c>
      <c r="AQ188" s="227">
        <f t="shared" si="195"/>
        <v>13.100622882747011</v>
      </c>
      <c r="AR188" s="227">
        <f t="shared" si="195"/>
        <v>13.100612758031009</v>
      </c>
      <c r="AS188" s="227">
        <f t="shared" si="195"/>
        <v>13.100457519446286</v>
      </c>
      <c r="AT188" s="227">
        <f t="shared" si="195"/>
        <v>13.098079082591001</v>
      </c>
      <c r="AU188" s="227">
        <f t="shared" si="196"/>
        <v>13.062038353089784</v>
      </c>
    </row>
    <row r="189" spans="1:48" ht="12.95" customHeight="1">
      <c r="A189" s="308" t="s">
        <v>753</v>
      </c>
      <c r="B189" s="309" t="s">
        <v>86</v>
      </c>
      <c r="C189" s="310">
        <v>57657.623970000001</v>
      </c>
      <c r="D189" s="310">
        <v>2.9999999999999997E-4</v>
      </c>
      <c r="E189" s="227">
        <f t="shared" si="175"/>
        <v>39701.501453082557</v>
      </c>
      <c r="F189" s="227">
        <f t="shared" si="176"/>
        <v>39701.5</v>
      </c>
      <c r="G189" s="227">
        <f t="shared" si="177"/>
        <v>4.7937699855538085E-4</v>
      </c>
      <c r="H189" s="227"/>
      <c r="I189" s="227"/>
      <c r="J189" s="227"/>
      <c r="K189" s="227">
        <f t="shared" si="197"/>
        <v>4.7937699855538085E-4</v>
      </c>
      <c r="M189" s="227"/>
      <c r="N189" s="227"/>
      <c r="O189" s="227">
        <f t="shared" ca="1" si="174"/>
        <v>-2.6825196509147886E-3</v>
      </c>
      <c r="P189" s="292">
        <f t="shared" si="178"/>
        <v>-2.2776412797427398E-2</v>
      </c>
      <c r="Q189" s="293">
        <f t="shared" si="179"/>
        <v>42639.123970000001</v>
      </c>
      <c r="R189" s="227">
        <f t="shared" si="180"/>
        <v>5.4083175903493676E-4</v>
      </c>
      <c r="S189" s="227">
        <v>1</v>
      </c>
      <c r="T189" s="227">
        <f t="shared" si="181"/>
        <v>5.4083175903493676E-4</v>
      </c>
      <c r="Z189" s="34">
        <f t="shared" si="182"/>
        <v>39701.5</v>
      </c>
      <c r="AA189" s="227">
        <f t="shared" si="183"/>
        <v>-1.8987613350159166E-3</v>
      </c>
      <c r="AB189" s="227">
        <f t="shared" si="184"/>
        <v>-2.03982744638561E-2</v>
      </c>
      <c r="AC189" s="227">
        <f t="shared" si="185"/>
        <v>2.3255789795982779E-2</v>
      </c>
      <c r="AD189" s="227">
        <f t="shared" si="186"/>
        <v>2.3781383335712974E-3</v>
      </c>
      <c r="AE189" s="227">
        <f t="shared" si="187"/>
        <v>5.6555419336012679E-6</v>
      </c>
      <c r="AF189" s="34">
        <f t="shared" si="188"/>
        <v>2.3255789795982779E-2</v>
      </c>
      <c r="AG189" s="19"/>
      <c r="AH189" s="34">
        <f t="shared" si="189"/>
        <v>2.0877651462411481E-2</v>
      </c>
      <c r="AI189" s="34">
        <f t="shared" si="190"/>
        <v>1.0636242541320635</v>
      </c>
      <c r="AJ189" s="34">
        <f t="shared" si="191"/>
        <v>0.70938754439001228</v>
      </c>
      <c r="AK189" s="34">
        <f t="shared" si="192"/>
        <v>4.1158530588921639E-2</v>
      </c>
      <c r="AL189" s="34">
        <f t="shared" si="193"/>
        <v>0.57419287739270919</v>
      </c>
      <c r="AM189" s="34">
        <f t="shared" si="194"/>
        <v>0.29525339118711341</v>
      </c>
      <c r="AN189" s="227">
        <f t="shared" si="195"/>
        <v>13.10062358892386</v>
      </c>
      <c r="AO189" s="227">
        <f t="shared" si="195"/>
        <v>13.100623586115415</v>
      </c>
      <c r="AP189" s="227">
        <f t="shared" si="195"/>
        <v>13.100623543052311</v>
      </c>
      <c r="AQ189" s="227">
        <f t="shared" si="195"/>
        <v>13.100622882747011</v>
      </c>
      <c r="AR189" s="227">
        <f t="shared" si="195"/>
        <v>13.100612758031009</v>
      </c>
      <c r="AS189" s="227">
        <f t="shared" si="195"/>
        <v>13.100457519446286</v>
      </c>
      <c r="AT189" s="227">
        <f t="shared" si="195"/>
        <v>13.098079082591001</v>
      </c>
      <c r="AU189" s="227">
        <f t="shared" si="196"/>
        <v>13.062038353089784</v>
      </c>
      <c r="AV189" s="227"/>
    </row>
    <row r="190" spans="1:48" ht="12.95" customHeight="1">
      <c r="A190" s="304" t="s">
        <v>752</v>
      </c>
      <c r="C190" s="290">
        <v>57672.798000000003</v>
      </c>
      <c r="D190" s="290">
        <v>2.0000000000000001E-4</v>
      </c>
      <c r="E190" s="227">
        <f t="shared" si="175"/>
        <v>39747.496814841128</v>
      </c>
      <c r="F190" s="227">
        <f t="shared" si="176"/>
        <v>39747.5</v>
      </c>
      <c r="G190" s="227">
        <f t="shared" si="177"/>
        <v>-1.0507949991733767E-3</v>
      </c>
      <c r="H190" s="227"/>
      <c r="I190" s="227"/>
      <c r="J190" s="227"/>
      <c r="K190" s="227">
        <f t="shared" si="197"/>
        <v>-1.0507949991733767E-3</v>
      </c>
      <c r="M190" s="227"/>
      <c r="N190" s="227"/>
      <c r="O190" s="227">
        <f t="shared" ca="1" si="174"/>
        <v>-2.8494188760232186E-3</v>
      </c>
      <c r="P190" s="292">
        <f t="shared" si="178"/>
        <v>-2.2875917035411798E-2</v>
      </c>
      <c r="Q190" s="293">
        <f t="shared" si="179"/>
        <v>42654.298000000003</v>
      </c>
      <c r="R190" s="227">
        <f t="shared" si="180"/>
        <v>4.763359518966999E-4</v>
      </c>
      <c r="S190" s="227">
        <v>1</v>
      </c>
      <c r="T190" s="227">
        <f t="shared" si="181"/>
        <v>4.763359518966999E-4</v>
      </c>
      <c r="U190" s="227"/>
      <c r="Z190" s="34">
        <f t="shared" si="182"/>
        <v>39747.5</v>
      </c>
      <c r="AA190" s="227">
        <f t="shared" si="183"/>
        <v>-2.0697544820324869E-3</v>
      </c>
      <c r="AB190" s="227">
        <f t="shared" si="184"/>
        <v>-2.1856957552552687E-2</v>
      </c>
      <c r="AC190" s="227">
        <f t="shared" si="185"/>
        <v>2.1825122036238421E-2</v>
      </c>
      <c r="AD190" s="227">
        <f t="shared" si="186"/>
        <v>1.0189594828591102E-3</v>
      </c>
      <c r="AE190" s="227">
        <f t="shared" si="187"/>
        <v>1.0382784277085052E-6</v>
      </c>
      <c r="AF190" s="34">
        <f t="shared" si="188"/>
        <v>2.1825122036238421E-2</v>
      </c>
      <c r="AG190" s="19"/>
      <c r="AH190" s="34">
        <f t="shared" si="189"/>
        <v>2.0806162553379311E-2</v>
      </c>
      <c r="AI190" s="34">
        <f t="shared" si="190"/>
        <v>1.0634599975221968</v>
      </c>
      <c r="AJ190" s="34">
        <f t="shared" si="191"/>
        <v>0.70657774325513178</v>
      </c>
      <c r="AK190" s="34">
        <f t="shared" si="192"/>
        <v>4.1411339854964334E-2</v>
      </c>
      <c r="AL190" s="34">
        <f t="shared" si="193"/>
        <v>0.5781714810240679</v>
      </c>
      <c r="AM190" s="34">
        <f t="shared" si="194"/>
        <v>0.29741738339450868</v>
      </c>
      <c r="AN190" s="227">
        <f t="shared" si="195"/>
        <v>13.104353731881545</v>
      </c>
      <c r="AO190" s="227">
        <f t="shared" si="195"/>
        <v>13.104353729091828</v>
      </c>
      <c r="AP190" s="227">
        <f t="shared" si="195"/>
        <v>13.104353686220966</v>
      </c>
      <c r="AQ190" s="227">
        <f t="shared" si="195"/>
        <v>13.104353027404862</v>
      </c>
      <c r="AR190" s="227">
        <f t="shared" si="195"/>
        <v>13.104342903109696</v>
      </c>
      <c r="AS190" s="227">
        <f t="shared" si="195"/>
        <v>13.104187326636168</v>
      </c>
      <c r="AT190" s="227">
        <f t="shared" si="195"/>
        <v>13.101798448428081</v>
      </c>
      <c r="AU190" s="227">
        <f t="shared" si="196"/>
        <v>13.065525496518386</v>
      </c>
    </row>
    <row r="191" spans="1:48" ht="12.95" customHeight="1">
      <c r="A191" s="314" t="s">
        <v>54</v>
      </c>
      <c r="B191" s="315" t="s">
        <v>87</v>
      </c>
      <c r="C191" s="314">
        <v>57705.292699999998</v>
      </c>
      <c r="D191" s="314" t="s">
        <v>755</v>
      </c>
      <c r="E191" s="227">
        <f t="shared" si="175"/>
        <v>39845.994411177489</v>
      </c>
      <c r="F191" s="227">
        <f t="shared" si="176"/>
        <v>39846</v>
      </c>
      <c r="G191" s="227">
        <f t="shared" si="177"/>
        <v>-1.8437720063957386E-3</v>
      </c>
      <c r="H191" s="227"/>
      <c r="I191" s="227"/>
      <c r="J191" s="227"/>
      <c r="K191" s="227">
        <f t="shared" si="197"/>
        <v>-1.8437720063957386E-3</v>
      </c>
      <c r="M191" s="227"/>
      <c r="N191" s="227"/>
      <c r="O191" s="227">
        <f t="shared" ca="1" si="174"/>
        <v>-3.2068009123967234E-3</v>
      </c>
      <c r="P191" s="292">
        <f t="shared" si="178"/>
        <v>-2.3089377537065449E-2</v>
      </c>
      <c r="Q191" s="293">
        <f t="shared" si="179"/>
        <v>42686.792699999998</v>
      </c>
      <c r="R191" s="227">
        <f t="shared" si="180"/>
        <v>4.5137575436482338E-4</v>
      </c>
      <c r="S191" s="227">
        <v>1</v>
      </c>
      <c r="T191" s="227">
        <f t="shared" si="181"/>
        <v>4.5137575436482338E-4</v>
      </c>
      <c r="Z191" s="34">
        <f t="shared" si="182"/>
        <v>39846</v>
      </c>
      <c r="AA191" s="227">
        <f t="shared" si="183"/>
        <v>-2.4372291417476058E-3</v>
      </c>
      <c r="AB191" s="227">
        <f t="shared" si="184"/>
        <v>-2.2495920401713582E-2</v>
      </c>
      <c r="AC191" s="227">
        <f t="shared" si="185"/>
        <v>2.124560553066971E-2</v>
      </c>
      <c r="AD191" s="227">
        <f t="shared" si="186"/>
        <v>5.9345713535186723E-4</v>
      </c>
      <c r="AE191" s="227">
        <f t="shared" si="187"/>
        <v>3.5219137150004445E-7</v>
      </c>
      <c r="AF191" s="34">
        <f t="shared" si="188"/>
        <v>2.124560553066971E-2</v>
      </c>
      <c r="AG191" s="19"/>
      <c r="AH191" s="34">
        <f t="shared" si="189"/>
        <v>2.0652148395317843E-2</v>
      </c>
      <c r="AI191" s="34">
        <f t="shared" si="190"/>
        <v>1.0631050732645406</v>
      </c>
      <c r="AJ191" s="34">
        <f t="shared" si="191"/>
        <v>0.70052650867271338</v>
      </c>
      <c r="AK191" s="34">
        <f t="shared" si="192"/>
        <v>4.1950209562975356E-2</v>
      </c>
      <c r="AL191" s="34">
        <f t="shared" si="193"/>
        <v>0.58668672853370685</v>
      </c>
      <c r="AM191" s="34">
        <f t="shared" si="194"/>
        <v>0.30205752801206587</v>
      </c>
      <c r="AN191" s="227">
        <f t="shared" ref="AN191:AT200" si="198">$AU191+$AB$7*SIN(AO191)</f>
        <v>13.112339155775155</v>
      </c>
      <c r="AO191" s="227">
        <f t="shared" si="198"/>
        <v>13.112339153026623</v>
      </c>
      <c r="AP191" s="227">
        <f t="shared" si="198"/>
        <v>13.112339110585095</v>
      </c>
      <c r="AQ191" s="227">
        <f t="shared" si="198"/>
        <v>13.112338455223229</v>
      </c>
      <c r="AR191" s="227">
        <f t="shared" si="198"/>
        <v>13.112328335470245</v>
      </c>
      <c r="AS191" s="227">
        <f t="shared" si="198"/>
        <v>13.112172079468209</v>
      </c>
      <c r="AT191" s="227">
        <f t="shared" si="198"/>
        <v>13.109761255584251</v>
      </c>
      <c r="AU191" s="227">
        <f t="shared" si="196"/>
        <v>13.072992531903548</v>
      </c>
    </row>
    <row r="192" spans="1:48" ht="12.95" customHeight="1">
      <c r="A192" s="304" t="s">
        <v>754</v>
      </c>
      <c r="C192" s="290">
        <v>58002.86</v>
      </c>
      <c r="D192" s="290">
        <v>4.0000000000000002E-4</v>
      </c>
      <c r="E192" s="227">
        <f t="shared" si="175"/>
        <v>40747.977312952389</v>
      </c>
      <c r="F192" s="227">
        <f t="shared" si="176"/>
        <v>40748</v>
      </c>
      <c r="G192" s="227">
        <f t="shared" si="177"/>
        <v>-7.4845360068138689E-3</v>
      </c>
      <c r="H192" s="227"/>
      <c r="I192" s="227"/>
      <c r="J192" s="227"/>
      <c r="K192" s="227">
        <f t="shared" si="197"/>
        <v>-7.4845360068138689E-3</v>
      </c>
      <c r="M192" s="227"/>
      <c r="N192" s="227"/>
      <c r="O192" s="227">
        <f t="shared" ca="1" si="174"/>
        <v>-6.4794770221317799E-3</v>
      </c>
      <c r="P192" s="292">
        <f t="shared" si="178"/>
        <v>-2.5068944259530896E-2</v>
      </c>
      <c r="Q192" s="293">
        <f t="shared" si="179"/>
        <v>42984.36</v>
      </c>
      <c r="R192" s="227">
        <f t="shared" si="180"/>
        <v>3.0921141359822272E-4</v>
      </c>
      <c r="S192" s="227">
        <v>1</v>
      </c>
      <c r="T192" s="227">
        <f t="shared" si="181"/>
        <v>3.0921141359822272E-4</v>
      </c>
      <c r="U192" s="227"/>
      <c r="Z192" s="34">
        <f t="shared" si="182"/>
        <v>40748</v>
      </c>
      <c r="AA192" s="227">
        <f t="shared" si="183"/>
        <v>-5.8844526992217136E-3</v>
      </c>
      <c r="AB192" s="227">
        <f t="shared" si="184"/>
        <v>-2.6669027567123051E-2</v>
      </c>
      <c r="AC192" s="227">
        <f t="shared" si="185"/>
        <v>1.7584408252717027E-2</v>
      </c>
      <c r="AD192" s="227">
        <f t="shared" si="186"/>
        <v>-1.6000833075921553E-3</v>
      </c>
      <c r="AE192" s="227">
        <f t="shared" si="187"/>
        <v>2.560266591235052E-6</v>
      </c>
      <c r="AF192" s="34">
        <f t="shared" si="188"/>
        <v>1.7584408252717027E-2</v>
      </c>
      <c r="AG192" s="19"/>
      <c r="AH192" s="34">
        <f t="shared" si="189"/>
        <v>1.9184491560309182E-2</v>
      </c>
      <c r="AI192" s="34">
        <f t="shared" si="190"/>
        <v>1.0596582891842332</v>
      </c>
      <c r="AJ192" s="34">
        <f t="shared" si="191"/>
        <v>0.64301771557755294</v>
      </c>
      <c r="AK192" s="34">
        <f t="shared" si="192"/>
        <v>4.6722145559798429E-2</v>
      </c>
      <c r="AL192" s="34">
        <f t="shared" si="193"/>
        <v>0.66438963083121871</v>
      </c>
      <c r="AM192" s="34">
        <f t="shared" si="194"/>
        <v>0.34497903483175174</v>
      </c>
      <c r="AN192" s="227">
        <f t="shared" si="198"/>
        <v>13.185335804452052</v>
      </c>
      <c r="AO192" s="227">
        <f t="shared" si="198"/>
        <v>13.18533580213472</v>
      </c>
      <c r="AP192" s="227">
        <f t="shared" si="198"/>
        <v>13.185335764587846</v>
      </c>
      <c r="AQ192" s="227">
        <f t="shared" si="198"/>
        <v>13.185335156229627</v>
      </c>
      <c r="AR192" s="227">
        <f t="shared" si="198"/>
        <v>13.185325299261351</v>
      </c>
      <c r="AS192" s="227">
        <f t="shared" si="198"/>
        <v>13.185165600659863</v>
      </c>
      <c r="AT192" s="227">
        <f t="shared" si="198"/>
        <v>13.182580751849274</v>
      </c>
      <c r="AU192" s="227">
        <f t="shared" si="196"/>
        <v>13.141370866090496</v>
      </c>
    </row>
    <row r="193" spans="1:48" ht="12.95" customHeight="1">
      <c r="A193" s="238" t="s">
        <v>756</v>
      </c>
      <c r="C193" s="290">
        <v>58767.894999999997</v>
      </c>
      <c r="D193" s="290">
        <v>1E-4</v>
      </c>
      <c r="E193" s="227">
        <f t="shared" si="175"/>
        <v>43066.94344014227</v>
      </c>
      <c r="F193" s="227">
        <f t="shared" si="176"/>
        <v>43067</v>
      </c>
      <c r="G193" s="227">
        <f t="shared" si="177"/>
        <v>-1.8659294008102734E-2</v>
      </c>
      <c r="H193" s="227"/>
      <c r="I193" s="227"/>
      <c r="J193" s="227"/>
      <c r="K193" s="227">
        <f t="shared" si="197"/>
        <v>-1.8659294008102734E-2</v>
      </c>
      <c r="M193" s="227"/>
      <c r="N193" s="227"/>
      <c r="O193" s="227">
        <f t="shared" ca="1" si="174"/>
        <v>-1.4893374914011576E-2</v>
      </c>
      <c r="P193" s="292">
        <f t="shared" si="178"/>
        <v>-3.0363849976944073E-2</v>
      </c>
      <c r="Q193" s="293">
        <f t="shared" si="179"/>
        <v>43749.394999999997</v>
      </c>
      <c r="R193" s="227">
        <f t="shared" si="180"/>
        <v>1.369966304277394E-4</v>
      </c>
      <c r="S193" s="227">
        <v>1</v>
      </c>
      <c r="T193" s="227">
        <f t="shared" si="181"/>
        <v>1.369966304277394E-4</v>
      </c>
      <c r="Z193" s="34">
        <f t="shared" si="182"/>
        <v>43067</v>
      </c>
      <c r="AA193" s="227">
        <f t="shared" si="183"/>
        <v>-1.5372736379788966E-2</v>
      </c>
      <c r="AB193" s="227">
        <f t="shared" si="184"/>
        <v>-3.3650407605257837E-2</v>
      </c>
      <c r="AC193" s="227">
        <f t="shared" si="185"/>
        <v>1.1704555968841339E-2</v>
      </c>
      <c r="AD193" s="227">
        <f t="shared" si="186"/>
        <v>-3.286557628313768E-3</v>
      </c>
      <c r="AE193" s="227">
        <f t="shared" si="187"/>
        <v>1.080146104422742E-5</v>
      </c>
      <c r="AF193" s="34">
        <f t="shared" si="188"/>
        <v>1.1704555968841339E-2</v>
      </c>
      <c r="AG193" s="19"/>
      <c r="AH193" s="34">
        <f t="shared" si="189"/>
        <v>1.4991113597155107E-2</v>
      </c>
      <c r="AI193" s="34">
        <f t="shared" si="190"/>
        <v>1.049345754026664</v>
      </c>
      <c r="AJ193" s="34">
        <f t="shared" si="191"/>
        <v>0.4804715149899329</v>
      </c>
      <c r="AK193" s="34">
        <f t="shared" si="192"/>
        <v>5.7507103158136584E-2</v>
      </c>
      <c r="AL193" s="34">
        <f t="shared" si="193"/>
        <v>0.86162947909593757</v>
      </c>
      <c r="AM193" s="34">
        <f t="shared" si="194"/>
        <v>0.45960749866631817</v>
      </c>
      <c r="AN193" s="227">
        <f t="shared" si="198"/>
        <v>13.371813628820197</v>
      </c>
      <c r="AO193" s="227">
        <f t="shared" si="198"/>
        <v>13.371813627704302</v>
      </c>
      <c r="AP193" s="227">
        <f t="shared" si="198"/>
        <v>13.371813606448068</v>
      </c>
      <c r="AQ193" s="227">
        <f t="shared" si="198"/>
        <v>13.37181320154674</v>
      </c>
      <c r="AR193" s="227">
        <f t="shared" si="198"/>
        <v>13.371805488779005</v>
      </c>
      <c r="AS193" s="227">
        <f t="shared" si="198"/>
        <v>13.371658583852509</v>
      </c>
      <c r="AT193" s="227">
        <f t="shared" si="198"/>
        <v>13.36886476016468</v>
      </c>
      <c r="AU193" s="227">
        <f t="shared" si="196"/>
        <v>13.317168379371576</v>
      </c>
    </row>
    <row r="194" spans="1:48" ht="12.95" customHeight="1">
      <c r="A194" s="316" t="s">
        <v>794</v>
      </c>
      <c r="B194" s="317" t="s">
        <v>87</v>
      </c>
      <c r="C194" s="318">
        <v>58853.998500000002</v>
      </c>
      <c r="D194" s="318" t="s">
        <v>214</v>
      </c>
      <c r="E194" s="227">
        <f t="shared" si="175"/>
        <v>43327.939472915285</v>
      </c>
      <c r="F194" s="227">
        <f t="shared" si="176"/>
        <v>43328</v>
      </c>
      <c r="G194" s="227">
        <f t="shared" si="177"/>
        <v>-1.9968096006778069E-2</v>
      </c>
      <c r="H194" s="227"/>
      <c r="I194" s="227"/>
      <c r="J194" s="227"/>
      <c r="K194" s="227">
        <f t="shared" si="197"/>
        <v>-1.9968096006778069E-2</v>
      </c>
      <c r="M194" s="227"/>
      <c r="N194" s="227"/>
      <c r="O194" s="227">
        <f t="shared" ca="1" si="174"/>
        <v>-1.5840346604300753E-2</v>
      </c>
      <c r="P194" s="292">
        <f t="shared" si="178"/>
        <v>-3.0978312562699027E-2</v>
      </c>
      <c r="Q194" s="293">
        <f t="shared" si="179"/>
        <v>43835.498500000002</v>
      </c>
      <c r="R194" s="227">
        <f t="shared" si="180"/>
        <v>1.2122486860827597E-4</v>
      </c>
      <c r="S194" s="227">
        <v>1</v>
      </c>
      <c r="T194" s="227">
        <f t="shared" si="181"/>
        <v>1.2122486860827597E-4</v>
      </c>
      <c r="Z194" s="34">
        <f t="shared" si="182"/>
        <v>43328</v>
      </c>
      <c r="AA194" s="227">
        <f t="shared" si="183"/>
        <v>-1.6491707920752274E-2</v>
      </c>
      <c r="AB194" s="227">
        <f t="shared" si="184"/>
        <v>-3.4454700648724822E-2</v>
      </c>
      <c r="AC194" s="227">
        <f t="shared" si="185"/>
        <v>1.1010216555920958E-2</v>
      </c>
      <c r="AD194" s="227">
        <f t="shared" si="186"/>
        <v>-3.4763880860257945E-3</v>
      </c>
      <c r="AE194" s="227">
        <f t="shared" si="187"/>
        <v>1.2085274124662087E-5</v>
      </c>
      <c r="AF194" s="34">
        <f t="shared" si="188"/>
        <v>1.1010216555920958E-2</v>
      </c>
      <c r="AG194" s="19"/>
      <c r="AH194" s="34">
        <f t="shared" si="189"/>
        <v>1.4486604641946755E-2</v>
      </c>
      <c r="AI194" s="34">
        <f t="shared" si="190"/>
        <v>1.0480717449017722</v>
      </c>
      <c r="AJ194" s="34">
        <f t="shared" si="191"/>
        <v>0.46110781205409934</v>
      </c>
      <c r="AK194" s="34">
        <f t="shared" si="192"/>
        <v>5.8576255395847189E-2</v>
      </c>
      <c r="AL194" s="34">
        <f t="shared" si="193"/>
        <v>0.88357849906204</v>
      </c>
      <c r="AM194" s="34">
        <f t="shared" si="194"/>
        <v>0.47296818097581761</v>
      </c>
      <c r="AN194" s="227">
        <f t="shared" si="198"/>
        <v>13.392682983373529</v>
      </c>
      <c r="AO194" s="227">
        <f t="shared" si="198"/>
        <v>13.392682982374325</v>
      </c>
      <c r="AP194" s="227">
        <f t="shared" si="198"/>
        <v>13.392682962913954</v>
      </c>
      <c r="AQ194" s="227">
        <f t="shared" si="198"/>
        <v>13.392682583906041</v>
      </c>
      <c r="AR194" s="227">
        <f t="shared" si="198"/>
        <v>13.392675202423806</v>
      </c>
      <c r="AS194" s="227">
        <f t="shared" si="198"/>
        <v>13.392531453942647</v>
      </c>
      <c r="AT194" s="227">
        <f t="shared" si="198"/>
        <v>13.389736519543092</v>
      </c>
      <c r="AU194" s="227">
        <f t="shared" si="196"/>
        <v>13.336954127955606</v>
      </c>
    </row>
    <row r="195" spans="1:48" ht="12.95" customHeight="1">
      <c r="A195" s="319" t="s">
        <v>796</v>
      </c>
      <c r="B195" s="320" t="s">
        <v>86</v>
      </c>
      <c r="C195" s="321">
        <v>59213.4234</v>
      </c>
      <c r="D195" s="321">
        <v>1E-4</v>
      </c>
      <c r="E195" s="227">
        <f t="shared" si="175"/>
        <v>44417.42448780821</v>
      </c>
      <c r="F195" s="227">
        <f t="shared" si="176"/>
        <v>44417.5</v>
      </c>
      <c r="G195" s="227">
        <f t="shared" si="177"/>
        <v>-2.4911735003115609E-2</v>
      </c>
      <c r="H195" s="227"/>
      <c r="I195" s="227"/>
      <c r="J195" s="227"/>
      <c r="K195" s="227">
        <f t="shared" si="197"/>
        <v>-2.4911735003115609E-2</v>
      </c>
      <c r="M195" s="227"/>
      <c r="N195" s="227"/>
      <c r="O195" s="227">
        <f t="shared" ca="1" si="174"/>
        <v>-1.9793318468553894E-2</v>
      </c>
      <c r="P195" s="292">
        <f t="shared" si="178"/>
        <v>-3.3583768291802485E-2</v>
      </c>
      <c r="Q195" s="293">
        <f t="shared" si="179"/>
        <v>44194.9234</v>
      </c>
      <c r="R195" s="227">
        <f t="shared" si="180"/>
        <v>7.5204161360093304E-5</v>
      </c>
      <c r="S195" s="227">
        <v>1</v>
      </c>
      <c r="T195" s="227">
        <f t="shared" si="181"/>
        <v>7.5204161360093304E-5</v>
      </c>
      <c r="Z195" s="34">
        <f t="shared" si="182"/>
        <v>44417.5</v>
      </c>
      <c r="AA195" s="227">
        <f t="shared" si="183"/>
        <v>-2.1261582215971818E-2</v>
      </c>
      <c r="AB195" s="227">
        <f t="shared" si="184"/>
        <v>-3.7233921078946276E-2</v>
      </c>
      <c r="AC195" s="227">
        <f t="shared" si="185"/>
        <v>8.6720332886868756E-3</v>
      </c>
      <c r="AD195" s="227">
        <f t="shared" si="186"/>
        <v>-3.6501527871437914E-3</v>
      </c>
      <c r="AE195" s="227">
        <f t="shared" si="187"/>
        <v>1.3323615369493588E-5</v>
      </c>
      <c r="AF195" s="34">
        <f t="shared" si="188"/>
        <v>8.6720332886868756E-3</v>
      </c>
      <c r="AG195" s="19"/>
      <c r="AH195" s="34">
        <f t="shared" si="189"/>
        <v>1.2322186075830669E-2</v>
      </c>
      <c r="AI195" s="34">
        <f t="shared" si="190"/>
        <v>1.0425476247854779</v>
      </c>
      <c r="AJ195" s="34">
        <f t="shared" si="191"/>
        <v>0.37853154132747824</v>
      </c>
      <c r="AK195" s="34">
        <f t="shared" si="192"/>
        <v>6.2703827468622422E-2</v>
      </c>
      <c r="AL195" s="34">
        <f t="shared" si="193"/>
        <v>0.97461248432594894</v>
      </c>
      <c r="AM195" s="34">
        <f t="shared" si="194"/>
        <v>0.52993296295782111</v>
      </c>
      <c r="AN195" s="227">
        <f t="shared" si="198"/>
        <v>13.479518244216939</v>
      </c>
      <c r="AO195" s="227">
        <f t="shared" si="198"/>
        <v>13.479518243629398</v>
      </c>
      <c r="AP195" s="227">
        <f t="shared" si="198"/>
        <v>13.479518230944725</v>
      </c>
      <c r="AQ195" s="227">
        <f t="shared" si="198"/>
        <v>13.47951795708974</v>
      </c>
      <c r="AR195" s="227">
        <f t="shared" si="198"/>
        <v>13.479512044737948</v>
      </c>
      <c r="AS195" s="227">
        <f t="shared" si="198"/>
        <v>13.479384411925457</v>
      </c>
      <c r="AT195" s="227">
        <f t="shared" si="198"/>
        <v>13.47663425948374</v>
      </c>
      <c r="AU195" s="227">
        <f t="shared" si="196"/>
        <v>13.419546361987402</v>
      </c>
    </row>
    <row r="196" spans="1:48" ht="12.95" customHeight="1">
      <c r="A196" s="319" t="s">
        <v>796</v>
      </c>
      <c r="B196" s="320" t="s">
        <v>87</v>
      </c>
      <c r="C196" s="321">
        <v>59213.587</v>
      </c>
      <c r="D196" s="321">
        <v>1E-4</v>
      </c>
      <c r="E196" s="227">
        <f t="shared" si="175"/>
        <v>44417.920390424966</v>
      </c>
      <c r="F196" s="227">
        <f t="shared" si="176"/>
        <v>44418</v>
      </c>
      <c r="G196" s="227">
        <f t="shared" si="177"/>
        <v>-2.6263476007443387E-2</v>
      </c>
      <c r="H196" s="227"/>
      <c r="I196" s="227"/>
      <c r="J196" s="227"/>
      <c r="K196" s="227">
        <f t="shared" si="197"/>
        <v>-2.6263476007443387E-2</v>
      </c>
      <c r="M196" s="227"/>
      <c r="N196" s="227"/>
      <c r="O196" s="227">
        <f t="shared" ca="1" si="174"/>
        <v>-1.979513259056595E-2</v>
      </c>
      <c r="P196" s="292">
        <f t="shared" si="178"/>
        <v>-3.3584978999773876E-2</v>
      </c>
      <c r="Q196" s="293">
        <f t="shared" si="179"/>
        <v>44195.087</v>
      </c>
      <c r="R196" s="227">
        <f t="shared" si="180"/>
        <v>5.3604406066704306E-5</v>
      </c>
      <c r="S196" s="227">
        <v>1</v>
      </c>
      <c r="T196" s="227">
        <f t="shared" si="181"/>
        <v>5.3604406066704306E-5</v>
      </c>
      <c r="Z196" s="34">
        <f t="shared" si="182"/>
        <v>44418</v>
      </c>
      <c r="AA196" s="227">
        <f t="shared" si="183"/>
        <v>-2.1263806113741408E-2</v>
      </c>
      <c r="AB196" s="227">
        <f t="shared" si="184"/>
        <v>-3.8584648893475855E-2</v>
      </c>
      <c r="AC196" s="227">
        <f t="shared" si="185"/>
        <v>7.3215029923304892E-3</v>
      </c>
      <c r="AD196" s="227">
        <f t="shared" si="186"/>
        <v>-4.9996698937019787E-3</v>
      </c>
      <c r="AE196" s="227">
        <f t="shared" si="187"/>
        <v>2.4996699045989957E-5</v>
      </c>
      <c r="AF196" s="34">
        <f t="shared" si="188"/>
        <v>7.3215029923304892E-3</v>
      </c>
      <c r="AG196" s="19"/>
      <c r="AH196" s="34">
        <f t="shared" si="189"/>
        <v>1.232117288603247E-2</v>
      </c>
      <c r="AI196" s="34">
        <f t="shared" si="190"/>
        <v>1.0425450190862573</v>
      </c>
      <c r="AJ196" s="34">
        <f t="shared" si="191"/>
        <v>0.37849307810216692</v>
      </c>
      <c r="AK196" s="34">
        <f t="shared" si="192"/>
        <v>6.270559548437922E-2</v>
      </c>
      <c r="AL196" s="34">
        <f t="shared" si="193"/>
        <v>0.97465403940465112</v>
      </c>
      <c r="AM196" s="34">
        <f t="shared" si="194"/>
        <v>0.52995957572466168</v>
      </c>
      <c r="AN196" s="227">
        <f t="shared" si="198"/>
        <v>13.479557988830658</v>
      </c>
      <c r="AO196" s="227">
        <f t="shared" si="198"/>
        <v>13.479557988243277</v>
      </c>
      <c r="AP196" s="227">
        <f t="shared" si="198"/>
        <v>13.479557975561391</v>
      </c>
      <c r="AQ196" s="227">
        <f t="shared" si="198"/>
        <v>13.479557701752505</v>
      </c>
      <c r="AR196" s="227">
        <f t="shared" si="198"/>
        <v>13.479551790091735</v>
      </c>
      <c r="AS196" s="227">
        <f t="shared" si="198"/>
        <v>13.479424165629169</v>
      </c>
      <c r="AT196" s="227">
        <f t="shared" si="198"/>
        <v>13.476674051923762</v>
      </c>
      <c r="AU196" s="227">
        <f t="shared" si="196"/>
        <v>13.419584265720321</v>
      </c>
    </row>
    <row r="197" spans="1:48" ht="12.95" customHeight="1">
      <c r="A197" s="222" t="s">
        <v>797</v>
      </c>
      <c r="B197" s="223" t="s">
        <v>87</v>
      </c>
      <c r="C197" s="323">
        <v>59239.978999999817</v>
      </c>
      <c r="D197" s="224"/>
      <c r="E197" s="227">
        <f t="shared" si="175"/>
        <v>44497.919546056241</v>
      </c>
      <c r="F197" s="227">
        <f t="shared" si="176"/>
        <v>44498</v>
      </c>
      <c r="G197" s="227">
        <f t="shared" si="177"/>
        <v>-2.6542036182945594E-2</v>
      </c>
      <c r="H197" s="227"/>
      <c r="I197" s="227"/>
      <c r="J197" s="227"/>
      <c r="K197" s="227">
        <f t="shared" si="197"/>
        <v>-2.6542036182945594E-2</v>
      </c>
      <c r="M197" s="227"/>
      <c r="N197" s="227"/>
      <c r="O197" s="227">
        <f t="shared" ca="1" si="174"/>
        <v>-2.0085392112493661E-2</v>
      </c>
      <c r="P197" s="292">
        <f t="shared" si="178"/>
        <v>-3.377886947919731E-2</v>
      </c>
      <c r="Q197" s="293">
        <f t="shared" si="179"/>
        <v>44221.478999999817</v>
      </c>
      <c r="R197" s="227">
        <f t="shared" si="180"/>
        <v>5.2371756157737469E-5</v>
      </c>
      <c r="S197" s="227">
        <v>1</v>
      </c>
      <c r="T197" s="227">
        <f t="shared" si="181"/>
        <v>5.2371756157737469E-5</v>
      </c>
      <c r="Z197" s="34">
        <f t="shared" si="182"/>
        <v>44498</v>
      </c>
      <c r="AA197" s="227">
        <f t="shared" si="183"/>
        <v>-2.162002379355062E-2</v>
      </c>
      <c r="AB197" s="227">
        <f t="shared" si="184"/>
        <v>-3.8700881868592288E-2</v>
      </c>
      <c r="AC197" s="227">
        <f t="shared" si="185"/>
        <v>7.2368332962517157E-3</v>
      </c>
      <c r="AD197" s="227">
        <f t="shared" si="186"/>
        <v>-4.9220123893949745E-3</v>
      </c>
      <c r="AE197" s="227">
        <f t="shared" si="187"/>
        <v>2.4226205961357627E-5</v>
      </c>
      <c r="AF197" s="34">
        <f t="shared" si="188"/>
        <v>7.2368332962517157E-3</v>
      </c>
      <c r="AG197" s="19"/>
      <c r="AH197" s="34">
        <f t="shared" si="189"/>
        <v>1.215884568564669E-2</v>
      </c>
      <c r="AI197" s="34">
        <f t="shared" si="190"/>
        <v>1.0421273327261205</v>
      </c>
      <c r="AJ197" s="34">
        <f t="shared" si="191"/>
        <v>0.372333075002444</v>
      </c>
      <c r="AK197" s="34">
        <f t="shared" si="192"/>
        <v>6.2986968425884124E-2</v>
      </c>
      <c r="AL197" s="34">
        <f t="shared" si="193"/>
        <v>0.9813001735858522</v>
      </c>
      <c r="AM197" s="34">
        <f t="shared" si="194"/>
        <v>0.53422347478423249</v>
      </c>
      <c r="AN197" s="227">
        <f t="shared" si="198"/>
        <v>13.485915845994983</v>
      </c>
      <c r="AO197" s="227">
        <f t="shared" si="198"/>
        <v>13.485915845432745</v>
      </c>
      <c r="AP197" s="227">
        <f t="shared" si="198"/>
        <v>13.485915833192701</v>
      </c>
      <c r="AQ197" s="227">
        <f t="shared" si="198"/>
        <v>13.485915566724337</v>
      </c>
      <c r="AR197" s="227">
        <f t="shared" si="198"/>
        <v>13.485909765674226</v>
      </c>
      <c r="AS197" s="227">
        <f t="shared" si="198"/>
        <v>13.485783487017571</v>
      </c>
      <c r="AT197" s="227">
        <f t="shared" si="198"/>
        <v>13.483039784054432</v>
      </c>
      <c r="AU197" s="227">
        <f t="shared" si="196"/>
        <v>13.425648862987456</v>
      </c>
    </row>
    <row r="198" spans="1:48" ht="12.95" customHeight="1">
      <c r="A198" s="222" t="s">
        <v>797</v>
      </c>
      <c r="B198" s="223" t="s">
        <v>87</v>
      </c>
      <c r="C198" s="323">
        <v>59240.145000000019</v>
      </c>
      <c r="D198" s="224"/>
      <c r="E198" s="227">
        <f t="shared" si="175"/>
        <v>44498.422723528616</v>
      </c>
      <c r="F198" s="227">
        <f t="shared" si="176"/>
        <v>44498.5</v>
      </c>
      <c r="G198" s="227">
        <f t="shared" si="177"/>
        <v>-2.5493776985967997E-2</v>
      </c>
      <c r="H198" s="227"/>
      <c r="I198" s="227"/>
      <c r="J198" s="227"/>
      <c r="K198" s="227">
        <f t="shared" si="197"/>
        <v>-2.5493776985967997E-2</v>
      </c>
      <c r="M198" s="227"/>
      <c r="N198" s="227"/>
      <c r="O198" s="227">
        <f t="shared" ca="1" si="174"/>
        <v>-2.0087206234505717E-2</v>
      </c>
      <c r="P198" s="292">
        <f t="shared" si="178"/>
        <v>-3.3780082402218706E-2</v>
      </c>
      <c r="Q198" s="293">
        <f t="shared" si="179"/>
        <v>44221.645000000019</v>
      </c>
      <c r="R198" s="227">
        <f t="shared" si="180"/>
        <v>6.8662857451385828E-5</v>
      </c>
      <c r="S198" s="227">
        <v>1</v>
      </c>
      <c r="T198" s="227">
        <f t="shared" si="181"/>
        <v>6.8662857451385828E-5</v>
      </c>
      <c r="Z198" s="34">
        <f t="shared" si="182"/>
        <v>44498.5</v>
      </c>
      <c r="AA198" s="227">
        <f t="shared" si="183"/>
        <v>-2.1622252608929887E-2</v>
      </c>
      <c r="AB198" s="227">
        <f t="shared" si="184"/>
        <v>-3.7651606779256816E-2</v>
      </c>
      <c r="AC198" s="227">
        <f t="shared" si="185"/>
        <v>8.2863054162507083E-3</v>
      </c>
      <c r="AD198" s="227">
        <f t="shared" si="186"/>
        <v>-3.8715243770381103E-3</v>
      </c>
      <c r="AE198" s="227">
        <f t="shared" si="187"/>
        <v>1.4988701002000328E-5</v>
      </c>
      <c r="AF198" s="34">
        <f t="shared" si="188"/>
        <v>8.2863054162507083E-3</v>
      </c>
      <c r="AG198" s="19"/>
      <c r="AH198" s="34">
        <f t="shared" si="189"/>
        <v>1.215782979328882E-2</v>
      </c>
      <c r="AI198" s="34">
        <f t="shared" si="190"/>
        <v>1.042124717371355</v>
      </c>
      <c r="AJ198" s="34">
        <f t="shared" si="191"/>
        <v>0.37229453853724942</v>
      </c>
      <c r="AK198" s="34">
        <f t="shared" si="192"/>
        <v>6.298871756500557E-2</v>
      </c>
      <c r="AL198" s="34">
        <f t="shared" si="193"/>
        <v>0.98134169516590086</v>
      </c>
      <c r="AM198" s="34">
        <f t="shared" si="194"/>
        <v>0.53425016089011057</v>
      </c>
      <c r="AN198" s="227">
        <f t="shared" si="198"/>
        <v>13.485955574585878</v>
      </c>
      <c r="AO198" s="227">
        <f t="shared" si="198"/>
        <v>13.485955574023796</v>
      </c>
      <c r="AP198" s="227">
        <f t="shared" si="198"/>
        <v>13.485955561786486</v>
      </c>
      <c r="AQ198" s="227">
        <f t="shared" si="198"/>
        <v>13.485955295363778</v>
      </c>
      <c r="AR198" s="227">
        <f t="shared" si="198"/>
        <v>13.485949495005213</v>
      </c>
      <c r="AS198" s="227">
        <f t="shared" si="198"/>
        <v>13.485823224820553</v>
      </c>
      <c r="AT198" s="227">
        <f t="shared" si="198"/>
        <v>13.483079563254288</v>
      </c>
      <c r="AU198" s="227">
        <f t="shared" si="196"/>
        <v>13.425686766720377</v>
      </c>
    </row>
    <row r="199" spans="1:48" ht="12.95" customHeight="1">
      <c r="A199" s="222" t="s">
        <v>798</v>
      </c>
      <c r="B199" s="223" t="s">
        <v>86</v>
      </c>
      <c r="C199" s="323">
        <v>59480.472699999998</v>
      </c>
      <c r="D199" s="224">
        <v>1E-4</v>
      </c>
      <c r="E199" s="227">
        <f t="shared" si="175"/>
        <v>45226.901545707216</v>
      </c>
      <c r="F199" s="227">
        <f t="shared" si="176"/>
        <v>45227</v>
      </c>
      <c r="G199" s="227">
        <f t="shared" si="177"/>
        <v>-3.2480414003657643E-2</v>
      </c>
      <c r="H199" s="227"/>
      <c r="I199" s="227"/>
      <c r="J199" s="227"/>
      <c r="K199" s="227">
        <f t="shared" si="197"/>
        <v>-3.2480414003657643E-2</v>
      </c>
      <c r="M199" s="227"/>
      <c r="N199" s="227"/>
      <c r="O199" s="227">
        <f t="shared" ca="1" si="174"/>
        <v>-2.2730382006060007E-2</v>
      </c>
      <c r="P199" s="292">
        <f t="shared" si="178"/>
        <v>-3.5561924424609148E-2</v>
      </c>
      <c r="Q199" s="293">
        <f t="shared" si="179"/>
        <v>44461.972699999998</v>
      </c>
      <c r="R199" s="227">
        <f t="shared" si="180"/>
        <v>9.4957064744327245E-6</v>
      </c>
      <c r="S199" s="227">
        <v>1</v>
      </c>
      <c r="T199" s="227">
        <f t="shared" si="181"/>
        <v>9.4957064744327245E-6</v>
      </c>
      <c r="Z199" s="34">
        <f t="shared" si="182"/>
        <v>45227</v>
      </c>
      <c r="AA199" s="227">
        <f t="shared" si="183"/>
        <v>-2.4900992297349288E-2</v>
      </c>
      <c r="AB199" s="227">
        <f t="shared" si="184"/>
        <v>-4.3141346130917503E-2</v>
      </c>
      <c r="AC199" s="227">
        <f t="shared" si="185"/>
        <v>3.0815104209515054E-3</v>
      </c>
      <c r="AD199" s="227">
        <f t="shared" si="186"/>
        <v>-7.5794217063083549E-3</v>
      </c>
      <c r="AE199" s="227">
        <f t="shared" si="187"/>
        <v>5.7447633402058255E-5</v>
      </c>
      <c r="AF199" s="34">
        <f t="shared" si="188"/>
        <v>3.0815104209515054E-3</v>
      </c>
      <c r="AG199" s="19"/>
      <c r="AH199" s="34">
        <f t="shared" si="189"/>
        <v>1.066093212725986E-2</v>
      </c>
      <c r="AI199" s="34">
        <f t="shared" si="190"/>
        <v>1.0382539711520991</v>
      </c>
      <c r="AJ199" s="34">
        <f t="shared" si="191"/>
        <v>0.31571163863374391</v>
      </c>
      <c r="AK199" s="34">
        <f t="shared" si="192"/>
        <v>6.5411803561704049E-2</v>
      </c>
      <c r="AL199" s="34">
        <f t="shared" si="193"/>
        <v>1.0416151937453795</v>
      </c>
      <c r="AM199" s="34">
        <f t="shared" si="194"/>
        <v>0.57363467554026981</v>
      </c>
      <c r="AN199" s="227">
        <f t="shared" si="198"/>
        <v>13.543733101895398</v>
      </c>
      <c r="AO199" s="227">
        <f t="shared" si="198"/>
        <v>13.543733101530327</v>
      </c>
      <c r="AP199" s="227">
        <f t="shared" si="198"/>
        <v>13.543733092915051</v>
      </c>
      <c r="AQ199" s="227">
        <f t="shared" si="198"/>
        <v>13.543732889604899</v>
      </c>
      <c r="AR199" s="227">
        <f t="shared" si="198"/>
        <v>13.543728091746985</v>
      </c>
      <c r="AS199" s="227">
        <f t="shared" si="198"/>
        <v>13.543614878378616</v>
      </c>
      <c r="AT199" s="227">
        <f t="shared" si="198"/>
        <v>13.540948910229389</v>
      </c>
      <c r="AU199" s="227">
        <f t="shared" si="196"/>
        <v>13.480912505584225</v>
      </c>
    </row>
    <row r="200" spans="1:48" ht="12.95" customHeight="1">
      <c r="A200" s="225" t="s">
        <v>801</v>
      </c>
      <c r="B200" s="327" t="s">
        <v>87</v>
      </c>
      <c r="C200" s="325">
        <v>59505.8194</v>
      </c>
      <c r="D200" s="343">
        <v>4.0000000000000002E-4</v>
      </c>
      <c r="E200" s="227">
        <f t="shared" si="175"/>
        <v>45303.732198861711</v>
      </c>
      <c r="F200" s="227">
        <f t="shared" si="176"/>
        <v>45303.5</v>
      </c>
      <c r="G200" s="227">
        <f t="shared" si="177"/>
        <v>7.6603212997724768E-2</v>
      </c>
      <c r="H200" s="227"/>
      <c r="I200" s="227"/>
      <c r="J200" s="227"/>
      <c r="K200" s="227">
        <f t="shared" si="197"/>
        <v>7.6603212997724768E-2</v>
      </c>
      <c r="M200" s="227"/>
      <c r="N200" s="227"/>
      <c r="O200" s="227">
        <f t="shared" ca="1" si="174"/>
        <v>-2.3007942673903409E-2</v>
      </c>
      <c r="P200" s="292">
        <f t="shared" si="178"/>
        <v>-3.5750730694507862E-2</v>
      </c>
      <c r="Q200" s="293">
        <f t="shared" si="179"/>
        <v>44487.3194</v>
      </c>
      <c r="R200" s="227">
        <f t="shared" si="180"/>
        <v>1.262340866319738E-2</v>
      </c>
      <c r="S200" s="227">
        <v>1</v>
      </c>
      <c r="T200" s="227">
        <f t="shared" si="181"/>
        <v>1.262340866319738E-2</v>
      </c>
      <c r="Z200" s="34">
        <f t="shared" si="182"/>
        <v>45303.5</v>
      </c>
      <c r="AA200" s="227">
        <f t="shared" si="183"/>
        <v>-2.5248810094806222E-2</v>
      </c>
      <c r="AB200" s="227">
        <f t="shared" si="184"/>
        <v>6.6101292398023134E-2</v>
      </c>
      <c r="AC200" s="227">
        <f t="shared" si="185"/>
        <v>0.11235394369223263</v>
      </c>
      <c r="AD200" s="227">
        <f t="shared" si="186"/>
        <v>0.101852023092531</v>
      </c>
      <c r="AE200" s="227">
        <f t="shared" si="187"/>
        <v>1.0373834608041468E-2</v>
      </c>
      <c r="AF200" s="34">
        <f t="shared" si="188"/>
        <v>0.11235394369223263</v>
      </c>
      <c r="AG200" s="19"/>
      <c r="AH200" s="34">
        <f t="shared" si="189"/>
        <v>1.0501920599701639E-2</v>
      </c>
      <c r="AI200" s="34">
        <f t="shared" si="190"/>
        <v>1.0378409119747869</v>
      </c>
      <c r="AJ200" s="34">
        <f t="shared" si="191"/>
        <v>0.30972460709519972</v>
      </c>
      <c r="AK200" s="34">
        <f t="shared" si="192"/>
        <v>6.5651624008984083E-2</v>
      </c>
      <c r="AL200" s="34">
        <f t="shared" si="193"/>
        <v>1.0479183679778434</v>
      </c>
      <c r="AM200" s="34">
        <f t="shared" si="194"/>
        <v>0.57783091374469053</v>
      </c>
      <c r="AN200" s="227">
        <f t="shared" si="198"/>
        <v>13.549787787464862</v>
      </c>
      <c r="AO200" s="227">
        <f t="shared" si="198"/>
        <v>13.549787787117237</v>
      </c>
      <c r="AP200" s="227">
        <f t="shared" si="198"/>
        <v>13.549787778839249</v>
      </c>
      <c r="AQ200" s="227">
        <f t="shared" si="198"/>
        <v>13.549787581715664</v>
      </c>
      <c r="AR200" s="227">
        <f t="shared" si="198"/>
        <v>13.549782887632684</v>
      </c>
      <c r="AS200" s="227">
        <f t="shared" si="198"/>
        <v>13.549671117708652</v>
      </c>
      <c r="AT200" s="227">
        <f t="shared" si="198"/>
        <v>13.547015301191763</v>
      </c>
      <c r="AU200" s="227">
        <f t="shared" si="196"/>
        <v>13.486711776720924</v>
      </c>
    </row>
    <row r="201" spans="1:48" ht="12.95" customHeight="1">
      <c r="A201" s="238" t="s">
        <v>795</v>
      </c>
      <c r="C201" s="290">
        <v>59515.775500000003</v>
      </c>
      <c r="D201" s="290">
        <v>2.9999999999999997E-4</v>
      </c>
      <c r="E201" s="227">
        <f t="shared" si="175"/>
        <v>45333.911025528367</v>
      </c>
      <c r="F201" s="227">
        <f t="shared" si="176"/>
        <v>45334</v>
      </c>
      <c r="G201" s="227">
        <f t="shared" si="177"/>
        <v>-2.9352988000027835E-2</v>
      </c>
      <c r="H201" s="227"/>
      <c r="I201" s="227"/>
      <c r="J201" s="227"/>
      <c r="K201" s="227">
        <f t="shared" si="197"/>
        <v>-2.9352988000027835E-2</v>
      </c>
      <c r="M201" s="227"/>
      <c r="N201" s="227"/>
      <c r="O201" s="227">
        <f t="shared" ca="1" si="174"/>
        <v>-2.3118604116638353E-2</v>
      </c>
      <c r="P201" s="292">
        <f t="shared" si="178"/>
        <v>-3.582609619583868E-2</v>
      </c>
      <c r="Q201" s="293">
        <f t="shared" si="179"/>
        <v>44497.275500000003</v>
      </c>
      <c r="R201" s="227">
        <f t="shared" si="180"/>
        <v>4.1901129714673529E-5</v>
      </c>
      <c r="S201" s="227">
        <v>1</v>
      </c>
      <c r="T201" s="227">
        <f t="shared" si="181"/>
        <v>4.1901129714673529E-5</v>
      </c>
      <c r="Z201" s="34">
        <f t="shared" si="182"/>
        <v>45334</v>
      </c>
      <c r="AA201" s="227">
        <f t="shared" si="183"/>
        <v>-2.5387662324250451E-2</v>
      </c>
      <c r="AB201" s="227">
        <f t="shared" si="184"/>
        <v>-3.9791421871616064E-2</v>
      </c>
      <c r="AC201" s="227">
        <f t="shared" si="185"/>
        <v>6.473108195810845E-3</v>
      </c>
      <c r="AD201" s="227">
        <f t="shared" si="186"/>
        <v>-3.9653256757773842E-3</v>
      </c>
      <c r="AE201" s="227">
        <f t="shared" si="187"/>
        <v>1.5723807714979368E-5</v>
      </c>
      <c r="AF201" s="34">
        <f t="shared" si="188"/>
        <v>6.473108195810845E-3</v>
      </c>
      <c r="AG201" s="19"/>
      <c r="AH201" s="34">
        <f t="shared" si="189"/>
        <v>1.0438433871588231E-2</v>
      </c>
      <c r="AI201" s="34">
        <f t="shared" si="190"/>
        <v>1.0376759001679738</v>
      </c>
      <c r="AJ201" s="34">
        <f t="shared" si="191"/>
        <v>0.30733550828737455</v>
      </c>
      <c r="AK201" s="34">
        <f t="shared" si="192"/>
        <v>6.5746459225067458E-2</v>
      </c>
      <c r="AL201" s="34">
        <f t="shared" si="193"/>
        <v>1.0504299985284047</v>
      </c>
      <c r="AM201" s="34">
        <f t="shared" si="194"/>
        <v>0.57950724869181169</v>
      </c>
      <c r="AN201" s="227">
        <f t="shared" ref="AN201:AT204" si="199">$AU201+$AB$7*SIN(AO201)</f>
        <v>13.552201074731249</v>
      </c>
      <c r="AO201" s="227">
        <f t="shared" si="199"/>
        <v>13.552201074390416</v>
      </c>
      <c r="AP201" s="227">
        <f t="shared" si="199"/>
        <v>13.55220106624459</v>
      </c>
      <c r="AQ201" s="227">
        <f t="shared" si="199"/>
        <v>13.552200871561961</v>
      </c>
      <c r="AR201" s="227">
        <f t="shared" si="199"/>
        <v>13.552196218725848</v>
      </c>
      <c r="AS201" s="227">
        <f t="shared" si="199"/>
        <v>13.552085027548578</v>
      </c>
      <c r="AT201" s="227">
        <f t="shared" si="199"/>
        <v>13.549433362671312</v>
      </c>
      <c r="AU201" s="227">
        <f t="shared" si="196"/>
        <v>13.489023904429018</v>
      </c>
      <c r="AV201" s="227"/>
    </row>
    <row r="202" spans="1:48" ht="12.95" customHeight="1">
      <c r="A202" s="224" t="s">
        <v>799</v>
      </c>
      <c r="B202" s="223" t="s">
        <v>86</v>
      </c>
      <c r="C202" s="323">
        <v>59542.665399999998</v>
      </c>
      <c r="D202" s="224">
        <v>5.9999999999999995E-4</v>
      </c>
      <c r="E202" s="227">
        <f t="shared" si="175"/>
        <v>45415.419410456518</v>
      </c>
      <c r="F202" s="227">
        <f t="shared" si="176"/>
        <v>45415.5</v>
      </c>
      <c r="G202" s="227">
        <f t="shared" si="177"/>
        <v>-2.6586771004076581E-2</v>
      </c>
      <c r="H202" s="227"/>
      <c r="I202" s="227"/>
      <c r="J202" s="227"/>
      <c r="K202" s="227">
        <f t="shared" si="197"/>
        <v>-2.6586771004076581E-2</v>
      </c>
      <c r="M202" s="227"/>
      <c r="N202" s="227"/>
      <c r="O202" s="227">
        <f t="shared" ca="1" si="174"/>
        <v>-2.3414306004602203E-2</v>
      </c>
      <c r="P202" s="292">
        <f t="shared" si="178"/>
        <v>-3.6027733866804662E-2</v>
      </c>
      <c r="Q202" s="293">
        <f t="shared" si="179"/>
        <v>44524.165399999998</v>
      </c>
      <c r="R202" s="227">
        <f t="shared" si="180"/>
        <v>8.9131779775410798E-5</v>
      </c>
      <c r="S202" s="227">
        <v>1</v>
      </c>
      <c r="T202" s="227">
        <f t="shared" si="181"/>
        <v>8.9131779775410798E-5</v>
      </c>
      <c r="Z202" s="34">
        <f t="shared" si="182"/>
        <v>45415.5</v>
      </c>
      <c r="AA202" s="227">
        <f t="shared" si="183"/>
        <v>-2.5759192373582023E-2</v>
      </c>
      <c r="AB202" s="227">
        <f t="shared" si="184"/>
        <v>-3.6855312497299217E-2</v>
      </c>
      <c r="AC202" s="227">
        <f t="shared" si="185"/>
        <v>9.4409628627280806E-3</v>
      </c>
      <c r="AD202" s="227">
        <f t="shared" si="186"/>
        <v>-8.2757863049455829E-4</v>
      </c>
      <c r="AE202" s="227">
        <f t="shared" si="187"/>
        <v>6.8488638965124866E-7</v>
      </c>
      <c r="AF202" s="34">
        <f t="shared" si="188"/>
        <v>9.4409628627280806E-3</v>
      </c>
      <c r="AG202" s="19"/>
      <c r="AH202" s="34">
        <f t="shared" si="189"/>
        <v>1.0268541493222639E-2</v>
      </c>
      <c r="AI202" s="34">
        <f t="shared" si="190"/>
        <v>1.0372340626636267</v>
      </c>
      <c r="AJ202" s="34">
        <f t="shared" si="191"/>
        <v>0.30094579314360831</v>
      </c>
      <c r="AK202" s="34">
        <f t="shared" si="192"/>
        <v>6.5997688835759266E-2</v>
      </c>
      <c r="AL202" s="34">
        <f t="shared" si="193"/>
        <v>1.0571374820001878</v>
      </c>
      <c r="AM202" s="34">
        <f t="shared" si="194"/>
        <v>0.58399601381512356</v>
      </c>
      <c r="AN202" s="227">
        <f t="shared" si="199"/>
        <v>13.55864780990759</v>
      </c>
      <c r="AO202" s="227">
        <f t="shared" si="199"/>
        <v>13.558647809584446</v>
      </c>
      <c r="AP202" s="227">
        <f t="shared" si="199"/>
        <v>13.55864780178532</v>
      </c>
      <c r="AQ202" s="227">
        <f t="shared" si="199"/>
        <v>13.558647613552489</v>
      </c>
      <c r="AR202" s="227">
        <f t="shared" si="199"/>
        <v>13.558643070547994</v>
      </c>
      <c r="AS202" s="227">
        <f t="shared" si="199"/>
        <v>13.558533434594542</v>
      </c>
      <c r="AT202" s="227">
        <f t="shared" si="199"/>
        <v>13.555893154089667</v>
      </c>
      <c r="AU202" s="227">
        <f t="shared" si="196"/>
        <v>13.495202212894913</v>
      </c>
      <c r="AV202" s="227"/>
    </row>
    <row r="203" spans="1:48" ht="12.95" customHeight="1">
      <c r="A203" s="224" t="s">
        <v>799</v>
      </c>
      <c r="B203" s="223" t="s">
        <v>86</v>
      </c>
      <c r="C203" s="323">
        <v>59609.303099999997</v>
      </c>
      <c r="D203" s="224">
        <v>2.0000000000000001E-4</v>
      </c>
      <c r="E203" s="227">
        <f t="shared" si="175"/>
        <v>45617.410912928746</v>
      </c>
      <c r="F203" s="227">
        <f t="shared" si="176"/>
        <v>45617.5</v>
      </c>
      <c r="G203" s="227">
        <f t="shared" si="177"/>
        <v>-2.9390135008725338E-2</v>
      </c>
      <c r="H203" s="227"/>
      <c r="I203" s="227"/>
      <c r="J203" s="227"/>
      <c r="K203" s="227">
        <f t="shared" si="197"/>
        <v>-2.9390135008725338E-2</v>
      </c>
      <c r="M203" s="227"/>
      <c r="N203" s="227"/>
      <c r="O203" s="227">
        <f t="shared" ca="1" si="174"/>
        <v>-2.414721129746969E-2</v>
      </c>
      <c r="P203" s="292">
        <f t="shared" si="178"/>
        <v>-3.6529074168293998E-2</v>
      </c>
      <c r="Q203" s="293">
        <f t="shared" si="179"/>
        <v>44590.803099999997</v>
      </c>
      <c r="R203" s="227">
        <f t="shared" si="180"/>
        <v>5.0964452324022898E-5</v>
      </c>
      <c r="S203" s="227">
        <v>1</v>
      </c>
      <c r="T203" s="227">
        <f t="shared" si="181"/>
        <v>5.0964452324022898E-5</v>
      </c>
      <c r="Z203" s="34">
        <f t="shared" si="182"/>
        <v>45617.5</v>
      </c>
      <c r="AA203" s="227">
        <f t="shared" si="183"/>
        <v>-2.6683125164014429E-2</v>
      </c>
      <c r="AB203" s="227">
        <f t="shared" si="184"/>
        <v>-3.9236084013004907E-2</v>
      </c>
      <c r="AC203" s="227">
        <f t="shared" si="185"/>
        <v>7.1389391595686608E-3</v>
      </c>
      <c r="AD203" s="227">
        <f t="shared" si="186"/>
        <v>-2.7070098447109087E-3</v>
      </c>
      <c r="AE203" s="227">
        <f t="shared" si="187"/>
        <v>7.3279022993617777E-6</v>
      </c>
      <c r="AF203" s="34">
        <f t="shared" si="188"/>
        <v>7.1389391595686608E-3</v>
      </c>
      <c r="AG203" s="19"/>
      <c r="AH203" s="34">
        <f t="shared" si="189"/>
        <v>9.8459490042795694E-3</v>
      </c>
      <c r="AI203" s="34">
        <f t="shared" si="190"/>
        <v>1.0361334217997458</v>
      </c>
      <c r="AJ203" s="34">
        <f t="shared" si="191"/>
        <v>0.28507461853720528</v>
      </c>
      <c r="AK203" s="34">
        <f t="shared" si="192"/>
        <v>6.6606652694323656E-2</v>
      </c>
      <c r="AL203" s="34">
        <f t="shared" si="193"/>
        <v>1.0737374752840085</v>
      </c>
      <c r="AM203" s="34">
        <f t="shared" si="194"/>
        <v>0.59518120880369418</v>
      </c>
      <c r="AN203" s="227">
        <f t="shared" si="199"/>
        <v>13.57461435103939</v>
      </c>
      <c r="AO203" s="227">
        <f t="shared" si="199"/>
        <v>13.57461435075728</v>
      </c>
      <c r="AP203" s="227">
        <f t="shared" si="199"/>
        <v>13.574614343776988</v>
      </c>
      <c r="AQ203" s="227">
        <f t="shared" si="199"/>
        <v>13.574614171062294</v>
      </c>
      <c r="AR203" s="227">
        <f t="shared" si="199"/>
        <v>13.574609897564844</v>
      </c>
      <c r="AS203" s="227">
        <f t="shared" si="199"/>
        <v>13.574504167200351</v>
      </c>
      <c r="AT203" s="227">
        <f t="shared" si="199"/>
        <v>13.571893916166561</v>
      </c>
      <c r="AU203" s="227">
        <f t="shared" si="196"/>
        <v>13.510515320994429</v>
      </c>
      <c r="AV203" s="227"/>
    </row>
    <row r="204" spans="1:48" ht="12.95" customHeight="1">
      <c r="A204" s="322" t="s">
        <v>800</v>
      </c>
      <c r="B204" s="326" t="s">
        <v>87</v>
      </c>
      <c r="C204" s="324">
        <v>59794.538600000087</v>
      </c>
      <c r="D204" s="224">
        <v>1E-4</v>
      </c>
      <c r="E204" s="227">
        <f t="shared" si="175"/>
        <v>46178.894832034792</v>
      </c>
      <c r="F204" s="227">
        <f t="shared" si="176"/>
        <v>46179</v>
      </c>
      <c r="G204" s="227">
        <f t="shared" si="177"/>
        <v>-3.469527792185545E-2</v>
      </c>
      <c r="H204" s="227"/>
      <c r="I204" s="227"/>
      <c r="J204" s="227"/>
      <c r="K204" s="227">
        <f t="shared" si="197"/>
        <v>-3.469527792185545E-2</v>
      </c>
      <c r="M204" s="227"/>
      <c r="N204" s="227"/>
      <c r="O204" s="227">
        <f t="shared" ca="1" si="174"/>
        <v>-2.6184470316999886E-2</v>
      </c>
      <c r="P204" s="292">
        <f t="shared" si="178"/>
        <v>-3.7934447611093547E-2</v>
      </c>
      <c r="Q204" s="293">
        <f t="shared" si="179"/>
        <v>44776.038600000087</v>
      </c>
      <c r="R204" s="227">
        <f t="shared" si="180"/>
        <v>1.0492220275678832E-5</v>
      </c>
      <c r="S204" s="227">
        <v>1</v>
      </c>
      <c r="T204" s="227">
        <f t="shared" si="181"/>
        <v>1.0492220275678832E-5</v>
      </c>
      <c r="Z204" s="34">
        <f t="shared" si="182"/>
        <v>46179</v>
      </c>
      <c r="AA204" s="227">
        <f t="shared" si="183"/>
        <v>-2.927360922086682E-2</v>
      </c>
      <c r="AB204" s="227">
        <f t="shared" si="184"/>
        <v>-4.335611631208218E-2</v>
      </c>
      <c r="AC204" s="227">
        <f t="shared" si="185"/>
        <v>3.2391696892380972E-3</v>
      </c>
      <c r="AD204" s="227">
        <f t="shared" si="186"/>
        <v>-5.4216687009886293E-3</v>
      </c>
      <c r="AE204" s="227">
        <f t="shared" si="187"/>
        <v>2.939449150327973E-5</v>
      </c>
      <c r="AF204" s="34">
        <f t="shared" si="188"/>
        <v>3.2391696892380972E-3</v>
      </c>
      <c r="AG204" s="19"/>
      <c r="AH204" s="34">
        <f t="shared" si="189"/>
        <v>8.6608383902267265E-3</v>
      </c>
      <c r="AI204" s="34">
        <f t="shared" si="190"/>
        <v>1.0330353247259063</v>
      </c>
      <c r="AJ204" s="34">
        <f t="shared" si="191"/>
        <v>0.24073936411056365</v>
      </c>
      <c r="AK204" s="34">
        <f t="shared" si="192"/>
        <v>6.8196317161225886E-2</v>
      </c>
      <c r="AL204" s="34">
        <f t="shared" si="193"/>
        <v>1.1196942043897569</v>
      </c>
      <c r="AM204" s="34">
        <f t="shared" si="194"/>
        <v>0.62673655877587364</v>
      </c>
      <c r="AN204" s="227">
        <f t="shared" si="199"/>
        <v>13.618906881968353</v>
      </c>
      <c r="AO204" s="227">
        <f t="shared" si="199"/>
        <v>13.618906881780571</v>
      </c>
      <c r="AP204" s="227">
        <f t="shared" si="199"/>
        <v>13.618906876778013</v>
      </c>
      <c r="AQ204" s="227">
        <f t="shared" si="199"/>
        <v>13.618906743509145</v>
      </c>
      <c r="AR204" s="227">
        <f t="shared" si="199"/>
        <v>13.61890319321946</v>
      </c>
      <c r="AS204" s="227">
        <f t="shared" si="199"/>
        <v>13.618808621450439</v>
      </c>
      <c r="AT204" s="227">
        <f t="shared" si="199"/>
        <v>13.616295185259089</v>
      </c>
      <c r="AU204" s="227">
        <f t="shared" si="196"/>
        <v>13.553081213063134</v>
      </c>
    </row>
    <row r="205" spans="1:48" ht="12.95" customHeight="1">
      <c r="A205" s="334" t="s">
        <v>802</v>
      </c>
      <c r="B205" s="335" t="s">
        <v>86</v>
      </c>
      <c r="C205" s="224">
        <v>59991.3246</v>
      </c>
      <c r="D205" s="224">
        <v>1E-4</v>
      </c>
      <c r="E205" s="227">
        <f t="shared" ref="E205:E206" si="200">+(C205-C$7)/C$8</f>
        <v>46775.39050648758</v>
      </c>
      <c r="F205" s="227">
        <f t="shared" si="176"/>
        <v>46775.5</v>
      </c>
      <c r="G205" s="227">
        <f t="shared" ref="G205:G206" si="201">+C205-(C$7+F205*C$8)</f>
        <v>-3.6122291006904561E-2</v>
      </c>
      <c r="H205" s="227"/>
      <c r="I205" s="227"/>
      <c r="J205" s="227"/>
      <c r="K205" s="227">
        <f t="shared" ref="K205:K206" si="202">G205</f>
        <v>-3.6122291006904561E-2</v>
      </c>
      <c r="M205" s="227"/>
      <c r="N205" s="227"/>
      <c r="O205" s="227">
        <f t="shared" ref="O205:O206" ca="1" si="203">+C$11+C$12*F205</f>
        <v>-2.8348717877373447E-2</v>
      </c>
      <c r="P205" s="292">
        <f t="shared" ref="P205:P206" si="204">+D$11+D$12*F205+D$13*F205^2</f>
        <v>-3.9446428945520917E-2</v>
      </c>
      <c r="Q205" s="293">
        <f t="shared" ref="Q205:Q206" si="205">+C205-15018.5</f>
        <v>44972.8246</v>
      </c>
      <c r="R205" s="227">
        <f t="shared" ref="R205:R206" si="206">+(P205-G205)^2</f>
        <v>1.1049893034948598E-5</v>
      </c>
      <c r="S205" s="227">
        <v>1</v>
      </c>
      <c r="T205" s="227">
        <f t="shared" ref="T205:T206" si="207">R205*S205</f>
        <v>1.1049893034948598E-5</v>
      </c>
      <c r="Z205" s="34">
        <f t="shared" ref="Z205:Z206" si="208">F205</f>
        <v>46775.5</v>
      </c>
      <c r="AA205" s="227">
        <f t="shared" ref="AA205:AA206" si="209">AB$3+AB$4*Z205+AB$5*Z205^2+AH205</f>
        <v>-3.2059122951868857E-2</v>
      </c>
      <c r="AB205" s="227">
        <f t="shared" ref="AB205:AB206" si="210">IF(S205&lt;&gt;0,G205-AH205, -9999)</f>
        <v>-4.3509597000556621E-2</v>
      </c>
      <c r="AC205" s="227">
        <f t="shared" ref="AC205:AC206" si="211">+G205-P205</f>
        <v>3.3241379386163561E-3</v>
      </c>
      <c r="AD205" s="227">
        <f t="shared" ref="AD205:AD206" si="212">IF(S205&lt;&gt;0,G205-AA205, -9999)</f>
        <v>-4.0631680550357041E-3</v>
      </c>
      <c r="AE205" s="227">
        <f t="shared" ref="AE205:AE206" si="213">+(G205-AA205)^2*S205</f>
        <v>1.6509334643462627E-5</v>
      </c>
      <c r="AF205" s="34">
        <f t="shared" ref="AF205:AF206" si="214">IF(S205&lt;&gt;0,G205-P205, -9999)</f>
        <v>3.3241379386163561E-3</v>
      </c>
      <c r="AG205" s="19"/>
      <c r="AH205" s="34">
        <f t="shared" ref="AH205:AH206" si="215">$AB$6*($AB$11/AI205*AJ205+$AB$12)</f>
        <v>7.3873059936520637E-3</v>
      </c>
      <c r="AI205" s="34">
        <f t="shared" ref="AI205:AI206" si="216">1+$AB$7*COS(AL205)</f>
        <v>1.0296890193202946</v>
      </c>
      <c r="AJ205" s="34">
        <f t="shared" ref="AJ205:AJ206" si="217">SIN(AL205+RADIANS($AB$9))</f>
        <v>0.19338375461006141</v>
      </c>
      <c r="AK205" s="34">
        <f t="shared" si="192"/>
        <v>6.9718236394072444E-2</v>
      </c>
      <c r="AL205" s="34">
        <f t="shared" si="193"/>
        <v>1.16821191146249</v>
      </c>
      <c r="AM205" s="34">
        <f t="shared" si="194"/>
        <v>0.66105273065032621</v>
      </c>
      <c r="AN205" s="227">
        <f t="shared" ref="AN205:AT205" si="218">$AU205+$AB$7*SIN(AO205)</f>
        <v>13.665813745145959</v>
      </c>
      <c r="AO205" s="227">
        <f t="shared" si="218"/>
        <v>13.66581374503038</v>
      </c>
      <c r="AP205" s="227">
        <f t="shared" si="218"/>
        <v>13.665813741671476</v>
      </c>
      <c r="AQ205" s="227">
        <f t="shared" si="218"/>
        <v>13.665813644055884</v>
      </c>
      <c r="AR205" s="227">
        <f t="shared" si="218"/>
        <v>13.665810807185693</v>
      </c>
      <c r="AS205" s="227">
        <f t="shared" si="218"/>
        <v>13.665728369951566</v>
      </c>
      <c r="AT205" s="227">
        <f t="shared" si="218"/>
        <v>13.663338601140381</v>
      </c>
      <c r="AU205" s="227">
        <f t="shared" ref="AU205:AU206" si="219">RADIANS($AB$9)+$AB$18*(F205-AB$15)</f>
        <v>13.598300366436211</v>
      </c>
    </row>
    <row r="206" spans="1:48" ht="12.95" customHeight="1">
      <c r="A206" s="334" t="s">
        <v>802</v>
      </c>
      <c r="B206" s="335" t="s">
        <v>87</v>
      </c>
      <c r="C206" s="224">
        <v>59991.4879</v>
      </c>
      <c r="D206" s="224">
        <v>1E-4</v>
      </c>
      <c r="E206" s="227">
        <f t="shared" si="200"/>
        <v>46775.885499747455</v>
      </c>
      <c r="F206" s="227">
        <f t="shared" si="176"/>
        <v>46776</v>
      </c>
      <c r="G206" s="227">
        <f t="shared" si="201"/>
        <v>-3.7774032003653701E-2</v>
      </c>
      <c r="H206" s="227"/>
      <c r="I206" s="227"/>
      <c r="J206" s="227"/>
      <c r="K206" s="227">
        <f t="shared" si="202"/>
        <v>-3.7774032003653701E-2</v>
      </c>
      <c r="M206" s="227"/>
      <c r="N206" s="227"/>
      <c r="O206" s="227">
        <f t="shared" ca="1" si="203"/>
        <v>-2.8350531999385503E-2</v>
      </c>
      <c r="P206" s="292">
        <f t="shared" si="204"/>
        <v>-3.944770453657212E-2</v>
      </c>
      <c r="Q206" s="293">
        <f t="shared" si="205"/>
        <v>44972.9879</v>
      </c>
      <c r="R206" s="227">
        <f t="shared" si="206"/>
        <v>2.8011797474455557E-6</v>
      </c>
      <c r="S206" s="227">
        <v>1</v>
      </c>
      <c r="T206" s="227">
        <f t="shared" si="207"/>
        <v>2.8011797474455557E-6</v>
      </c>
      <c r="Z206" s="34">
        <f t="shared" si="208"/>
        <v>46776</v>
      </c>
      <c r="AA206" s="227">
        <f t="shared" si="209"/>
        <v>-3.2061471508280308E-2</v>
      </c>
      <c r="AB206" s="227">
        <f t="shared" si="210"/>
        <v>-4.5160265031945514E-2</v>
      </c>
      <c r="AC206" s="227">
        <f t="shared" si="211"/>
        <v>1.6736725329184188E-3</v>
      </c>
      <c r="AD206" s="227">
        <f t="shared" si="212"/>
        <v>-5.7125604953733936E-3</v>
      </c>
      <c r="AE206" s="227">
        <f t="shared" si="213"/>
        <v>3.2633347413300714E-5</v>
      </c>
      <c r="AF206" s="34">
        <f t="shared" si="214"/>
        <v>1.6736725329184188E-3</v>
      </c>
      <c r="AG206" s="19"/>
      <c r="AH206" s="34">
        <f t="shared" si="215"/>
        <v>7.3862330282918106E-3</v>
      </c>
      <c r="AI206" s="34">
        <f t="shared" si="216"/>
        <v>1.0296861931749066</v>
      </c>
      <c r="AJ206" s="34">
        <f t="shared" si="217"/>
        <v>0.19334398332379987</v>
      </c>
      <c r="AK206" s="34">
        <f t="shared" si="192"/>
        <v>6.9719439820488532E-2</v>
      </c>
      <c r="AL206" s="34">
        <f t="shared" si="193"/>
        <v>1.1682524477861629</v>
      </c>
      <c r="AM206" s="34">
        <f t="shared" si="194"/>
        <v>0.66108185620088622</v>
      </c>
      <c r="AN206" s="227">
        <f t="shared" ref="AN206:AT206" si="220">$AU206+$AB$7*SIN(AO206)</f>
        <v>13.665852999551536</v>
      </c>
      <c r="AO206" s="227">
        <f t="shared" si="220"/>
        <v>13.665852999436007</v>
      </c>
      <c r="AP206" s="227">
        <f t="shared" si="220"/>
        <v>13.665852996078295</v>
      </c>
      <c r="AQ206" s="227">
        <f t="shared" si="220"/>
        <v>13.665852898489836</v>
      </c>
      <c r="AR206" s="227">
        <f t="shared" si="220"/>
        <v>13.665850062189694</v>
      </c>
      <c r="AS206" s="227">
        <f t="shared" si="220"/>
        <v>13.66576763517198</v>
      </c>
      <c r="AT206" s="227">
        <f t="shared" si="220"/>
        <v>13.663377978740115</v>
      </c>
      <c r="AU206" s="227">
        <f t="shared" si="219"/>
        <v>13.59833827016913</v>
      </c>
    </row>
    <row r="207" spans="1:48" ht="12.95" customHeight="1">
      <c r="A207" s="360" t="s">
        <v>807</v>
      </c>
      <c r="B207" s="361" t="s">
        <v>87</v>
      </c>
      <c r="C207" s="324">
        <v>60179.528400000185</v>
      </c>
      <c r="D207" s="360">
        <v>1E-4</v>
      </c>
      <c r="E207" s="227">
        <f t="shared" ref="E207:E208" si="221">+(C207-C$7)/C$8</f>
        <v>47345.87190565082</v>
      </c>
      <c r="F207" s="227">
        <f t="shared" ref="F207:F208" si="222">ROUND(2*E207,0)/2</f>
        <v>47346</v>
      </c>
      <c r="G207" s="227">
        <f t="shared" ref="G207:G208" si="223">+C207-(C$7+F207*C$8)</f>
        <v>-4.22587718203431E-2</v>
      </c>
      <c r="H207" s="227"/>
      <c r="I207" s="227"/>
      <c r="J207" s="227"/>
      <c r="K207" s="227">
        <f t="shared" ref="K207:K208" si="224">G207</f>
        <v>-4.22587718203431E-2</v>
      </c>
      <c r="M207" s="227"/>
      <c r="N207" s="227"/>
      <c r="O207" s="227">
        <f t="shared" ref="O207:O208" ca="1" si="225">+C$11+C$12*F207</f>
        <v>-3.0418631093120513E-2</v>
      </c>
      <c r="P207" s="292">
        <f t="shared" ref="P207:P208" si="226">+D$11+D$12*F207+D$13*F207^2</f>
        <v>-4.0910826173910571E-2</v>
      </c>
      <c r="Q207" s="293">
        <f t="shared" ref="Q207:Q208" si="227">+C207-15018.5</f>
        <v>45161.028400000185</v>
      </c>
      <c r="R207" s="227">
        <f t="shared" ref="R207:R208" si="228">+(P207-G207)^2</f>
        <v>1.8169574657364078E-6</v>
      </c>
      <c r="S207" s="227">
        <v>1</v>
      </c>
      <c r="T207" s="227">
        <f t="shared" ref="T207:T208" si="229">R207*S207</f>
        <v>1.8169574657364078E-6</v>
      </c>
      <c r="Z207" s="34">
        <f t="shared" ref="Z207:Z208" si="230">F207</f>
        <v>47346</v>
      </c>
      <c r="AA207" s="227">
        <f t="shared" ref="AA207:AA208" si="231">AB$3+AB$4*Z207+AB$5*Z207^2+AH207</f>
        <v>-3.4752821626315711E-2</v>
      </c>
      <c r="AB207" s="227">
        <f t="shared" ref="AB207:AB208" si="232">IF(S207&lt;&gt;0,G207-AH207, -9999)</f>
        <v>-4.841677636793796E-2</v>
      </c>
      <c r="AC207" s="227">
        <f t="shared" ref="AC207:AC208" si="233">+G207-P207</f>
        <v>-1.3479456464325287E-3</v>
      </c>
      <c r="AD207" s="227">
        <f t="shared" ref="AD207:AD208" si="234">IF(S207&lt;&gt;0,G207-AA207, -9999)</f>
        <v>-7.5059501940273887E-3</v>
      </c>
      <c r="AE207" s="227">
        <f t="shared" ref="AE207:AE208" si="235">+(G207-AA207)^2*S207</f>
        <v>5.6339288315219793E-5</v>
      </c>
      <c r="AF207" s="34">
        <f t="shared" ref="AF207:AF208" si="236">IF(S207&lt;&gt;0,G207-P207, -9999)</f>
        <v>-1.3479456464325287E-3</v>
      </c>
      <c r="AG207" s="19"/>
      <c r="AH207" s="34">
        <f t="shared" ref="AH207:AH208" si="237">$AB$6*($AB$11/AI207*AJ207+$AB$12)</f>
        <v>6.1580045475948626E-3</v>
      </c>
      <c r="AI207" s="34">
        <f t="shared" ref="AI207:AI208" si="238">1+$AB$7*COS(AL207)</f>
        <v>1.0264441245703138</v>
      </c>
      <c r="AJ207" s="34">
        <f t="shared" ref="AJ207:AJ208" si="239">SIN(AL207+RADIANS($AB$9))</f>
        <v>0.14795785181285048</v>
      </c>
      <c r="AK207" s="34">
        <f t="shared" ref="AK207:AK208" si="240">$AB$7*SIN(AL207)</f>
        <v>7.1012524457382334E-2</v>
      </c>
      <c r="AL207" s="34">
        <f t="shared" ref="AL207:AL208" si="241">2*ATAN(AM207)</f>
        <v>1.2143186740182514</v>
      </c>
      <c r="AM207" s="34">
        <f t="shared" ref="AM207:AM208" si="242">SQRT((1+$AB$7)/(1-$AB$7))*TAN(AN207/2)</f>
        <v>0.6946989375657795</v>
      </c>
      <c r="AN207" s="227">
        <f t="shared" ref="AN207:AN208" si="243">$AU207+$AB$7*SIN(AO207)</f>
        <v>13.710532652342692</v>
      </c>
      <c r="AO207" s="227">
        <f t="shared" ref="AO207:AO208" si="244">$AU207+$AB$7*SIN(AP207)</f>
        <v>13.710532652274223</v>
      </c>
      <c r="AP207" s="227">
        <f t="shared" ref="AP207:AP208" si="245">$AU207+$AB$7*SIN(AQ207)</f>
        <v>13.710532650090681</v>
      </c>
      <c r="AQ207" s="227">
        <f t="shared" ref="AQ207:AQ208" si="246">$AU207+$AB$7*SIN(AR207)</f>
        <v>13.710532580455725</v>
      </c>
      <c r="AR207" s="227">
        <f t="shared" ref="AR207:AR208" si="247">$AU207+$AB$7*SIN(AS207)</f>
        <v>13.710530359745739</v>
      </c>
      <c r="AS207" s="227">
        <f t="shared" ref="AS207:AS208" si="248">$AU207+$AB$7*SIN(AT207)</f>
        <v>13.710459545358106</v>
      </c>
      <c r="AT207" s="227">
        <f t="shared" ref="AT207:AT208" si="249">$AU207+$AB$7*SIN(AU207)</f>
        <v>13.708207157157723</v>
      </c>
      <c r="AU207" s="227">
        <f t="shared" ref="AU207:AU208" si="250">RADIANS($AB$9)+$AB$18*(F207-AB$15)</f>
        <v>13.641548525697468</v>
      </c>
    </row>
    <row r="208" spans="1:48" ht="12.95" customHeight="1">
      <c r="A208" s="222" t="s">
        <v>808</v>
      </c>
      <c r="B208" s="335" t="s">
        <v>87</v>
      </c>
      <c r="C208" s="324">
        <v>60345.4689</v>
      </c>
      <c r="D208" s="362">
        <v>1E-4</v>
      </c>
      <c r="E208" s="227">
        <f t="shared" si="221"/>
        <v>47848.869021637045</v>
      </c>
      <c r="F208" s="227">
        <f t="shared" si="222"/>
        <v>47849</v>
      </c>
      <c r="G208" s="227">
        <f t="shared" si="223"/>
        <v>-4.3210218005697243E-2</v>
      </c>
      <c r="H208" s="227"/>
      <c r="I208" s="227"/>
      <c r="J208" s="227"/>
      <c r="K208" s="227">
        <f t="shared" si="224"/>
        <v>-4.3210218005697243E-2</v>
      </c>
      <c r="M208" s="227"/>
      <c r="N208" s="227"/>
      <c r="O208" s="227">
        <f t="shared" ca="1" si="225"/>
        <v>-3.2243637837241046E-2</v>
      </c>
      <c r="P208" s="292">
        <f t="shared" si="226"/>
        <v>-4.2216817835387915E-2</v>
      </c>
      <c r="Q208" s="293">
        <f t="shared" si="227"/>
        <v>45326.9689</v>
      </c>
      <c r="R208" s="227">
        <f t="shared" si="228"/>
        <v>9.8684389837060107E-7</v>
      </c>
      <c r="S208" s="227">
        <v>1</v>
      </c>
      <c r="T208" s="227">
        <f t="shared" si="229"/>
        <v>9.8684389837060107E-7</v>
      </c>
      <c r="Z208" s="34">
        <f t="shared" si="230"/>
        <v>47849</v>
      </c>
      <c r="AA208" s="227">
        <f t="shared" si="231"/>
        <v>-3.7149683101118817E-2</v>
      </c>
      <c r="AB208" s="227">
        <f t="shared" si="232"/>
        <v>-4.8277352739966341E-2</v>
      </c>
      <c r="AC208" s="227">
        <f t="shared" si="233"/>
        <v>-9.9340017030932759E-4</v>
      </c>
      <c r="AD208" s="227">
        <f t="shared" si="234"/>
        <v>-6.0605349045784254E-3</v>
      </c>
      <c r="AE208" s="227">
        <f t="shared" si="235"/>
        <v>3.6730083329613421E-5</v>
      </c>
      <c r="AF208" s="34">
        <f t="shared" si="236"/>
        <v>-9.9340017030932759E-4</v>
      </c>
      <c r="AG208" s="19"/>
      <c r="AH208" s="34">
        <f t="shared" si="237"/>
        <v>5.0671347342690996E-3</v>
      </c>
      <c r="AI208" s="34">
        <f t="shared" si="238"/>
        <v>1.0235537589427588</v>
      </c>
      <c r="AJ208" s="34">
        <f t="shared" si="239"/>
        <v>0.10788350313068457</v>
      </c>
      <c r="AK208" s="34">
        <f t="shared" si="240"/>
        <v>7.2022849108925174E-2</v>
      </c>
      <c r="AL208" s="34">
        <f t="shared" si="241"/>
        <v>1.25472787123313</v>
      </c>
      <c r="AM208" s="34">
        <f t="shared" si="242"/>
        <v>0.72508504687147746</v>
      </c>
      <c r="AN208" s="227">
        <f t="shared" si="243"/>
        <v>13.749842846021906</v>
      </c>
      <c r="AO208" s="227">
        <f t="shared" si="244"/>
        <v>13.749842845981137</v>
      </c>
      <c r="AP208" s="227">
        <f t="shared" si="245"/>
        <v>13.749842844556667</v>
      </c>
      <c r="AQ208" s="227">
        <f t="shared" si="246"/>
        <v>13.749842794787815</v>
      </c>
      <c r="AR208" s="227">
        <f t="shared" si="247"/>
        <v>13.749841055940269</v>
      </c>
      <c r="AS208" s="227">
        <f t="shared" si="248"/>
        <v>13.749780307920307</v>
      </c>
      <c r="AT208" s="227">
        <f t="shared" si="249"/>
        <v>13.74766367433398</v>
      </c>
      <c r="AU208" s="227">
        <f t="shared" si="250"/>
        <v>13.67967968101458</v>
      </c>
    </row>
    <row r="209" spans="3:47" ht="12.95" customHeight="1">
      <c r="C209" s="290"/>
      <c r="D209" s="290"/>
      <c r="P209" s="257"/>
      <c r="AA209" s="227"/>
      <c r="AB209" s="227"/>
      <c r="AC209" s="227"/>
      <c r="AD209" s="227"/>
      <c r="AE209" s="227"/>
      <c r="AG209" s="19"/>
      <c r="AN209" s="227"/>
      <c r="AO209" s="227"/>
      <c r="AP209" s="227"/>
      <c r="AQ209" s="227"/>
      <c r="AR209" s="227"/>
      <c r="AS209" s="227"/>
      <c r="AT209" s="227"/>
      <c r="AU209" s="227"/>
    </row>
    <row r="210" spans="3:47" ht="12.95" customHeight="1">
      <c r="C210" s="290"/>
      <c r="D210" s="290"/>
      <c r="P210" s="257"/>
      <c r="AA210" s="227"/>
      <c r="AB210" s="227"/>
      <c r="AC210" s="227"/>
      <c r="AD210" s="227"/>
      <c r="AE210" s="227"/>
      <c r="AG210" s="19"/>
      <c r="AN210" s="227"/>
      <c r="AO210" s="227"/>
      <c r="AP210" s="227"/>
      <c r="AQ210" s="227"/>
      <c r="AR210" s="227"/>
      <c r="AS210" s="227"/>
      <c r="AT210" s="227"/>
      <c r="AU210" s="227"/>
    </row>
    <row r="211" spans="3:47" ht="12.95" customHeight="1">
      <c r="C211" s="290"/>
      <c r="D211" s="290"/>
      <c r="P211" s="257"/>
      <c r="AA211" s="227"/>
      <c r="AB211" s="227"/>
      <c r="AC211" s="227"/>
      <c r="AD211" s="227"/>
      <c r="AE211" s="227"/>
      <c r="AG211" s="19"/>
      <c r="AN211" s="227"/>
      <c r="AO211" s="227"/>
      <c r="AP211" s="227"/>
      <c r="AQ211" s="227"/>
      <c r="AR211" s="227"/>
      <c r="AS211" s="227"/>
      <c r="AT211" s="227"/>
      <c r="AU211" s="227"/>
    </row>
    <row r="212" spans="3:47" ht="12.95" customHeight="1">
      <c r="C212" s="290"/>
      <c r="D212" s="338"/>
      <c r="P212" s="257"/>
      <c r="AA212" s="227"/>
      <c r="AB212" s="227"/>
      <c r="AC212" s="227"/>
      <c r="AD212" s="227"/>
      <c r="AE212" s="227"/>
      <c r="AG212" s="19"/>
      <c r="AN212" s="227"/>
      <c r="AO212" s="227"/>
      <c r="AP212" s="227"/>
      <c r="AQ212" s="227"/>
      <c r="AR212" s="227"/>
      <c r="AS212" s="227"/>
      <c r="AT212" s="227"/>
      <c r="AU212" s="227"/>
    </row>
    <row r="213" spans="3:47" ht="12.95" customHeight="1">
      <c r="C213" s="290"/>
      <c r="D213" s="338"/>
      <c r="P213" s="257"/>
      <c r="AA213" s="227"/>
      <c r="AB213" s="227"/>
      <c r="AC213" s="227"/>
      <c r="AD213" s="227"/>
      <c r="AE213" s="227"/>
      <c r="AG213" s="19"/>
      <c r="AN213" s="227"/>
      <c r="AO213" s="227"/>
      <c r="AP213" s="227"/>
      <c r="AQ213" s="227"/>
      <c r="AR213" s="227"/>
      <c r="AS213" s="227"/>
      <c r="AT213" s="227"/>
      <c r="AU213" s="227"/>
    </row>
    <row r="214" spans="3:47" ht="12.95" customHeight="1">
      <c r="C214" s="290"/>
      <c r="D214" s="338"/>
      <c r="P214" s="257"/>
      <c r="AA214" s="227"/>
      <c r="AB214" s="227"/>
      <c r="AC214" s="227"/>
      <c r="AD214" s="227"/>
      <c r="AE214" s="227"/>
      <c r="AG214" s="19"/>
      <c r="AN214" s="227"/>
      <c r="AO214" s="227"/>
      <c r="AP214" s="227"/>
      <c r="AQ214" s="227"/>
      <c r="AR214" s="227"/>
      <c r="AS214" s="227"/>
      <c r="AT214" s="227"/>
      <c r="AU214" s="227"/>
    </row>
    <row r="215" spans="3:47" ht="12.95" customHeight="1">
      <c r="C215" s="290"/>
      <c r="D215" s="338"/>
      <c r="P215" s="257"/>
      <c r="AA215" s="227"/>
      <c r="AB215" s="227"/>
      <c r="AC215" s="227"/>
      <c r="AD215" s="227"/>
      <c r="AE215" s="227"/>
      <c r="AG215" s="19"/>
      <c r="AN215" s="227"/>
      <c r="AO215" s="227"/>
      <c r="AP215" s="227"/>
      <c r="AQ215" s="227"/>
      <c r="AR215" s="227"/>
      <c r="AS215" s="227"/>
      <c r="AT215" s="227"/>
      <c r="AU215" s="227"/>
    </row>
    <row r="216" spans="3:47" ht="12.95" customHeight="1">
      <c r="C216" s="290"/>
      <c r="D216" s="338"/>
      <c r="P216" s="257"/>
      <c r="AA216" s="227"/>
      <c r="AB216" s="227"/>
      <c r="AC216" s="227"/>
      <c r="AD216" s="227"/>
      <c r="AE216" s="227"/>
      <c r="AG216" s="19"/>
      <c r="AN216" s="227"/>
      <c r="AO216" s="227"/>
      <c r="AP216" s="227"/>
      <c r="AQ216" s="227"/>
      <c r="AR216" s="227"/>
      <c r="AS216" s="227"/>
      <c r="AT216" s="227"/>
      <c r="AU216" s="227"/>
    </row>
    <row r="217" spans="3:47" ht="12.95" customHeight="1">
      <c r="C217" s="290"/>
      <c r="D217" s="338"/>
      <c r="P217" s="257"/>
      <c r="AA217" s="227"/>
      <c r="AB217" s="227"/>
      <c r="AC217" s="227"/>
      <c r="AD217" s="227"/>
      <c r="AE217" s="227"/>
      <c r="AG217" s="19"/>
      <c r="AN217" s="227"/>
      <c r="AO217" s="227"/>
      <c r="AP217" s="227"/>
      <c r="AQ217" s="227"/>
      <c r="AR217" s="227"/>
      <c r="AS217" s="227"/>
      <c r="AT217" s="227"/>
      <c r="AU217" s="227"/>
    </row>
    <row r="218" spans="3:47" ht="12.95" customHeight="1">
      <c r="C218" s="290"/>
      <c r="D218" s="338"/>
      <c r="P218" s="257"/>
      <c r="AA218" s="227"/>
      <c r="AB218" s="227"/>
      <c r="AC218" s="227"/>
      <c r="AD218" s="227"/>
      <c r="AE218" s="227"/>
      <c r="AG218" s="19"/>
      <c r="AN218" s="227"/>
      <c r="AO218" s="227"/>
      <c r="AP218" s="227"/>
      <c r="AQ218" s="227"/>
      <c r="AR218" s="227"/>
      <c r="AS218" s="227"/>
      <c r="AT218" s="227"/>
      <c r="AU218" s="227"/>
    </row>
    <row r="219" spans="3:47" ht="12.95" customHeight="1">
      <c r="C219" s="290"/>
      <c r="D219" s="338"/>
      <c r="P219" s="257"/>
      <c r="AA219" s="227"/>
      <c r="AB219" s="227"/>
      <c r="AC219" s="227"/>
      <c r="AD219" s="227"/>
      <c r="AE219" s="227"/>
      <c r="AG219" s="19"/>
      <c r="AN219" s="227"/>
      <c r="AO219" s="227"/>
      <c r="AP219" s="227"/>
      <c r="AQ219" s="227"/>
      <c r="AR219" s="227"/>
      <c r="AS219" s="227"/>
      <c r="AT219" s="227"/>
      <c r="AU219" s="227"/>
    </row>
    <row r="220" spans="3:47" ht="12.95" customHeight="1">
      <c r="C220" s="290"/>
      <c r="D220" s="338"/>
      <c r="P220" s="257"/>
      <c r="AA220" s="227"/>
      <c r="AB220" s="227"/>
      <c r="AC220" s="227"/>
      <c r="AD220" s="227"/>
      <c r="AE220" s="227"/>
      <c r="AG220" s="19"/>
      <c r="AN220" s="227"/>
      <c r="AO220" s="227"/>
      <c r="AP220" s="227"/>
      <c r="AQ220" s="227"/>
      <c r="AR220" s="227"/>
      <c r="AS220" s="227"/>
      <c r="AT220" s="227"/>
      <c r="AU220" s="227"/>
    </row>
    <row r="221" spans="3:47" ht="12.95" customHeight="1">
      <c r="C221" s="290"/>
      <c r="D221" s="338"/>
      <c r="P221" s="257"/>
      <c r="AA221" s="227"/>
      <c r="AB221" s="227"/>
      <c r="AC221" s="227"/>
      <c r="AD221" s="227"/>
      <c r="AE221" s="227"/>
      <c r="AG221" s="19"/>
      <c r="AN221" s="227"/>
      <c r="AO221" s="227"/>
      <c r="AP221" s="227"/>
      <c r="AQ221" s="227"/>
      <c r="AR221" s="227"/>
      <c r="AS221" s="227"/>
      <c r="AT221" s="227"/>
      <c r="AU221" s="227"/>
    </row>
    <row r="222" spans="3:47" ht="12.95" customHeight="1">
      <c r="C222" s="290"/>
      <c r="D222" s="338"/>
      <c r="P222" s="257"/>
      <c r="AA222" s="227"/>
      <c r="AB222" s="227"/>
      <c r="AC222" s="227"/>
      <c r="AD222" s="227"/>
      <c r="AE222" s="227"/>
      <c r="AG222" s="19"/>
      <c r="AN222" s="227"/>
      <c r="AO222" s="227"/>
      <c r="AP222" s="227"/>
      <c r="AQ222" s="227"/>
      <c r="AR222" s="227"/>
      <c r="AS222" s="227"/>
      <c r="AT222" s="227"/>
      <c r="AU222" s="227"/>
    </row>
    <row r="223" spans="3:47" ht="12.95" customHeight="1">
      <c r="C223" s="290"/>
      <c r="D223" s="338"/>
      <c r="P223" s="257"/>
      <c r="AA223" s="227"/>
      <c r="AB223" s="227"/>
      <c r="AC223" s="227"/>
      <c r="AD223" s="227"/>
      <c r="AE223" s="227"/>
      <c r="AG223" s="19"/>
      <c r="AN223" s="227"/>
      <c r="AO223" s="227"/>
      <c r="AP223" s="227"/>
      <c r="AQ223" s="227"/>
      <c r="AR223" s="227"/>
      <c r="AS223" s="227"/>
      <c r="AT223" s="227"/>
      <c r="AU223" s="227"/>
    </row>
    <row r="224" spans="3:47" ht="12.95" customHeight="1">
      <c r="C224" s="290"/>
      <c r="D224" s="338"/>
      <c r="P224" s="257"/>
      <c r="AA224" s="227"/>
      <c r="AB224" s="227"/>
      <c r="AC224" s="227"/>
      <c r="AD224" s="227"/>
      <c r="AE224" s="227"/>
      <c r="AG224" s="19"/>
      <c r="AN224" s="227"/>
      <c r="AO224" s="227"/>
      <c r="AP224" s="227"/>
      <c r="AQ224" s="227"/>
      <c r="AR224" s="227"/>
      <c r="AS224" s="227"/>
      <c r="AT224" s="227"/>
      <c r="AU224" s="227"/>
    </row>
    <row r="225" spans="3:48" ht="12.95" customHeight="1">
      <c r="C225" s="290"/>
      <c r="D225" s="338"/>
      <c r="P225" s="257"/>
      <c r="AA225" s="227"/>
      <c r="AB225" s="227"/>
      <c r="AC225" s="227"/>
      <c r="AD225" s="227"/>
      <c r="AE225" s="227"/>
      <c r="AG225" s="19"/>
      <c r="AN225" s="227"/>
      <c r="AO225" s="227"/>
      <c r="AP225" s="227"/>
      <c r="AQ225" s="227"/>
      <c r="AR225" s="227"/>
      <c r="AS225" s="227"/>
      <c r="AT225" s="227"/>
      <c r="AU225" s="227"/>
      <c r="AV225" s="227"/>
    </row>
    <row r="226" spans="3:48" ht="12.95" customHeight="1">
      <c r="C226" s="290"/>
      <c r="D226" s="338"/>
      <c r="P226" s="257"/>
      <c r="AA226" s="227"/>
      <c r="AB226" s="227"/>
      <c r="AC226" s="227"/>
      <c r="AD226" s="227"/>
      <c r="AE226" s="227"/>
      <c r="AG226" s="19"/>
      <c r="AN226" s="227"/>
      <c r="AO226" s="227"/>
      <c r="AP226" s="227"/>
      <c r="AQ226" s="227"/>
      <c r="AR226" s="227"/>
      <c r="AS226" s="227"/>
      <c r="AT226" s="227"/>
      <c r="AU226" s="227"/>
    </row>
    <row r="227" spans="3:48" ht="12.95" customHeight="1">
      <c r="C227" s="290"/>
      <c r="D227" s="290"/>
      <c r="P227" s="257"/>
      <c r="AA227" s="227"/>
      <c r="AB227" s="227"/>
      <c r="AC227" s="227"/>
      <c r="AD227" s="227"/>
      <c r="AE227" s="227"/>
      <c r="AG227" s="19"/>
      <c r="AN227" s="227"/>
      <c r="AO227" s="227"/>
      <c r="AP227" s="227"/>
      <c r="AQ227" s="227"/>
      <c r="AR227" s="227"/>
      <c r="AS227" s="227"/>
      <c r="AT227" s="227"/>
      <c r="AU227" s="227"/>
    </row>
    <row r="228" spans="3:48" ht="12.95" customHeight="1">
      <c r="C228" s="290"/>
      <c r="D228" s="290"/>
      <c r="P228" s="257"/>
      <c r="AA228" s="227"/>
      <c r="AB228" s="227"/>
      <c r="AC228" s="227"/>
      <c r="AD228" s="227"/>
      <c r="AE228" s="227"/>
      <c r="AG228" s="19"/>
      <c r="AN228" s="227"/>
      <c r="AO228" s="227"/>
      <c r="AP228" s="227"/>
      <c r="AQ228" s="227"/>
      <c r="AR228" s="227"/>
      <c r="AS228" s="227"/>
      <c r="AT228" s="227"/>
      <c r="AU228" s="227"/>
    </row>
    <row r="229" spans="3:48" ht="12.95" customHeight="1">
      <c r="C229" s="290"/>
      <c r="D229" s="290"/>
      <c r="P229" s="257"/>
      <c r="AA229" s="227"/>
      <c r="AB229" s="227"/>
      <c r="AC229" s="227"/>
      <c r="AD229" s="227"/>
      <c r="AE229" s="227"/>
      <c r="AG229" s="19"/>
      <c r="AN229" s="227"/>
      <c r="AO229" s="227"/>
      <c r="AP229" s="227"/>
      <c r="AQ229" s="227"/>
      <c r="AR229" s="227"/>
      <c r="AS229" s="227"/>
      <c r="AT229" s="227"/>
      <c r="AU229" s="227"/>
    </row>
    <row r="230" spans="3:48" ht="12.95" customHeight="1">
      <c r="C230" s="290"/>
      <c r="D230" s="290"/>
      <c r="P230" s="257"/>
      <c r="AA230" s="227"/>
      <c r="AB230" s="227"/>
      <c r="AC230" s="227"/>
      <c r="AD230" s="227"/>
      <c r="AE230" s="227"/>
      <c r="AG230" s="19"/>
      <c r="AN230" s="227"/>
      <c r="AO230" s="227"/>
      <c r="AP230" s="227"/>
      <c r="AQ230" s="227"/>
      <c r="AR230" s="227"/>
      <c r="AS230" s="227"/>
      <c r="AT230" s="227"/>
      <c r="AU230" s="227"/>
    </row>
    <row r="231" spans="3:48" ht="12.95" customHeight="1">
      <c r="C231" s="290"/>
      <c r="D231" s="290"/>
      <c r="P231" s="257"/>
      <c r="AA231" s="227"/>
      <c r="AB231" s="227"/>
      <c r="AC231" s="227"/>
      <c r="AD231" s="227"/>
      <c r="AE231" s="227"/>
      <c r="AG231" s="19"/>
      <c r="AN231" s="227"/>
      <c r="AO231" s="227"/>
      <c r="AP231" s="227"/>
      <c r="AQ231" s="227"/>
      <c r="AR231" s="227"/>
      <c r="AS231" s="227"/>
      <c r="AT231" s="227"/>
      <c r="AU231" s="227"/>
    </row>
    <row r="232" spans="3:48" ht="12.95" customHeight="1">
      <c r="C232" s="290"/>
      <c r="D232" s="290"/>
      <c r="P232" s="257"/>
      <c r="AA232" s="227"/>
      <c r="AB232" s="227"/>
      <c r="AC232" s="227"/>
      <c r="AD232" s="227"/>
      <c r="AE232" s="227"/>
      <c r="AG232" s="19"/>
      <c r="AN232" s="227"/>
      <c r="AO232" s="227"/>
      <c r="AP232" s="227"/>
      <c r="AQ232" s="227"/>
      <c r="AR232" s="227"/>
      <c r="AS232" s="227"/>
      <c r="AT232" s="227"/>
      <c r="AU232" s="227"/>
    </row>
    <row r="233" spans="3:48" ht="12.95" customHeight="1">
      <c r="C233" s="290"/>
      <c r="D233" s="290"/>
      <c r="P233" s="257"/>
      <c r="AA233" s="227"/>
      <c r="AB233" s="227"/>
      <c r="AC233" s="227"/>
      <c r="AD233" s="227"/>
      <c r="AE233" s="227"/>
      <c r="AG233" s="19"/>
      <c r="AN233" s="227"/>
      <c r="AO233" s="227"/>
      <c r="AP233" s="227"/>
      <c r="AQ233" s="227"/>
      <c r="AR233" s="227"/>
      <c r="AS233" s="227"/>
      <c r="AT233" s="227"/>
      <c r="AU233" s="227"/>
    </row>
    <row r="234" spans="3:48" ht="12.95" customHeight="1">
      <c r="C234" s="290"/>
      <c r="D234" s="290"/>
      <c r="P234" s="257"/>
      <c r="AA234" s="227"/>
      <c r="AB234" s="227"/>
      <c r="AC234" s="227"/>
      <c r="AD234" s="227"/>
      <c r="AE234" s="227"/>
      <c r="AG234" s="19"/>
      <c r="AN234" s="227"/>
      <c r="AO234" s="227"/>
      <c r="AP234" s="227"/>
      <c r="AQ234" s="227"/>
      <c r="AR234" s="227"/>
      <c r="AS234" s="227"/>
      <c r="AT234" s="227"/>
      <c r="AU234" s="227"/>
    </row>
    <row r="235" spans="3:48" ht="12.95" customHeight="1">
      <c r="C235" s="290"/>
      <c r="D235" s="290"/>
      <c r="P235" s="257"/>
      <c r="AA235" s="227"/>
      <c r="AB235" s="227"/>
      <c r="AC235" s="227"/>
      <c r="AD235" s="227"/>
      <c r="AE235" s="227"/>
      <c r="AG235" s="19"/>
      <c r="AN235" s="227"/>
      <c r="AO235" s="227"/>
      <c r="AP235" s="227"/>
      <c r="AQ235" s="227"/>
      <c r="AR235" s="227"/>
      <c r="AS235" s="227"/>
      <c r="AT235" s="227"/>
      <c r="AU235" s="227"/>
    </row>
    <row r="236" spans="3:48" ht="12.95" customHeight="1">
      <c r="C236" s="290"/>
      <c r="D236" s="290"/>
      <c r="P236" s="257"/>
      <c r="AA236" s="227"/>
      <c r="AB236" s="227"/>
      <c r="AC236" s="227"/>
      <c r="AD236" s="227"/>
      <c r="AE236" s="227"/>
      <c r="AG236" s="19"/>
      <c r="AN236" s="227"/>
      <c r="AO236" s="227"/>
      <c r="AP236" s="227"/>
      <c r="AQ236" s="227"/>
      <c r="AR236" s="227"/>
      <c r="AS236" s="227"/>
      <c r="AT236" s="227"/>
      <c r="AU236" s="227"/>
    </row>
    <row r="237" spans="3:48" ht="12.95" customHeight="1">
      <c r="C237" s="290"/>
      <c r="D237" s="290"/>
      <c r="P237" s="257"/>
      <c r="AA237" s="227"/>
      <c r="AB237" s="227"/>
      <c r="AC237" s="227"/>
      <c r="AD237" s="227"/>
      <c r="AE237" s="227"/>
      <c r="AG237" s="19"/>
      <c r="AN237" s="227"/>
      <c r="AO237" s="227"/>
      <c r="AP237" s="227"/>
      <c r="AQ237" s="227"/>
      <c r="AR237" s="227"/>
      <c r="AS237" s="227"/>
      <c r="AT237" s="227"/>
      <c r="AU237" s="227"/>
    </row>
    <row r="238" spans="3:48" ht="12.95" customHeight="1">
      <c r="C238" s="290"/>
      <c r="D238" s="290"/>
      <c r="P238" s="257"/>
      <c r="AA238" s="227"/>
      <c r="AB238" s="227"/>
      <c r="AC238" s="227"/>
      <c r="AD238" s="227"/>
      <c r="AE238" s="227"/>
      <c r="AG238" s="19"/>
      <c r="AN238" s="227"/>
      <c r="AO238" s="227"/>
      <c r="AP238" s="227"/>
      <c r="AQ238" s="227"/>
      <c r="AR238" s="227"/>
      <c r="AS238" s="227"/>
      <c r="AT238" s="227"/>
      <c r="AU238" s="227"/>
    </row>
    <row r="239" spans="3:48" ht="12.95" customHeight="1">
      <c r="C239" s="290"/>
      <c r="D239" s="290"/>
      <c r="P239" s="257"/>
      <c r="AA239" s="227"/>
      <c r="AB239" s="227"/>
      <c r="AC239" s="227"/>
      <c r="AD239" s="227"/>
      <c r="AE239" s="227"/>
      <c r="AG239" s="19"/>
      <c r="AN239" s="227"/>
      <c r="AO239" s="227"/>
      <c r="AP239" s="227"/>
      <c r="AQ239" s="227"/>
      <c r="AR239" s="227"/>
      <c r="AS239" s="227"/>
      <c r="AT239" s="227"/>
      <c r="AU239" s="227"/>
    </row>
    <row r="240" spans="3:48" ht="12.95" customHeight="1">
      <c r="C240" s="290"/>
      <c r="D240" s="290"/>
      <c r="P240" s="257"/>
      <c r="AA240" s="227"/>
      <c r="AB240" s="227"/>
      <c r="AC240" s="227"/>
      <c r="AD240" s="227"/>
      <c r="AE240" s="227"/>
      <c r="AG240" s="19"/>
      <c r="AN240" s="227"/>
      <c r="AO240" s="227"/>
      <c r="AP240" s="227"/>
      <c r="AQ240" s="227"/>
      <c r="AR240" s="227"/>
      <c r="AS240" s="227"/>
      <c r="AT240" s="227"/>
      <c r="AU240" s="227"/>
    </row>
    <row r="241" spans="3:48" ht="12.95" customHeight="1">
      <c r="C241" s="290"/>
      <c r="D241" s="290"/>
      <c r="P241" s="257"/>
      <c r="AA241" s="227"/>
      <c r="AB241" s="227"/>
      <c r="AC241" s="227"/>
      <c r="AD241" s="227"/>
      <c r="AE241" s="227"/>
      <c r="AG241" s="19"/>
      <c r="AN241" s="227"/>
      <c r="AO241" s="227"/>
      <c r="AP241" s="227"/>
      <c r="AQ241" s="227"/>
      <c r="AR241" s="227"/>
      <c r="AS241" s="227"/>
      <c r="AT241" s="227"/>
      <c r="AU241" s="227"/>
    </row>
    <row r="242" spans="3:48" ht="12.95" customHeight="1">
      <c r="C242" s="290"/>
      <c r="D242" s="290"/>
      <c r="P242" s="257"/>
      <c r="AA242" s="227"/>
      <c r="AB242" s="227"/>
      <c r="AC242" s="227"/>
      <c r="AD242" s="227"/>
      <c r="AE242" s="227"/>
      <c r="AG242" s="19"/>
      <c r="AN242" s="227"/>
      <c r="AO242" s="227"/>
      <c r="AP242" s="227"/>
      <c r="AQ242" s="227"/>
      <c r="AR242" s="227"/>
      <c r="AS242" s="227"/>
      <c r="AT242" s="227"/>
      <c r="AU242" s="227"/>
    </row>
    <row r="243" spans="3:48" ht="12.95" customHeight="1">
      <c r="C243" s="290"/>
      <c r="D243" s="290"/>
      <c r="P243" s="257"/>
      <c r="AA243" s="227"/>
      <c r="AB243" s="227"/>
      <c r="AC243" s="227"/>
      <c r="AD243" s="227"/>
      <c r="AE243" s="227"/>
      <c r="AG243" s="19"/>
      <c r="AN243" s="227"/>
      <c r="AO243" s="227"/>
      <c r="AP243" s="227"/>
      <c r="AQ243" s="227"/>
      <c r="AR243" s="227"/>
      <c r="AS243" s="227"/>
      <c r="AT243" s="227"/>
      <c r="AU243" s="227"/>
    </row>
    <row r="244" spans="3:48" ht="12.95" customHeight="1">
      <c r="C244" s="290"/>
      <c r="D244" s="290"/>
      <c r="P244" s="257"/>
      <c r="AA244" s="227"/>
      <c r="AB244" s="227"/>
      <c r="AC244" s="227"/>
      <c r="AD244" s="227"/>
      <c r="AE244" s="227"/>
      <c r="AG244" s="19"/>
      <c r="AN244" s="227"/>
      <c r="AO244" s="227"/>
      <c r="AP244" s="227"/>
      <c r="AQ244" s="227"/>
      <c r="AR244" s="227"/>
      <c r="AS244" s="227"/>
      <c r="AT244" s="227"/>
      <c r="AU244" s="227"/>
    </row>
    <row r="245" spans="3:48" ht="12.95" customHeight="1">
      <c r="C245" s="290"/>
      <c r="D245" s="290"/>
      <c r="P245" s="257"/>
      <c r="AA245" s="227"/>
      <c r="AB245" s="227"/>
      <c r="AC245" s="227"/>
      <c r="AD245" s="227"/>
      <c r="AE245" s="227"/>
      <c r="AG245" s="19"/>
      <c r="AN245" s="227"/>
      <c r="AO245" s="227"/>
      <c r="AP245" s="227"/>
      <c r="AQ245" s="227"/>
      <c r="AR245" s="227"/>
      <c r="AS245" s="227"/>
      <c r="AT245" s="227"/>
      <c r="AU245" s="227"/>
    </row>
    <row r="246" spans="3:48" ht="12.95" customHeight="1">
      <c r="C246" s="290"/>
      <c r="D246" s="290"/>
      <c r="P246" s="257"/>
      <c r="AA246" s="227"/>
      <c r="AB246" s="227"/>
      <c r="AC246" s="227"/>
      <c r="AD246" s="227"/>
      <c r="AE246" s="227"/>
      <c r="AG246" s="19"/>
      <c r="AN246" s="227"/>
      <c r="AO246" s="227"/>
      <c r="AP246" s="227"/>
      <c r="AQ246" s="227"/>
      <c r="AR246" s="227"/>
      <c r="AS246" s="227"/>
      <c r="AT246" s="227"/>
      <c r="AU246" s="227"/>
      <c r="AV246" s="227"/>
    </row>
    <row r="247" spans="3:48" ht="12.95" customHeight="1">
      <c r="C247" s="290"/>
      <c r="D247" s="290"/>
      <c r="P247" s="257"/>
      <c r="AA247" s="227"/>
      <c r="AB247" s="227"/>
      <c r="AC247" s="227"/>
      <c r="AD247" s="227"/>
      <c r="AE247" s="227"/>
      <c r="AG247" s="19"/>
      <c r="AN247" s="227"/>
      <c r="AO247" s="227"/>
      <c r="AP247" s="227"/>
      <c r="AQ247" s="227"/>
      <c r="AR247" s="227"/>
      <c r="AS247" s="227"/>
      <c r="AT247" s="227"/>
      <c r="AU247" s="227"/>
    </row>
    <row r="248" spans="3:48" ht="12.95" customHeight="1">
      <c r="C248" s="290"/>
      <c r="D248" s="290"/>
      <c r="P248" s="257"/>
      <c r="AA248" s="227"/>
      <c r="AB248" s="227"/>
      <c r="AC248" s="227"/>
      <c r="AD248" s="227"/>
      <c r="AE248" s="227"/>
      <c r="AG248" s="19"/>
      <c r="AN248" s="227"/>
      <c r="AO248" s="227"/>
      <c r="AP248" s="227"/>
      <c r="AQ248" s="227"/>
      <c r="AR248" s="227"/>
      <c r="AS248" s="227"/>
      <c r="AT248" s="227"/>
      <c r="AU248" s="227"/>
      <c r="AV248" s="227"/>
    </row>
    <row r="249" spans="3:48" ht="12.95" customHeight="1">
      <c r="C249" s="290"/>
      <c r="D249" s="290"/>
      <c r="P249" s="257"/>
      <c r="AA249" s="227"/>
      <c r="AB249" s="227"/>
      <c r="AC249" s="227"/>
      <c r="AD249" s="227"/>
      <c r="AE249" s="227"/>
      <c r="AG249" s="19"/>
      <c r="AN249" s="227"/>
      <c r="AO249" s="227"/>
      <c r="AP249" s="227"/>
      <c r="AQ249" s="227"/>
      <c r="AR249" s="227"/>
      <c r="AS249" s="227"/>
      <c r="AT249" s="227"/>
      <c r="AU249" s="227"/>
    </row>
    <row r="250" spans="3:48" ht="12.95" customHeight="1">
      <c r="C250" s="290"/>
      <c r="D250" s="290"/>
      <c r="P250" s="257"/>
      <c r="AA250" s="227"/>
      <c r="AB250" s="227"/>
      <c r="AC250" s="227"/>
      <c r="AD250" s="227"/>
      <c r="AE250" s="227"/>
      <c r="AG250" s="19"/>
      <c r="AN250" s="227"/>
      <c r="AO250" s="227"/>
      <c r="AP250" s="227"/>
      <c r="AQ250" s="227"/>
      <c r="AR250" s="227"/>
      <c r="AS250" s="227"/>
      <c r="AT250" s="227"/>
      <c r="AU250" s="227"/>
      <c r="AV250" s="227"/>
    </row>
    <row r="251" spans="3:48" ht="12.95" customHeight="1">
      <c r="C251" s="290"/>
      <c r="D251" s="290"/>
      <c r="P251" s="257"/>
      <c r="AA251" s="227"/>
      <c r="AB251" s="227"/>
      <c r="AC251" s="227"/>
      <c r="AD251" s="227"/>
      <c r="AE251" s="227"/>
      <c r="AG251" s="19"/>
      <c r="AN251" s="227"/>
      <c r="AO251" s="227"/>
      <c r="AP251" s="227"/>
      <c r="AQ251" s="227"/>
      <c r="AR251" s="227"/>
      <c r="AS251" s="227"/>
      <c r="AT251" s="227"/>
      <c r="AU251" s="227"/>
      <c r="AV251" s="227"/>
    </row>
    <row r="252" spans="3:48" ht="12.95" customHeight="1">
      <c r="C252" s="290"/>
      <c r="D252" s="290"/>
      <c r="P252" s="257"/>
      <c r="AA252" s="227"/>
      <c r="AB252" s="227"/>
      <c r="AC252" s="227"/>
      <c r="AD252" s="227"/>
      <c r="AE252" s="227"/>
      <c r="AG252" s="19"/>
      <c r="AN252" s="227"/>
      <c r="AO252" s="227"/>
      <c r="AP252" s="227"/>
      <c r="AQ252" s="227"/>
      <c r="AR252" s="227"/>
      <c r="AS252" s="227"/>
      <c r="AT252" s="227"/>
      <c r="AU252" s="227"/>
    </row>
    <row r="253" spans="3:48" ht="12.95" customHeight="1">
      <c r="C253" s="290"/>
      <c r="D253" s="290"/>
      <c r="P253" s="257"/>
      <c r="AA253" s="227"/>
      <c r="AB253" s="227"/>
      <c r="AC253" s="227"/>
      <c r="AD253" s="227"/>
      <c r="AE253" s="227"/>
      <c r="AG253" s="19"/>
      <c r="AN253" s="227"/>
      <c r="AO253" s="227"/>
      <c r="AP253" s="227"/>
      <c r="AQ253" s="227"/>
      <c r="AR253" s="227"/>
      <c r="AS253" s="227"/>
      <c r="AT253" s="227"/>
      <c r="AU253" s="227"/>
      <c r="AV253" s="227"/>
    </row>
    <row r="254" spans="3:48" ht="12.95" customHeight="1">
      <c r="C254" s="290"/>
      <c r="D254" s="290"/>
      <c r="P254" s="257"/>
      <c r="AA254" s="227"/>
      <c r="AB254" s="227"/>
      <c r="AC254" s="227"/>
      <c r="AD254" s="227"/>
      <c r="AE254" s="227"/>
      <c r="AG254" s="19"/>
      <c r="AN254" s="227"/>
      <c r="AO254" s="227"/>
      <c r="AP254" s="227"/>
      <c r="AQ254" s="227"/>
      <c r="AR254" s="227"/>
      <c r="AS254" s="227"/>
      <c r="AT254" s="227"/>
      <c r="AU254" s="227"/>
      <c r="AV254" s="227"/>
    </row>
    <row r="255" spans="3:48" ht="12.95" customHeight="1">
      <c r="C255" s="290"/>
      <c r="D255" s="290"/>
      <c r="P255" s="257"/>
      <c r="AA255" s="227"/>
      <c r="AB255" s="227"/>
      <c r="AC255" s="227"/>
      <c r="AD255" s="227"/>
      <c r="AE255" s="227"/>
      <c r="AG255" s="19"/>
      <c r="AN255" s="227"/>
      <c r="AO255" s="227"/>
      <c r="AP255" s="227"/>
      <c r="AQ255" s="227"/>
      <c r="AR255" s="227"/>
      <c r="AS255" s="227"/>
      <c r="AT255" s="227"/>
      <c r="AU255" s="227"/>
    </row>
    <row r="256" spans="3:48" ht="12.95" customHeight="1">
      <c r="C256" s="290"/>
      <c r="D256" s="290"/>
      <c r="P256" s="257"/>
      <c r="AA256" s="227"/>
      <c r="AB256" s="227"/>
      <c r="AC256" s="227"/>
      <c r="AD256" s="227"/>
      <c r="AE256" s="227"/>
      <c r="AG256" s="19"/>
      <c r="AN256" s="227"/>
      <c r="AO256" s="227"/>
      <c r="AP256" s="227"/>
      <c r="AQ256" s="227"/>
      <c r="AR256" s="227"/>
      <c r="AS256" s="227"/>
      <c r="AT256" s="227"/>
      <c r="AU256" s="227"/>
      <c r="AV256" s="227"/>
    </row>
    <row r="257" spans="3:48" ht="12.95" customHeight="1">
      <c r="C257" s="290"/>
      <c r="D257" s="290"/>
      <c r="P257" s="257"/>
      <c r="AA257" s="227"/>
      <c r="AB257" s="227"/>
      <c r="AC257" s="227"/>
      <c r="AD257" s="227"/>
      <c r="AE257" s="227"/>
      <c r="AG257" s="19"/>
      <c r="AN257" s="227"/>
      <c r="AO257" s="227"/>
      <c r="AP257" s="227"/>
      <c r="AQ257" s="227"/>
      <c r="AR257" s="227"/>
      <c r="AS257" s="227"/>
      <c r="AT257" s="227"/>
      <c r="AU257" s="227"/>
      <c r="AV257" s="227"/>
    </row>
    <row r="258" spans="3:48" ht="12.95" customHeight="1">
      <c r="C258" s="290"/>
      <c r="D258" s="290"/>
      <c r="P258" s="257"/>
      <c r="AA258" s="227"/>
      <c r="AB258" s="227"/>
      <c r="AC258" s="227"/>
      <c r="AD258" s="227"/>
      <c r="AE258" s="227"/>
      <c r="AG258" s="19"/>
      <c r="AN258" s="227"/>
      <c r="AO258" s="227"/>
      <c r="AP258" s="227"/>
      <c r="AQ258" s="227"/>
      <c r="AR258" s="227"/>
      <c r="AS258" s="227"/>
      <c r="AT258" s="227"/>
      <c r="AU258" s="227"/>
      <c r="AV258" s="227"/>
    </row>
    <row r="259" spans="3:48" ht="12.95" customHeight="1">
      <c r="C259" s="290"/>
      <c r="D259" s="290"/>
      <c r="P259" s="257"/>
      <c r="AA259" s="227"/>
      <c r="AB259" s="227"/>
      <c r="AC259" s="227"/>
      <c r="AD259" s="227"/>
      <c r="AE259" s="227"/>
      <c r="AG259" s="19"/>
      <c r="AN259" s="227"/>
      <c r="AO259" s="227"/>
      <c r="AP259" s="227"/>
      <c r="AQ259" s="227"/>
      <c r="AR259" s="227"/>
      <c r="AS259" s="227"/>
      <c r="AT259" s="227"/>
      <c r="AU259" s="227"/>
      <c r="AV259" s="227"/>
    </row>
    <row r="260" spans="3:48" ht="12.95" customHeight="1">
      <c r="C260" s="290"/>
      <c r="D260" s="290"/>
      <c r="P260" s="257"/>
      <c r="AA260" s="227"/>
      <c r="AB260" s="227"/>
      <c r="AC260" s="227"/>
      <c r="AD260" s="227"/>
      <c r="AE260" s="227"/>
      <c r="AG260" s="19"/>
      <c r="AN260" s="227"/>
      <c r="AO260" s="227"/>
      <c r="AP260" s="227"/>
      <c r="AQ260" s="227"/>
      <c r="AR260" s="227"/>
      <c r="AS260" s="227"/>
      <c r="AT260" s="227"/>
      <c r="AU260" s="227"/>
    </row>
    <row r="261" spans="3:48" ht="12.95" customHeight="1">
      <c r="C261" s="290"/>
      <c r="D261" s="290"/>
      <c r="P261" s="257"/>
      <c r="AA261" s="227"/>
      <c r="AB261" s="227"/>
      <c r="AC261" s="227"/>
      <c r="AD261" s="227"/>
      <c r="AE261" s="227"/>
      <c r="AG261" s="19"/>
      <c r="AN261" s="227"/>
      <c r="AO261" s="227"/>
      <c r="AP261" s="227"/>
      <c r="AQ261" s="227"/>
      <c r="AR261" s="227"/>
      <c r="AS261" s="227"/>
      <c r="AT261" s="227"/>
      <c r="AU261" s="227"/>
      <c r="AV261" s="227"/>
    </row>
    <row r="262" spans="3:48" ht="12.95" customHeight="1">
      <c r="C262" s="290"/>
      <c r="D262" s="290"/>
      <c r="P262" s="257"/>
      <c r="AA262" s="227"/>
      <c r="AB262" s="227"/>
      <c r="AC262" s="227"/>
      <c r="AD262" s="227"/>
      <c r="AE262" s="227"/>
      <c r="AG262" s="19"/>
      <c r="AN262" s="227"/>
      <c r="AO262" s="227"/>
      <c r="AP262" s="227"/>
      <c r="AQ262" s="227"/>
      <c r="AR262" s="227"/>
      <c r="AS262" s="227"/>
      <c r="AT262" s="227"/>
      <c r="AU262" s="227"/>
    </row>
    <row r="263" spans="3:48" ht="12.95" customHeight="1">
      <c r="P263" s="257"/>
      <c r="AA263" s="227"/>
      <c r="AB263" s="227"/>
      <c r="AC263" s="227"/>
      <c r="AD263" s="227"/>
      <c r="AE263" s="227"/>
      <c r="AG263" s="19"/>
      <c r="AN263" s="227"/>
      <c r="AO263" s="227"/>
      <c r="AP263" s="227"/>
      <c r="AQ263" s="227"/>
      <c r="AR263" s="227"/>
      <c r="AS263" s="227"/>
      <c r="AT263" s="227"/>
      <c r="AU263" s="227"/>
    </row>
    <row r="264" spans="3:48" ht="12.95" customHeight="1">
      <c r="P264" s="257"/>
      <c r="AA264" s="227"/>
      <c r="AB264" s="227"/>
      <c r="AC264" s="227"/>
      <c r="AD264" s="227"/>
      <c r="AE264" s="227"/>
      <c r="AG264" s="19"/>
      <c r="AN264" s="227"/>
      <c r="AO264" s="227"/>
      <c r="AP264" s="227"/>
      <c r="AQ264" s="227"/>
      <c r="AR264" s="227"/>
      <c r="AS264" s="227"/>
      <c r="AT264" s="227"/>
      <c r="AU264" s="227"/>
    </row>
    <row r="265" spans="3:48" ht="12.95" customHeight="1">
      <c r="P265" s="257"/>
      <c r="AA265" s="227"/>
      <c r="AB265" s="227"/>
      <c r="AC265" s="227"/>
      <c r="AD265" s="227"/>
      <c r="AE265" s="227"/>
      <c r="AG265" s="19"/>
      <c r="AN265" s="227"/>
      <c r="AO265" s="227"/>
      <c r="AP265" s="227"/>
      <c r="AQ265" s="227"/>
      <c r="AR265" s="227"/>
      <c r="AS265" s="227"/>
      <c r="AT265" s="227"/>
      <c r="AU265" s="227"/>
    </row>
    <row r="266" spans="3:48" ht="12.95" customHeight="1">
      <c r="P266" s="257"/>
      <c r="AA266" s="227"/>
      <c r="AB266" s="227"/>
      <c r="AC266" s="227"/>
      <c r="AD266" s="227"/>
      <c r="AE266" s="227"/>
      <c r="AG266" s="19"/>
      <c r="AN266" s="227"/>
      <c r="AO266" s="227"/>
      <c r="AP266" s="227"/>
      <c r="AQ266" s="227"/>
      <c r="AR266" s="227"/>
      <c r="AS266" s="227"/>
      <c r="AT266" s="227"/>
      <c r="AU266" s="227"/>
    </row>
    <row r="267" spans="3:48" ht="12.95" customHeight="1">
      <c r="P267" s="257"/>
      <c r="AA267" s="227"/>
      <c r="AB267" s="227"/>
      <c r="AC267" s="227"/>
      <c r="AD267" s="227"/>
      <c r="AE267" s="227"/>
      <c r="AG267" s="19"/>
      <c r="AN267" s="227"/>
      <c r="AO267" s="227"/>
      <c r="AP267" s="227"/>
      <c r="AQ267" s="227"/>
      <c r="AR267" s="227"/>
      <c r="AS267" s="227"/>
      <c r="AT267" s="227"/>
      <c r="AU267" s="227"/>
    </row>
    <row r="268" spans="3:48" ht="12.95" customHeight="1">
      <c r="P268" s="257"/>
      <c r="AA268" s="227"/>
      <c r="AB268" s="227"/>
      <c r="AC268" s="227"/>
      <c r="AD268" s="227"/>
      <c r="AE268" s="227"/>
      <c r="AG268" s="19"/>
      <c r="AN268" s="227"/>
      <c r="AO268" s="227"/>
      <c r="AP268" s="227"/>
      <c r="AQ268" s="227"/>
      <c r="AR268" s="227"/>
      <c r="AS268" s="227"/>
      <c r="AT268" s="227"/>
      <c r="AU268" s="227"/>
    </row>
    <row r="269" spans="3:48" ht="12.95" customHeight="1">
      <c r="P269" s="257"/>
      <c r="AA269" s="227"/>
      <c r="AB269" s="227"/>
      <c r="AC269" s="227"/>
      <c r="AD269" s="227"/>
      <c r="AE269" s="227"/>
      <c r="AG269" s="19"/>
      <c r="AN269" s="227"/>
      <c r="AO269" s="227"/>
      <c r="AP269" s="227"/>
      <c r="AQ269" s="227"/>
      <c r="AR269" s="227"/>
      <c r="AS269" s="227"/>
      <c r="AT269" s="227"/>
      <c r="AU269" s="227"/>
      <c r="AV269" s="227"/>
    </row>
    <row r="270" spans="3:48" ht="12.95" customHeight="1">
      <c r="P270" s="257"/>
      <c r="AA270" s="227"/>
      <c r="AB270" s="227"/>
      <c r="AC270" s="227"/>
      <c r="AD270" s="227"/>
      <c r="AE270" s="227"/>
      <c r="AG270" s="19"/>
      <c r="AN270" s="227"/>
      <c r="AO270" s="227"/>
      <c r="AP270" s="227"/>
      <c r="AQ270" s="227"/>
      <c r="AR270" s="227"/>
      <c r="AS270" s="227"/>
      <c r="AT270" s="227"/>
      <c r="AU270" s="227"/>
    </row>
    <row r="271" spans="3:48" ht="12.95" customHeight="1">
      <c r="P271" s="257"/>
      <c r="AA271" s="227"/>
      <c r="AB271" s="227"/>
      <c r="AC271" s="227"/>
      <c r="AD271" s="227"/>
      <c r="AE271" s="227"/>
      <c r="AG271" s="19"/>
      <c r="AN271" s="227"/>
      <c r="AO271" s="227"/>
      <c r="AP271" s="227"/>
      <c r="AQ271" s="227"/>
      <c r="AR271" s="227"/>
      <c r="AS271" s="227"/>
      <c r="AT271" s="227"/>
      <c r="AU271" s="227"/>
    </row>
    <row r="272" spans="3:48" ht="12.95" customHeight="1">
      <c r="P272" s="257"/>
      <c r="AA272" s="227"/>
      <c r="AB272" s="227"/>
      <c r="AC272" s="227"/>
      <c r="AD272" s="227"/>
      <c r="AE272" s="227"/>
      <c r="AG272" s="19"/>
      <c r="AN272" s="227"/>
      <c r="AO272" s="227"/>
      <c r="AP272" s="227"/>
      <c r="AQ272" s="227"/>
      <c r="AR272" s="227"/>
      <c r="AS272" s="227"/>
      <c r="AT272" s="227"/>
      <c r="AU272" s="227"/>
    </row>
    <row r="273" spans="16:48" ht="12.95" customHeight="1">
      <c r="P273" s="257"/>
      <c r="AA273" s="227"/>
      <c r="AB273" s="227"/>
      <c r="AC273" s="227"/>
      <c r="AD273" s="227"/>
      <c r="AE273" s="227"/>
      <c r="AG273" s="19"/>
      <c r="AN273" s="227"/>
      <c r="AO273" s="227"/>
      <c r="AP273" s="227"/>
      <c r="AQ273" s="227"/>
      <c r="AR273" s="227"/>
      <c r="AS273" s="227"/>
      <c r="AT273" s="227"/>
      <c r="AU273" s="227"/>
    </row>
    <row r="274" spans="16:48" ht="12.95" customHeight="1">
      <c r="P274" s="257"/>
      <c r="AA274" s="227"/>
      <c r="AB274" s="227"/>
      <c r="AC274" s="227"/>
      <c r="AD274" s="227"/>
      <c r="AE274" s="227"/>
      <c r="AG274" s="19"/>
      <c r="AN274" s="227"/>
      <c r="AO274" s="227"/>
      <c r="AP274" s="227"/>
      <c r="AQ274" s="227"/>
      <c r="AR274" s="227"/>
      <c r="AS274" s="227"/>
      <c r="AT274" s="227"/>
      <c r="AU274" s="227"/>
      <c r="AV274" s="227"/>
    </row>
    <row r="275" spans="16:48" ht="12.95" customHeight="1">
      <c r="P275" s="257"/>
      <c r="AA275" s="227"/>
      <c r="AB275" s="227"/>
      <c r="AC275" s="227"/>
      <c r="AD275" s="227"/>
      <c r="AE275" s="227"/>
      <c r="AG275" s="19"/>
      <c r="AN275" s="227"/>
      <c r="AO275" s="227"/>
      <c r="AP275" s="227"/>
      <c r="AQ275" s="227"/>
      <c r="AR275" s="227"/>
      <c r="AS275" s="227"/>
      <c r="AT275" s="227"/>
      <c r="AU275" s="227"/>
      <c r="AV275" s="227"/>
    </row>
    <row r="276" spans="16:48" ht="12.95" customHeight="1">
      <c r="P276" s="257"/>
      <c r="AA276" s="227"/>
      <c r="AB276" s="227"/>
      <c r="AC276" s="227"/>
      <c r="AD276" s="227"/>
      <c r="AE276" s="227"/>
      <c r="AG276" s="19"/>
      <c r="AN276" s="227"/>
      <c r="AO276" s="227"/>
      <c r="AP276" s="227"/>
      <c r="AQ276" s="227"/>
      <c r="AR276" s="227"/>
      <c r="AS276" s="227"/>
      <c r="AT276" s="227"/>
      <c r="AU276" s="227"/>
    </row>
    <row r="277" spans="16:48" ht="12.95" customHeight="1">
      <c r="P277" s="257"/>
      <c r="AA277" s="227"/>
      <c r="AB277" s="227"/>
      <c r="AC277" s="227"/>
      <c r="AD277" s="227"/>
      <c r="AE277" s="227"/>
      <c r="AG277" s="19"/>
      <c r="AN277" s="227"/>
      <c r="AO277" s="227"/>
      <c r="AP277" s="227"/>
      <c r="AQ277" s="227"/>
      <c r="AR277" s="227"/>
      <c r="AS277" s="227"/>
      <c r="AT277" s="227"/>
      <c r="AU277" s="227"/>
    </row>
    <row r="278" spans="16:48" ht="12.95" customHeight="1">
      <c r="P278" s="257"/>
      <c r="AA278" s="227"/>
      <c r="AB278" s="227"/>
      <c r="AC278" s="227"/>
      <c r="AD278" s="227"/>
      <c r="AE278" s="227"/>
      <c r="AG278" s="19"/>
      <c r="AN278" s="227"/>
      <c r="AO278" s="227"/>
      <c r="AP278" s="227"/>
      <c r="AQ278" s="227"/>
      <c r="AR278" s="227"/>
      <c r="AS278" s="227"/>
      <c r="AT278" s="227"/>
      <c r="AU278" s="227"/>
    </row>
    <row r="279" spans="16:48" ht="12.95" customHeight="1">
      <c r="P279" s="257"/>
      <c r="AA279" s="227"/>
      <c r="AB279" s="227"/>
      <c r="AC279" s="227"/>
      <c r="AD279" s="227"/>
      <c r="AE279" s="227"/>
      <c r="AG279" s="19"/>
      <c r="AN279" s="227"/>
      <c r="AO279" s="227"/>
      <c r="AP279" s="227"/>
      <c r="AQ279" s="227"/>
      <c r="AR279" s="227"/>
      <c r="AS279" s="227"/>
      <c r="AT279" s="227"/>
      <c r="AU279" s="227"/>
    </row>
    <row r="280" spans="16:48" ht="12.95" customHeight="1">
      <c r="P280" s="257"/>
      <c r="AA280" s="227"/>
      <c r="AB280" s="227"/>
      <c r="AC280" s="227"/>
      <c r="AD280" s="227"/>
      <c r="AE280" s="227"/>
      <c r="AG280" s="19"/>
      <c r="AN280" s="227"/>
      <c r="AO280" s="227"/>
      <c r="AP280" s="227"/>
      <c r="AQ280" s="227"/>
      <c r="AR280" s="227"/>
      <c r="AS280" s="227"/>
      <c r="AT280" s="227"/>
      <c r="AU280" s="227"/>
      <c r="AV280" s="227"/>
    </row>
    <row r="281" spans="16:48" ht="12.95" customHeight="1">
      <c r="P281" s="257"/>
      <c r="AA281" s="227"/>
      <c r="AB281" s="227"/>
      <c r="AC281" s="227"/>
      <c r="AD281" s="227"/>
      <c r="AE281" s="227"/>
      <c r="AG281" s="19"/>
      <c r="AN281" s="227"/>
      <c r="AO281" s="227"/>
      <c r="AP281" s="227"/>
      <c r="AQ281" s="227"/>
      <c r="AR281" s="227"/>
      <c r="AS281" s="227"/>
      <c r="AT281" s="227"/>
      <c r="AU281" s="227"/>
      <c r="AV281" s="227"/>
    </row>
    <row r="282" spans="16:48" ht="12.95" customHeight="1">
      <c r="P282" s="257"/>
      <c r="AA282" s="227"/>
      <c r="AB282" s="227"/>
      <c r="AC282" s="227"/>
      <c r="AD282" s="227"/>
      <c r="AE282" s="227"/>
      <c r="AG282" s="19"/>
      <c r="AN282" s="227"/>
      <c r="AO282" s="227"/>
      <c r="AP282" s="227"/>
      <c r="AQ282" s="227"/>
      <c r="AR282" s="227"/>
      <c r="AS282" s="227"/>
      <c r="AT282" s="227"/>
      <c r="AU282" s="227"/>
    </row>
    <row r="283" spans="16:48" ht="12.95" customHeight="1">
      <c r="P283" s="257"/>
      <c r="AA283" s="227"/>
      <c r="AB283" s="227"/>
      <c r="AC283" s="227"/>
      <c r="AD283" s="227"/>
      <c r="AE283" s="227"/>
      <c r="AG283" s="19"/>
      <c r="AN283" s="227"/>
      <c r="AO283" s="227"/>
      <c r="AP283" s="227"/>
      <c r="AQ283" s="227"/>
      <c r="AR283" s="227"/>
      <c r="AS283" s="227"/>
      <c r="AT283" s="227"/>
      <c r="AU283" s="227"/>
    </row>
    <row r="284" spans="16:48" ht="12.95" customHeight="1">
      <c r="P284" s="257"/>
      <c r="AA284" s="227"/>
      <c r="AB284" s="227"/>
      <c r="AC284" s="227"/>
      <c r="AD284" s="227"/>
      <c r="AE284" s="227"/>
      <c r="AG284" s="19"/>
      <c r="AN284" s="227"/>
      <c r="AO284" s="227"/>
      <c r="AP284" s="227"/>
      <c r="AQ284" s="227"/>
      <c r="AR284" s="227"/>
      <c r="AS284" s="227"/>
      <c r="AT284" s="227"/>
      <c r="AU284" s="227"/>
    </row>
    <row r="285" spans="16:48" ht="12.95" customHeight="1">
      <c r="P285" s="257"/>
      <c r="AA285" s="227"/>
      <c r="AB285" s="227"/>
      <c r="AC285" s="227"/>
      <c r="AD285" s="227"/>
      <c r="AE285" s="227"/>
      <c r="AG285" s="19"/>
      <c r="AN285" s="227"/>
      <c r="AO285" s="227"/>
      <c r="AP285" s="227"/>
      <c r="AQ285" s="227"/>
      <c r="AR285" s="227"/>
      <c r="AS285" s="227"/>
      <c r="AT285" s="227"/>
      <c r="AU285" s="227"/>
    </row>
    <row r="286" spans="16:48" ht="12.95" customHeight="1">
      <c r="P286" s="257"/>
      <c r="AA286" s="227"/>
      <c r="AB286" s="227"/>
      <c r="AC286" s="227"/>
      <c r="AD286" s="227"/>
      <c r="AE286" s="227"/>
      <c r="AG286" s="19"/>
      <c r="AN286" s="227"/>
      <c r="AO286" s="227"/>
      <c r="AP286" s="227"/>
      <c r="AQ286" s="227"/>
      <c r="AR286" s="227"/>
      <c r="AS286" s="227"/>
      <c r="AT286" s="227"/>
      <c r="AU286" s="227"/>
    </row>
    <row r="287" spans="16:48" ht="12.95" customHeight="1">
      <c r="P287" s="257"/>
      <c r="AA287" s="227"/>
      <c r="AB287" s="227"/>
      <c r="AC287" s="227"/>
      <c r="AD287" s="227"/>
      <c r="AE287" s="227"/>
      <c r="AG287" s="19"/>
      <c r="AN287" s="227"/>
      <c r="AO287" s="227"/>
      <c r="AP287" s="227"/>
      <c r="AQ287" s="227"/>
      <c r="AR287" s="227"/>
      <c r="AS287" s="227"/>
      <c r="AT287" s="227"/>
      <c r="AU287" s="227"/>
    </row>
    <row r="288" spans="16:48" ht="12.95" customHeight="1">
      <c r="P288" s="257"/>
      <c r="AA288" s="227"/>
      <c r="AB288" s="227"/>
      <c r="AC288" s="227"/>
      <c r="AD288" s="227"/>
      <c r="AE288" s="227"/>
      <c r="AG288" s="19"/>
      <c r="AN288" s="227"/>
      <c r="AO288" s="227"/>
      <c r="AP288" s="227"/>
      <c r="AQ288" s="227"/>
      <c r="AR288" s="227"/>
      <c r="AS288" s="227"/>
      <c r="AT288" s="227"/>
      <c r="AU288" s="227"/>
      <c r="AV288" s="227"/>
    </row>
    <row r="289" spans="16:48" ht="12.95" customHeight="1">
      <c r="P289" s="257"/>
      <c r="AA289" s="227"/>
      <c r="AB289" s="227"/>
      <c r="AC289" s="227"/>
      <c r="AD289" s="227"/>
      <c r="AE289" s="227"/>
      <c r="AG289" s="19"/>
      <c r="AN289" s="227"/>
      <c r="AO289" s="227"/>
      <c r="AP289" s="227"/>
      <c r="AQ289" s="227"/>
      <c r="AR289" s="227"/>
      <c r="AS289" s="227"/>
      <c r="AT289" s="227"/>
      <c r="AU289" s="227"/>
      <c r="AV289" s="227"/>
    </row>
    <row r="290" spans="16:48" ht="12.95" customHeight="1">
      <c r="P290" s="257"/>
      <c r="AA290" s="227"/>
      <c r="AB290" s="227"/>
      <c r="AC290" s="227"/>
      <c r="AD290" s="227"/>
      <c r="AE290" s="227"/>
      <c r="AG290" s="19"/>
      <c r="AN290" s="227"/>
      <c r="AO290" s="227"/>
      <c r="AP290" s="227"/>
      <c r="AQ290" s="227"/>
      <c r="AR290" s="227"/>
      <c r="AS290" s="227"/>
      <c r="AT290" s="227"/>
      <c r="AU290" s="227"/>
      <c r="AV290" s="227"/>
    </row>
    <row r="291" spans="16:48" ht="12.95" customHeight="1">
      <c r="P291" s="257"/>
      <c r="AA291" s="227"/>
      <c r="AB291" s="227"/>
      <c r="AC291" s="227"/>
      <c r="AD291" s="227"/>
      <c r="AE291" s="227"/>
      <c r="AG291" s="19"/>
      <c r="AN291" s="227"/>
      <c r="AO291" s="227"/>
      <c r="AP291" s="227"/>
      <c r="AQ291" s="227"/>
      <c r="AR291" s="227"/>
      <c r="AS291" s="227"/>
      <c r="AT291" s="227"/>
      <c r="AU291" s="227"/>
    </row>
    <row r="292" spans="16:48" ht="12.95" customHeight="1">
      <c r="P292" s="257"/>
      <c r="AA292" s="227"/>
      <c r="AB292" s="227"/>
      <c r="AC292" s="227"/>
      <c r="AD292" s="227"/>
      <c r="AE292" s="227"/>
      <c r="AG292" s="19"/>
      <c r="AN292" s="227"/>
      <c r="AO292" s="227"/>
      <c r="AP292" s="227"/>
      <c r="AQ292" s="227"/>
      <c r="AR292" s="227"/>
      <c r="AS292" s="227"/>
      <c r="AT292" s="227"/>
      <c r="AU292" s="227"/>
    </row>
    <row r="293" spans="16:48" ht="12.95" customHeight="1">
      <c r="P293" s="257"/>
      <c r="AA293" s="227"/>
      <c r="AB293" s="227"/>
      <c r="AC293" s="227"/>
      <c r="AD293" s="227"/>
      <c r="AE293" s="227"/>
      <c r="AG293" s="19"/>
      <c r="AN293" s="227"/>
      <c r="AO293" s="227"/>
      <c r="AP293" s="227"/>
      <c r="AQ293" s="227"/>
      <c r="AR293" s="227"/>
      <c r="AS293" s="227"/>
      <c r="AT293" s="227"/>
      <c r="AU293" s="227"/>
    </row>
    <row r="294" spans="16:48" ht="12.95" customHeight="1">
      <c r="P294" s="257"/>
      <c r="AA294" s="227"/>
      <c r="AB294" s="227"/>
      <c r="AC294" s="227"/>
      <c r="AD294" s="227"/>
      <c r="AE294" s="227"/>
      <c r="AG294" s="19"/>
      <c r="AN294" s="227"/>
      <c r="AO294" s="227"/>
      <c r="AP294" s="227"/>
      <c r="AQ294" s="227"/>
      <c r="AR294" s="227"/>
      <c r="AS294" s="227"/>
      <c r="AT294" s="227"/>
      <c r="AU294" s="227"/>
    </row>
    <row r="295" spans="16:48" ht="12.95" customHeight="1">
      <c r="P295" s="257"/>
      <c r="AA295" s="227"/>
      <c r="AB295" s="227"/>
      <c r="AC295" s="227"/>
      <c r="AD295" s="227"/>
      <c r="AE295" s="227"/>
      <c r="AG295" s="19"/>
      <c r="AN295" s="227"/>
      <c r="AO295" s="227"/>
      <c r="AP295" s="227"/>
      <c r="AQ295" s="227"/>
      <c r="AR295" s="227"/>
      <c r="AS295" s="227"/>
      <c r="AT295" s="227"/>
      <c r="AU295" s="227"/>
    </row>
    <row r="296" spans="16:48" ht="12.95" customHeight="1">
      <c r="P296" s="257"/>
      <c r="AA296" s="227"/>
      <c r="AB296" s="227"/>
      <c r="AC296" s="227"/>
      <c r="AD296" s="227"/>
      <c r="AE296" s="227"/>
      <c r="AG296" s="19"/>
      <c r="AN296" s="227"/>
      <c r="AO296" s="227"/>
      <c r="AP296" s="227"/>
      <c r="AQ296" s="227"/>
      <c r="AR296" s="227"/>
      <c r="AS296" s="227"/>
      <c r="AT296" s="227"/>
      <c r="AU296" s="227"/>
    </row>
    <row r="297" spans="16:48" ht="12.95" customHeight="1">
      <c r="P297" s="257"/>
      <c r="AA297" s="227"/>
      <c r="AB297" s="227"/>
      <c r="AC297" s="227"/>
      <c r="AD297" s="227"/>
      <c r="AE297" s="227"/>
      <c r="AG297" s="19"/>
      <c r="AN297" s="227"/>
      <c r="AO297" s="227"/>
      <c r="AP297" s="227"/>
      <c r="AQ297" s="227"/>
      <c r="AR297" s="227"/>
      <c r="AS297" s="227"/>
      <c r="AT297" s="227"/>
      <c r="AU297" s="227"/>
    </row>
    <row r="298" spans="16:48" ht="12.95" customHeight="1">
      <c r="P298" s="257"/>
      <c r="AA298" s="227"/>
      <c r="AB298" s="227"/>
      <c r="AC298" s="227"/>
      <c r="AD298" s="227"/>
      <c r="AE298" s="227"/>
      <c r="AG298" s="19"/>
      <c r="AN298" s="227"/>
      <c r="AO298" s="227"/>
      <c r="AP298" s="227"/>
      <c r="AQ298" s="227"/>
      <c r="AR298" s="227"/>
      <c r="AS298" s="227"/>
      <c r="AT298" s="227"/>
      <c r="AU298" s="227"/>
      <c r="AV298" s="227"/>
    </row>
    <row r="299" spans="16:48" ht="12.95" customHeight="1">
      <c r="P299" s="257"/>
      <c r="AA299" s="227"/>
      <c r="AB299" s="227"/>
      <c r="AC299" s="227"/>
      <c r="AD299" s="227"/>
      <c r="AE299" s="227"/>
      <c r="AG299" s="19"/>
      <c r="AN299" s="227"/>
      <c r="AO299" s="227"/>
      <c r="AP299" s="227"/>
      <c r="AQ299" s="227"/>
      <c r="AR299" s="227"/>
      <c r="AS299" s="227"/>
      <c r="AT299" s="227"/>
      <c r="AU299" s="227"/>
      <c r="AV299" s="227"/>
    </row>
    <row r="300" spans="16:48" ht="12.95" customHeight="1">
      <c r="P300" s="257"/>
      <c r="AA300" s="227"/>
      <c r="AB300" s="227"/>
      <c r="AC300" s="227"/>
      <c r="AD300" s="227"/>
      <c r="AE300" s="227"/>
      <c r="AG300" s="19"/>
      <c r="AN300" s="227"/>
      <c r="AO300" s="227"/>
      <c r="AP300" s="227"/>
      <c r="AQ300" s="227"/>
      <c r="AR300" s="227"/>
      <c r="AS300" s="227"/>
      <c r="AT300" s="227"/>
      <c r="AU300" s="227"/>
      <c r="AV300" s="227"/>
    </row>
    <row r="301" spans="16:48" ht="12.95" customHeight="1">
      <c r="P301" s="257"/>
      <c r="AA301" s="227"/>
      <c r="AB301" s="227"/>
      <c r="AC301" s="227"/>
      <c r="AD301" s="227"/>
      <c r="AE301" s="227"/>
      <c r="AG301" s="19"/>
      <c r="AN301" s="227"/>
      <c r="AO301" s="227"/>
      <c r="AP301" s="227"/>
      <c r="AQ301" s="227"/>
      <c r="AR301" s="227"/>
      <c r="AS301" s="227"/>
      <c r="AT301" s="227"/>
      <c r="AU301" s="227"/>
    </row>
    <row r="302" spans="16:48" ht="12.95" customHeight="1">
      <c r="P302" s="257"/>
      <c r="AA302" s="227"/>
      <c r="AB302" s="227"/>
      <c r="AC302" s="227"/>
      <c r="AD302" s="227"/>
      <c r="AE302" s="227"/>
      <c r="AG302" s="19"/>
      <c r="AN302" s="227"/>
      <c r="AO302" s="227"/>
      <c r="AP302" s="227"/>
      <c r="AQ302" s="227"/>
      <c r="AR302" s="227"/>
      <c r="AS302" s="227"/>
      <c r="AT302" s="227"/>
      <c r="AU302" s="227"/>
    </row>
    <row r="303" spans="16:48" ht="12.95" customHeight="1">
      <c r="P303" s="257"/>
      <c r="AA303" s="227"/>
      <c r="AB303" s="227"/>
      <c r="AC303" s="227"/>
      <c r="AD303" s="227"/>
      <c r="AE303" s="227"/>
      <c r="AG303" s="19"/>
      <c r="AN303" s="227"/>
      <c r="AO303" s="227"/>
      <c r="AP303" s="227"/>
      <c r="AQ303" s="227"/>
      <c r="AR303" s="227"/>
      <c r="AS303" s="227"/>
      <c r="AT303" s="227"/>
      <c r="AU303" s="227"/>
    </row>
    <row r="304" spans="16:48" ht="12.95" customHeight="1">
      <c r="P304" s="257"/>
      <c r="AA304" s="227"/>
      <c r="AB304" s="227"/>
      <c r="AC304" s="227"/>
      <c r="AD304" s="227"/>
      <c r="AE304" s="227"/>
      <c r="AG304" s="19"/>
      <c r="AN304" s="227"/>
      <c r="AO304" s="227"/>
      <c r="AP304" s="227"/>
      <c r="AQ304" s="227"/>
      <c r="AR304" s="227"/>
      <c r="AS304" s="227"/>
      <c r="AT304" s="227"/>
      <c r="AU304" s="227"/>
    </row>
    <row r="305" spans="16:48" ht="12.95" customHeight="1">
      <c r="P305" s="257"/>
      <c r="AA305" s="227"/>
      <c r="AB305" s="227"/>
      <c r="AC305" s="227"/>
      <c r="AD305" s="227"/>
      <c r="AE305" s="227"/>
      <c r="AG305" s="19"/>
      <c r="AN305" s="227"/>
      <c r="AO305" s="227"/>
      <c r="AP305" s="227"/>
      <c r="AQ305" s="227"/>
      <c r="AR305" s="227"/>
      <c r="AS305" s="227"/>
      <c r="AT305" s="227"/>
      <c r="AU305" s="227"/>
    </row>
    <row r="306" spans="16:48" ht="12.95" customHeight="1">
      <c r="AA306" s="227"/>
      <c r="AB306" s="227"/>
      <c r="AC306" s="227"/>
      <c r="AD306" s="227"/>
      <c r="AE306" s="227"/>
      <c r="AG306" s="19"/>
      <c r="AN306" s="227"/>
      <c r="AO306" s="227"/>
      <c r="AP306" s="227"/>
      <c r="AQ306" s="227"/>
      <c r="AR306" s="227"/>
      <c r="AS306" s="227"/>
      <c r="AT306" s="227"/>
      <c r="AU306" s="227"/>
    </row>
    <row r="307" spans="16:48" ht="12.95" customHeight="1">
      <c r="AA307" s="227"/>
      <c r="AB307" s="227"/>
      <c r="AC307" s="227"/>
      <c r="AD307" s="227"/>
      <c r="AE307" s="227"/>
      <c r="AG307" s="19"/>
      <c r="AN307" s="227"/>
      <c r="AO307" s="227"/>
      <c r="AP307" s="227"/>
      <c r="AQ307" s="227"/>
      <c r="AR307" s="227"/>
      <c r="AS307" s="227"/>
      <c r="AT307" s="227"/>
      <c r="AU307" s="227"/>
    </row>
    <row r="308" spans="16:48" ht="12.95" customHeight="1">
      <c r="AA308" s="227"/>
      <c r="AB308" s="227"/>
      <c r="AC308" s="227"/>
      <c r="AD308" s="227"/>
      <c r="AE308" s="227"/>
      <c r="AG308" s="19"/>
      <c r="AN308" s="227"/>
      <c r="AO308" s="227"/>
      <c r="AP308" s="227"/>
      <c r="AQ308" s="227"/>
      <c r="AR308" s="227"/>
      <c r="AS308" s="227"/>
      <c r="AT308" s="227"/>
      <c r="AU308" s="227"/>
    </row>
    <row r="309" spans="16:48" ht="12.95" customHeight="1">
      <c r="AA309" s="227"/>
      <c r="AB309" s="227"/>
      <c r="AC309" s="227"/>
      <c r="AD309" s="227"/>
      <c r="AE309" s="227"/>
      <c r="AG309" s="19"/>
      <c r="AN309" s="227"/>
      <c r="AO309" s="227"/>
      <c r="AP309" s="227"/>
      <c r="AQ309" s="227"/>
      <c r="AR309" s="227"/>
      <c r="AS309" s="227"/>
      <c r="AT309" s="227"/>
      <c r="AU309" s="227"/>
    </row>
    <row r="310" spans="16:48" ht="12.95" customHeight="1">
      <c r="AA310" s="227"/>
      <c r="AB310" s="227"/>
      <c r="AC310" s="227"/>
      <c r="AD310" s="227"/>
      <c r="AE310" s="227"/>
      <c r="AG310" s="19"/>
      <c r="AN310" s="227"/>
      <c r="AO310" s="227"/>
      <c r="AP310" s="227"/>
      <c r="AQ310" s="227"/>
      <c r="AR310" s="227"/>
      <c r="AS310" s="227"/>
      <c r="AT310" s="227"/>
      <c r="AU310" s="227"/>
    </row>
    <row r="311" spans="16:48" ht="12.95" customHeight="1">
      <c r="AA311" s="227"/>
      <c r="AB311" s="227"/>
      <c r="AC311" s="227"/>
      <c r="AD311" s="227"/>
      <c r="AE311" s="227"/>
      <c r="AG311" s="19"/>
      <c r="AN311" s="227"/>
      <c r="AO311" s="227"/>
      <c r="AP311" s="227"/>
      <c r="AQ311" s="227"/>
      <c r="AR311" s="227"/>
      <c r="AS311" s="227"/>
      <c r="AT311" s="227"/>
      <c r="AU311" s="227"/>
    </row>
    <row r="312" spans="16:48" ht="12.95" customHeight="1">
      <c r="AA312" s="227"/>
      <c r="AB312" s="227"/>
      <c r="AC312" s="227"/>
      <c r="AD312" s="227"/>
      <c r="AE312" s="227"/>
      <c r="AG312" s="19"/>
      <c r="AN312" s="227"/>
      <c r="AO312" s="227"/>
      <c r="AP312" s="227"/>
      <c r="AQ312" s="227"/>
      <c r="AR312" s="227"/>
      <c r="AS312" s="227"/>
      <c r="AT312" s="227"/>
      <c r="AU312" s="227"/>
    </row>
    <row r="313" spans="16:48" ht="12.95" customHeight="1">
      <c r="AA313" s="227"/>
      <c r="AB313" s="227"/>
      <c r="AC313" s="227"/>
      <c r="AD313" s="227"/>
      <c r="AE313" s="227"/>
      <c r="AG313" s="19"/>
      <c r="AN313" s="227"/>
      <c r="AO313" s="227"/>
      <c r="AP313" s="227"/>
      <c r="AQ313" s="227"/>
      <c r="AR313" s="227"/>
      <c r="AS313" s="227"/>
      <c r="AT313" s="227"/>
      <c r="AU313" s="227"/>
    </row>
    <row r="314" spans="16:48" ht="12.95" customHeight="1">
      <c r="AA314" s="227"/>
      <c r="AB314" s="227"/>
      <c r="AC314" s="227"/>
      <c r="AD314" s="227"/>
      <c r="AE314" s="227"/>
      <c r="AG314" s="19"/>
      <c r="AN314" s="227"/>
      <c r="AO314" s="227"/>
      <c r="AP314" s="227"/>
      <c r="AQ314" s="227"/>
      <c r="AR314" s="227"/>
      <c r="AS314" s="227"/>
      <c r="AT314" s="227"/>
      <c r="AU314" s="227"/>
    </row>
    <row r="315" spans="16:48" ht="12.95" customHeight="1">
      <c r="AA315" s="227"/>
      <c r="AB315" s="227"/>
      <c r="AC315" s="227"/>
      <c r="AD315" s="227"/>
      <c r="AE315" s="227"/>
      <c r="AG315" s="19"/>
      <c r="AN315" s="227"/>
      <c r="AO315" s="227"/>
      <c r="AP315" s="227"/>
      <c r="AQ315" s="227"/>
      <c r="AR315" s="227"/>
      <c r="AS315" s="227"/>
      <c r="AT315" s="227"/>
      <c r="AU315" s="227"/>
    </row>
    <row r="316" spans="16:48" ht="12.95" customHeight="1">
      <c r="AA316" s="227"/>
      <c r="AB316" s="227"/>
      <c r="AC316" s="227"/>
      <c r="AD316" s="227"/>
      <c r="AE316" s="227"/>
      <c r="AG316" s="19"/>
      <c r="AN316" s="227"/>
      <c r="AO316" s="227"/>
      <c r="AP316" s="227"/>
      <c r="AQ316" s="227"/>
      <c r="AR316" s="227"/>
      <c r="AS316" s="227"/>
      <c r="AT316" s="227"/>
      <c r="AU316" s="227"/>
      <c r="AV316" s="227"/>
    </row>
    <row r="317" spans="16:48" ht="12.95" customHeight="1">
      <c r="AA317" s="227"/>
      <c r="AB317" s="227"/>
      <c r="AC317" s="227"/>
      <c r="AD317" s="227"/>
      <c r="AE317" s="227"/>
      <c r="AG317" s="19"/>
      <c r="AN317" s="227"/>
      <c r="AO317" s="227"/>
      <c r="AP317" s="227"/>
      <c r="AQ317" s="227"/>
      <c r="AR317" s="227"/>
      <c r="AS317" s="227"/>
      <c r="AT317" s="227"/>
      <c r="AU317" s="227"/>
    </row>
    <row r="318" spans="16:48" ht="12.95" customHeight="1">
      <c r="AA318" s="227"/>
      <c r="AB318" s="227"/>
      <c r="AC318" s="227"/>
      <c r="AD318" s="227"/>
      <c r="AE318" s="227"/>
      <c r="AG318" s="19"/>
      <c r="AN318" s="227"/>
      <c r="AO318" s="227"/>
      <c r="AP318" s="227"/>
      <c r="AQ318" s="227"/>
      <c r="AR318" s="227"/>
      <c r="AS318" s="227"/>
      <c r="AT318" s="227"/>
      <c r="AU318" s="227"/>
    </row>
    <row r="319" spans="16:48" ht="12.95" customHeight="1">
      <c r="AA319" s="227"/>
      <c r="AB319" s="227"/>
      <c r="AC319" s="227"/>
      <c r="AD319" s="227"/>
      <c r="AE319" s="227"/>
      <c r="AG319" s="19"/>
      <c r="AN319" s="227"/>
      <c r="AO319" s="227"/>
      <c r="AP319" s="227"/>
      <c r="AQ319" s="227"/>
      <c r="AR319" s="227"/>
      <c r="AS319" s="227"/>
      <c r="AT319" s="227"/>
      <c r="AU319" s="227"/>
    </row>
    <row r="320" spans="16:48" ht="12.95" customHeight="1">
      <c r="AA320" s="227"/>
      <c r="AB320" s="227"/>
      <c r="AC320" s="227"/>
      <c r="AD320" s="227"/>
      <c r="AE320" s="227"/>
      <c r="AG320" s="19"/>
      <c r="AN320" s="227"/>
      <c r="AO320" s="227"/>
      <c r="AP320" s="227"/>
      <c r="AQ320" s="227"/>
      <c r="AR320" s="227"/>
      <c r="AS320" s="227"/>
      <c r="AT320" s="227"/>
      <c r="AU320" s="227"/>
    </row>
    <row r="321" spans="27:48" ht="12.95" customHeight="1">
      <c r="AA321" s="227"/>
      <c r="AB321" s="227"/>
      <c r="AC321" s="227"/>
      <c r="AD321" s="227"/>
      <c r="AE321" s="227"/>
      <c r="AG321" s="19"/>
      <c r="AN321" s="227"/>
      <c r="AO321" s="227"/>
      <c r="AP321" s="227"/>
      <c r="AQ321" s="227"/>
      <c r="AR321" s="227"/>
      <c r="AS321" s="227"/>
      <c r="AT321" s="227"/>
      <c r="AU321" s="227"/>
    </row>
    <row r="322" spans="27:48" ht="12.95" customHeight="1">
      <c r="AA322" s="227"/>
      <c r="AB322" s="227"/>
      <c r="AC322" s="227"/>
      <c r="AD322" s="227"/>
      <c r="AE322" s="227"/>
      <c r="AG322" s="19"/>
      <c r="AN322" s="227"/>
      <c r="AO322" s="227"/>
      <c r="AP322" s="227"/>
      <c r="AQ322" s="227"/>
      <c r="AR322" s="227"/>
      <c r="AS322" s="227"/>
      <c r="AT322" s="227"/>
      <c r="AU322" s="227"/>
    </row>
    <row r="323" spans="27:48" ht="12.95" customHeight="1">
      <c r="AA323" s="227"/>
      <c r="AB323" s="227"/>
      <c r="AC323" s="227"/>
      <c r="AD323" s="227"/>
      <c r="AE323" s="227"/>
      <c r="AG323" s="19"/>
      <c r="AN323" s="227"/>
      <c r="AO323" s="227"/>
      <c r="AP323" s="227"/>
      <c r="AQ323" s="227"/>
      <c r="AR323" s="227"/>
      <c r="AS323" s="227"/>
      <c r="AT323" s="227"/>
      <c r="AU323" s="227"/>
    </row>
    <row r="324" spans="27:48" ht="12.95" customHeight="1">
      <c r="AA324" s="227"/>
      <c r="AB324" s="227"/>
      <c r="AC324" s="227"/>
      <c r="AD324" s="227"/>
      <c r="AE324" s="227"/>
      <c r="AG324" s="19"/>
      <c r="AN324" s="227"/>
      <c r="AO324" s="227"/>
      <c r="AP324" s="227"/>
      <c r="AQ324" s="227"/>
      <c r="AR324" s="227"/>
      <c r="AS324" s="227"/>
      <c r="AT324" s="227"/>
      <c r="AU324" s="227"/>
    </row>
    <row r="325" spans="27:48" ht="12.95" customHeight="1">
      <c r="AA325" s="227"/>
      <c r="AB325" s="227"/>
      <c r="AC325" s="227"/>
      <c r="AD325" s="227"/>
      <c r="AE325" s="227"/>
      <c r="AG325" s="19"/>
      <c r="AN325" s="227"/>
      <c r="AO325" s="227"/>
      <c r="AP325" s="227"/>
      <c r="AQ325" s="227"/>
      <c r="AR325" s="227"/>
      <c r="AS325" s="227"/>
      <c r="AT325" s="227"/>
      <c r="AU325" s="227"/>
    </row>
    <row r="326" spans="27:48" ht="12.95" customHeight="1">
      <c r="AA326" s="227"/>
      <c r="AB326" s="227"/>
      <c r="AC326" s="227"/>
      <c r="AD326" s="227"/>
      <c r="AE326" s="227"/>
      <c r="AG326" s="19"/>
      <c r="AN326" s="227"/>
      <c r="AO326" s="227"/>
      <c r="AP326" s="227"/>
      <c r="AQ326" s="227"/>
      <c r="AR326" s="227"/>
      <c r="AS326" s="227"/>
      <c r="AT326" s="227"/>
      <c r="AU326" s="227"/>
    </row>
    <row r="327" spans="27:48" ht="12.95" customHeight="1">
      <c r="AA327" s="227"/>
      <c r="AB327" s="227"/>
      <c r="AC327" s="227"/>
      <c r="AD327" s="227"/>
      <c r="AE327" s="227"/>
      <c r="AG327" s="19"/>
      <c r="AN327" s="227"/>
      <c r="AO327" s="227"/>
      <c r="AP327" s="227"/>
      <c r="AQ327" s="227"/>
      <c r="AR327" s="227"/>
      <c r="AS327" s="227"/>
      <c r="AT327" s="227"/>
      <c r="AU327" s="227"/>
    </row>
    <row r="328" spans="27:48" ht="12.95" customHeight="1">
      <c r="AA328" s="227"/>
      <c r="AB328" s="227"/>
      <c r="AC328" s="227"/>
      <c r="AD328" s="227"/>
      <c r="AE328" s="227"/>
      <c r="AG328" s="19"/>
      <c r="AN328" s="227"/>
      <c r="AO328" s="227"/>
      <c r="AP328" s="227"/>
      <c r="AQ328" s="227"/>
      <c r="AR328" s="227"/>
      <c r="AS328" s="227"/>
      <c r="AT328" s="227"/>
      <c r="AU328" s="227"/>
    </row>
    <row r="329" spans="27:48" ht="12.95" customHeight="1">
      <c r="AA329" s="227"/>
      <c r="AB329" s="227"/>
      <c r="AC329" s="227"/>
      <c r="AD329" s="227"/>
      <c r="AE329" s="227"/>
      <c r="AG329" s="19"/>
      <c r="AN329" s="227"/>
      <c r="AO329" s="227"/>
      <c r="AP329" s="227"/>
      <c r="AQ329" s="227"/>
      <c r="AR329" s="227"/>
      <c r="AS329" s="227"/>
      <c r="AT329" s="227"/>
      <c r="AU329" s="227"/>
    </row>
    <row r="330" spans="27:48" ht="12.95" customHeight="1">
      <c r="AA330" s="227"/>
      <c r="AB330" s="227"/>
      <c r="AC330" s="227"/>
      <c r="AD330" s="227"/>
      <c r="AE330" s="227"/>
      <c r="AG330" s="19"/>
      <c r="AN330" s="227"/>
      <c r="AO330" s="227"/>
      <c r="AP330" s="227"/>
      <c r="AQ330" s="227"/>
      <c r="AR330" s="227"/>
      <c r="AS330" s="227"/>
      <c r="AT330" s="227"/>
      <c r="AU330" s="227"/>
      <c r="AV330" s="227"/>
    </row>
    <row r="331" spans="27:48" ht="12.95" customHeight="1">
      <c r="AA331" s="227"/>
      <c r="AB331" s="227"/>
      <c r="AC331" s="227"/>
      <c r="AD331" s="227"/>
      <c r="AE331" s="227"/>
      <c r="AG331" s="19"/>
      <c r="AN331" s="227"/>
      <c r="AO331" s="227"/>
      <c r="AP331" s="227"/>
      <c r="AQ331" s="227"/>
      <c r="AR331" s="227"/>
      <c r="AS331" s="227"/>
      <c r="AT331" s="227"/>
      <c r="AU331" s="227"/>
    </row>
    <row r="332" spans="27:48" ht="12.95" customHeight="1">
      <c r="AA332" s="227"/>
      <c r="AB332" s="227"/>
      <c r="AC332" s="227"/>
      <c r="AD332" s="227"/>
      <c r="AE332" s="227"/>
      <c r="AG332" s="19"/>
      <c r="AN332" s="227"/>
      <c r="AO332" s="227"/>
      <c r="AP332" s="227"/>
      <c r="AQ332" s="227"/>
      <c r="AR332" s="227"/>
      <c r="AS332" s="227"/>
      <c r="AT332" s="227"/>
      <c r="AU332" s="227"/>
    </row>
    <row r="333" spans="27:48" ht="12.95" customHeight="1">
      <c r="AA333" s="227"/>
      <c r="AB333" s="227"/>
      <c r="AC333" s="227"/>
      <c r="AD333" s="227"/>
      <c r="AE333" s="227"/>
      <c r="AG333" s="19"/>
      <c r="AN333" s="227"/>
      <c r="AO333" s="227"/>
      <c r="AP333" s="227"/>
      <c r="AQ333" s="227"/>
      <c r="AR333" s="227"/>
      <c r="AS333" s="227"/>
      <c r="AT333" s="227"/>
      <c r="AU333" s="227"/>
    </row>
    <row r="334" spans="27:48" ht="12.95" customHeight="1">
      <c r="AA334" s="227"/>
      <c r="AB334" s="227"/>
      <c r="AC334" s="227"/>
      <c r="AD334" s="227"/>
      <c r="AE334" s="227"/>
      <c r="AG334" s="19"/>
      <c r="AN334" s="227"/>
      <c r="AO334" s="227"/>
      <c r="AP334" s="227"/>
      <c r="AQ334" s="227"/>
      <c r="AR334" s="227"/>
      <c r="AS334" s="227"/>
      <c r="AT334" s="227"/>
      <c r="AU334" s="227"/>
    </row>
    <row r="335" spans="27:48" ht="12.95" customHeight="1">
      <c r="AA335" s="227"/>
      <c r="AB335" s="227"/>
      <c r="AC335" s="227"/>
      <c r="AD335" s="227"/>
      <c r="AE335" s="227"/>
      <c r="AG335" s="19"/>
      <c r="AN335" s="227"/>
      <c r="AO335" s="227"/>
      <c r="AP335" s="227"/>
      <c r="AQ335" s="227"/>
      <c r="AR335" s="227"/>
      <c r="AS335" s="227"/>
      <c r="AT335" s="227"/>
      <c r="AU335" s="227"/>
    </row>
    <row r="336" spans="27:48" ht="12.95" customHeight="1">
      <c r="AA336" s="227"/>
      <c r="AB336" s="227"/>
      <c r="AC336" s="227"/>
      <c r="AD336" s="227"/>
      <c r="AE336" s="227"/>
      <c r="AG336" s="19"/>
      <c r="AN336" s="227"/>
      <c r="AO336" s="227"/>
      <c r="AP336" s="227"/>
      <c r="AQ336" s="227"/>
      <c r="AR336" s="227"/>
      <c r="AS336" s="227"/>
      <c r="AT336" s="227"/>
      <c r="AU336" s="227"/>
    </row>
    <row r="337" spans="27:48" ht="12.95" customHeight="1">
      <c r="AA337" s="227"/>
      <c r="AB337" s="227"/>
      <c r="AC337" s="227"/>
      <c r="AD337" s="227"/>
      <c r="AE337" s="227"/>
      <c r="AG337" s="19"/>
      <c r="AN337" s="227"/>
      <c r="AO337" s="227"/>
      <c r="AP337" s="227"/>
      <c r="AQ337" s="227"/>
      <c r="AR337" s="227"/>
      <c r="AS337" s="227"/>
      <c r="AT337" s="227"/>
      <c r="AU337" s="227"/>
    </row>
    <row r="338" spans="27:48" ht="12.95" customHeight="1">
      <c r="AA338" s="227"/>
      <c r="AB338" s="227"/>
      <c r="AC338" s="227"/>
      <c r="AD338" s="227"/>
      <c r="AE338" s="227"/>
      <c r="AG338" s="19"/>
      <c r="AN338" s="227"/>
      <c r="AO338" s="227"/>
      <c r="AP338" s="227"/>
      <c r="AQ338" s="227"/>
      <c r="AR338" s="227"/>
      <c r="AS338" s="227"/>
      <c r="AT338" s="227"/>
      <c r="AU338" s="227"/>
    </row>
    <row r="339" spans="27:48" ht="12.95" customHeight="1">
      <c r="AA339" s="227"/>
      <c r="AB339" s="227"/>
      <c r="AC339" s="227"/>
      <c r="AD339" s="227"/>
      <c r="AE339" s="227"/>
      <c r="AG339" s="19"/>
      <c r="AN339" s="227"/>
      <c r="AO339" s="227"/>
      <c r="AP339" s="227"/>
      <c r="AQ339" s="227"/>
      <c r="AR339" s="227"/>
      <c r="AS339" s="227"/>
      <c r="AT339" s="227"/>
      <c r="AU339" s="227"/>
    </row>
    <row r="340" spans="27:48" ht="12.95" customHeight="1">
      <c r="AA340" s="227"/>
      <c r="AB340" s="227"/>
      <c r="AC340" s="227"/>
      <c r="AD340" s="227"/>
      <c r="AE340" s="227"/>
      <c r="AG340" s="19"/>
      <c r="AN340" s="227"/>
      <c r="AO340" s="227"/>
      <c r="AP340" s="227"/>
      <c r="AQ340" s="227"/>
      <c r="AR340" s="227"/>
      <c r="AS340" s="227"/>
      <c r="AT340" s="227"/>
      <c r="AU340" s="227"/>
    </row>
    <row r="341" spans="27:48" ht="12.95" customHeight="1">
      <c r="AA341" s="227"/>
      <c r="AB341" s="227"/>
      <c r="AC341" s="227"/>
      <c r="AD341" s="227"/>
      <c r="AE341" s="227"/>
      <c r="AG341" s="19"/>
      <c r="AN341" s="227"/>
      <c r="AO341" s="227"/>
      <c r="AP341" s="227"/>
      <c r="AQ341" s="227"/>
      <c r="AR341" s="227"/>
      <c r="AS341" s="227"/>
      <c r="AT341" s="227"/>
      <c r="AU341" s="227"/>
    </row>
    <row r="342" spans="27:48" ht="12.95" customHeight="1">
      <c r="AA342" s="227"/>
      <c r="AB342" s="227"/>
      <c r="AC342" s="227"/>
      <c r="AD342" s="227"/>
      <c r="AE342" s="227"/>
      <c r="AG342" s="19"/>
      <c r="AN342" s="227"/>
      <c r="AO342" s="227"/>
      <c r="AP342" s="227"/>
      <c r="AQ342" s="227"/>
      <c r="AR342" s="227"/>
      <c r="AS342" s="227"/>
      <c r="AT342" s="227"/>
      <c r="AU342" s="227"/>
    </row>
    <row r="343" spans="27:48" ht="12.95" customHeight="1">
      <c r="AA343" s="227"/>
      <c r="AB343" s="227"/>
      <c r="AC343" s="227"/>
      <c r="AD343" s="227"/>
      <c r="AE343" s="227"/>
      <c r="AG343" s="19"/>
      <c r="AN343" s="227"/>
      <c r="AO343" s="227"/>
      <c r="AP343" s="227"/>
      <c r="AQ343" s="227"/>
      <c r="AR343" s="227"/>
      <c r="AS343" s="227"/>
      <c r="AT343" s="227"/>
      <c r="AU343" s="227"/>
    </row>
    <row r="344" spans="27:48" ht="12.95" customHeight="1">
      <c r="AA344" s="227"/>
      <c r="AB344" s="227"/>
      <c r="AC344" s="227"/>
      <c r="AD344" s="227"/>
      <c r="AE344" s="227"/>
      <c r="AG344" s="19"/>
      <c r="AN344" s="227"/>
      <c r="AO344" s="227"/>
      <c r="AP344" s="227"/>
      <c r="AQ344" s="227"/>
      <c r="AR344" s="227"/>
      <c r="AS344" s="227"/>
      <c r="AT344" s="227"/>
      <c r="AU344" s="227"/>
    </row>
    <row r="345" spans="27:48" ht="12.95" customHeight="1">
      <c r="AA345" s="227"/>
      <c r="AB345" s="227"/>
      <c r="AC345" s="227"/>
      <c r="AD345" s="227"/>
      <c r="AE345" s="227"/>
      <c r="AG345" s="19"/>
      <c r="AN345" s="227"/>
      <c r="AO345" s="227"/>
      <c r="AP345" s="227"/>
      <c r="AQ345" s="227"/>
      <c r="AR345" s="227"/>
      <c r="AS345" s="227"/>
      <c r="AT345" s="227"/>
      <c r="AU345" s="227"/>
    </row>
    <row r="346" spans="27:48" ht="12.95" customHeight="1">
      <c r="AA346" s="227"/>
      <c r="AB346" s="227"/>
      <c r="AC346" s="227"/>
      <c r="AD346" s="227"/>
      <c r="AE346" s="227"/>
      <c r="AG346" s="19"/>
      <c r="AN346" s="227"/>
      <c r="AO346" s="227"/>
      <c r="AP346" s="227"/>
      <c r="AQ346" s="227"/>
      <c r="AR346" s="227"/>
      <c r="AS346" s="227"/>
      <c r="AT346" s="227"/>
      <c r="AU346" s="227"/>
    </row>
    <row r="347" spans="27:48" ht="12.95" customHeight="1">
      <c r="AA347" s="227"/>
      <c r="AB347" s="227"/>
      <c r="AC347" s="227"/>
      <c r="AD347" s="227"/>
      <c r="AE347" s="227"/>
      <c r="AG347" s="19"/>
      <c r="AN347" s="227"/>
      <c r="AO347" s="227"/>
      <c r="AP347" s="227"/>
      <c r="AQ347" s="227"/>
      <c r="AR347" s="227"/>
      <c r="AS347" s="227"/>
      <c r="AT347" s="227"/>
      <c r="AU347" s="227"/>
    </row>
    <row r="348" spans="27:48" ht="12.95" customHeight="1">
      <c r="AA348" s="227"/>
      <c r="AB348" s="227"/>
      <c r="AC348" s="227"/>
      <c r="AD348" s="227"/>
      <c r="AE348" s="227"/>
      <c r="AG348" s="19"/>
      <c r="AN348" s="227"/>
      <c r="AO348" s="227"/>
      <c r="AP348" s="227"/>
      <c r="AQ348" s="227"/>
      <c r="AR348" s="227"/>
      <c r="AS348" s="227"/>
      <c r="AT348" s="227"/>
      <c r="AU348" s="227"/>
      <c r="AV348" s="227"/>
    </row>
    <row r="349" spans="27:48" ht="12.95" customHeight="1">
      <c r="AA349" s="227"/>
      <c r="AB349" s="227"/>
      <c r="AC349" s="227"/>
      <c r="AD349" s="227"/>
      <c r="AE349" s="227"/>
      <c r="AG349" s="19"/>
      <c r="AN349" s="227"/>
      <c r="AO349" s="227"/>
      <c r="AP349" s="227"/>
      <c r="AQ349" s="227"/>
      <c r="AR349" s="227"/>
      <c r="AS349" s="227"/>
      <c r="AT349" s="227"/>
      <c r="AU349" s="227"/>
    </row>
    <row r="350" spans="27:48" ht="12.95" customHeight="1">
      <c r="AA350" s="227"/>
      <c r="AB350" s="227"/>
      <c r="AC350" s="227"/>
      <c r="AD350" s="227"/>
      <c r="AE350" s="227"/>
      <c r="AG350" s="19"/>
      <c r="AN350" s="227"/>
      <c r="AO350" s="227"/>
      <c r="AP350" s="227"/>
      <c r="AQ350" s="227"/>
      <c r="AR350" s="227"/>
      <c r="AS350" s="227"/>
      <c r="AT350" s="227"/>
      <c r="AU350" s="227"/>
    </row>
    <row r="351" spans="27:48" ht="12.95" customHeight="1">
      <c r="AA351" s="227"/>
      <c r="AB351" s="227"/>
      <c r="AC351" s="227"/>
      <c r="AD351" s="227"/>
      <c r="AE351" s="227"/>
      <c r="AG351" s="19"/>
      <c r="AN351" s="227"/>
      <c r="AO351" s="227"/>
      <c r="AP351" s="227"/>
      <c r="AQ351" s="227"/>
      <c r="AR351" s="227"/>
      <c r="AS351" s="227"/>
      <c r="AT351" s="227"/>
      <c r="AU351" s="227"/>
    </row>
    <row r="352" spans="27:48" ht="12.95" customHeight="1">
      <c r="AA352" s="227"/>
      <c r="AB352" s="227"/>
      <c r="AC352" s="227"/>
      <c r="AD352" s="227"/>
      <c r="AE352" s="227"/>
      <c r="AG352" s="19"/>
      <c r="AN352" s="227"/>
      <c r="AO352" s="227"/>
      <c r="AP352" s="227"/>
      <c r="AQ352" s="227"/>
      <c r="AR352" s="227"/>
      <c r="AS352" s="227"/>
      <c r="AT352" s="227"/>
      <c r="AU352" s="227"/>
    </row>
    <row r="353" spans="27:64" ht="12.95" customHeight="1">
      <c r="AA353" s="227"/>
      <c r="AB353" s="227"/>
      <c r="AC353" s="227"/>
      <c r="AD353" s="227"/>
      <c r="AE353" s="227"/>
      <c r="AG353" s="19"/>
      <c r="AN353" s="227"/>
      <c r="AO353" s="227"/>
      <c r="AP353" s="227"/>
      <c r="AQ353" s="227"/>
      <c r="AR353" s="227"/>
      <c r="AS353" s="227"/>
      <c r="AT353" s="227"/>
      <c r="AU353" s="227"/>
    </row>
    <row r="354" spans="27:64" ht="12.95" customHeight="1">
      <c r="AA354" s="227"/>
      <c r="AB354" s="227"/>
      <c r="AC354" s="227"/>
      <c r="AD354" s="227"/>
      <c r="AE354" s="227"/>
      <c r="AG354" s="19"/>
      <c r="AN354" s="227"/>
      <c r="AO354" s="227"/>
      <c r="AP354" s="227"/>
      <c r="AQ354" s="227"/>
      <c r="AR354" s="227"/>
      <c r="AS354" s="227"/>
      <c r="AT354" s="227"/>
      <c r="AU354" s="227"/>
    </row>
    <row r="355" spans="27:64" ht="12.95" customHeight="1">
      <c r="AA355" s="227"/>
      <c r="AB355" s="227"/>
      <c r="AC355" s="227"/>
      <c r="AD355" s="227"/>
      <c r="AE355" s="227"/>
      <c r="AG355" s="19"/>
      <c r="AN355" s="227"/>
      <c r="AO355" s="227"/>
      <c r="AP355" s="227"/>
      <c r="AQ355" s="227"/>
      <c r="AR355" s="227"/>
      <c r="AS355" s="227"/>
      <c r="AT355" s="227"/>
      <c r="AU355" s="227"/>
    </row>
    <row r="356" spans="27:64" ht="12.95" customHeight="1">
      <c r="AA356" s="227"/>
      <c r="AB356" s="227"/>
      <c r="AC356" s="227"/>
      <c r="AD356" s="227"/>
      <c r="AE356" s="227"/>
      <c r="AG356" s="19"/>
      <c r="AN356" s="227"/>
      <c r="AO356" s="227"/>
      <c r="AP356" s="227"/>
      <c r="AQ356" s="227"/>
      <c r="AR356" s="227"/>
      <c r="AS356" s="227"/>
      <c r="AT356" s="227"/>
      <c r="AU356" s="227"/>
    </row>
    <row r="357" spans="27:64" ht="12.95" customHeight="1">
      <c r="AA357" s="227"/>
      <c r="AB357" s="227"/>
      <c r="AC357" s="227"/>
      <c r="AD357" s="227"/>
      <c r="AE357" s="227"/>
      <c r="AG357" s="19"/>
      <c r="AN357" s="227"/>
      <c r="AO357" s="227"/>
      <c r="AP357" s="227"/>
      <c r="AQ357" s="227"/>
      <c r="AR357" s="227"/>
      <c r="AS357" s="227"/>
      <c r="AT357" s="227"/>
      <c r="AU357" s="227"/>
    </row>
    <row r="358" spans="27:64" ht="12.95" customHeight="1">
      <c r="AA358" s="227"/>
      <c r="AB358" s="227"/>
      <c r="AC358" s="227"/>
      <c r="AD358" s="227"/>
      <c r="AE358" s="227"/>
      <c r="AG358" s="19"/>
      <c r="AN358" s="227"/>
      <c r="AO358" s="227"/>
      <c r="AP358" s="227"/>
      <c r="AQ358" s="227"/>
      <c r="AR358" s="227"/>
      <c r="AS358" s="227"/>
      <c r="AT358" s="227"/>
      <c r="AU358" s="227"/>
    </row>
    <row r="359" spans="27:64" ht="12.95" customHeight="1">
      <c r="AA359" s="227"/>
      <c r="AB359" s="227"/>
      <c r="AC359" s="227"/>
      <c r="AD359" s="227"/>
      <c r="AE359" s="227"/>
      <c r="AG359" s="19"/>
      <c r="AN359" s="227"/>
      <c r="AO359" s="227"/>
      <c r="AP359" s="227"/>
      <c r="AQ359" s="227"/>
      <c r="AR359" s="227"/>
      <c r="AS359" s="227"/>
      <c r="AT359" s="227"/>
      <c r="AU359" s="227"/>
    </row>
    <row r="360" spans="27:64" ht="12.95" customHeight="1">
      <c r="AA360" s="227"/>
      <c r="AB360" s="227"/>
      <c r="AC360" s="227"/>
      <c r="AD360" s="227"/>
      <c r="AE360" s="227"/>
      <c r="AG360" s="19"/>
      <c r="AN360" s="227"/>
      <c r="AO360" s="227"/>
      <c r="AP360" s="227"/>
      <c r="AQ360" s="227"/>
      <c r="AR360" s="227"/>
      <c r="AS360" s="227"/>
      <c r="AT360" s="227"/>
      <c r="AU360" s="227"/>
    </row>
    <row r="361" spans="27:64" ht="12.95" customHeight="1">
      <c r="AA361" s="227"/>
      <c r="AB361" s="227"/>
      <c r="AC361" s="227"/>
      <c r="AD361" s="227"/>
      <c r="AE361" s="227"/>
      <c r="AG361" s="19"/>
      <c r="AN361" s="227"/>
      <c r="AO361" s="227"/>
      <c r="AP361" s="227"/>
      <c r="AQ361" s="227"/>
      <c r="AR361" s="227"/>
      <c r="AS361" s="227"/>
      <c r="AT361" s="227"/>
      <c r="AU361" s="227"/>
    </row>
    <row r="362" spans="27:64" ht="12.95" customHeight="1">
      <c r="AA362" s="227"/>
      <c r="AB362" s="227"/>
      <c r="AC362" s="227"/>
      <c r="AD362" s="227"/>
      <c r="AE362" s="227"/>
      <c r="AG362" s="19"/>
      <c r="AN362" s="227"/>
      <c r="AO362" s="227"/>
      <c r="AP362" s="227"/>
      <c r="AQ362" s="227"/>
      <c r="AR362" s="227"/>
      <c r="AS362" s="227"/>
      <c r="AT362" s="227"/>
      <c r="AU362" s="227"/>
      <c r="AV362" s="227"/>
      <c r="AW362" s="227"/>
      <c r="AX362" s="227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</row>
    <row r="363" spans="27:64" ht="12.95" customHeight="1">
      <c r="AA363" s="227"/>
      <c r="AB363" s="227"/>
      <c r="AC363" s="227"/>
      <c r="AD363" s="227"/>
      <c r="AE363" s="227"/>
      <c r="AG363" s="19"/>
      <c r="AN363" s="227"/>
      <c r="AO363" s="227"/>
      <c r="AP363" s="227"/>
      <c r="AQ363" s="227"/>
      <c r="AR363" s="227"/>
      <c r="AS363" s="227"/>
      <c r="AT363" s="227"/>
      <c r="AU363" s="227"/>
    </row>
    <row r="364" spans="27:64" ht="12.95" customHeight="1">
      <c r="AA364" s="227"/>
      <c r="AB364" s="227"/>
      <c r="AC364" s="227"/>
      <c r="AD364" s="227"/>
      <c r="AE364" s="227"/>
      <c r="AG364" s="19"/>
      <c r="AN364" s="227"/>
      <c r="AO364" s="227"/>
      <c r="AP364" s="227"/>
      <c r="AQ364" s="227"/>
      <c r="AR364" s="227"/>
      <c r="AS364" s="227"/>
      <c r="AT364" s="227"/>
      <c r="AU364" s="227"/>
    </row>
    <row r="365" spans="27:64" ht="12.95" customHeight="1">
      <c r="AA365" s="227"/>
      <c r="AB365" s="227"/>
      <c r="AC365" s="227"/>
      <c r="AD365" s="227"/>
      <c r="AE365" s="227"/>
      <c r="AG365" s="19"/>
      <c r="AN365" s="227"/>
      <c r="AO365" s="227"/>
      <c r="AP365" s="227"/>
      <c r="AQ365" s="227"/>
      <c r="AR365" s="227"/>
      <c r="AS365" s="227"/>
      <c r="AT365" s="227"/>
      <c r="AU365" s="227"/>
    </row>
    <row r="366" spans="27:64" ht="12.95" customHeight="1">
      <c r="AA366" s="227"/>
      <c r="AB366" s="227"/>
      <c r="AC366" s="227"/>
      <c r="AD366" s="227"/>
      <c r="AE366" s="227"/>
      <c r="AG366" s="19"/>
      <c r="AN366" s="227"/>
      <c r="AO366" s="227"/>
      <c r="AP366" s="227"/>
      <c r="AQ366" s="227"/>
      <c r="AR366" s="227"/>
      <c r="AS366" s="227"/>
      <c r="AT366" s="227"/>
      <c r="AU366" s="227"/>
    </row>
    <row r="367" spans="27:64" ht="12.95" customHeight="1">
      <c r="AA367" s="227"/>
      <c r="AB367" s="227"/>
      <c r="AC367" s="227"/>
      <c r="AD367" s="227"/>
      <c r="AE367" s="227"/>
      <c r="AG367" s="19"/>
      <c r="AN367" s="227"/>
      <c r="AO367" s="227"/>
      <c r="AP367" s="227"/>
      <c r="AQ367" s="227"/>
      <c r="AR367" s="227"/>
      <c r="AS367" s="227"/>
      <c r="AT367" s="227"/>
      <c r="AU367" s="227"/>
    </row>
    <row r="368" spans="27:64" ht="12.95" customHeight="1">
      <c r="AA368" s="227"/>
      <c r="AB368" s="227"/>
      <c r="AC368" s="227"/>
      <c r="AD368" s="227"/>
      <c r="AE368" s="227"/>
      <c r="AG368" s="19"/>
      <c r="AN368" s="227"/>
      <c r="AO368" s="227"/>
      <c r="AP368" s="227"/>
      <c r="AQ368" s="227"/>
      <c r="AR368" s="227"/>
      <c r="AS368" s="227"/>
      <c r="AT368" s="227"/>
      <c r="AU368" s="227"/>
    </row>
    <row r="369" spans="27:64" ht="12.95" customHeight="1">
      <c r="AA369" s="227"/>
      <c r="AB369" s="227"/>
      <c r="AC369" s="227"/>
      <c r="AD369" s="227"/>
      <c r="AE369" s="227"/>
      <c r="AG369" s="19"/>
      <c r="AN369" s="227"/>
      <c r="AO369" s="227"/>
      <c r="AP369" s="227"/>
      <c r="AQ369" s="227"/>
      <c r="AR369" s="227"/>
      <c r="AS369" s="227"/>
      <c r="AT369" s="227"/>
      <c r="AU369" s="227"/>
    </row>
    <row r="370" spans="27:64" ht="12.95" customHeight="1">
      <c r="AA370" s="227"/>
      <c r="AB370" s="227"/>
      <c r="AC370" s="227"/>
      <c r="AD370" s="227"/>
      <c r="AE370" s="227"/>
      <c r="AG370" s="19"/>
      <c r="AN370" s="227"/>
      <c r="AO370" s="227"/>
      <c r="AP370" s="227"/>
      <c r="AQ370" s="227"/>
      <c r="AR370" s="227"/>
      <c r="AS370" s="227"/>
      <c r="AT370" s="227"/>
      <c r="AU370" s="227"/>
    </row>
    <row r="371" spans="27:64" ht="12.95" customHeight="1">
      <c r="AA371" s="227"/>
      <c r="AB371" s="227"/>
      <c r="AC371" s="227"/>
      <c r="AD371" s="227"/>
      <c r="AE371" s="227"/>
      <c r="AG371" s="19"/>
      <c r="AN371" s="227"/>
      <c r="AO371" s="227"/>
      <c r="AP371" s="227"/>
      <c r="AQ371" s="227"/>
      <c r="AR371" s="227"/>
      <c r="AS371" s="227"/>
      <c r="AT371" s="227"/>
      <c r="AU371" s="227"/>
    </row>
    <row r="372" spans="27:64" ht="12.95" customHeight="1">
      <c r="AA372" s="227"/>
      <c r="AB372" s="227"/>
      <c r="AC372" s="227"/>
      <c r="AD372" s="227"/>
      <c r="AE372" s="227"/>
      <c r="AG372" s="19"/>
      <c r="AN372" s="227"/>
      <c r="AO372" s="227"/>
      <c r="AP372" s="227"/>
      <c r="AQ372" s="227"/>
      <c r="AR372" s="227"/>
      <c r="AS372" s="227"/>
      <c r="AT372" s="227"/>
      <c r="AU372" s="227"/>
    </row>
    <row r="373" spans="27:64" ht="12.95" customHeight="1">
      <c r="AA373" s="227"/>
      <c r="AB373" s="227"/>
      <c r="AC373" s="227"/>
      <c r="AD373" s="227"/>
      <c r="AE373" s="227"/>
      <c r="AG373" s="19"/>
      <c r="AN373" s="227"/>
      <c r="AO373" s="227"/>
      <c r="AP373" s="227"/>
      <c r="AQ373" s="227"/>
      <c r="AR373" s="227"/>
      <c r="AS373" s="227"/>
      <c r="AT373" s="227"/>
      <c r="AU373" s="227"/>
    </row>
    <row r="374" spans="27:64" ht="12.95" customHeight="1">
      <c r="AA374" s="227"/>
      <c r="AB374" s="227"/>
      <c r="AC374" s="227"/>
      <c r="AD374" s="227"/>
      <c r="AE374" s="227"/>
      <c r="AG374" s="19"/>
      <c r="AN374" s="227"/>
      <c r="AO374" s="227"/>
      <c r="AP374" s="227"/>
      <c r="AQ374" s="227"/>
      <c r="AR374" s="227"/>
      <c r="AS374" s="227"/>
      <c r="AT374" s="227"/>
      <c r="AU374" s="227"/>
    </row>
    <row r="375" spans="27:64" ht="12.95" customHeight="1">
      <c r="AA375" s="227"/>
      <c r="AB375" s="227"/>
      <c r="AC375" s="227"/>
      <c r="AD375" s="227"/>
      <c r="AE375" s="227"/>
      <c r="AG375" s="19"/>
      <c r="AN375" s="227"/>
      <c r="AO375" s="227"/>
      <c r="AP375" s="227"/>
      <c r="AQ375" s="227"/>
      <c r="AR375" s="227"/>
      <c r="AS375" s="227"/>
      <c r="AT375" s="227"/>
      <c r="AU375" s="227"/>
    </row>
    <row r="376" spans="27:64" ht="12.95" customHeight="1">
      <c r="AA376" s="227"/>
      <c r="AB376" s="227"/>
      <c r="AC376" s="227"/>
      <c r="AD376" s="227"/>
      <c r="AE376" s="227"/>
      <c r="AG376" s="19"/>
      <c r="AN376" s="227"/>
      <c r="AO376" s="227"/>
      <c r="AP376" s="227"/>
      <c r="AQ376" s="227"/>
      <c r="AR376" s="227"/>
      <c r="AS376" s="227"/>
      <c r="AT376" s="227"/>
      <c r="AU376" s="227"/>
    </row>
    <row r="377" spans="27:64" ht="12.95" customHeight="1">
      <c r="AA377" s="227"/>
      <c r="AB377" s="227"/>
      <c r="AC377" s="227"/>
      <c r="AD377" s="227"/>
      <c r="AE377" s="227"/>
      <c r="AG377" s="19"/>
      <c r="AN377" s="227"/>
      <c r="AO377" s="227"/>
      <c r="AP377" s="227"/>
      <c r="AQ377" s="227"/>
      <c r="AR377" s="227"/>
      <c r="AS377" s="227"/>
      <c r="AT377" s="227"/>
      <c r="AU377" s="227"/>
    </row>
    <row r="378" spans="27:64" ht="12.95" customHeight="1">
      <c r="AA378" s="227"/>
      <c r="AB378" s="227"/>
      <c r="AC378" s="227"/>
      <c r="AD378" s="227"/>
      <c r="AE378" s="227"/>
      <c r="AG378" s="19"/>
      <c r="AN378" s="227"/>
      <c r="AO378" s="227"/>
      <c r="AP378" s="227"/>
      <c r="AQ378" s="227"/>
      <c r="AR378" s="227"/>
      <c r="AS378" s="227"/>
      <c r="AT378" s="227"/>
      <c r="AU378" s="227"/>
    </row>
    <row r="379" spans="27:64" ht="12.95" customHeight="1">
      <c r="AA379" s="227"/>
      <c r="AB379" s="227"/>
      <c r="AC379" s="227"/>
      <c r="AD379" s="227"/>
      <c r="AE379" s="227"/>
      <c r="AG379" s="19"/>
      <c r="AN379" s="227"/>
      <c r="AO379" s="227"/>
      <c r="AP379" s="227"/>
      <c r="AQ379" s="227"/>
      <c r="AR379" s="227"/>
      <c r="AS379" s="227"/>
      <c r="AT379" s="227"/>
      <c r="AU379" s="227"/>
    </row>
    <row r="380" spans="27:64" ht="12.95" customHeight="1">
      <c r="AA380" s="227"/>
      <c r="AB380" s="227"/>
      <c r="AC380" s="227"/>
      <c r="AD380" s="227"/>
      <c r="AE380" s="227"/>
      <c r="AG380" s="19"/>
      <c r="AN380" s="227"/>
      <c r="AO380" s="227"/>
      <c r="AP380" s="227"/>
      <c r="AQ380" s="227"/>
      <c r="AR380" s="227"/>
      <c r="AS380" s="227"/>
      <c r="AT380" s="227"/>
      <c r="AU380" s="227"/>
    </row>
    <row r="381" spans="27:64" ht="12.95" customHeight="1">
      <c r="AA381" s="227"/>
      <c r="AB381" s="227"/>
      <c r="AC381" s="227"/>
      <c r="AD381" s="227"/>
      <c r="AE381" s="227"/>
      <c r="AG381" s="19"/>
      <c r="AN381" s="227"/>
      <c r="AO381" s="227"/>
      <c r="AP381" s="227"/>
      <c r="AQ381" s="227"/>
      <c r="AR381" s="227"/>
      <c r="AS381" s="227"/>
      <c r="AT381" s="227"/>
      <c r="AU381" s="227"/>
    </row>
    <row r="382" spans="27:64" ht="12.95" customHeight="1">
      <c r="AA382" s="227"/>
      <c r="AB382" s="227"/>
      <c r="AC382" s="227"/>
      <c r="AD382" s="227"/>
      <c r="AE382" s="227"/>
      <c r="AG382" s="19"/>
      <c r="AN382" s="227"/>
      <c r="AO382" s="227"/>
      <c r="AP382" s="227"/>
      <c r="AQ382" s="227"/>
      <c r="AR382" s="227"/>
      <c r="AS382" s="227"/>
      <c r="AT382" s="227"/>
      <c r="AU382" s="227"/>
    </row>
    <row r="383" spans="27:64" ht="12.95" customHeight="1">
      <c r="AA383" s="227"/>
      <c r="AB383" s="227"/>
      <c r="AC383" s="227"/>
      <c r="AD383" s="227"/>
      <c r="AE383" s="227"/>
      <c r="AG383" s="19"/>
      <c r="AN383" s="227"/>
      <c r="AO383" s="227"/>
      <c r="AP383" s="227"/>
      <c r="AQ383" s="227"/>
      <c r="AR383" s="227"/>
      <c r="AS383" s="227"/>
      <c r="AT383" s="227"/>
      <c r="AU383" s="227"/>
      <c r="AV383" s="227"/>
      <c r="AW383" s="227"/>
      <c r="AX383" s="227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</row>
    <row r="384" spans="27:64" ht="12.95" customHeight="1">
      <c r="AA384" s="227"/>
      <c r="AB384" s="227"/>
      <c r="AC384" s="227"/>
      <c r="AD384" s="227"/>
      <c r="AE384" s="227"/>
      <c r="AG384" s="19"/>
      <c r="AN384" s="227"/>
      <c r="AO384" s="227"/>
      <c r="AP384" s="227"/>
      <c r="AQ384" s="227"/>
      <c r="AR384" s="227"/>
      <c r="AS384" s="227"/>
      <c r="AT384" s="227"/>
      <c r="AU384" s="227"/>
    </row>
    <row r="385" spans="27:48" ht="12.95" customHeight="1">
      <c r="AA385" s="227"/>
      <c r="AB385" s="227"/>
      <c r="AC385" s="227"/>
      <c r="AD385" s="227"/>
      <c r="AE385" s="227"/>
      <c r="AG385" s="19"/>
      <c r="AN385" s="227"/>
      <c r="AO385" s="227"/>
      <c r="AP385" s="227"/>
      <c r="AQ385" s="227"/>
      <c r="AR385" s="227"/>
      <c r="AS385" s="227"/>
      <c r="AT385" s="227"/>
      <c r="AU385" s="227"/>
      <c r="AV385" s="227"/>
    </row>
    <row r="386" spans="27:48" ht="12.95" customHeight="1">
      <c r="AA386" s="227"/>
      <c r="AB386" s="227"/>
      <c r="AC386" s="227"/>
      <c r="AD386" s="227"/>
      <c r="AE386" s="227"/>
      <c r="AG386" s="19"/>
      <c r="AN386" s="227"/>
      <c r="AO386" s="227"/>
      <c r="AP386" s="227"/>
      <c r="AQ386" s="227"/>
      <c r="AR386" s="227"/>
      <c r="AS386" s="227"/>
      <c r="AT386" s="227"/>
      <c r="AU386" s="227"/>
    </row>
    <row r="387" spans="27:48" ht="12.95" customHeight="1">
      <c r="AA387" s="227"/>
      <c r="AB387" s="227"/>
      <c r="AC387" s="227"/>
      <c r="AD387" s="227"/>
      <c r="AE387" s="227"/>
      <c r="AG387" s="19"/>
      <c r="AN387" s="227"/>
      <c r="AO387" s="227"/>
      <c r="AP387" s="227"/>
      <c r="AQ387" s="227"/>
      <c r="AR387" s="227"/>
      <c r="AS387" s="227"/>
      <c r="AT387" s="227"/>
      <c r="AU387" s="227"/>
    </row>
    <row r="388" spans="27:48" ht="12.95" customHeight="1">
      <c r="AA388" s="227"/>
      <c r="AB388" s="227"/>
      <c r="AC388" s="227"/>
      <c r="AD388" s="227"/>
      <c r="AE388" s="227"/>
      <c r="AG388" s="19"/>
      <c r="AN388" s="227"/>
      <c r="AO388" s="227"/>
      <c r="AP388" s="227"/>
      <c r="AQ388" s="227"/>
      <c r="AR388" s="227"/>
      <c r="AS388" s="227"/>
      <c r="AT388" s="227"/>
      <c r="AU388" s="227"/>
    </row>
    <row r="389" spans="27:48" ht="12.95" customHeight="1">
      <c r="AA389" s="227"/>
      <c r="AB389" s="227"/>
      <c r="AC389" s="227"/>
      <c r="AD389" s="227"/>
      <c r="AE389" s="227"/>
      <c r="AG389" s="19"/>
      <c r="AN389" s="227"/>
      <c r="AO389" s="227"/>
      <c r="AP389" s="227"/>
      <c r="AQ389" s="227"/>
      <c r="AR389" s="227"/>
      <c r="AS389" s="227"/>
      <c r="AT389" s="227"/>
      <c r="AU389" s="227"/>
    </row>
    <row r="390" spans="27:48" ht="12.95" customHeight="1">
      <c r="AA390" s="227"/>
      <c r="AB390" s="227"/>
      <c r="AC390" s="227"/>
      <c r="AD390" s="227"/>
      <c r="AE390" s="227"/>
      <c r="AG390" s="19"/>
      <c r="AN390" s="227"/>
      <c r="AO390" s="227"/>
      <c r="AP390" s="227"/>
      <c r="AQ390" s="227"/>
      <c r="AR390" s="227"/>
      <c r="AS390" s="227"/>
      <c r="AT390" s="227"/>
      <c r="AU390" s="227"/>
    </row>
    <row r="391" spans="27:48" ht="12.95" customHeight="1">
      <c r="AA391" s="227"/>
      <c r="AB391" s="227"/>
      <c r="AC391" s="227"/>
      <c r="AD391" s="227"/>
      <c r="AE391" s="227"/>
      <c r="AG391" s="19"/>
      <c r="AN391" s="227"/>
      <c r="AO391" s="227"/>
      <c r="AP391" s="227"/>
      <c r="AQ391" s="227"/>
      <c r="AR391" s="227"/>
      <c r="AS391" s="227"/>
      <c r="AT391" s="227"/>
      <c r="AU391" s="227"/>
    </row>
    <row r="392" spans="27:48" ht="12.95" customHeight="1">
      <c r="AA392" s="227"/>
      <c r="AB392" s="227"/>
      <c r="AC392" s="227"/>
      <c r="AD392" s="227"/>
      <c r="AE392" s="227"/>
      <c r="AG392" s="19"/>
      <c r="AN392" s="227"/>
      <c r="AO392" s="227"/>
      <c r="AP392" s="227"/>
      <c r="AQ392" s="227"/>
      <c r="AR392" s="227"/>
      <c r="AS392" s="227"/>
      <c r="AT392" s="227"/>
      <c r="AU392" s="227"/>
    </row>
    <row r="393" spans="27:48" ht="12.95" customHeight="1">
      <c r="AA393" s="227"/>
      <c r="AB393" s="227"/>
      <c r="AC393" s="227"/>
      <c r="AD393" s="227"/>
      <c r="AE393" s="227"/>
      <c r="AG393" s="19"/>
      <c r="AN393" s="227"/>
      <c r="AO393" s="227"/>
      <c r="AP393" s="227"/>
      <c r="AQ393" s="227"/>
      <c r="AR393" s="227"/>
      <c r="AS393" s="227"/>
      <c r="AT393" s="227"/>
      <c r="AU393" s="227"/>
    </row>
    <row r="394" spans="27:48" ht="12.95" customHeight="1">
      <c r="AA394" s="227"/>
      <c r="AB394" s="227"/>
      <c r="AC394" s="227"/>
      <c r="AD394" s="227"/>
      <c r="AE394" s="227"/>
      <c r="AG394" s="19"/>
      <c r="AN394" s="227"/>
      <c r="AO394" s="227"/>
      <c r="AP394" s="227"/>
      <c r="AQ394" s="227"/>
      <c r="AR394" s="227"/>
      <c r="AS394" s="227"/>
      <c r="AT394" s="227"/>
      <c r="AU394" s="227"/>
    </row>
    <row r="395" spans="27:48" ht="12.95" customHeight="1">
      <c r="AA395" s="227"/>
      <c r="AB395" s="227"/>
      <c r="AC395" s="227"/>
      <c r="AD395" s="227"/>
      <c r="AE395" s="227"/>
      <c r="AG395" s="19"/>
      <c r="AN395" s="227"/>
      <c r="AO395" s="227"/>
      <c r="AP395" s="227"/>
      <c r="AQ395" s="227"/>
      <c r="AR395" s="227"/>
      <c r="AS395" s="227"/>
      <c r="AT395" s="227"/>
      <c r="AU395" s="227"/>
    </row>
    <row r="396" spans="27:48" ht="12.95" customHeight="1">
      <c r="AA396" s="227"/>
      <c r="AB396" s="227"/>
      <c r="AC396" s="227"/>
      <c r="AD396" s="227"/>
      <c r="AE396" s="227"/>
      <c r="AG396" s="19"/>
      <c r="AN396" s="227"/>
      <c r="AO396" s="227"/>
      <c r="AP396" s="227"/>
      <c r="AQ396" s="227"/>
      <c r="AR396" s="227"/>
      <c r="AS396" s="227"/>
      <c r="AT396" s="227"/>
      <c r="AU396" s="227"/>
    </row>
    <row r="397" spans="27:48" ht="12.95" customHeight="1">
      <c r="AA397" s="227"/>
      <c r="AB397" s="227"/>
      <c r="AC397" s="227"/>
      <c r="AD397" s="227"/>
      <c r="AE397" s="227"/>
      <c r="AG397" s="19"/>
      <c r="AN397" s="227"/>
      <c r="AO397" s="227"/>
      <c r="AP397" s="227"/>
      <c r="AQ397" s="227"/>
      <c r="AR397" s="227"/>
      <c r="AS397" s="227"/>
      <c r="AT397" s="227"/>
      <c r="AU397" s="227"/>
    </row>
    <row r="398" spans="27:48" ht="12.95" customHeight="1">
      <c r="AA398" s="227"/>
      <c r="AB398" s="227"/>
      <c r="AC398" s="227"/>
      <c r="AD398" s="227"/>
      <c r="AE398" s="227"/>
      <c r="AG398" s="19"/>
      <c r="AN398" s="227"/>
      <c r="AO398" s="227"/>
      <c r="AP398" s="227"/>
      <c r="AQ398" s="227"/>
      <c r="AR398" s="227"/>
      <c r="AS398" s="227"/>
      <c r="AT398" s="227"/>
      <c r="AU398" s="227"/>
    </row>
    <row r="399" spans="27:48" ht="12.95" customHeight="1">
      <c r="AA399" s="227"/>
      <c r="AB399" s="227"/>
      <c r="AC399" s="227"/>
      <c r="AD399" s="227"/>
      <c r="AE399" s="227"/>
      <c r="AG399" s="19"/>
      <c r="AN399" s="227"/>
      <c r="AO399" s="227"/>
      <c r="AP399" s="227"/>
      <c r="AQ399" s="227"/>
      <c r="AR399" s="227"/>
      <c r="AS399" s="227"/>
      <c r="AT399" s="227"/>
      <c r="AU399" s="227"/>
    </row>
    <row r="400" spans="27:48" ht="12.95" customHeight="1">
      <c r="AA400" s="227"/>
      <c r="AB400" s="227"/>
      <c r="AC400" s="227"/>
      <c r="AD400" s="227"/>
      <c r="AE400" s="227"/>
      <c r="AG400" s="19"/>
      <c r="AN400" s="227"/>
      <c r="AO400" s="227"/>
      <c r="AP400" s="227"/>
      <c r="AQ400" s="227"/>
      <c r="AR400" s="227"/>
      <c r="AS400" s="227"/>
      <c r="AT400" s="227"/>
      <c r="AU400" s="227"/>
    </row>
    <row r="401" spans="27:64" ht="12.95" customHeight="1">
      <c r="AA401" s="227"/>
      <c r="AB401" s="227"/>
      <c r="AC401" s="227"/>
      <c r="AD401" s="227"/>
      <c r="AE401" s="227"/>
      <c r="AG401" s="19"/>
      <c r="AN401" s="227"/>
      <c r="AO401" s="227"/>
      <c r="AP401" s="227"/>
      <c r="AQ401" s="227"/>
      <c r="AR401" s="227"/>
      <c r="AS401" s="227"/>
      <c r="AT401" s="227"/>
      <c r="AU401" s="227"/>
    </row>
    <row r="402" spans="27:64" ht="12.95" customHeight="1">
      <c r="AA402" s="227"/>
      <c r="AB402" s="227"/>
      <c r="AC402" s="227"/>
      <c r="AD402" s="227"/>
      <c r="AE402" s="227"/>
      <c r="AG402" s="19"/>
      <c r="AN402" s="227"/>
      <c r="AO402" s="227"/>
      <c r="AP402" s="227"/>
      <c r="AQ402" s="227"/>
      <c r="AR402" s="227"/>
      <c r="AS402" s="227"/>
      <c r="AT402" s="227"/>
      <c r="AU402" s="227"/>
      <c r="AV402" s="227"/>
      <c r="AW402" s="227"/>
      <c r="AX402" s="227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</row>
    <row r="403" spans="27:64" ht="12.95" customHeight="1">
      <c r="AA403" s="227"/>
      <c r="AB403" s="227"/>
      <c r="AC403" s="227"/>
      <c r="AD403" s="227"/>
      <c r="AE403" s="227"/>
      <c r="AG403" s="19"/>
      <c r="AN403" s="227"/>
      <c r="AO403" s="227"/>
      <c r="AP403" s="227"/>
      <c r="AQ403" s="227"/>
      <c r="AR403" s="227"/>
      <c r="AS403" s="227"/>
      <c r="AT403" s="227"/>
      <c r="AU403" s="227"/>
      <c r="AV403" s="227"/>
    </row>
    <row r="404" spans="27:64" ht="12.95" customHeight="1">
      <c r="AA404" s="227"/>
      <c r="AB404" s="227"/>
      <c r="AC404" s="227"/>
      <c r="AD404" s="227"/>
      <c r="AE404" s="227"/>
      <c r="AG404" s="19"/>
      <c r="AN404" s="227"/>
      <c r="AO404" s="227"/>
      <c r="AP404" s="227"/>
      <c r="AQ404" s="227"/>
      <c r="AR404" s="227"/>
      <c r="AS404" s="227"/>
      <c r="AT404" s="227"/>
      <c r="AU404" s="227"/>
      <c r="AV404" s="227"/>
      <c r="AX404" s="227"/>
    </row>
    <row r="405" spans="27:64" ht="12.95" customHeight="1">
      <c r="AA405" s="227"/>
      <c r="AB405" s="227"/>
      <c r="AC405" s="227"/>
      <c r="AD405" s="227"/>
      <c r="AE405" s="227"/>
      <c r="AG405" s="19"/>
      <c r="AN405" s="227"/>
      <c r="AO405" s="227"/>
      <c r="AP405" s="227"/>
      <c r="AQ405" s="227"/>
      <c r="AR405" s="227"/>
      <c r="AS405" s="227"/>
      <c r="AT405" s="227"/>
      <c r="AU405" s="227"/>
    </row>
    <row r="406" spans="27:64" ht="12.95" customHeight="1">
      <c r="AA406" s="227"/>
      <c r="AB406" s="227"/>
      <c r="AC406" s="227"/>
      <c r="AD406" s="227"/>
      <c r="AE406" s="227"/>
      <c r="AG406" s="19"/>
      <c r="AN406" s="227"/>
      <c r="AO406" s="227"/>
      <c r="AP406" s="227"/>
      <c r="AQ406" s="227"/>
      <c r="AR406" s="227"/>
      <c r="AS406" s="227"/>
      <c r="AT406" s="227"/>
      <c r="AU406" s="227"/>
    </row>
    <row r="407" spans="27:64" ht="12.95" customHeight="1">
      <c r="AA407" s="227"/>
      <c r="AB407" s="227"/>
      <c r="AC407" s="227"/>
      <c r="AD407" s="227"/>
      <c r="AE407" s="227"/>
      <c r="AG407" s="19"/>
      <c r="AN407" s="227"/>
      <c r="AO407" s="227"/>
      <c r="AP407" s="227"/>
      <c r="AQ407" s="227"/>
      <c r="AR407" s="227"/>
      <c r="AS407" s="227"/>
      <c r="AT407" s="227"/>
      <c r="AU407" s="227"/>
    </row>
    <row r="408" spans="27:64" ht="12.95" customHeight="1">
      <c r="AA408" s="227"/>
      <c r="AB408" s="227"/>
      <c r="AC408" s="227"/>
      <c r="AD408" s="227"/>
      <c r="AE408" s="227"/>
      <c r="AG408" s="19"/>
      <c r="AN408" s="227"/>
      <c r="AO408" s="227"/>
      <c r="AP408" s="227"/>
      <c r="AQ408" s="227"/>
      <c r="AR408" s="227"/>
      <c r="AS408" s="227"/>
      <c r="AT408" s="227"/>
      <c r="AU408" s="227"/>
      <c r="AV408" s="227"/>
    </row>
    <row r="409" spans="27:64" ht="12.95" customHeight="1">
      <c r="AA409" s="227"/>
      <c r="AB409" s="227"/>
      <c r="AC409" s="227"/>
      <c r="AD409" s="227"/>
      <c r="AE409" s="227"/>
      <c r="AG409" s="19"/>
      <c r="AN409" s="227"/>
      <c r="AO409" s="227"/>
      <c r="AP409" s="227"/>
      <c r="AQ409" s="227"/>
      <c r="AR409" s="227"/>
      <c r="AS409" s="227"/>
      <c r="AT409" s="227"/>
      <c r="AU409" s="227"/>
    </row>
    <row r="410" spans="27:64" ht="12.95" customHeight="1">
      <c r="AA410" s="227"/>
      <c r="AB410" s="227"/>
      <c r="AC410" s="227"/>
      <c r="AD410" s="227"/>
      <c r="AE410" s="227"/>
      <c r="AG410" s="19"/>
      <c r="AN410" s="227"/>
      <c r="AO410" s="227"/>
      <c r="AP410" s="227"/>
      <c r="AQ410" s="227"/>
      <c r="AR410" s="227"/>
      <c r="AS410" s="227"/>
      <c r="AT410" s="227"/>
      <c r="AU410" s="227"/>
    </row>
    <row r="411" spans="27:64" ht="12.95" customHeight="1">
      <c r="AA411" s="227"/>
      <c r="AB411" s="227"/>
      <c r="AC411" s="227"/>
      <c r="AD411" s="227"/>
      <c r="AE411" s="227"/>
      <c r="AG411" s="19"/>
      <c r="AN411" s="227"/>
      <c r="AO411" s="227"/>
      <c r="AP411" s="227"/>
      <c r="AQ411" s="227"/>
      <c r="AR411" s="227"/>
      <c r="AS411" s="227"/>
      <c r="AT411" s="227"/>
      <c r="AU411" s="227"/>
    </row>
    <row r="412" spans="27:64" ht="12.95" customHeight="1">
      <c r="AA412" s="227"/>
      <c r="AB412" s="227"/>
      <c r="AC412" s="227"/>
      <c r="AD412" s="227"/>
      <c r="AE412" s="227"/>
      <c r="AG412" s="19"/>
      <c r="AN412" s="227"/>
      <c r="AO412" s="227"/>
      <c r="AP412" s="227"/>
      <c r="AQ412" s="227"/>
      <c r="AR412" s="227"/>
      <c r="AS412" s="227"/>
      <c r="AT412" s="227"/>
      <c r="AU412" s="227"/>
    </row>
    <row r="413" spans="27:64" ht="12.95" customHeight="1">
      <c r="AA413" s="227"/>
      <c r="AB413" s="227"/>
      <c r="AC413" s="227"/>
      <c r="AD413" s="227"/>
      <c r="AE413" s="227"/>
      <c r="AG413" s="19"/>
      <c r="AN413" s="227"/>
      <c r="AO413" s="227"/>
      <c r="AP413" s="227"/>
      <c r="AQ413" s="227"/>
      <c r="AR413" s="227"/>
      <c r="AS413" s="227"/>
      <c r="AT413" s="227"/>
      <c r="AU413" s="227"/>
    </row>
    <row r="414" spans="27:64" ht="12.95" customHeight="1">
      <c r="AA414" s="227"/>
      <c r="AB414" s="227"/>
      <c r="AC414" s="227"/>
      <c r="AD414" s="227"/>
      <c r="AE414" s="227"/>
      <c r="AG414" s="19"/>
      <c r="AN414" s="227"/>
      <c r="AO414" s="227"/>
      <c r="AP414" s="227"/>
      <c r="AQ414" s="227"/>
      <c r="AR414" s="227"/>
      <c r="AS414" s="227"/>
      <c r="AT414" s="227"/>
      <c r="AU414" s="227"/>
    </row>
    <row r="415" spans="27:64" ht="12.95" customHeight="1">
      <c r="AA415" s="227"/>
      <c r="AB415" s="227"/>
      <c r="AC415" s="227"/>
      <c r="AD415" s="227"/>
      <c r="AE415" s="227"/>
      <c r="AG415" s="19"/>
      <c r="AN415" s="227"/>
      <c r="AO415" s="227"/>
      <c r="AP415" s="227"/>
      <c r="AQ415" s="227"/>
      <c r="AR415" s="227"/>
      <c r="AS415" s="227"/>
      <c r="AT415" s="227"/>
      <c r="AU415" s="227"/>
    </row>
    <row r="416" spans="27:64" ht="12.95" customHeight="1">
      <c r="AA416" s="227"/>
      <c r="AB416" s="227"/>
      <c r="AC416" s="227"/>
      <c r="AD416" s="227"/>
      <c r="AE416" s="227"/>
      <c r="AG416" s="19"/>
      <c r="AN416" s="227"/>
      <c r="AO416" s="227"/>
      <c r="AP416" s="227"/>
      <c r="AQ416" s="227"/>
      <c r="AR416" s="227"/>
      <c r="AS416" s="227"/>
      <c r="AT416" s="227"/>
      <c r="AU416" s="227"/>
    </row>
    <row r="417" spans="27:47" ht="12.95" customHeight="1">
      <c r="AA417" s="227"/>
      <c r="AB417" s="227"/>
      <c r="AC417" s="227"/>
      <c r="AD417" s="227"/>
      <c r="AE417" s="227"/>
      <c r="AG417" s="19"/>
      <c r="AN417" s="227"/>
      <c r="AO417" s="227"/>
      <c r="AP417" s="227"/>
      <c r="AQ417" s="227"/>
      <c r="AR417" s="227"/>
      <c r="AS417" s="227"/>
      <c r="AT417" s="227"/>
      <c r="AU417" s="227"/>
    </row>
    <row r="418" spans="27:47" ht="12.95" customHeight="1">
      <c r="AA418" s="227"/>
      <c r="AB418" s="227"/>
      <c r="AC418" s="227"/>
      <c r="AD418" s="227"/>
      <c r="AE418" s="227"/>
      <c r="AG418" s="19"/>
      <c r="AN418" s="227"/>
      <c r="AO418" s="227"/>
      <c r="AP418" s="227"/>
      <c r="AQ418" s="227"/>
      <c r="AR418" s="227"/>
      <c r="AS418" s="227"/>
      <c r="AT418" s="227"/>
      <c r="AU418" s="227"/>
    </row>
    <row r="419" spans="27:47" ht="12.95" customHeight="1">
      <c r="AA419" s="227"/>
      <c r="AB419" s="227"/>
      <c r="AC419" s="227"/>
      <c r="AD419" s="227"/>
      <c r="AE419" s="227"/>
      <c r="AG419" s="19"/>
      <c r="AN419" s="227"/>
      <c r="AO419" s="227"/>
      <c r="AP419" s="227"/>
      <c r="AQ419" s="227"/>
      <c r="AR419" s="227"/>
      <c r="AS419" s="227"/>
      <c r="AT419" s="227"/>
      <c r="AU419" s="227"/>
    </row>
    <row r="420" spans="27:47" ht="12.95" customHeight="1">
      <c r="AA420" s="227"/>
      <c r="AB420" s="227"/>
      <c r="AC420" s="227"/>
      <c r="AD420" s="227"/>
      <c r="AE420" s="227"/>
      <c r="AG420" s="19"/>
      <c r="AN420" s="227"/>
      <c r="AO420" s="227"/>
      <c r="AP420" s="227"/>
      <c r="AQ420" s="227"/>
      <c r="AR420" s="227"/>
      <c r="AS420" s="227"/>
      <c r="AT420" s="227"/>
      <c r="AU420" s="227"/>
    </row>
    <row r="421" spans="27:47" ht="12.95" customHeight="1">
      <c r="AA421" s="227"/>
      <c r="AB421" s="227"/>
      <c r="AC421" s="227"/>
      <c r="AD421" s="227"/>
      <c r="AE421" s="227"/>
      <c r="AG421" s="19"/>
      <c r="AN421" s="227"/>
      <c r="AO421" s="227"/>
      <c r="AP421" s="227"/>
      <c r="AQ421" s="227"/>
      <c r="AR421" s="227"/>
      <c r="AS421" s="227"/>
      <c r="AT421" s="227"/>
      <c r="AU421" s="227"/>
    </row>
    <row r="422" spans="27:47" ht="12.95" customHeight="1">
      <c r="AA422" s="227"/>
      <c r="AB422" s="227"/>
      <c r="AC422" s="227"/>
      <c r="AD422" s="227"/>
      <c r="AE422" s="227"/>
      <c r="AG422" s="19"/>
      <c r="AN422" s="227"/>
      <c r="AO422" s="227"/>
      <c r="AP422" s="227"/>
      <c r="AQ422" s="227"/>
      <c r="AR422" s="227"/>
      <c r="AS422" s="227"/>
      <c r="AT422" s="227"/>
      <c r="AU422" s="227"/>
    </row>
    <row r="423" spans="27:47" ht="12.95" customHeight="1">
      <c r="AA423" s="227"/>
      <c r="AB423" s="227"/>
      <c r="AC423" s="227"/>
      <c r="AD423" s="227"/>
      <c r="AE423" s="227"/>
      <c r="AG423" s="19"/>
      <c r="AN423" s="227"/>
      <c r="AO423" s="227"/>
      <c r="AP423" s="227"/>
      <c r="AQ423" s="227"/>
      <c r="AR423" s="227"/>
      <c r="AS423" s="227"/>
      <c r="AT423" s="227"/>
      <c r="AU423" s="227"/>
    </row>
    <row r="424" spans="27:47" ht="12.95" customHeight="1">
      <c r="AA424" s="227"/>
      <c r="AB424" s="227"/>
      <c r="AC424" s="227"/>
      <c r="AD424" s="227"/>
      <c r="AE424" s="227"/>
      <c r="AG424" s="19"/>
      <c r="AN424" s="227"/>
      <c r="AO424" s="227"/>
      <c r="AP424" s="227"/>
      <c r="AQ424" s="227"/>
      <c r="AR424" s="227"/>
      <c r="AS424" s="227"/>
      <c r="AT424" s="227"/>
      <c r="AU424" s="227"/>
    </row>
    <row r="425" spans="27:47" ht="12.95" customHeight="1">
      <c r="AA425" s="227"/>
      <c r="AB425" s="227"/>
      <c r="AC425" s="227"/>
      <c r="AD425" s="227"/>
      <c r="AE425" s="227"/>
      <c r="AG425" s="19"/>
      <c r="AN425" s="227"/>
      <c r="AO425" s="227"/>
      <c r="AP425" s="227"/>
      <c r="AQ425" s="227"/>
      <c r="AR425" s="227"/>
      <c r="AS425" s="227"/>
      <c r="AT425" s="227"/>
      <c r="AU425" s="227"/>
    </row>
    <row r="426" spans="27:47" ht="12.95" customHeight="1">
      <c r="AA426" s="227"/>
      <c r="AB426" s="227"/>
      <c r="AC426" s="227"/>
      <c r="AD426" s="227"/>
      <c r="AE426" s="227"/>
      <c r="AG426" s="19"/>
      <c r="AN426" s="227"/>
      <c r="AO426" s="227"/>
      <c r="AP426" s="227"/>
      <c r="AQ426" s="227"/>
      <c r="AR426" s="227"/>
      <c r="AS426" s="227"/>
      <c r="AT426" s="227"/>
      <c r="AU426" s="227"/>
    </row>
    <row r="427" spans="27:47" ht="12.95" customHeight="1">
      <c r="AA427" s="227"/>
      <c r="AB427" s="227"/>
      <c r="AC427" s="227"/>
      <c r="AD427" s="227"/>
      <c r="AE427" s="227"/>
      <c r="AG427" s="19"/>
      <c r="AN427" s="227"/>
      <c r="AO427" s="227"/>
      <c r="AP427" s="227"/>
      <c r="AQ427" s="227"/>
      <c r="AR427" s="227"/>
      <c r="AS427" s="227"/>
      <c r="AT427" s="227"/>
      <c r="AU427" s="227"/>
    </row>
    <row r="428" spans="27:47" ht="12.95" customHeight="1">
      <c r="AA428" s="227"/>
      <c r="AB428" s="227"/>
      <c r="AC428" s="227"/>
      <c r="AD428" s="227"/>
      <c r="AE428" s="227"/>
      <c r="AG428" s="19"/>
      <c r="AN428" s="227"/>
      <c r="AO428" s="227"/>
      <c r="AP428" s="227"/>
      <c r="AQ428" s="227"/>
      <c r="AR428" s="227"/>
      <c r="AS428" s="227"/>
      <c r="AT428" s="227"/>
      <c r="AU428" s="227"/>
    </row>
    <row r="429" spans="27:47" ht="12.95" customHeight="1">
      <c r="AA429" s="227"/>
      <c r="AB429" s="227"/>
      <c r="AC429" s="227"/>
      <c r="AD429" s="227"/>
      <c r="AE429" s="227"/>
      <c r="AG429" s="19"/>
      <c r="AN429" s="227"/>
      <c r="AO429" s="227"/>
      <c r="AP429" s="227"/>
      <c r="AQ429" s="227"/>
      <c r="AR429" s="227"/>
      <c r="AS429" s="227"/>
      <c r="AT429" s="227"/>
      <c r="AU429" s="227"/>
    </row>
    <row r="430" spans="27:47" ht="12.95" customHeight="1">
      <c r="AA430" s="227"/>
      <c r="AB430" s="227"/>
      <c r="AC430" s="227"/>
      <c r="AD430" s="227"/>
      <c r="AE430" s="227"/>
      <c r="AG430" s="19"/>
      <c r="AN430" s="227"/>
      <c r="AO430" s="227"/>
      <c r="AP430" s="227"/>
      <c r="AQ430" s="227"/>
      <c r="AR430" s="227"/>
      <c r="AS430" s="227"/>
      <c r="AT430" s="227"/>
      <c r="AU430" s="227"/>
    </row>
    <row r="431" spans="27:47" ht="12.95" customHeight="1">
      <c r="AA431" s="227"/>
      <c r="AB431" s="227"/>
      <c r="AC431" s="227"/>
      <c r="AD431" s="227"/>
      <c r="AE431" s="227"/>
      <c r="AG431" s="19"/>
      <c r="AN431" s="227"/>
      <c r="AO431" s="227"/>
      <c r="AP431" s="227"/>
      <c r="AQ431" s="227"/>
      <c r="AR431" s="227"/>
      <c r="AS431" s="227"/>
      <c r="AT431" s="227"/>
      <c r="AU431" s="227"/>
    </row>
    <row r="432" spans="27:47" ht="12.95" customHeight="1">
      <c r="AA432" s="227"/>
      <c r="AB432" s="227"/>
      <c r="AC432" s="227"/>
      <c r="AD432" s="227"/>
      <c r="AE432" s="227"/>
      <c r="AG432" s="19"/>
      <c r="AN432" s="227"/>
      <c r="AO432" s="227"/>
      <c r="AP432" s="227"/>
      <c r="AQ432" s="227"/>
      <c r="AR432" s="227"/>
      <c r="AS432" s="227"/>
      <c r="AT432" s="227"/>
      <c r="AU432" s="227"/>
    </row>
    <row r="433" spans="27:47" ht="12.95" customHeight="1">
      <c r="AA433" s="227"/>
      <c r="AB433" s="227"/>
      <c r="AC433" s="227"/>
      <c r="AD433" s="227"/>
      <c r="AE433" s="227"/>
      <c r="AG433" s="19"/>
      <c r="AN433" s="227"/>
      <c r="AO433" s="227"/>
      <c r="AP433" s="227"/>
      <c r="AQ433" s="227"/>
      <c r="AR433" s="227"/>
      <c r="AS433" s="227"/>
      <c r="AT433" s="227"/>
      <c r="AU433" s="227"/>
    </row>
    <row r="434" spans="27:47" ht="12.95" customHeight="1">
      <c r="AA434" s="227"/>
      <c r="AB434" s="227"/>
      <c r="AC434" s="227"/>
      <c r="AD434" s="227"/>
      <c r="AE434" s="227"/>
      <c r="AG434" s="19"/>
      <c r="AN434" s="227"/>
      <c r="AO434" s="227"/>
      <c r="AP434" s="227"/>
      <c r="AQ434" s="227"/>
      <c r="AR434" s="227"/>
      <c r="AS434" s="227"/>
      <c r="AT434" s="227"/>
      <c r="AU434" s="227"/>
    </row>
    <row r="435" spans="27:47" ht="12.95" customHeight="1">
      <c r="AA435" s="227"/>
      <c r="AB435" s="227"/>
      <c r="AC435" s="227"/>
      <c r="AD435" s="227"/>
      <c r="AE435" s="227"/>
      <c r="AG435" s="19"/>
      <c r="AN435" s="227"/>
      <c r="AO435" s="227"/>
      <c r="AP435" s="227"/>
      <c r="AQ435" s="227"/>
      <c r="AR435" s="227"/>
      <c r="AS435" s="227"/>
      <c r="AT435" s="227"/>
      <c r="AU435" s="227"/>
    </row>
    <row r="436" spans="27:47" ht="12.95" customHeight="1">
      <c r="AA436" s="227"/>
      <c r="AB436" s="227"/>
      <c r="AC436" s="227"/>
      <c r="AD436" s="227"/>
      <c r="AE436" s="227"/>
      <c r="AG436" s="19"/>
      <c r="AN436" s="227"/>
      <c r="AO436" s="227"/>
      <c r="AP436" s="227"/>
      <c r="AQ436" s="227"/>
      <c r="AR436" s="227"/>
      <c r="AS436" s="227"/>
      <c r="AT436" s="227"/>
      <c r="AU436" s="227"/>
    </row>
    <row r="437" spans="27:47" ht="12.95" customHeight="1">
      <c r="AA437" s="227"/>
      <c r="AB437" s="227"/>
      <c r="AC437" s="227"/>
      <c r="AD437" s="227"/>
      <c r="AE437" s="227"/>
      <c r="AG437" s="19"/>
      <c r="AN437" s="227"/>
      <c r="AO437" s="227"/>
      <c r="AP437" s="227"/>
      <c r="AQ437" s="227"/>
      <c r="AR437" s="227"/>
      <c r="AS437" s="227"/>
      <c r="AT437" s="227"/>
      <c r="AU437" s="227"/>
    </row>
    <row r="438" spans="27:47" ht="12.95" customHeight="1">
      <c r="AA438" s="227"/>
      <c r="AB438" s="227"/>
      <c r="AC438" s="227"/>
      <c r="AD438" s="227"/>
      <c r="AE438" s="227"/>
      <c r="AG438" s="19"/>
      <c r="AN438" s="227"/>
      <c r="AO438" s="227"/>
      <c r="AP438" s="227"/>
      <c r="AQ438" s="227"/>
      <c r="AR438" s="227"/>
      <c r="AS438" s="227"/>
      <c r="AT438" s="227"/>
      <c r="AU438" s="227"/>
    </row>
    <row r="439" spans="27:47" ht="12.95" customHeight="1">
      <c r="AA439" s="227"/>
      <c r="AB439" s="227"/>
      <c r="AC439" s="227"/>
      <c r="AD439" s="227"/>
      <c r="AE439" s="227"/>
      <c r="AG439" s="19"/>
      <c r="AN439" s="227"/>
      <c r="AO439" s="227"/>
      <c r="AP439" s="227"/>
      <c r="AQ439" s="227"/>
      <c r="AR439" s="227"/>
      <c r="AS439" s="227"/>
      <c r="AT439" s="227"/>
      <c r="AU439" s="227"/>
    </row>
    <row r="440" spans="27:47" ht="12.95" customHeight="1">
      <c r="AA440" s="227"/>
      <c r="AB440" s="227"/>
      <c r="AC440" s="227"/>
      <c r="AD440" s="227"/>
      <c r="AE440" s="227"/>
      <c r="AG440" s="19"/>
      <c r="AN440" s="227"/>
      <c r="AO440" s="227"/>
      <c r="AP440" s="227"/>
      <c r="AQ440" s="227"/>
      <c r="AR440" s="227"/>
      <c r="AS440" s="227"/>
      <c r="AT440" s="227"/>
      <c r="AU440" s="227"/>
    </row>
    <row r="441" spans="27:47" ht="12.95" customHeight="1">
      <c r="AA441" s="227"/>
      <c r="AB441" s="227"/>
      <c r="AC441" s="227"/>
      <c r="AD441" s="227"/>
      <c r="AE441" s="227"/>
      <c r="AG441" s="19"/>
      <c r="AN441" s="227"/>
      <c r="AO441" s="227"/>
      <c r="AP441" s="227"/>
      <c r="AQ441" s="227"/>
      <c r="AR441" s="227"/>
      <c r="AS441" s="227"/>
      <c r="AT441" s="227"/>
      <c r="AU441" s="227"/>
    </row>
    <row r="442" spans="27:47" ht="12.95" customHeight="1">
      <c r="AA442" s="227"/>
      <c r="AB442" s="227"/>
      <c r="AC442" s="227"/>
      <c r="AD442" s="227"/>
      <c r="AE442" s="227"/>
      <c r="AG442" s="19"/>
      <c r="AN442" s="227"/>
      <c r="AO442" s="227"/>
      <c r="AP442" s="227"/>
      <c r="AQ442" s="227"/>
      <c r="AR442" s="227"/>
      <c r="AS442" s="227"/>
      <c r="AT442" s="227"/>
      <c r="AU442" s="227"/>
    </row>
    <row r="443" spans="27:47" ht="12.95" customHeight="1">
      <c r="AA443" s="227"/>
      <c r="AB443" s="227"/>
      <c r="AC443" s="227"/>
      <c r="AD443" s="227"/>
      <c r="AE443" s="227"/>
      <c r="AG443" s="19"/>
      <c r="AN443" s="227"/>
      <c r="AO443" s="227"/>
      <c r="AP443" s="227"/>
      <c r="AQ443" s="227"/>
      <c r="AR443" s="227"/>
      <c r="AS443" s="227"/>
      <c r="AT443" s="227"/>
      <c r="AU443" s="227"/>
    </row>
    <row r="444" spans="27:47" ht="12.95" customHeight="1">
      <c r="AA444" s="227"/>
      <c r="AB444" s="227"/>
      <c r="AC444" s="227"/>
      <c r="AD444" s="227"/>
      <c r="AE444" s="227"/>
      <c r="AG444" s="19"/>
      <c r="AN444" s="227"/>
      <c r="AO444" s="227"/>
      <c r="AP444" s="227"/>
      <c r="AQ444" s="227"/>
      <c r="AR444" s="227"/>
      <c r="AS444" s="227"/>
      <c r="AT444" s="227"/>
      <c r="AU444" s="227"/>
    </row>
    <row r="445" spans="27:47" ht="12.95" customHeight="1">
      <c r="AA445" s="227"/>
      <c r="AB445" s="227"/>
      <c r="AC445" s="227"/>
      <c r="AD445" s="227"/>
      <c r="AE445" s="227"/>
      <c r="AG445" s="19"/>
      <c r="AN445" s="227"/>
      <c r="AO445" s="227"/>
      <c r="AP445" s="227"/>
      <c r="AQ445" s="227"/>
      <c r="AR445" s="227"/>
      <c r="AS445" s="227"/>
      <c r="AT445" s="227"/>
      <c r="AU445" s="227"/>
    </row>
    <row r="446" spans="27:47" ht="12.95" customHeight="1">
      <c r="AA446" s="227"/>
      <c r="AB446" s="227"/>
      <c r="AC446" s="227"/>
      <c r="AD446" s="227"/>
      <c r="AE446" s="227"/>
      <c r="AG446" s="19"/>
      <c r="AN446" s="227"/>
      <c r="AO446" s="227"/>
      <c r="AP446" s="227"/>
      <c r="AQ446" s="227"/>
      <c r="AR446" s="227"/>
      <c r="AS446" s="227"/>
      <c r="AT446" s="227"/>
      <c r="AU446" s="227"/>
    </row>
    <row r="447" spans="27:47" ht="12.95" customHeight="1">
      <c r="AA447" s="227"/>
      <c r="AB447" s="227"/>
      <c r="AC447" s="227"/>
      <c r="AD447" s="227"/>
      <c r="AE447" s="227"/>
      <c r="AG447" s="19"/>
      <c r="AN447" s="227"/>
      <c r="AO447" s="227"/>
      <c r="AP447" s="227"/>
      <c r="AQ447" s="227"/>
      <c r="AR447" s="227"/>
      <c r="AS447" s="227"/>
      <c r="AT447" s="227"/>
      <c r="AU447" s="227"/>
    </row>
    <row r="448" spans="27:47" ht="12.95" customHeight="1">
      <c r="AA448" s="227"/>
      <c r="AB448" s="227"/>
      <c r="AC448" s="227"/>
      <c r="AD448" s="227"/>
      <c r="AE448" s="227"/>
      <c r="AG448" s="19"/>
      <c r="AN448" s="227"/>
      <c r="AO448" s="227"/>
      <c r="AP448" s="227"/>
      <c r="AQ448" s="227"/>
      <c r="AR448" s="227"/>
      <c r="AS448" s="227"/>
      <c r="AT448" s="227"/>
      <c r="AU448" s="227"/>
    </row>
    <row r="449" spans="27:47" ht="12.95" customHeight="1">
      <c r="AA449" s="227"/>
      <c r="AB449" s="227"/>
      <c r="AC449" s="227"/>
      <c r="AD449" s="227"/>
      <c r="AE449" s="227"/>
      <c r="AG449" s="19"/>
      <c r="AN449" s="227"/>
      <c r="AO449" s="227"/>
      <c r="AP449" s="227"/>
      <c r="AQ449" s="227"/>
      <c r="AR449" s="227"/>
      <c r="AS449" s="227"/>
      <c r="AT449" s="227"/>
      <c r="AU449" s="227"/>
    </row>
    <row r="450" spans="27:47" ht="12.95" customHeight="1">
      <c r="AA450" s="227"/>
      <c r="AB450" s="227"/>
      <c r="AC450" s="227"/>
      <c r="AD450" s="227"/>
      <c r="AE450" s="227"/>
      <c r="AG450" s="19"/>
      <c r="AN450" s="227"/>
      <c r="AO450" s="227"/>
      <c r="AP450" s="227"/>
      <c r="AQ450" s="227"/>
      <c r="AR450" s="227"/>
      <c r="AS450" s="227"/>
      <c r="AT450" s="227"/>
      <c r="AU450" s="227"/>
    </row>
    <row r="451" spans="27:47" ht="12.95" customHeight="1">
      <c r="AA451" s="227"/>
      <c r="AB451" s="227"/>
      <c r="AC451" s="227"/>
      <c r="AD451" s="227"/>
      <c r="AE451" s="227"/>
      <c r="AG451" s="19"/>
      <c r="AN451" s="227"/>
      <c r="AO451" s="227"/>
      <c r="AP451" s="227"/>
      <c r="AQ451" s="227"/>
      <c r="AR451" s="227"/>
      <c r="AS451" s="227"/>
      <c r="AT451" s="227"/>
      <c r="AU451" s="227"/>
    </row>
    <row r="452" spans="27:47" ht="12.95" customHeight="1">
      <c r="AA452" s="227"/>
      <c r="AB452" s="227"/>
      <c r="AC452" s="227"/>
      <c r="AD452" s="227"/>
      <c r="AE452" s="227"/>
      <c r="AG452" s="19"/>
      <c r="AN452" s="227"/>
      <c r="AO452" s="227"/>
      <c r="AP452" s="227"/>
      <c r="AQ452" s="227"/>
      <c r="AR452" s="227"/>
      <c r="AS452" s="227"/>
      <c r="AT452" s="227"/>
      <c r="AU452" s="227"/>
    </row>
    <row r="453" spans="27:47" ht="12.95" customHeight="1">
      <c r="AA453" s="227"/>
      <c r="AB453" s="227"/>
      <c r="AC453" s="227"/>
      <c r="AD453" s="227"/>
      <c r="AE453" s="227"/>
      <c r="AG453" s="19"/>
      <c r="AN453" s="227"/>
      <c r="AO453" s="227"/>
      <c r="AP453" s="227"/>
      <c r="AQ453" s="227"/>
      <c r="AR453" s="227"/>
      <c r="AS453" s="227"/>
      <c r="AT453" s="227"/>
      <c r="AU453" s="227"/>
    </row>
    <row r="454" spans="27:47" ht="12.95" customHeight="1">
      <c r="AA454" s="227"/>
      <c r="AB454" s="227"/>
      <c r="AC454" s="227"/>
      <c r="AD454" s="227"/>
      <c r="AE454" s="227"/>
      <c r="AG454" s="19"/>
      <c r="AN454" s="227"/>
      <c r="AO454" s="227"/>
      <c r="AP454" s="227"/>
      <c r="AQ454" s="227"/>
      <c r="AR454" s="227"/>
      <c r="AS454" s="227"/>
      <c r="AT454" s="227"/>
      <c r="AU454" s="227"/>
    </row>
    <row r="455" spans="27:47" ht="12.95" customHeight="1">
      <c r="AA455" s="227"/>
      <c r="AB455" s="227"/>
      <c r="AC455" s="227"/>
      <c r="AD455" s="227"/>
      <c r="AE455" s="227"/>
      <c r="AG455" s="19"/>
      <c r="AN455" s="227"/>
      <c r="AO455" s="227"/>
      <c r="AP455" s="227"/>
      <c r="AQ455" s="227"/>
      <c r="AR455" s="227"/>
      <c r="AS455" s="227"/>
      <c r="AT455" s="227"/>
      <c r="AU455" s="227"/>
    </row>
    <row r="456" spans="27:47" ht="12.95" customHeight="1">
      <c r="AA456" s="227"/>
      <c r="AB456" s="227"/>
      <c r="AC456" s="227"/>
      <c r="AD456" s="227"/>
      <c r="AE456" s="227"/>
      <c r="AG456" s="19"/>
      <c r="AN456" s="227"/>
      <c r="AO456" s="227"/>
      <c r="AP456" s="227"/>
      <c r="AQ456" s="227"/>
      <c r="AR456" s="227"/>
      <c r="AS456" s="227"/>
      <c r="AT456" s="227"/>
      <c r="AU456" s="227"/>
    </row>
    <row r="457" spans="27:47" ht="12.95" customHeight="1">
      <c r="AA457" s="227"/>
      <c r="AB457" s="227"/>
      <c r="AC457" s="227"/>
      <c r="AD457" s="227"/>
      <c r="AE457" s="227"/>
      <c r="AG457" s="19"/>
      <c r="AN457" s="227"/>
      <c r="AO457" s="227"/>
      <c r="AP457" s="227"/>
      <c r="AQ457" s="227"/>
      <c r="AR457" s="227"/>
      <c r="AS457" s="227"/>
      <c r="AT457" s="227"/>
      <c r="AU457" s="227"/>
    </row>
    <row r="458" spans="27:47" ht="12.95" customHeight="1">
      <c r="AA458" s="227"/>
      <c r="AB458" s="227"/>
      <c r="AC458" s="227"/>
      <c r="AD458" s="227"/>
      <c r="AE458" s="227"/>
      <c r="AG458" s="19"/>
      <c r="AN458" s="227"/>
      <c r="AO458" s="227"/>
      <c r="AP458" s="227"/>
      <c r="AQ458" s="227"/>
      <c r="AR458" s="227"/>
      <c r="AS458" s="227"/>
      <c r="AT458" s="227"/>
      <c r="AU458" s="227"/>
    </row>
    <row r="459" spans="27:47" ht="12.95" customHeight="1">
      <c r="AA459" s="227"/>
      <c r="AB459" s="227"/>
      <c r="AC459" s="227"/>
      <c r="AD459" s="227"/>
      <c r="AE459" s="227"/>
      <c r="AG459" s="19"/>
      <c r="AN459" s="227"/>
      <c r="AO459" s="227"/>
      <c r="AP459" s="227"/>
      <c r="AQ459" s="227"/>
      <c r="AR459" s="227"/>
      <c r="AS459" s="227"/>
      <c r="AT459" s="227"/>
      <c r="AU459" s="227"/>
    </row>
    <row r="460" spans="27:47" ht="12.95" customHeight="1">
      <c r="AA460" s="227"/>
      <c r="AB460" s="227"/>
      <c r="AC460" s="227"/>
      <c r="AD460" s="227"/>
      <c r="AE460" s="227"/>
      <c r="AG460" s="19"/>
      <c r="AN460" s="227"/>
      <c r="AO460" s="227"/>
      <c r="AP460" s="227"/>
      <c r="AQ460" s="227"/>
      <c r="AR460" s="227"/>
      <c r="AS460" s="227"/>
      <c r="AT460" s="227"/>
      <c r="AU460" s="227"/>
    </row>
    <row r="461" spans="27:47" ht="12.95" customHeight="1">
      <c r="AA461" s="227"/>
      <c r="AB461" s="227"/>
      <c r="AC461" s="227"/>
      <c r="AD461" s="227"/>
      <c r="AE461" s="227"/>
      <c r="AG461" s="19"/>
      <c r="AN461" s="227"/>
      <c r="AO461" s="227"/>
      <c r="AP461" s="227"/>
      <c r="AQ461" s="227"/>
      <c r="AR461" s="227"/>
      <c r="AS461" s="227"/>
      <c r="AT461" s="227"/>
      <c r="AU461" s="227"/>
    </row>
    <row r="462" spans="27:47" ht="12.95" customHeight="1">
      <c r="AA462" s="227"/>
      <c r="AB462" s="227"/>
      <c r="AC462" s="227"/>
      <c r="AD462" s="227"/>
      <c r="AE462" s="227"/>
      <c r="AG462" s="19"/>
      <c r="AN462" s="227"/>
      <c r="AO462" s="227"/>
      <c r="AP462" s="227"/>
      <c r="AQ462" s="227"/>
      <c r="AR462" s="227"/>
      <c r="AS462" s="227"/>
      <c r="AT462" s="227"/>
      <c r="AU462" s="227"/>
    </row>
    <row r="463" spans="27:47" ht="12.95" customHeight="1">
      <c r="AA463" s="227"/>
      <c r="AB463" s="227"/>
      <c r="AC463" s="227"/>
      <c r="AD463" s="227"/>
      <c r="AE463" s="227"/>
      <c r="AG463" s="19"/>
      <c r="AN463" s="227"/>
      <c r="AO463" s="227"/>
      <c r="AP463" s="227"/>
      <c r="AQ463" s="227"/>
      <c r="AR463" s="227"/>
      <c r="AS463" s="227"/>
      <c r="AT463" s="227"/>
      <c r="AU463" s="227"/>
    </row>
    <row r="464" spans="27:47" ht="12.95" customHeight="1">
      <c r="AA464" s="227"/>
      <c r="AB464" s="227"/>
      <c r="AC464" s="227"/>
      <c r="AD464" s="227"/>
      <c r="AE464" s="227"/>
      <c r="AG464" s="19"/>
      <c r="AN464" s="227"/>
      <c r="AO464" s="227"/>
      <c r="AP464" s="227"/>
      <c r="AQ464" s="227"/>
      <c r="AR464" s="227"/>
      <c r="AS464" s="227"/>
      <c r="AT464" s="227"/>
      <c r="AU464" s="227"/>
    </row>
    <row r="465" spans="27:64" ht="12.95" customHeight="1">
      <c r="AA465" s="227"/>
      <c r="AB465" s="227"/>
      <c r="AC465" s="227"/>
      <c r="AD465" s="227"/>
      <c r="AE465" s="227"/>
      <c r="AG465" s="19"/>
      <c r="AN465" s="227"/>
      <c r="AO465" s="227"/>
      <c r="AP465" s="227"/>
      <c r="AQ465" s="227"/>
      <c r="AR465" s="227"/>
      <c r="AS465" s="227"/>
      <c r="AT465" s="227"/>
      <c r="AU465" s="227"/>
    </row>
    <row r="466" spans="27:64" ht="12.95" customHeight="1">
      <c r="AA466" s="227"/>
      <c r="AB466" s="227"/>
      <c r="AC466" s="227"/>
      <c r="AD466" s="227"/>
      <c r="AE466" s="227"/>
      <c r="AG466" s="19"/>
      <c r="AN466" s="227"/>
      <c r="AO466" s="227"/>
      <c r="AP466" s="227"/>
      <c r="AQ466" s="227"/>
      <c r="AR466" s="227"/>
      <c r="AS466" s="227"/>
      <c r="AT466" s="227"/>
      <c r="AU466" s="227"/>
      <c r="AV466" s="227"/>
      <c r="AX466" s="227"/>
    </row>
    <row r="467" spans="27:64" ht="12.95" customHeight="1">
      <c r="AA467" s="227"/>
      <c r="AB467" s="227"/>
      <c r="AC467" s="227"/>
      <c r="AD467" s="227"/>
      <c r="AE467" s="227"/>
      <c r="AG467" s="19"/>
      <c r="AN467" s="227"/>
      <c r="AO467" s="227"/>
      <c r="AP467" s="227"/>
      <c r="AQ467" s="227"/>
      <c r="AR467" s="227"/>
      <c r="AS467" s="227"/>
      <c r="AT467" s="227"/>
      <c r="AU467" s="227"/>
    </row>
    <row r="468" spans="27:64" ht="12.95" customHeight="1">
      <c r="AA468" s="227"/>
      <c r="AB468" s="227"/>
      <c r="AC468" s="227"/>
      <c r="AD468" s="227"/>
      <c r="AE468" s="227"/>
      <c r="AG468" s="19"/>
      <c r="AN468" s="227"/>
      <c r="AO468" s="227"/>
      <c r="AP468" s="227"/>
      <c r="AQ468" s="227"/>
      <c r="AR468" s="227"/>
      <c r="AS468" s="227"/>
      <c r="AT468" s="227"/>
      <c r="AU468" s="227"/>
    </row>
    <row r="469" spans="27:64" ht="12.95" customHeight="1">
      <c r="AA469" s="227"/>
      <c r="AB469" s="227"/>
      <c r="AC469" s="227"/>
      <c r="AD469" s="227"/>
      <c r="AE469" s="227"/>
      <c r="AG469" s="19"/>
      <c r="AN469" s="227"/>
      <c r="AO469" s="227"/>
      <c r="AP469" s="227"/>
      <c r="AQ469" s="227"/>
      <c r="AR469" s="227"/>
      <c r="AS469" s="227"/>
      <c r="AT469" s="227"/>
      <c r="AU469" s="227"/>
    </row>
    <row r="470" spans="27:64" ht="12.95" customHeight="1">
      <c r="AA470" s="227"/>
      <c r="AB470" s="227"/>
      <c r="AC470" s="227"/>
      <c r="AD470" s="227"/>
      <c r="AE470" s="227"/>
      <c r="AG470" s="19"/>
      <c r="AN470" s="227"/>
      <c r="AO470" s="227"/>
      <c r="AP470" s="227"/>
      <c r="AQ470" s="227"/>
      <c r="AR470" s="227"/>
      <c r="AS470" s="227"/>
      <c r="AT470" s="227"/>
      <c r="AU470" s="227"/>
    </row>
    <row r="471" spans="27:64" ht="12.95" customHeight="1">
      <c r="AA471" s="227"/>
      <c r="AB471" s="227"/>
      <c r="AC471" s="227"/>
      <c r="AD471" s="227"/>
      <c r="AE471" s="227"/>
      <c r="AG471" s="19"/>
      <c r="AN471" s="227"/>
      <c r="AO471" s="227"/>
      <c r="AP471" s="227"/>
      <c r="AQ471" s="227"/>
      <c r="AR471" s="227"/>
      <c r="AS471" s="227"/>
      <c r="AT471" s="227"/>
      <c r="AU471" s="227"/>
    </row>
    <row r="472" spans="27:64" ht="12.95" customHeight="1">
      <c r="AA472" s="227"/>
      <c r="AB472" s="227"/>
      <c r="AC472" s="227"/>
      <c r="AD472" s="227"/>
      <c r="AE472" s="227"/>
      <c r="AG472" s="19"/>
      <c r="AN472" s="227"/>
      <c r="AO472" s="227"/>
      <c r="AP472" s="227"/>
      <c r="AQ472" s="227"/>
      <c r="AR472" s="227"/>
      <c r="AS472" s="227"/>
      <c r="AT472" s="227"/>
      <c r="AU472" s="227"/>
    </row>
    <row r="473" spans="27:64" ht="12.95" customHeight="1">
      <c r="AA473" s="227"/>
      <c r="AB473" s="227"/>
      <c r="AC473" s="227"/>
      <c r="AD473" s="227"/>
      <c r="AE473" s="227"/>
      <c r="AG473" s="19"/>
      <c r="AN473" s="227"/>
      <c r="AO473" s="227"/>
      <c r="AP473" s="227"/>
      <c r="AQ473" s="227"/>
      <c r="AR473" s="227"/>
      <c r="AS473" s="227"/>
      <c r="AT473" s="227"/>
      <c r="AU473" s="227"/>
    </row>
    <row r="474" spans="27:64" ht="12.95" customHeight="1">
      <c r="AA474" s="227"/>
      <c r="AB474" s="227"/>
      <c r="AC474" s="227"/>
      <c r="AD474" s="227"/>
      <c r="AE474" s="227"/>
      <c r="AG474" s="19"/>
      <c r="AN474" s="227"/>
      <c r="AO474" s="227"/>
      <c r="AP474" s="227"/>
      <c r="AQ474" s="227"/>
      <c r="AR474" s="227"/>
      <c r="AS474" s="227"/>
      <c r="AT474" s="227"/>
      <c r="AU474" s="227"/>
    </row>
    <row r="475" spans="27:64" ht="12.95" customHeight="1">
      <c r="AA475" s="227"/>
      <c r="AB475" s="227"/>
      <c r="AC475" s="227"/>
      <c r="AD475" s="227"/>
      <c r="AE475" s="227"/>
      <c r="AG475" s="19"/>
      <c r="AN475" s="227"/>
      <c r="AO475" s="227"/>
      <c r="AP475" s="227"/>
      <c r="AQ475" s="227"/>
      <c r="AR475" s="227"/>
      <c r="AS475" s="227"/>
      <c r="AT475" s="227"/>
      <c r="AU475" s="227"/>
    </row>
    <row r="476" spans="27:64" ht="12.95" customHeight="1">
      <c r="AA476" s="227"/>
      <c r="AB476" s="227"/>
      <c r="AC476" s="227"/>
      <c r="AD476" s="227"/>
      <c r="AE476" s="227"/>
      <c r="AG476" s="19"/>
      <c r="AN476" s="227"/>
      <c r="AO476" s="227"/>
      <c r="AP476" s="227"/>
      <c r="AQ476" s="227"/>
      <c r="AR476" s="227"/>
      <c r="AS476" s="227"/>
      <c r="AT476" s="227"/>
      <c r="AU476" s="227"/>
    </row>
    <row r="477" spans="27:64" ht="12.95" customHeight="1">
      <c r="AA477" s="227"/>
      <c r="AB477" s="227"/>
      <c r="AC477" s="227"/>
      <c r="AD477" s="227"/>
      <c r="AE477" s="227"/>
      <c r="AG477" s="19"/>
      <c r="AN477" s="227"/>
      <c r="AO477" s="227"/>
      <c r="AP477" s="227"/>
      <c r="AQ477" s="227"/>
      <c r="AR477" s="227"/>
      <c r="AS477" s="227"/>
      <c r="AT477" s="227"/>
      <c r="AU477" s="227"/>
    </row>
    <row r="478" spans="27:64" ht="12.95" customHeight="1">
      <c r="AA478" s="227"/>
      <c r="AB478" s="227"/>
      <c r="AC478" s="227"/>
      <c r="AD478" s="227"/>
      <c r="AE478" s="227"/>
      <c r="AG478" s="19"/>
      <c r="AN478" s="227"/>
      <c r="AO478" s="227"/>
      <c r="AP478" s="227"/>
      <c r="AQ478" s="227"/>
      <c r="AR478" s="227"/>
      <c r="AS478" s="227"/>
      <c r="AT478" s="227"/>
      <c r="AU478" s="227"/>
    </row>
    <row r="479" spans="27:64" ht="12.95" customHeight="1">
      <c r="AA479" s="227"/>
      <c r="AB479" s="227"/>
      <c r="AC479" s="227"/>
      <c r="AD479" s="227"/>
      <c r="AE479" s="227"/>
      <c r="AG479" s="19"/>
      <c r="AN479" s="227"/>
      <c r="AO479" s="227"/>
      <c r="AP479" s="227"/>
      <c r="AQ479" s="227"/>
      <c r="AR479" s="227"/>
      <c r="AS479" s="227"/>
      <c r="AT479" s="227"/>
      <c r="AU479" s="227"/>
      <c r="AV479" s="227"/>
      <c r="AW479" s="227"/>
      <c r="AX479" s="227"/>
      <c r="AY479" s="227"/>
      <c r="AZ479" s="227"/>
      <c r="BA479" s="227"/>
      <c r="BB479" s="227"/>
      <c r="BC479" s="227"/>
      <c r="BD479" s="227"/>
      <c r="BE479" s="227"/>
      <c r="BF479" s="227"/>
      <c r="BG479" s="227"/>
      <c r="BH479" s="227"/>
      <c r="BI479" s="227"/>
      <c r="BJ479" s="227"/>
      <c r="BK479" s="227"/>
      <c r="BL479" s="227"/>
    </row>
    <row r="480" spans="27:64" ht="12.95" customHeight="1">
      <c r="AA480" s="227"/>
      <c r="AB480" s="227"/>
      <c r="AC480" s="227"/>
      <c r="AD480" s="227"/>
      <c r="AE480" s="227"/>
      <c r="AG480" s="19"/>
      <c r="AN480" s="227"/>
      <c r="AO480" s="227"/>
      <c r="AP480" s="227"/>
      <c r="AQ480" s="227"/>
      <c r="AR480" s="227"/>
      <c r="AS480" s="227"/>
      <c r="AT480" s="227"/>
      <c r="AU480" s="227"/>
    </row>
    <row r="481" spans="27:47" ht="12.95" customHeight="1">
      <c r="AA481" s="227"/>
      <c r="AB481" s="227"/>
      <c r="AC481" s="227"/>
      <c r="AD481" s="227"/>
      <c r="AE481" s="227"/>
      <c r="AG481" s="19"/>
      <c r="AN481" s="227"/>
      <c r="AO481" s="227"/>
      <c r="AP481" s="227"/>
      <c r="AQ481" s="227"/>
      <c r="AR481" s="227"/>
      <c r="AS481" s="227"/>
      <c r="AT481" s="227"/>
      <c r="AU481" s="227"/>
    </row>
    <row r="482" spans="27:47" ht="12.95" customHeight="1">
      <c r="AA482" s="227"/>
      <c r="AB482" s="227"/>
      <c r="AC482" s="227"/>
      <c r="AD482" s="227"/>
      <c r="AE482" s="227"/>
      <c r="AG482" s="19"/>
      <c r="AN482" s="227"/>
      <c r="AO482" s="227"/>
      <c r="AP482" s="227"/>
      <c r="AQ482" s="227"/>
      <c r="AR482" s="227"/>
      <c r="AS482" s="227"/>
      <c r="AT482" s="227"/>
      <c r="AU482" s="227"/>
    </row>
    <row r="483" spans="27:47" ht="12.95" customHeight="1">
      <c r="AA483" s="227"/>
      <c r="AB483" s="227"/>
      <c r="AC483" s="227"/>
      <c r="AD483" s="227"/>
      <c r="AE483" s="227"/>
      <c r="AG483" s="19"/>
      <c r="AN483" s="227"/>
      <c r="AO483" s="227"/>
      <c r="AP483" s="227"/>
      <c r="AQ483" s="227"/>
      <c r="AR483" s="227"/>
      <c r="AS483" s="227"/>
      <c r="AT483" s="227"/>
      <c r="AU483" s="227"/>
    </row>
    <row r="484" spans="27:47" ht="12.95" customHeight="1">
      <c r="AA484" s="227"/>
      <c r="AB484" s="227"/>
      <c r="AC484" s="227"/>
      <c r="AD484" s="227"/>
      <c r="AE484" s="227"/>
      <c r="AG484" s="19"/>
      <c r="AN484" s="227"/>
      <c r="AO484" s="227"/>
      <c r="AP484" s="227"/>
      <c r="AQ484" s="227"/>
      <c r="AR484" s="227"/>
      <c r="AS484" s="227"/>
      <c r="AT484" s="227"/>
      <c r="AU484" s="227"/>
    </row>
    <row r="485" spans="27:47" ht="12.95" customHeight="1">
      <c r="AA485" s="227"/>
      <c r="AB485" s="227"/>
      <c r="AC485" s="227"/>
      <c r="AD485" s="227"/>
      <c r="AE485" s="227"/>
      <c r="AG485" s="19"/>
      <c r="AN485" s="227"/>
      <c r="AO485" s="227"/>
      <c r="AP485" s="227"/>
      <c r="AQ485" s="227"/>
      <c r="AR485" s="227"/>
      <c r="AS485" s="227"/>
      <c r="AT485" s="227"/>
      <c r="AU485" s="227"/>
    </row>
    <row r="486" spans="27:47" ht="12.95" customHeight="1">
      <c r="AA486" s="227"/>
      <c r="AB486" s="227"/>
      <c r="AC486" s="227"/>
      <c r="AD486" s="227"/>
      <c r="AE486" s="227"/>
      <c r="AG486" s="19"/>
      <c r="AN486" s="227"/>
      <c r="AO486" s="227"/>
      <c r="AP486" s="227"/>
      <c r="AQ486" s="227"/>
      <c r="AR486" s="227"/>
      <c r="AS486" s="227"/>
      <c r="AT486" s="227"/>
      <c r="AU486" s="227"/>
    </row>
    <row r="487" spans="27:47" ht="12.95" customHeight="1">
      <c r="AA487" s="227"/>
      <c r="AB487" s="227"/>
      <c r="AC487" s="227"/>
      <c r="AD487" s="227"/>
      <c r="AE487" s="227"/>
      <c r="AG487" s="19"/>
      <c r="AN487" s="227"/>
      <c r="AO487" s="227"/>
      <c r="AP487" s="227"/>
      <c r="AQ487" s="227"/>
      <c r="AR487" s="227"/>
      <c r="AS487" s="227"/>
      <c r="AT487" s="227"/>
      <c r="AU487" s="227"/>
    </row>
    <row r="488" spans="27:47" ht="12.95" customHeight="1">
      <c r="AA488" s="227"/>
      <c r="AB488" s="227"/>
      <c r="AC488" s="227"/>
      <c r="AD488" s="227"/>
      <c r="AE488" s="227"/>
      <c r="AG488" s="19"/>
      <c r="AN488" s="227"/>
      <c r="AO488" s="227"/>
      <c r="AP488" s="227"/>
      <c r="AQ488" s="227"/>
      <c r="AR488" s="227"/>
      <c r="AS488" s="227"/>
      <c r="AT488" s="227"/>
      <c r="AU488" s="227"/>
    </row>
    <row r="489" spans="27:47" ht="12.95" customHeight="1">
      <c r="AA489" s="227"/>
      <c r="AB489" s="227"/>
      <c r="AC489" s="227"/>
      <c r="AD489" s="227"/>
      <c r="AE489" s="227"/>
      <c r="AG489" s="19"/>
      <c r="AN489" s="227"/>
      <c r="AO489" s="227"/>
      <c r="AP489" s="227"/>
      <c r="AQ489" s="227"/>
      <c r="AR489" s="227"/>
      <c r="AS489" s="227"/>
      <c r="AT489" s="227"/>
      <c r="AU489" s="227"/>
    </row>
    <row r="490" spans="27:47" ht="12.95" customHeight="1">
      <c r="AA490" s="227"/>
      <c r="AB490" s="227"/>
      <c r="AC490" s="227"/>
      <c r="AD490" s="227"/>
      <c r="AE490" s="227"/>
      <c r="AG490" s="19"/>
      <c r="AN490" s="227"/>
      <c r="AO490" s="227"/>
      <c r="AP490" s="227"/>
      <c r="AQ490" s="227"/>
      <c r="AR490" s="227"/>
      <c r="AS490" s="227"/>
      <c r="AT490" s="227"/>
      <c r="AU490" s="227"/>
    </row>
    <row r="491" spans="27:47" ht="12.95" customHeight="1">
      <c r="AA491" s="227"/>
      <c r="AB491" s="227"/>
      <c r="AC491" s="227"/>
      <c r="AD491" s="227"/>
      <c r="AE491" s="227"/>
      <c r="AG491" s="19"/>
      <c r="AN491" s="227"/>
      <c r="AO491" s="227"/>
      <c r="AP491" s="227"/>
      <c r="AQ491" s="227"/>
      <c r="AR491" s="227"/>
      <c r="AS491" s="227"/>
      <c r="AT491" s="227"/>
      <c r="AU491" s="227"/>
    </row>
    <row r="492" spans="27:47" ht="12.95" customHeight="1">
      <c r="AA492" s="227"/>
      <c r="AB492" s="227"/>
      <c r="AC492" s="227"/>
      <c r="AD492" s="227"/>
      <c r="AE492" s="227"/>
      <c r="AG492" s="19"/>
      <c r="AN492" s="227"/>
      <c r="AO492" s="227"/>
      <c r="AP492" s="227"/>
      <c r="AQ492" s="227"/>
      <c r="AR492" s="227"/>
      <c r="AS492" s="227"/>
      <c r="AT492" s="227"/>
      <c r="AU492" s="227"/>
    </row>
    <row r="493" spans="27:47" ht="12.95" customHeight="1">
      <c r="AA493" s="227"/>
      <c r="AB493" s="227"/>
      <c r="AC493" s="227"/>
      <c r="AD493" s="227"/>
      <c r="AE493" s="227"/>
      <c r="AG493" s="19"/>
      <c r="AN493" s="227"/>
      <c r="AO493" s="227"/>
      <c r="AP493" s="227"/>
      <c r="AQ493" s="227"/>
      <c r="AR493" s="227"/>
      <c r="AS493" s="227"/>
      <c r="AT493" s="227"/>
      <c r="AU493" s="227"/>
    </row>
    <row r="494" spans="27:47" ht="12.95" customHeight="1">
      <c r="AA494" s="227"/>
      <c r="AB494" s="227"/>
      <c r="AC494" s="227"/>
      <c r="AD494" s="227"/>
      <c r="AE494" s="227"/>
      <c r="AG494" s="19"/>
      <c r="AN494" s="227"/>
      <c r="AO494" s="227"/>
      <c r="AP494" s="227"/>
      <c r="AQ494" s="227"/>
      <c r="AR494" s="227"/>
      <c r="AS494" s="227"/>
      <c r="AT494" s="227"/>
      <c r="AU494" s="227"/>
    </row>
    <row r="495" spans="27:47" ht="12.95" customHeight="1">
      <c r="AA495" s="227"/>
      <c r="AB495" s="227"/>
      <c r="AC495" s="227"/>
      <c r="AD495" s="227"/>
      <c r="AE495" s="227"/>
      <c r="AG495" s="19"/>
      <c r="AN495" s="227"/>
      <c r="AO495" s="227"/>
      <c r="AP495" s="227"/>
      <c r="AQ495" s="227"/>
      <c r="AR495" s="227"/>
      <c r="AS495" s="227"/>
      <c r="AT495" s="227"/>
      <c r="AU495" s="227"/>
    </row>
    <row r="496" spans="27:47" ht="12.95" customHeight="1">
      <c r="AA496" s="227"/>
      <c r="AB496" s="227"/>
      <c r="AC496" s="227"/>
      <c r="AD496" s="227"/>
      <c r="AE496" s="227"/>
      <c r="AG496" s="19"/>
      <c r="AN496" s="227"/>
      <c r="AO496" s="227"/>
      <c r="AP496" s="227"/>
      <c r="AQ496" s="227"/>
      <c r="AR496" s="227"/>
      <c r="AS496" s="227"/>
      <c r="AT496" s="227"/>
      <c r="AU496" s="227"/>
    </row>
    <row r="497" spans="27:48" ht="12.95" customHeight="1">
      <c r="AA497" s="227"/>
      <c r="AB497" s="227"/>
      <c r="AC497" s="227"/>
      <c r="AD497" s="227"/>
      <c r="AE497" s="227"/>
      <c r="AG497" s="19"/>
      <c r="AN497" s="227"/>
      <c r="AO497" s="227"/>
      <c r="AP497" s="227"/>
      <c r="AQ497" s="227"/>
      <c r="AR497" s="227"/>
      <c r="AS497" s="227"/>
      <c r="AT497" s="227"/>
      <c r="AU497" s="227"/>
    </row>
    <row r="498" spans="27:48" ht="12.95" customHeight="1">
      <c r="AA498" s="227"/>
      <c r="AB498" s="227"/>
      <c r="AC498" s="227"/>
      <c r="AD498" s="227"/>
      <c r="AE498" s="227"/>
      <c r="AG498" s="19"/>
      <c r="AN498" s="227"/>
      <c r="AO498" s="227"/>
      <c r="AP498" s="227"/>
      <c r="AQ498" s="227"/>
      <c r="AR498" s="227"/>
      <c r="AS498" s="227"/>
      <c r="AT498" s="227"/>
      <c r="AU498" s="227"/>
    </row>
    <row r="499" spans="27:48" ht="12.95" customHeight="1">
      <c r="AA499" s="227"/>
      <c r="AB499" s="227"/>
      <c r="AC499" s="227"/>
      <c r="AD499" s="227"/>
      <c r="AE499" s="227"/>
      <c r="AG499" s="19"/>
      <c r="AN499" s="227"/>
      <c r="AO499" s="227"/>
      <c r="AP499" s="227"/>
      <c r="AQ499" s="227"/>
      <c r="AR499" s="227"/>
      <c r="AS499" s="227"/>
      <c r="AT499" s="227"/>
      <c r="AU499" s="227"/>
    </row>
    <row r="500" spans="27:48" ht="12.95" customHeight="1">
      <c r="AA500" s="227"/>
      <c r="AB500" s="227"/>
      <c r="AC500" s="227"/>
      <c r="AD500" s="227"/>
      <c r="AE500" s="227"/>
      <c r="AG500" s="19"/>
      <c r="AN500" s="227"/>
      <c r="AO500" s="227"/>
      <c r="AP500" s="227"/>
      <c r="AQ500" s="227"/>
      <c r="AR500" s="227"/>
      <c r="AS500" s="227"/>
      <c r="AT500" s="227"/>
      <c r="AU500" s="227"/>
    </row>
    <row r="501" spans="27:48" ht="12.95" customHeight="1">
      <c r="AA501" s="227"/>
      <c r="AB501" s="227"/>
      <c r="AC501" s="227"/>
      <c r="AD501" s="227"/>
      <c r="AE501" s="227"/>
      <c r="AG501" s="19"/>
      <c r="AN501" s="227"/>
      <c r="AO501" s="227"/>
      <c r="AP501" s="227"/>
      <c r="AQ501" s="227"/>
      <c r="AR501" s="227"/>
      <c r="AS501" s="227"/>
      <c r="AT501" s="227"/>
      <c r="AU501" s="227"/>
    </row>
    <row r="502" spans="27:48" ht="12.95" customHeight="1">
      <c r="AA502" s="227"/>
      <c r="AB502" s="227"/>
      <c r="AC502" s="227"/>
      <c r="AD502" s="227"/>
      <c r="AE502" s="227"/>
      <c r="AG502" s="19"/>
      <c r="AN502" s="227"/>
      <c r="AO502" s="227"/>
      <c r="AP502" s="227"/>
      <c r="AQ502" s="227"/>
      <c r="AR502" s="227"/>
      <c r="AS502" s="227"/>
      <c r="AT502" s="227"/>
      <c r="AU502" s="227"/>
    </row>
    <row r="503" spans="27:48" ht="12.95" customHeight="1">
      <c r="AA503" s="227"/>
      <c r="AB503" s="227"/>
      <c r="AC503" s="227"/>
      <c r="AD503" s="227"/>
      <c r="AE503" s="227"/>
      <c r="AG503" s="19"/>
      <c r="AN503" s="227"/>
      <c r="AO503" s="227"/>
      <c r="AP503" s="227"/>
      <c r="AQ503" s="227"/>
      <c r="AR503" s="227"/>
      <c r="AS503" s="227"/>
      <c r="AT503" s="227"/>
      <c r="AU503" s="227"/>
    </row>
    <row r="504" spans="27:48" ht="12.95" customHeight="1">
      <c r="AA504" s="227"/>
      <c r="AB504" s="227"/>
      <c r="AC504" s="227"/>
      <c r="AD504" s="227"/>
      <c r="AE504" s="227"/>
      <c r="AG504" s="19"/>
      <c r="AN504" s="227"/>
      <c r="AO504" s="227"/>
      <c r="AP504" s="227"/>
      <c r="AQ504" s="227"/>
      <c r="AR504" s="227"/>
      <c r="AS504" s="227"/>
      <c r="AT504" s="227"/>
      <c r="AU504" s="227"/>
    </row>
    <row r="505" spans="27:48" ht="12.95" customHeight="1">
      <c r="AA505" s="227"/>
      <c r="AB505" s="227"/>
      <c r="AC505" s="227"/>
      <c r="AD505" s="227"/>
      <c r="AE505" s="227"/>
      <c r="AG505" s="19"/>
      <c r="AN505" s="227"/>
      <c r="AO505" s="227"/>
      <c r="AP505" s="227"/>
      <c r="AQ505" s="227"/>
      <c r="AR505" s="227"/>
      <c r="AS505" s="227"/>
      <c r="AT505" s="227"/>
      <c r="AU505" s="227"/>
    </row>
    <row r="506" spans="27:48" ht="12.95" customHeight="1">
      <c r="AA506" s="227"/>
      <c r="AB506" s="227"/>
      <c r="AC506" s="227"/>
      <c r="AD506" s="227"/>
      <c r="AE506" s="227"/>
      <c r="AG506" s="19"/>
      <c r="AN506" s="227"/>
      <c r="AO506" s="227"/>
      <c r="AP506" s="227"/>
      <c r="AQ506" s="227"/>
      <c r="AR506" s="227"/>
      <c r="AS506" s="227"/>
      <c r="AT506" s="227"/>
      <c r="AU506" s="227"/>
    </row>
    <row r="507" spans="27:48" ht="12.95" customHeight="1">
      <c r="AA507" s="227"/>
      <c r="AB507" s="227"/>
      <c r="AC507" s="227"/>
      <c r="AD507" s="227"/>
      <c r="AE507" s="227"/>
      <c r="AG507" s="19"/>
      <c r="AN507" s="227"/>
      <c r="AO507" s="227"/>
      <c r="AP507" s="227"/>
      <c r="AQ507" s="227"/>
      <c r="AR507" s="227"/>
      <c r="AS507" s="227"/>
      <c r="AT507" s="227"/>
      <c r="AU507" s="227"/>
    </row>
    <row r="508" spans="27:48" ht="12.95" customHeight="1">
      <c r="AA508" s="227"/>
      <c r="AB508" s="227"/>
      <c r="AC508" s="227"/>
      <c r="AD508" s="227"/>
      <c r="AE508" s="227"/>
      <c r="AG508" s="19"/>
      <c r="AN508" s="227"/>
      <c r="AO508" s="227"/>
      <c r="AP508" s="227"/>
      <c r="AQ508" s="227"/>
      <c r="AR508" s="227"/>
      <c r="AS508" s="227"/>
      <c r="AT508" s="227"/>
      <c r="AU508" s="227"/>
    </row>
    <row r="509" spans="27:48" ht="12.95" customHeight="1">
      <c r="AA509" s="227"/>
      <c r="AB509" s="227"/>
      <c r="AC509" s="227"/>
      <c r="AD509" s="227"/>
      <c r="AE509" s="227"/>
      <c r="AG509" s="19"/>
      <c r="AN509" s="227"/>
      <c r="AO509" s="227"/>
      <c r="AP509" s="227"/>
      <c r="AQ509" s="227"/>
      <c r="AR509" s="227"/>
      <c r="AS509" s="227"/>
      <c r="AT509" s="227"/>
      <c r="AU509" s="227"/>
      <c r="AV509" s="227"/>
    </row>
    <row r="510" spans="27:48" ht="12.95" customHeight="1">
      <c r="AA510" s="227"/>
      <c r="AB510" s="227"/>
      <c r="AC510" s="227"/>
      <c r="AD510" s="227"/>
      <c r="AE510" s="227"/>
      <c r="AG510" s="19"/>
      <c r="AN510" s="227"/>
      <c r="AO510" s="227"/>
      <c r="AP510" s="227"/>
      <c r="AQ510" s="227"/>
      <c r="AR510" s="227"/>
      <c r="AS510" s="227"/>
      <c r="AT510" s="227"/>
      <c r="AU510" s="227"/>
    </row>
    <row r="511" spans="27:48" ht="12.95" customHeight="1">
      <c r="AA511" s="227"/>
      <c r="AB511" s="227"/>
      <c r="AC511" s="227"/>
      <c r="AD511" s="227"/>
      <c r="AE511" s="227"/>
      <c r="AG511" s="19"/>
      <c r="AN511" s="227"/>
      <c r="AO511" s="227"/>
      <c r="AP511" s="227"/>
      <c r="AQ511" s="227"/>
      <c r="AR511" s="227"/>
      <c r="AS511" s="227"/>
      <c r="AT511" s="227"/>
      <c r="AU511" s="227"/>
    </row>
    <row r="512" spans="27:48" ht="12.95" customHeight="1">
      <c r="AA512" s="227"/>
      <c r="AB512" s="227"/>
      <c r="AC512" s="227"/>
      <c r="AD512" s="227"/>
      <c r="AE512" s="227"/>
      <c r="AG512" s="19"/>
      <c r="AN512" s="227"/>
      <c r="AO512" s="227"/>
      <c r="AP512" s="227"/>
      <c r="AQ512" s="227"/>
      <c r="AR512" s="227"/>
      <c r="AS512" s="227"/>
      <c r="AT512" s="227"/>
      <c r="AU512" s="227"/>
      <c r="AV512" s="227"/>
    </row>
    <row r="513" spans="27:64" ht="12.95" customHeight="1">
      <c r="AA513" s="227"/>
      <c r="AB513" s="227"/>
      <c r="AC513" s="227"/>
      <c r="AD513" s="227"/>
      <c r="AE513" s="227"/>
      <c r="AG513" s="19"/>
      <c r="AN513" s="227"/>
      <c r="AO513" s="227"/>
      <c r="AP513" s="227"/>
      <c r="AQ513" s="227"/>
      <c r="AR513" s="227"/>
      <c r="AS513" s="227"/>
      <c r="AT513" s="227"/>
      <c r="AU513" s="227"/>
      <c r="AV513" s="227"/>
      <c r="AW513" s="227"/>
      <c r="AX513" s="227"/>
      <c r="AY513" s="227"/>
      <c r="AZ513" s="227"/>
      <c r="BA513" s="227"/>
      <c r="BB513" s="227"/>
      <c r="BC513" s="227"/>
      <c r="BD513" s="227"/>
      <c r="BE513" s="227"/>
      <c r="BF513" s="227"/>
      <c r="BG513" s="227"/>
      <c r="BH513" s="227"/>
      <c r="BI513" s="227"/>
      <c r="BJ513" s="227"/>
      <c r="BK513" s="227"/>
      <c r="BL513" s="227"/>
    </row>
    <row r="514" spans="27:64" ht="12.95" customHeight="1">
      <c r="AA514" s="227"/>
      <c r="AB514" s="227"/>
      <c r="AC514" s="227"/>
      <c r="AD514" s="227"/>
      <c r="AE514" s="227"/>
      <c r="AG514" s="19"/>
      <c r="AN514" s="227"/>
      <c r="AO514" s="227"/>
      <c r="AP514" s="227"/>
      <c r="AQ514" s="227"/>
      <c r="AR514" s="227"/>
      <c r="AS514" s="227"/>
      <c r="AT514" s="227"/>
      <c r="AU514" s="227"/>
    </row>
    <row r="515" spans="27:64" ht="12.95" customHeight="1">
      <c r="AA515" s="227"/>
      <c r="AB515" s="227"/>
      <c r="AC515" s="227"/>
      <c r="AD515" s="227"/>
      <c r="AE515" s="227"/>
      <c r="AG515" s="19"/>
      <c r="AN515" s="227"/>
      <c r="AO515" s="227"/>
      <c r="AP515" s="227"/>
      <c r="AQ515" s="227"/>
      <c r="AR515" s="227"/>
      <c r="AS515" s="227"/>
      <c r="AT515" s="227"/>
      <c r="AU515" s="227"/>
    </row>
    <row r="516" spans="27:64" ht="12.95" customHeight="1">
      <c r="AA516" s="227"/>
      <c r="AB516" s="227"/>
      <c r="AC516" s="227"/>
      <c r="AD516" s="227"/>
      <c r="AE516" s="227"/>
      <c r="AG516" s="19"/>
      <c r="AN516" s="227"/>
      <c r="AO516" s="227"/>
      <c r="AP516" s="227"/>
      <c r="AQ516" s="227"/>
      <c r="AR516" s="227"/>
      <c r="AS516" s="227"/>
      <c r="AT516" s="227"/>
      <c r="AU516" s="227"/>
    </row>
    <row r="517" spans="27:64" ht="12.95" customHeight="1">
      <c r="AA517" s="227"/>
      <c r="AB517" s="227"/>
      <c r="AC517" s="227"/>
      <c r="AD517" s="227"/>
      <c r="AE517" s="227"/>
      <c r="AG517" s="19"/>
      <c r="AN517" s="227"/>
      <c r="AO517" s="227"/>
      <c r="AP517" s="227"/>
      <c r="AQ517" s="227"/>
      <c r="AR517" s="227"/>
      <c r="AS517" s="227"/>
      <c r="AT517" s="227"/>
      <c r="AU517" s="227"/>
    </row>
    <row r="518" spans="27:64" ht="12.95" customHeight="1">
      <c r="AA518" s="227"/>
      <c r="AB518" s="227"/>
      <c r="AC518" s="227"/>
      <c r="AD518" s="227"/>
      <c r="AE518" s="227"/>
      <c r="AG518" s="19"/>
      <c r="AN518" s="227"/>
      <c r="AO518" s="227"/>
      <c r="AP518" s="227"/>
      <c r="AQ518" s="227"/>
      <c r="AR518" s="227"/>
      <c r="AS518" s="227"/>
      <c r="AT518" s="227"/>
      <c r="AU518" s="227"/>
    </row>
    <row r="519" spans="27:64" ht="12.95" customHeight="1">
      <c r="AA519" s="227"/>
      <c r="AB519" s="227"/>
      <c r="AC519" s="227"/>
      <c r="AD519" s="227"/>
      <c r="AE519" s="227"/>
      <c r="AG519" s="19"/>
      <c r="AN519" s="227"/>
      <c r="AO519" s="227"/>
      <c r="AP519" s="227"/>
      <c r="AQ519" s="227"/>
      <c r="AR519" s="227"/>
      <c r="AS519" s="227"/>
      <c r="AT519" s="227"/>
      <c r="AU519" s="227"/>
    </row>
    <row r="520" spans="27:64" ht="12.95" customHeight="1">
      <c r="AA520" s="227"/>
      <c r="AB520" s="227"/>
      <c r="AC520" s="227"/>
      <c r="AD520" s="227"/>
      <c r="AE520" s="227"/>
      <c r="AG520" s="19"/>
      <c r="AN520" s="227"/>
      <c r="AO520" s="227"/>
      <c r="AP520" s="227"/>
      <c r="AQ520" s="227"/>
      <c r="AR520" s="227"/>
      <c r="AS520" s="227"/>
      <c r="AT520" s="227"/>
      <c r="AU520" s="227"/>
    </row>
    <row r="521" spans="27:64" ht="12.95" customHeight="1">
      <c r="AA521" s="227"/>
      <c r="AB521" s="227"/>
      <c r="AC521" s="227"/>
      <c r="AD521" s="227"/>
      <c r="AE521" s="227"/>
      <c r="AG521" s="19"/>
      <c r="AN521" s="227"/>
      <c r="AO521" s="227"/>
      <c r="AP521" s="227"/>
      <c r="AQ521" s="227"/>
      <c r="AR521" s="227"/>
      <c r="AS521" s="227"/>
      <c r="AT521" s="227"/>
      <c r="AU521" s="227"/>
    </row>
    <row r="522" spans="27:64" ht="12.95" customHeight="1">
      <c r="AA522" s="227"/>
      <c r="AB522" s="227"/>
      <c r="AC522" s="227"/>
      <c r="AD522" s="227"/>
      <c r="AE522" s="227"/>
      <c r="AG522" s="19"/>
      <c r="AN522" s="227"/>
      <c r="AO522" s="227"/>
      <c r="AP522" s="227"/>
      <c r="AQ522" s="227"/>
      <c r="AR522" s="227"/>
      <c r="AS522" s="227"/>
      <c r="AT522" s="227"/>
      <c r="AU522" s="227"/>
      <c r="AV522" s="227"/>
      <c r="AX522" s="227"/>
    </row>
    <row r="523" spans="27:64" ht="12.95" customHeight="1">
      <c r="AA523" s="227"/>
      <c r="AB523" s="227"/>
      <c r="AC523" s="227"/>
      <c r="AD523" s="227"/>
      <c r="AE523" s="227"/>
      <c r="AG523" s="19"/>
      <c r="AN523" s="227"/>
      <c r="AO523" s="227"/>
      <c r="AP523" s="227"/>
      <c r="AQ523" s="227"/>
      <c r="AR523" s="227"/>
      <c r="AS523" s="227"/>
      <c r="AT523" s="227"/>
      <c r="AU523" s="227"/>
    </row>
    <row r="524" spans="27:64" ht="12.95" customHeight="1">
      <c r="AA524" s="227"/>
      <c r="AB524" s="227"/>
      <c r="AC524" s="227"/>
      <c r="AD524" s="227"/>
      <c r="AE524" s="227"/>
      <c r="AG524" s="19"/>
      <c r="AN524" s="227"/>
      <c r="AO524" s="227"/>
      <c r="AP524" s="227"/>
      <c r="AQ524" s="227"/>
      <c r="AR524" s="227"/>
      <c r="AS524" s="227"/>
      <c r="AT524" s="227"/>
      <c r="AU524" s="227"/>
    </row>
    <row r="525" spans="27:64" ht="12.95" customHeight="1">
      <c r="AA525" s="227"/>
      <c r="AB525" s="227"/>
      <c r="AC525" s="227"/>
      <c r="AD525" s="227"/>
      <c r="AE525" s="227"/>
      <c r="AG525" s="19"/>
      <c r="AN525" s="227"/>
      <c r="AO525" s="227"/>
      <c r="AP525" s="227"/>
      <c r="AQ525" s="227"/>
      <c r="AR525" s="227"/>
      <c r="AS525" s="227"/>
      <c r="AT525" s="227"/>
      <c r="AU525" s="227"/>
    </row>
    <row r="526" spans="27:64" ht="12.95" customHeight="1">
      <c r="AA526" s="227"/>
      <c r="AB526" s="227"/>
      <c r="AC526" s="227"/>
      <c r="AD526" s="227"/>
      <c r="AE526" s="227"/>
      <c r="AG526" s="19"/>
      <c r="AN526" s="227"/>
      <c r="AO526" s="227"/>
      <c r="AP526" s="227"/>
      <c r="AQ526" s="227"/>
      <c r="AR526" s="227"/>
      <c r="AS526" s="227"/>
      <c r="AT526" s="227"/>
      <c r="AU526" s="227"/>
    </row>
    <row r="527" spans="27:64" ht="12.95" customHeight="1">
      <c r="AA527" s="227"/>
      <c r="AB527" s="227"/>
      <c r="AC527" s="227"/>
      <c r="AD527" s="227"/>
      <c r="AE527" s="227"/>
      <c r="AG527" s="19"/>
      <c r="AN527" s="227"/>
      <c r="AO527" s="227"/>
      <c r="AP527" s="227"/>
      <c r="AQ527" s="227"/>
      <c r="AR527" s="227"/>
      <c r="AS527" s="227"/>
      <c r="AT527" s="227"/>
      <c r="AU527" s="227"/>
    </row>
    <row r="528" spans="27:64" ht="12.95" customHeight="1">
      <c r="AA528" s="227"/>
      <c r="AB528" s="227"/>
      <c r="AC528" s="227"/>
      <c r="AD528" s="227"/>
      <c r="AE528" s="227"/>
      <c r="AG528" s="19"/>
      <c r="AN528" s="227"/>
      <c r="AO528" s="227"/>
      <c r="AP528" s="227"/>
      <c r="AQ528" s="227"/>
      <c r="AR528" s="227"/>
      <c r="AS528" s="227"/>
      <c r="AT528" s="227"/>
      <c r="AU528" s="227"/>
      <c r="AV528" s="227"/>
      <c r="AW528" s="227"/>
      <c r="AX528" s="227"/>
      <c r="AY528" s="227"/>
      <c r="AZ528" s="227"/>
      <c r="BA528" s="227"/>
      <c r="BB528" s="227"/>
      <c r="BC528" s="227"/>
      <c r="BD528" s="227"/>
      <c r="BE528" s="227"/>
      <c r="BF528" s="227"/>
      <c r="BG528" s="227"/>
      <c r="BH528" s="227"/>
      <c r="BI528" s="227"/>
      <c r="BJ528" s="227"/>
      <c r="BK528" s="227"/>
      <c r="BL528" s="227"/>
    </row>
    <row r="529" spans="27:47" ht="12.95" customHeight="1">
      <c r="AA529" s="227"/>
      <c r="AB529" s="227"/>
      <c r="AC529" s="227"/>
      <c r="AD529" s="227"/>
      <c r="AE529" s="227"/>
      <c r="AG529" s="19"/>
      <c r="AN529" s="227"/>
      <c r="AO529" s="227"/>
      <c r="AP529" s="227"/>
      <c r="AQ529" s="227"/>
      <c r="AR529" s="227"/>
      <c r="AS529" s="227"/>
      <c r="AT529" s="227"/>
      <c r="AU529" s="227"/>
    </row>
    <row r="530" spans="27:47" ht="12.95" customHeight="1">
      <c r="AA530" s="227"/>
      <c r="AB530" s="227"/>
      <c r="AC530" s="227"/>
      <c r="AD530" s="227"/>
      <c r="AE530" s="227"/>
      <c r="AG530" s="19"/>
      <c r="AN530" s="227"/>
      <c r="AO530" s="227"/>
      <c r="AP530" s="227"/>
      <c r="AQ530" s="227"/>
      <c r="AR530" s="227"/>
      <c r="AS530" s="227"/>
      <c r="AT530" s="227"/>
      <c r="AU530" s="227"/>
    </row>
    <row r="531" spans="27:47" ht="12.95" customHeight="1">
      <c r="AA531" s="227"/>
      <c r="AB531" s="227"/>
      <c r="AC531" s="227"/>
      <c r="AD531" s="227"/>
      <c r="AE531" s="227"/>
      <c r="AG531" s="19"/>
      <c r="AN531" s="227"/>
      <c r="AO531" s="227"/>
      <c r="AP531" s="227"/>
      <c r="AQ531" s="227"/>
      <c r="AR531" s="227"/>
      <c r="AS531" s="227"/>
      <c r="AT531" s="227"/>
      <c r="AU531" s="227"/>
    </row>
    <row r="532" spans="27:47" ht="12.95" customHeight="1">
      <c r="AA532" s="227"/>
      <c r="AB532" s="227"/>
      <c r="AC532" s="227"/>
      <c r="AD532" s="227"/>
      <c r="AE532" s="227"/>
      <c r="AG532" s="19"/>
      <c r="AN532" s="227"/>
      <c r="AO532" s="227"/>
      <c r="AP532" s="227"/>
      <c r="AQ532" s="227"/>
      <c r="AR532" s="227"/>
      <c r="AS532" s="227"/>
      <c r="AT532" s="227"/>
      <c r="AU532" s="227"/>
    </row>
    <row r="533" spans="27:47" ht="12.95" customHeight="1">
      <c r="AA533" s="227"/>
      <c r="AB533" s="227"/>
      <c r="AC533" s="227"/>
      <c r="AD533" s="227"/>
      <c r="AE533" s="227"/>
      <c r="AG533" s="19"/>
      <c r="AN533" s="227"/>
      <c r="AO533" s="227"/>
      <c r="AP533" s="227"/>
      <c r="AQ533" s="227"/>
      <c r="AR533" s="227"/>
      <c r="AS533" s="227"/>
      <c r="AT533" s="227"/>
      <c r="AU533" s="227"/>
    </row>
    <row r="534" spans="27:47" ht="12.95" customHeight="1">
      <c r="AA534" s="227"/>
      <c r="AB534" s="227"/>
      <c r="AC534" s="227"/>
      <c r="AD534" s="227"/>
      <c r="AE534" s="227"/>
      <c r="AG534" s="19"/>
      <c r="AN534" s="227"/>
      <c r="AO534" s="227"/>
      <c r="AP534" s="227"/>
      <c r="AQ534" s="227"/>
      <c r="AR534" s="227"/>
      <c r="AS534" s="227"/>
      <c r="AT534" s="227"/>
      <c r="AU534" s="227"/>
    </row>
    <row r="535" spans="27:47" ht="12.95" customHeight="1">
      <c r="AA535" s="227"/>
      <c r="AB535" s="227"/>
      <c r="AC535" s="227"/>
      <c r="AD535" s="227"/>
      <c r="AE535" s="227"/>
      <c r="AG535" s="19"/>
      <c r="AN535" s="227"/>
      <c r="AO535" s="227"/>
      <c r="AP535" s="227"/>
      <c r="AQ535" s="227"/>
      <c r="AR535" s="227"/>
      <c r="AS535" s="227"/>
      <c r="AT535" s="227"/>
      <c r="AU535" s="227"/>
    </row>
    <row r="536" spans="27:47" ht="12.95" customHeight="1">
      <c r="AA536" s="227"/>
      <c r="AB536" s="227"/>
      <c r="AC536" s="227"/>
      <c r="AD536" s="227"/>
      <c r="AE536" s="227"/>
      <c r="AG536" s="19"/>
      <c r="AN536" s="227"/>
      <c r="AO536" s="227"/>
      <c r="AP536" s="227"/>
      <c r="AQ536" s="227"/>
      <c r="AR536" s="227"/>
      <c r="AS536" s="227"/>
      <c r="AT536" s="227"/>
      <c r="AU536" s="227"/>
    </row>
    <row r="537" spans="27:47" ht="12.95" customHeight="1">
      <c r="AA537" s="227"/>
      <c r="AB537" s="227"/>
      <c r="AC537" s="227"/>
      <c r="AD537" s="227"/>
      <c r="AE537" s="227"/>
      <c r="AG537" s="19"/>
      <c r="AN537" s="227"/>
      <c r="AO537" s="227"/>
      <c r="AP537" s="227"/>
      <c r="AQ537" s="227"/>
      <c r="AR537" s="227"/>
      <c r="AS537" s="227"/>
      <c r="AT537" s="227"/>
      <c r="AU537" s="227"/>
    </row>
    <row r="538" spans="27:47" ht="12.95" customHeight="1">
      <c r="AA538" s="227"/>
      <c r="AB538" s="227"/>
      <c r="AC538" s="227"/>
      <c r="AD538" s="227"/>
      <c r="AE538" s="227"/>
      <c r="AG538" s="19"/>
      <c r="AN538" s="227"/>
      <c r="AO538" s="227"/>
      <c r="AP538" s="227"/>
      <c r="AQ538" s="227"/>
      <c r="AR538" s="227"/>
      <c r="AS538" s="227"/>
      <c r="AT538" s="227"/>
      <c r="AU538" s="227"/>
    </row>
    <row r="539" spans="27:47" ht="12.95" customHeight="1">
      <c r="AA539" s="227"/>
      <c r="AB539" s="227"/>
      <c r="AC539" s="227"/>
      <c r="AD539" s="227"/>
      <c r="AE539" s="227"/>
      <c r="AG539" s="19"/>
      <c r="AN539" s="227"/>
      <c r="AO539" s="227"/>
      <c r="AP539" s="227"/>
      <c r="AQ539" s="227"/>
      <c r="AR539" s="227"/>
      <c r="AS539" s="227"/>
      <c r="AT539" s="227"/>
      <c r="AU539" s="227"/>
    </row>
    <row r="540" spans="27:47" ht="12.95" customHeight="1">
      <c r="AA540" s="227"/>
      <c r="AB540" s="227"/>
      <c r="AC540" s="227"/>
      <c r="AD540" s="227"/>
      <c r="AE540" s="227"/>
      <c r="AG540" s="19"/>
      <c r="AN540" s="227"/>
      <c r="AO540" s="227"/>
      <c r="AP540" s="227"/>
      <c r="AQ540" s="227"/>
      <c r="AR540" s="227"/>
      <c r="AS540" s="227"/>
      <c r="AT540" s="227"/>
      <c r="AU540" s="227"/>
    </row>
    <row r="541" spans="27:47" ht="12.95" customHeight="1">
      <c r="AA541" s="227"/>
      <c r="AB541" s="227"/>
      <c r="AC541" s="227"/>
      <c r="AD541" s="227"/>
      <c r="AE541" s="227"/>
      <c r="AG541" s="19"/>
      <c r="AN541" s="227"/>
      <c r="AO541" s="227"/>
      <c r="AP541" s="227"/>
      <c r="AQ541" s="227"/>
      <c r="AR541" s="227"/>
      <c r="AS541" s="227"/>
      <c r="AT541" s="227"/>
      <c r="AU541" s="227"/>
    </row>
    <row r="542" spans="27:47" ht="12.95" customHeight="1">
      <c r="AA542" s="227"/>
      <c r="AB542" s="227"/>
      <c r="AC542" s="227"/>
      <c r="AD542" s="227"/>
      <c r="AE542" s="227"/>
      <c r="AG542" s="19"/>
      <c r="AN542" s="227"/>
      <c r="AO542" s="227"/>
      <c r="AP542" s="227"/>
      <c r="AQ542" s="227"/>
      <c r="AR542" s="227"/>
      <c r="AS542" s="227"/>
      <c r="AT542" s="227"/>
      <c r="AU542" s="227"/>
    </row>
    <row r="543" spans="27:47" ht="12.95" customHeight="1">
      <c r="AA543" s="227"/>
      <c r="AB543" s="227"/>
      <c r="AC543" s="227"/>
      <c r="AD543" s="227"/>
      <c r="AE543" s="227"/>
      <c r="AG543" s="19"/>
      <c r="AN543" s="227"/>
      <c r="AO543" s="227"/>
      <c r="AP543" s="227"/>
      <c r="AQ543" s="227"/>
      <c r="AR543" s="227"/>
      <c r="AS543" s="227"/>
      <c r="AT543" s="227"/>
      <c r="AU543" s="227"/>
    </row>
    <row r="544" spans="27:47" ht="12.95" customHeight="1">
      <c r="AA544" s="227"/>
      <c r="AB544" s="227"/>
      <c r="AC544" s="227"/>
      <c r="AD544" s="227"/>
      <c r="AE544" s="227"/>
      <c r="AG544" s="19"/>
      <c r="AN544" s="227"/>
      <c r="AO544" s="227"/>
      <c r="AP544" s="227"/>
      <c r="AQ544" s="227"/>
      <c r="AR544" s="227"/>
      <c r="AS544" s="227"/>
      <c r="AT544" s="227"/>
      <c r="AU544" s="227"/>
    </row>
    <row r="545" spans="27:48" ht="12.95" customHeight="1">
      <c r="AA545" s="227"/>
      <c r="AB545" s="227"/>
      <c r="AC545" s="227"/>
      <c r="AD545" s="227"/>
      <c r="AE545" s="227"/>
      <c r="AG545" s="19"/>
      <c r="AN545" s="227"/>
      <c r="AO545" s="227"/>
      <c r="AP545" s="227"/>
      <c r="AQ545" s="227"/>
      <c r="AR545" s="227"/>
      <c r="AS545" s="227"/>
      <c r="AT545" s="227"/>
      <c r="AU545" s="227"/>
    </row>
    <row r="546" spans="27:48" ht="12.95" customHeight="1">
      <c r="AA546" s="227"/>
      <c r="AB546" s="227"/>
      <c r="AC546" s="227"/>
      <c r="AD546" s="227"/>
      <c r="AE546" s="227"/>
      <c r="AG546" s="19"/>
      <c r="AN546" s="227"/>
      <c r="AO546" s="227"/>
      <c r="AP546" s="227"/>
      <c r="AQ546" s="227"/>
      <c r="AR546" s="227"/>
      <c r="AS546" s="227"/>
      <c r="AT546" s="227"/>
      <c r="AU546" s="227"/>
    </row>
    <row r="547" spans="27:48" ht="12.95" customHeight="1">
      <c r="AA547" s="227"/>
      <c r="AB547" s="227"/>
      <c r="AC547" s="227"/>
      <c r="AD547" s="227"/>
      <c r="AE547" s="227"/>
      <c r="AG547" s="19"/>
      <c r="AN547" s="227"/>
      <c r="AO547" s="227"/>
      <c r="AP547" s="227"/>
      <c r="AQ547" s="227"/>
      <c r="AR547" s="227"/>
      <c r="AS547" s="227"/>
      <c r="AT547" s="227"/>
      <c r="AU547" s="227"/>
    </row>
    <row r="548" spans="27:48" ht="12.95" customHeight="1">
      <c r="AA548" s="227"/>
      <c r="AB548" s="227"/>
      <c r="AC548" s="227"/>
      <c r="AD548" s="227"/>
      <c r="AE548" s="227"/>
      <c r="AG548" s="19"/>
      <c r="AN548" s="227"/>
      <c r="AO548" s="227"/>
      <c r="AP548" s="227"/>
      <c r="AQ548" s="227"/>
      <c r="AR548" s="227"/>
      <c r="AS548" s="227"/>
      <c r="AT548" s="227"/>
      <c r="AU548" s="227"/>
    </row>
    <row r="549" spans="27:48" ht="12.95" customHeight="1">
      <c r="AA549" s="227"/>
      <c r="AB549" s="227"/>
      <c r="AC549" s="227"/>
      <c r="AD549" s="227"/>
      <c r="AE549" s="227"/>
      <c r="AG549" s="19"/>
      <c r="AN549" s="227"/>
      <c r="AO549" s="227"/>
      <c r="AP549" s="227"/>
      <c r="AQ549" s="227"/>
      <c r="AR549" s="227"/>
      <c r="AS549" s="227"/>
      <c r="AT549" s="227"/>
      <c r="AU549" s="227"/>
    </row>
    <row r="550" spans="27:48" ht="12.95" customHeight="1">
      <c r="AA550" s="227"/>
      <c r="AB550" s="227"/>
      <c r="AC550" s="227"/>
      <c r="AD550" s="227"/>
      <c r="AE550" s="227"/>
      <c r="AG550" s="19"/>
      <c r="AN550" s="227"/>
      <c r="AO550" s="227"/>
      <c r="AP550" s="227"/>
      <c r="AQ550" s="227"/>
      <c r="AR550" s="227"/>
      <c r="AS550" s="227"/>
      <c r="AT550" s="227"/>
      <c r="AU550" s="227"/>
    </row>
    <row r="551" spans="27:48" ht="12.95" customHeight="1">
      <c r="AA551" s="227"/>
      <c r="AB551" s="227"/>
      <c r="AC551" s="227"/>
      <c r="AD551" s="227"/>
      <c r="AE551" s="227"/>
      <c r="AG551" s="19"/>
      <c r="AN551" s="227"/>
      <c r="AO551" s="227"/>
      <c r="AP551" s="227"/>
      <c r="AQ551" s="227"/>
      <c r="AR551" s="227"/>
      <c r="AS551" s="227"/>
      <c r="AT551" s="227"/>
      <c r="AU551" s="227"/>
    </row>
    <row r="552" spans="27:48" ht="12.95" customHeight="1">
      <c r="AA552" s="227"/>
      <c r="AB552" s="227"/>
      <c r="AC552" s="227"/>
      <c r="AD552" s="227"/>
      <c r="AE552" s="227"/>
      <c r="AG552" s="19"/>
      <c r="AN552" s="227"/>
      <c r="AO552" s="227"/>
      <c r="AP552" s="227"/>
      <c r="AQ552" s="227"/>
      <c r="AR552" s="227"/>
      <c r="AS552" s="227"/>
      <c r="AT552" s="227"/>
      <c r="AU552" s="227"/>
    </row>
    <row r="553" spans="27:48" ht="12.95" customHeight="1">
      <c r="AA553" s="227"/>
      <c r="AB553" s="227"/>
      <c r="AC553" s="227"/>
      <c r="AD553" s="227"/>
      <c r="AE553" s="227"/>
      <c r="AG553" s="19"/>
      <c r="AN553" s="227"/>
      <c r="AO553" s="227"/>
      <c r="AP553" s="227"/>
      <c r="AQ553" s="227"/>
      <c r="AR553" s="227"/>
      <c r="AS553" s="227"/>
      <c r="AT553" s="227"/>
      <c r="AU553" s="227"/>
      <c r="AV553" s="227"/>
    </row>
    <row r="554" spans="27:48" ht="12.95" customHeight="1">
      <c r="AA554" s="227"/>
      <c r="AB554" s="227"/>
      <c r="AC554" s="227"/>
      <c r="AD554" s="227"/>
      <c r="AE554" s="227"/>
      <c r="AG554" s="19"/>
      <c r="AN554" s="227"/>
      <c r="AO554" s="227"/>
      <c r="AP554" s="227"/>
      <c r="AQ554" s="227"/>
      <c r="AR554" s="227"/>
      <c r="AS554" s="227"/>
      <c r="AT554" s="227"/>
      <c r="AU554" s="227"/>
    </row>
    <row r="555" spans="27:48" ht="12.95" customHeight="1">
      <c r="AA555" s="227"/>
      <c r="AB555" s="227"/>
      <c r="AC555" s="227"/>
      <c r="AD555" s="227"/>
      <c r="AE555" s="227"/>
      <c r="AG555" s="19"/>
      <c r="AN555" s="227"/>
      <c r="AO555" s="227"/>
      <c r="AP555" s="227"/>
      <c r="AQ555" s="227"/>
      <c r="AR555" s="227"/>
      <c r="AS555" s="227"/>
      <c r="AT555" s="227"/>
      <c r="AU555" s="227"/>
    </row>
    <row r="556" spans="27:48" ht="12.95" customHeight="1">
      <c r="AA556" s="227"/>
      <c r="AB556" s="227"/>
      <c r="AC556" s="227"/>
      <c r="AD556" s="227"/>
      <c r="AE556" s="227"/>
      <c r="AG556" s="19"/>
      <c r="AN556" s="227"/>
      <c r="AO556" s="227"/>
      <c r="AP556" s="227"/>
      <c r="AQ556" s="227"/>
      <c r="AR556" s="227"/>
      <c r="AS556" s="227"/>
      <c r="AT556" s="227"/>
      <c r="AU556" s="227"/>
    </row>
    <row r="557" spans="27:48" ht="12.95" customHeight="1">
      <c r="AA557" s="227"/>
      <c r="AB557" s="227"/>
      <c r="AC557" s="227"/>
      <c r="AD557" s="227"/>
      <c r="AE557" s="227"/>
      <c r="AG557" s="19"/>
      <c r="AN557" s="227"/>
      <c r="AO557" s="227"/>
      <c r="AP557" s="227"/>
      <c r="AQ557" s="227"/>
      <c r="AR557" s="227"/>
      <c r="AS557" s="227"/>
      <c r="AT557" s="227"/>
      <c r="AU557" s="227"/>
    </row>
    <row r="558" spans="27:48" ht="12.95" customHeight="1">
      <c r="AA558" s="227"/>
      <c r="AB558" s="227"/>
      <c r="AC558" s="227"/>
      <c r="AD558" s="227"/>
      <c r="AE558" s="227"/>
      <c r="AG558" s="19"/>
      <c r="AN558" s="227"/>
      <c r="AO558" s="227"/>
      <c r="AP558" s="227"/>
      <c r="AQ558" s="227"/>
      <c r="AR558" s="227"/>
      <c r="AS558" s="227"/>
      <c r="AT558" s="227"/>
      <c r="AU558" s="227"/>
    </row>
    <row r="559" spans="27:48" ht="12.95" customHeight="1">
      <c r="AA559" s="227"/>
      <c r="AB559" s="227"/>
      <c r="AC559" s="227"/>
      <c r="AD559" s="227"/>
      <c r="AE559" s="227"/>
      <c r="AG559" s="19"/>
      <c r="AN559" s="227"/>
      <c r="AO559" s="227"/>
      <c r="AP559" s="227"/>
      <c r="AQ559" s="227"/>
      <c r="AR559" s="227"/>
      <c r="AS559" s="227"/>
      <c r="AT559" s="227"/>
      <c r="AU559" s="227"/>
    </row>
    <row r="560" spans="27:48" ht="12.95" customHeight="1">
      <c r="AA560" s="227"/>
      <c r="AB560" s="227"/>
      <c r="AC560" s="227"/>
      <c r="AD560" s="227"/>
      <c r="AE560" s="227"/>
      <c r="AG560" s="19"/>
      <c r="AN560" s="227"/>
      <c r="AO560" s="227"/>
      <c r="AP560" s="227"/>
      <c r="AQ560" s="227"/>
      <c r="AR560" s="227"/>
      <c r="AS560" s="227"/>
      <c r="AT560" s="227"/>
      <c r="AU560" s="227"/>
    </row>
    <row r="561" spans="27:48" ht="12.95" customHeight="1">
      <c r="AA561" s="227"/>
      <c r="AB561" s="227"/>
      <c r="AC561" s="227"/>
      <c r="AD561" s="227"/>
      <c r="AE561" s="227"/>
      <c r="AG561" s="19"/>
      <c r="AN561" s="227"/>
      <c r="AO561" s="227"/>
      <c r="AP561" s="227"/>
      <c r="AQ561" s="227"/>
      <c r="AR561" s="227"/>
      <c r="AS561" s="227"/>
      <c r="AT561" s="227"/>
      <c r="AU561" s="227"/>
    </row>
    <row r="562" spans="27:48" ht="12.95" customHeight="1">
      <c r="AA562" s="227"/>
      <c r="AB562" s="227"/>
      <c r="AC562" s="227"/>
      <c r="AD562" s="227"/>
      <c r="AE562" s="227"/>
      <c r="AG562" s="19"/>
      <c r="AN562" s="227"/>
      <c r="AO562" s="227"/>
      <c r="AP562" s="227"/>
      <c r="AQ562" s="227"/>
      <c r="AR562" s="227"/>
      <c r="AS562" s="227"/>
      <c r="AT562" s="227"/>
      <c r="AU562" s="227"/>
    </row>
    <row r="563" spans="27:48" ht="12.95" customHeight="1">
      <c r="AA563" s="227"/>
      <c r="AB563" s="227"/>
      <c r="AC563" s="227"/>
      <c r="AD563" s="227"/>
      <c r="AE563" s="227"/>
      <c r="AG563" s="19"/>
      <c r="AN563" s="227"/>
      <c r="AO563" s="227"/>
      <c r="AP563" s="227"/>
      <c r="AQ563" s="227"/>
      <c r="AR563" s="227"/>
      <c r="AS563" s="227"/>
      <c r="AT563" s="227"/>
      <c r="AU563" s="227"/>
    </row>
    <row r="564" spans="27:48" ht="12.95" customHeight="1">
      <c r="AA564" s="227"/>
      <c r="AB564" s="227"/>
      <c r="AC564" s="227"/>
      <c r="AD564" s="227"/>
      <c r="AE564" s="227"/>
      <c r="AG564" s="19"/>
      <c r="AN564" s="227"/>
      <c r="AO564" s="227"/>
      <c r="AP564" s="227"/>
      <c r="AQ564" s="227"/>
      <c r="AR564" s="227"/>
      <c r="AS564" s="227"/>
      <c r="AT564" s="227"/>
      <c r="AU564" s="227"/>
    </row>
    <row r="565" spans="27:48" ht="12.95" customHeight="1">
      <c r="AA565" s="227"/>
      <c r="AB565" s="227"/>
      <c r="AC565" s="227"/>
      <c r="AD565" s="227"/>
      <c r="AE565" s="227"/>
      <c r="AG565" s="19"/>
      <c r="AN565" s="227"/>
      <c r="AO565" s="227"/>
      <c r="AP565" s="227"/>
      <c r="AQ565" s="227"/>
      <c r="AR565" s="227"/>
      <c r="AS565" s="227"/>
      <c r="AT565" s="227"/>
      <c r="AU565" s="227"/>
    </row>
    <row r="566" spans="27:48" ht="12.95" customHeight="1">
      <c r="AA566" s="227"/>
      <c r="AB566" s="227"/>
      <c r="AC566" s="227"/>
      <c r="AD566" s="227"/>
      <c r="AE566" s="227"/>
      <c r="AG566" s="19"/>
      <c r="AN566" s="227"/>
      <c r="AO566" s="227"/>
      <c r="AP566" s="227"/>
      <c r="AQ566" s="227"/>
      <c r="AR566" s="227"/>
      <c r="AS566" s="227"/>
      <c r="AT566" s="227"/>
      <c r="AU566" s="227"/>
    </row>
    <row r="567" spans="27:48" ht="12.95" customHeight="1">
      <c r="AA567" s="227"/>
      <c r="AB567" s="227"/>
      <c r="AC567" s="227"/>
      <c r="AD567" s="227"/>
      <c r="AE567" s="227"/>
      <c r="AG567" s="19"/>
      <c r="AN567" s="227"/>
      <c r="AO567" s="227"/>
      <c r="AP567" s="227"/>
      <c r="AQ567" s="227"/>
      <c r="AR567" s="227"/>
      <c r="AS567" s="227"/>
      <c r="AT567" s="227"/>
      <c r="AU567" s="227"/>
    </row>
    <row r="568" spans="27:48" ht="12.95" customHeight="1">
      <c r="AA568" s="227"/>
      <c r="AB568" s="227"/>
      <c r="AC568" s="227"/>
      <c r="AD568" s="227"/>
      <c r="AE568" s="227"/>
      <c r="AG568" s="19"/>
      <c r="AN568" s="227"/>
      <c r="AO568" s="227"/>
      <c r="AP568" s="227"/>
      <c r="AQ568" s="227"/>
      <c r="AR568" s="227"/>
      <c r="AS568" s="227"/>
      <c r="AT568" s="227"/>
      <c r="AU568" s="227"/>
    </row>
    <row r="569" spans="27:48" ht="12.95" customHeight="1">
      <c r="AA569" s="227"/>
      <c r="AB569" s="227"/>
      <c r="AC569" s="227"/>
      <c r="AD569" s="227"/>
      <c r="AE569" s="227"/>
      <c r="AG569" s="19"/>
      <c r="AN569" s="227"/>
      <c r="AO569" s="227"/>
      <c r="AP569" s="227"/>
      <c r="AQ569" s="227"/>
      <c r="AR569" s="227"/>
      <c r="AS569" s="227"/>
      <c r="AT569" s="227"/>
      <c r="AU569" s="227"/>
    </row>
    <row r="570" spans="27:48" ht="12.95" customHeight="1">
      <c r="AA570" s="227"/>
      <c r="AB570" s="227"/>
      <c r="AC570" s="227"/>
      <c r="AD570" s="227"/>
      <c r="AE570" s="227"/>
      <c r="AG570" s="19"/>
      <c r="AN570" s="227"/>
      <c r="AO570" s="227"/>
      <c r="AP570" s="227"/>
      <c r="AQ570" s="227"/>
      <c r="AR570" s="227"/>
      <c r="AS570" s="227"/>
      <c r="AT570" s="227"/>
      <c r="AU570" s="227"/>
    </row>
    <row r="571" spans="27:48" ht="12.95" customHeight="1">
      <c r="AA571" s="227"/>
      <c r="AB571" s="227"/>
      <c r="AC571" s="227"/>
      <c r="AD571" s="227"/>
      <c r="AE571" s="227"/>
      <c r="AG571" s="19"/>
      <c r="AN571" s="227"/>
      <c r="AO571" s="227"/>
      <c r="AP571" s="227"/>
      <c r="AQ571" s="227"/>
      <c r="AR571" s="227"/>
      <c r="AS571" s="227"/>
      <c r="AT571" s="227"/>
      <c r="AU571" s="227"/>
    </row>
    <row r="572" spans="27:48" ht="12.95" customHeight="1">
      <c r="AA572" s="227"/>
      <c r="AB572" s="227"/>
      <c r="AC572" s="227"/>
      <c r="AD572" s="227"/>
      <c r="AE572" s="227"/>
      <c r="AG572" s="19"/>
      <c r="AN572" s="227"/>
      <c r="AO572" s="227"/>
      <c r="AP572" s="227"/>
      <c r="AQ572" s="227"/>
      <c r="AR572" s="227"/>
      <c r="AS572" s="227"/>
      <c r="AT572" s="227"/>
      <c r="AU572" s="227"/>
    </row>
    <row r="573" spans="27:48" ht="12.95" customHeight="1">
      <c r="AA573" s="227"/>
      <c r="AB573" s="227"/>
      <c r="AC573" s="227"/>
      <c r="AD573" s="227"/>
      <c r="AE573" s="227"/>
      <c r="AG573" s="19"/>
      <c r="AN573" s="227"/>
      <c r="AO573" s="227"/>
      <c r="AP573" s="227"/>
      <c r="AQ573" s="227"/>
      <c r="AR573" s="227"/>
      <c r="AS573" s="227"/>
      <c r="AT573" s="227"/>
      <c r="AU573" s="227"/>
      <c r="AV573" s="227"/>
    </row>
    <row r="574" spans="27:48" ht="12.95" customHeight="1">
      <c r="AA574" s="227"/>
      <c r="AB574" s="227"/>
      <c r="AC574" s="227"/>
      <c r="AD574" s="227"/>
      <c r="AE574" s="227"/>
      <c r="AG574" s="19"/>
      <c r="AN574" s="227"/>
      <c r="AO574" s="227"/>
      <c r="AP574" s="227"/>
      <c r="AQ574" s="227"/>
      <c r="AR574" s="227"/>
      <c r="AS574" s="227"/>
      <c r="AT574" s="227"/>
      <c r="AU574" s="227"/>
    </row>
    <row r="575" spans="27:48" ht="12.95" customHeight="1">
      <c r="AA575" s="227"/>
      <c r="AB575" s="227"/>
      <c r="AC575" s="227"/>
      <c r="AD575" s="227"/>
      <c r="AE575" s="227"/>
      <c r="AG575" s="19"/>
      <c r="AN575" s="227"/>
      <c r="AO575" s="227"/>
      <c r="AP575" s="227"/>
      <c r="AQ575" s="227"/>
      <c r="AR575" s="227"/>
      <c r="AS575" s="227"/>
      <c r="AT575" s="227"/>
      <c r="AU575" s="227"/>
    </row>
    <row r="576" spans="27:48" ht="12.95" customHeight="1">
      <c r="AA576" s="227"/>
      <c r="AB576" s="227"/>
      <c r="AC576" s="227"/>
      <c r="AD576" s="227"/>
      <c r="AE576" s="227"/>
      <c r="AG576" s="19"/>
      <c r="AN576" s="227"/>
      <c r="AO576" s="227"/>
      <c r="AP576" s="227"/>
      <c r="AQ576" s="227"/>
      <c r="AR576" s="227"/>
      <c r="AS576" s="227"/>
      <c r="AT576" s="227"/>
      <c r="AU576" s="227"/>
    </row>
    <row r="577" spans="27:50" ht="12.95" customHeight="1">
      <c r="AA577" s="227"/>
      <c r="AB577" s="227"/>
      <c r="AC577" s="227"/>
      <c r="AD577" s="227"/>
      <c r="AE577" s="227"/>
      <c r="AG577" s="19"/>
      <c r="AN577" s="227"/>
      <c r="AO577" s="227"/>
      <c r="AP577" s="227"/>
      <c r="AQ577" s="227"/>
      <c r="AR577" s="227"/>
      <c r="AS577" s="227"/>
      <c r="AT577" s="227"/>
      <c r="AU577" s="227"/>
    </row>
    <row r="578" spans="27:50" ht="12.95" customHeight="1">
      <c r="AA578" s="227"/>
      <c r="AB578" s="227"/>
      <c r="AC578" s="227"/>
      <c r="AD578" s="227"/>
      <c r="AE578" s="227"/>
      <c r="AG578" s="19"/>
      <c r="AN578" s="227"/>
      <c r="AO578" s="227"/>
      <c r="AP578" s="227"/>
      <c r="AQ578" s="227"/>
      <c r="AR578" s="227"/>
      <c r="AS578" s="227"/>
      <c r="AT578" s="227"/>
      <c r="AU578" s="227"/>
    </row>
    <row r="579" spans="27:50" ht="12.95" customHeight="1">
      <c r="AA579" s="227"/>
      <c r="AB579" s="227"/>
      <c r="AC579" s="227"/>
      <c r="AD579" s="227"/>
      <c r="AE579" s="227"/>
      <c r="AG579" s="19"/>
      <c r="AN579" s="227"/>
      <c r="AO579" s="227"/>
      <c r="AP579" s="227"/>
      <c r="AQ579" s="227"/>
      <c r="AR579" s="227"/>
      <c r="AS579" s="227"/>
      <c r="AT579" s="227"/>
      <c r="AU579" s="227"/>
    </row>
    <row r="580" spans="27:50" ht="12.95" customHeight="1">
      <c r="AA580" s="227"/>
      <c r="AB580" s="227"/>
      <c r="AC580" s="227"/>
      <c r="AD580" s="227"/>
      <c r="AE580" s="227"/>
      <c r="AG580" s="19"/>
      <c r="AN580" s="227"/>
      <c r="AO580" s="227"/>
      <c r="AP580" s="227"/>
      <c r="AQ580" s="227"/>
      <c r="AR580" s="227"/>
      <c r="AS580" s="227"/>
      <c r="AT580" s="227"/>
      <c r="AU580" s="227"/>
    </row>
    <row r="581" spans="27:50" ht="12.95" customHeight="1">
      <c r="AA581" s="227"/>
      <c r="AB581" s="227"/>
      <c r="AC581" s="227"/>
      <c r="AD581" s="227"/>
      <c r="AE581" s="227"/>
      <c r="AG581" s="19"/>
      <c r="AN581" s="227"/>
      <c r="AO581" s="227"/>
      <c r="AP581" s="227"/>
      <c r="AQ581" s="227"/>
      <c r="AR581" s="227"/>
      <c r="AS581" s="227"/>
      <c r="AT581" s="227"/>
      <c r="AU581" s="227"/>
    </row>
    <row r="582" spans="27:50" ht="12.95" customHeight="1">
      <c r="AA582" s="227"/>
      <c r="AB582" s="227"/>
      <c r="AC582" s="227"/>
      <c r="AD582" s="227"/>
      <c r="AE582" s="227"/>
      <c r="AG582" s="19"/>
      <c r="AN582" s="227"/>
      <c r="AO582" s="227"/>
      <c r="AP582" s="227"/>
      <c r="AQ582" s="227"/>
      <c r="AR582" s="227"/>
      <c r="AS582" s="227"/>
      <c r="AT582" s="227"/>
      <c r="AU582" s="227"/>
    </row>
    <row r="583" spans="27:50" ht="12.95" customHeight="1">
      <c r="AA583" s="227"/>
      <c r="AB583" s="227"/>
      <c r="AC583" s="227"/>
      <c r="AD583" s="227"/>
      <c r="AE583" s="227"/>
      <c r="AG583" s="19"/>
      <c r="AN583" s="227"/>
      <c r="AO583" s="227"/>
      <c r="AP583" s="227"/>
      <c r="AQ583" s="227"/>
      <c r="AR583" s="227"/>
      <c r="AS583" s="227"/>
      <c r="AT583" s="227"/>
      <c r="AU583" s="227"/>
    </row>
    <row r="584" spans="27:50" ht="12.95" customHeight="1">
      <c r="AA584" s="227"/>
      <c r="AB584" s="227"/>
      <c r="AC584" s="227"/>
      <c r="AD584" s="227"/>
      <c r="AE584" s="227"/>
      <c r="AG584" s="19"/>
      <c r="AN584" s="227"/>
      <c r="AO584" s="227"/>
      <c r="AP584" s="227"/>
      <c r="AQ584" s="227"/>
      <c r="AR584" s="227"/>
      <c r="AS584" s="227"/>
      <c r="AT584" s="227"/>
      <c r="AU584" s="227"/>
    </row>
    <row r="585" spans="27:50" ht="12.95" customHeight="1">
      <c r="AA585" s="227"/>
      <c r="AB585" s="227"/>
      <c r="AC585" s="227"/>
      <c r="AD585" s="227"/>
      <c r="AE585" s="227"/>
      <c r="AG585" s="19"/>
      <c r="AN585" s="227"/>
      <c r="AO585" s="227"/>
      <c r="AP585" s="227"/>
      <c r="AQ585" s="227"/>
      <c r="AR585" s="227"/>
      <c r="AS585" s="227"/>
      <c r="AT585" s="227"/>
      <c r="AU585" s="227"/>
      <c r="AV585" s="227"/>
    </row>
    <row r="586" spans="27:50" ht="12.95" customHeight="1">
      <c r="AA586" s="227"/>
      <c r="AB586" s="227"/>
      <c r="AC586" s="227"/>
      <c r="AD586" s="227"/>
      <c r="AE586" s="227"/>
      <c r="AG586" s="19"/>
      <c r="AN586" s="227"/>
      <c r="AO586" s="227"/>
      <c r="AP586" s="227"/>
      <c r="AQ586" s="227"/>
      <c r="AR586" s="227"/>
      <c r="AS586" s="227"/>
      <c r="AT586" s="227"/>
      <c r="AU586" s="227"/>
      <c r="AV586" s="227"/>
    </row>
    <row r="587" spans="27:50" ht="12.95" customHeight="1">
      <c r="AA587" s="227"/>
      <c r="AB587" s="227"/>
      <c r="AC587" s="227"/>
      <c r="AD587" s="227"/>
      <c r="AE587" s="227"/>
      <c r="AG587" s="19"/>
      <c r="AN587" s="227"/>
      <c r="AO587" s="227"/>
      <c r="AP587" s="227"/>
      <c r="AQ587" s="227"/>
      <c r="AR587" s="227"/>
      <c r="AS587" s="227"/>
      <c r="AT587" s="227"/>
      <c r="AU587" s="227"/>
      <c r="AV587" s="227"/>
      <c r="AX587" s="227"/>
    </row>
    <row r="588" spans="27:50" ht="12.95" customHeight="1">
      <c r="AA588" s="227"/>
      <c r="AB588" s="227"/>
      <c r="AC588" s="227"/>
      <c r="AD588" s="227"/>
      <c r="AE588" s="227"/>
      <c r="AG588" s="19"/>
      <c r="AN588" s="227"/>
      <c r="AO588" s="227"/>
      <c r="AP588" s="227"/>
      <c r="AQ588" s="227"/>
      <c r="AR588" s="227"/>
      <c r="AS588" s="227"/>
      <c r="AT588" s="227"/>
      <c r="AU588" s="227"/>
      <c r="AV588" s="227"/>
    </row>
    <row r="589" spans="27:50" ht="12.95" customHeight="1">
      <c r="AA589" s="227"/>
      <c r="AB589" s="227"/>
      <c r="AC589" s="227"/>
      <c r="AD589" s="227"/>
      <c r="AE589" s="227"/>
      <c r="AG589" s="19"/>
      <c r="AN589" s="227"/>
      <c r="AO589" s="227"/>
      <c r="AP589" s="227"/>
      <c r="AQ589" s="227"/>
      <c r="AR589" s="227"/>
      <c r="AS589" s="227"/>
      <c r="AT589" s="227"/>
      <c r="AU589" s="227"/>
    </row>
    <row r="590" spans="27:50" ht="12.95" customHeight="1">
      <c r="AA590" s="227"/>
      <c r="AB590" s="227"/>
      <c r="AC590" s="227"/>
      <c r="AD590" s="227"/>
      <c r="AE590" s="227"/>
      <c r="AG590" s="19"/>
      <c r="AN590" s="227"/>
      <c r="AO590" s="227"/>
      <c r="AP590" s="227"/>
      <c r="AQ590" s="227"/>
      <c r="AR590" s="227"/>
      <c r="AS590" s="227"/>
      <c r="AT590" s="227"/>
      <c r="AU590" s="227"/>
    </row>
    <row r="591" spans="27:50" ht="12.95" customHeight="1">
      <c r="AA591" s="227"/>
      <c r="AB591" s="227"/>
      <c r="AC591" s="227"/>
      <c r="AD591" s="227"/>
      <c r="AE591" s="227"/>
      <c r="AG591" s="19"/>
      <c r="AN591" s="227"/>
      <c r="AO591" s="227"/>
      <c r="AP591" s="227"/>
      <c r="AQ591" s="227"/>
      <c r="AR591" s="227"/>
      <c r="AS591" s="227"/>
      <c r="AT591" s="227"/>
      <c r="AU591" s="227"/>
    </row>
    <row r="592" spans="27:50" ht="12.95" customHeight="1">
      <c r="AA592" s="227"/>
      <c r="AB592" s="227"/>
      <c r="AC592" s="227"/>
      <c r="AD592" s="227"/>
      <c r="AE592" s="227"/>
      <c r="AG592" s="19"/>
      <c r="AN592" s="227"/>
      <c r="AO592" s="227"/>
      <c r="AP592" s="227"/>
      <c r="AQ592" s="227"/>
      <c r="AR592" s="227"/>
      <c r="AS592" s="227"/>
      <c r="AT592" s="227"/>
      <c r="AU592" s="227"/>
    </row>
    <row r="593" spans="27:64" ht="12.95" customHeight="1">
      <c r="AA593" s="227"/>
      <c r="AB593" s="227"/>
      <c r="AC593" s="227"/>
      <c r="AD593" s="227"/>
      <c r="AE593" s="227"/>
      <c r="AG593" s="19"/>
      <c r="AN593" s="227"/>
      <c r="AO593" s="227"/>
      <c r="AP593" s="227"/>
      <c r="AQ593" s="227"/>
      <c r="AR593" s="227"/>
      <c r="AS593" s="227"/>
      <c r="AT593" s="227"/>
      <c r="AU593" s="227"/>
    </row>
    <row r="594" spans="27:64" ht="12.95" customHeight="1">
      <c r="AA594" s="227"/>
      <c r="AB594" s="227"/>
      <c r="AC594" s="227"/>
      <c r="AD594" s="227"/>
      <c r="AE594" s="227"/>
      <c r="AG594" s="19"/>
      <c r="AN594" s="227"/>
      <c r="AO594" s="227"/>
      <c r="AP594" s="227"/>
      <c r="AQ594" s="227"/>
      <c r="AR594" s="227"/>
      <c r="AS594" s="227"/>
      <c r="AT594" s="227"/>
      <c r="AU594" s="227"/>
    </row>
    <row r="595" spans="27:64" ht="12.95" customHeight="1">
      <c r="AA595" s="227"/>
      <c r="AB595" s="227"/>
      <c r="AC595" s="227"/>
      <c r="AD595" s="227"/>
      <c r="AE595" s="227"/>
      <c r="AG595" s="19"/>
      <c r="AN595" s="227"/>
      <c r="AO595" s="227"/>
      <c r="AP595" s="227"/>
      <c r="AQ595" s="227"/>
      <c r="AR595" s="227"/>
      <c r="AS595" s="227"/>
      <c r="AT595" s="227"/>
      <c r="AU595" s="227"/>
    </row>
    <row r="596" spans="27:64" ht="12.95" customHeight="1">
      <c r="AA596" s="227"/>
      <c r="AB596" s="227"/>
      <c r="AC596" s="227"/>
      <c r="AD596" s="227"/>
      <c r="AE596" s="227"/>
      <c r="AG596" s="19"/>
      <c r="AN596" s="227"/>
      <c r="AO596" s="227"/>
      <c r="AP596" s="227"/>
      <c r="AQ596" s="227"/>
      <c r="AR596" s="227"/>
      <c r="AS596" s="227"/>
      <c r="AT596" s="227"/>
      <c r="AU596" s="227"/>
    </row>
    <row r="597" spans="27:64" ht="12.95" customHeight="1">
      <c r="AA597" s="227"/>
      <c r="AB597" s="227"/>
      <c r="AC597" s="227"/>
      <c r="AD597" s="227"/>
      <c r="AE597" s="227"/>
      <c r="AG597" s="19"/>
      <c r="AN597" s="227"/>
      <c r="AO597" s="227"/>
      <c r="AP597" s="227"/>
      <c r="AQ597" s="227"/>
      <c r="AR597" s="227"/>
      <c r="AS597" s="227"/>
      <c r="AT597" s="227"/>
      <c r="AU597" s="227"/>
    </row>
    <row r="598" spans="27:64" ht="12.95" customHeight="1">
      <c r="AA598" s="227"/>
      <c r="AB598" s="227"/>
      <c r="AC598" s="227"/>
      <c r="AD598" s="227"/>
      <c r="AE598" s="227"/>
      <c r="AG598" s="19"/>
      <c r="AN598" s="227"/>
      <c r="AO598" s="227"/>
      <c r="AP598" s="227"/>
      <c r="AQ598" s="227"/>
      <c r="AR598" s="227"/>
      <c r="AS598" s="227"/>
      <c r="AT598" s="227"/>
      <c r="AU598" s="227"/>
    </row>
    <row r="599" spans="27:64" ht="12.95" customHeight="1">
      <c r="AA599" s="227"/>
      <c r="AB599" s="227"/>
      <c r="AC599" s="227"/>
      <c r="AD599" s="227"/>
      <c r="AE599" s="227"/>
      <c r="AG599" s="19"/>
      <c r="AN599" s="227"/>
      <c r="AO599" s="227"/>
      <c r="AP599" s="227"/>
      <c r="AQ599" s="227"/>
      <c r="AR599" s="227"/>
      <c r="AS599" s="227"/>
      <c r="AT599" s="227"/>
      <c r="AU599" s="227"/>
      <c r="AV599" s="227"/>
      <c r="AW599" s="227"/>
      <c r="AX599" s="227"/>
      <c r="AY599" s="227"/>
      <c r="AZ599" s="227"/>
      <c r="BA599" s="227"/>
      <c r="BB599" s="227"/>
      <c r="BC599" s="227"/>
      <c r="BD599" s="227"/>
      <c r="BE599" s="227"/>
      <c r="BF599" s="227"/>
      <c r="BG599" s="227"/>
      <c r="BH599" s="227"/>
      <c r="BI599" s="227"/>
      <c r="BJ599" s="227"/>
      <c r="BK599" s="227"/>
      <c r="BL599" s="227"/>
    </row>
    <row r="600" spans="27:64" ht="12.95" customHeight="1">
      <c r="AA600" s="227"/>
      <c r="AB600" s="227"/>
      <c r="AC600" s="227"/>
      <c r="AD600" s="227"/>
      <c r="AE600" s="227"/>
      <c r="AG600" s="19"/>
      <c r="AN600" s="227"/>
      <c r="AO600" s="227"/>
      <c r="AP600" s="227"/>
      <c r="AQ600" s="227"/>
      <c r="AR600" s="227"/>
      <c r="AS600" s="227"/>
      <c r="AT600" s="227"/>
      <c r="AU600" s="227"/>
    </row>
    <row r="601" spans="27:64" ht="12.95" customHeight="1">
      <c r="AA601" s="227"/>
      <c r="AB601" s="227"/>
      <c r="AC601" s="227"/>
      <c r="AD601" s="227"/>
      <c r="AE601" s="227"/>
      <c r="AG601" s="19"/>
      <c r="AN601" s="227"/>
      <c r="AO601" s="227"/>
      <c r="AP601" s="227"/>
      <c r="AQ601" s="227"/>
      <c r="AR601" s="227"/>
      <c r="AS601" s="227"/>
      <c r="AT601" s="227"/>
      <c r="AU601" s="227"/>
    </row>
    <row r="602" spans="27:64" ht="12.95" customHeight="1">
      <c r="AA602" s="227"/>
      <c r="AB602" s="227"/>
      <c r="AC602" s="227"/>
      <c r="AD602" s="227"/>
      <c r="AE602" s="227"/>
      <c r="AG602" s="19"/>
      <c r="AN602" s="227"/>
      <c r="AO602" s="227"/>
      <c r="AP602" s="227"/>
      <c r="AQ602" s="227"/>
      <c r="AR602" s="227"/>
      <c r="AS602" s="227"/>
      <c r="AT602" s="227"/>
      <c r="AU602" s="227"/>
    </row>
    <row r="603" spans="27:64" ht="12.95" customHeight="1">
      <c r="AA603" s="227"/>
      <c r="AB603" s="227"/>
      <c r="AC603" s="227"/>
      <c r="AD603" s="227"/>
      <c r="AE603" s="227"/>
      <c r="AG603" s="19"/>
      <c r="AN603" s="227"/>
      <c r="AO603" s="227"/>
      <c r="AP603" s="227"/>
      <c r="AQ603" s="227"/>
      <c r="AR603" s="227"/>
      <c r="AS603" s="227"/>
      <c r="AT603" s="227"/>
      <c r="AU603" s="227"/>
    </row>
    <row r="604" spans="27:64" ht="12.95" customHeight="1">
      <c r="AA604" s="227"/>
      <c r="AB604" s="227"/>
      <c r="AC604" s="227"/>
      <c r="AD604" s="227"/>
      <c r="AE604" s="227"/>
      <c r="AG604" s="19"/>
      <c r="AN604" s="227"/>
      <c r="AO604" s="227"/>
      <c r="AP604" s="227"/>
      <c r="AQ604" s="227"/>
      <c r="AR604" s="227"/>
      <c r="AS604" s="227"/>
      <c r="AT604" s="227"/>
      <c r="AU604" s="227"/>
    </row>
    <row r="605" spans="27:64" ht="12.95" customHeight="1">
      <c r="AA605" s="227"/>
      <c r="AB605" s="227"/>
      <c r="AC605" s="227"/>
      <c r="AD605" s="227"/>
      <c r="AE605" s="227"/>
      <c r="AG605" s="19"/>
      <c r="AN605" s="227"/>
      <c r="AO605" s="227"/>
      <c r="AP605" s="227"/>
      <c r="AQ605" s="227"/>
      <c r="AR605" s="227"/>
      <c r="AS605" s="227"/>
      <c r="AT605" s="227"/>
      <c r="AU605" s="227"/>
    </row>
    <row r="606" spans="27:64" ht="12.95" customHeight="1">
      <c r="AA606" s="227"/>
      <c r="AB606" s="227"/>
      <c r="AC606" s="227"/>
      <c r="AD606" s="227"/>
      <c r="AE606" s="227"/>
      <c r="AG606" s="19"/>
      <c r="AN606" s="227"/>
      <c r="AO606" s="227"/>
      <c r="AP606" s="227"/>
      <c r="AQ606" s="227"/>
      <c r="AR606" s="227"/>
      <c r="AS606" s="227"/>
      <c r="AT606" s="227"/>
      <c r="AU606" s="227"/>
    </row>
    <row r="607" spans="27:64" ht="12.95" customHeight="1">
      <c r="AA607" s="227"/>
      <c r="AB607" s="227"/>
      <c r="AC607" s="227"/>
      <c r="AD607" s="227"/>
      <c r="AE607" s="227"/>
      <c r="AG607" s="19"/>
      <c r="AN607" s="227"/>
      <c r="AO607" s="227"/>
      <c r="AP607" s="227"/>
      <c r="AQ607" s="227"/>
      <c r="AR607" s="227"/>
      <c r="AS607" s="227"/>
      <c r="AT607" s="227"/>
      <c r="AU607" s="227"/>
    </row>
    <row r="608" spans="27:64" ht="12.95" customHeight="1">
      <c r="AA608" s="227"/>
      <c r="AB608" s="227"/>
      <c r="AC608" s="227"/>
      <c r="AD608" s="227"/>
      <c r="AE608" s="227"/>
      <c r="AG608" s="19"/>
      <c r="AN608" s="227"/>
      <c r="AO608" s="227"/>
      <c r="AP608" s="227"/>
      <c r="AQ608" s="227"/>
      <c r="AR608" s="227"/>
      <c r="AS608" s="227"/>
      <c r="AT608" s="227"/>
      <c r="AU608" s="227"/>
      <c r="AV608" s="227"/>
    </row>
    <row r="609" spans="27:64" ht="12.95" customHeight="1">
      <c r="AA609" s="227"/>
      <c r="AB609" s="227"/>
      <c r="AC609" s="227"/>
      <c r="AD609" s="227"/>
      <c r="AE609" s="227"/>
      <c r="AG609" s="19"/>
      <c r="AN609" s="227"/>
      <c r="AO609" s="227"/>
      <c r="AP609" s="227"/>
      <c r="AQ609" s="227"/>
      <c r="AR609" s="227"/>
      <c r="AS609" s="227"/>
      <c r="AT609" s="227"/>
      <c r="AU609" s="227"/>
    </row>
    <row r="610" spans="27:64" ht="12.95" customHeight="1">
      <c r="AA610" s="227"/>
      <c r="AB610" s="227"/>
      <c r="AC610" s="227"/>
      <c r="AD610" s="227"/>
      <c r="AE610" s="227"/>
      <c r="AG610" s="19"/>
      <c r="AN610" s="227"/>
      <c r="AO610" s="227"/>
      <c r="AP610" s="227"/>
      <c r="AQ610" s="227"/>
      <c r="AR610" s="227"/>
      <c r="AS610" s="227"/>
      <c r="AT610" s="227"/>
      <c r="AU610" s="227"/>
    </row>
    <row r="611" spans="27:64" ht="12.95" customHeight="1">
      <c r="AA611" s="227"/>
      <c r="AB611" s="227"/>
      <c r="AC611" s="227"/>
      <c r="AD611" s="227"/>
      <c r="AE611" s="227"/>
      <c r="AG611" s="19"/>
      <c r="AN611" s="227"/>
      <c r="AO611" s="227"/>
      <c r="AP611" s="227"/>
      <c r="AQ611" s="227"/>
      <c r="AR611" s="227"/>
      <c r="AS611" s="227"/>
      <c r="AT611" s="227"/>
      <c r="AU611" s="227"/>
    </row>
    <row r="612" spans="27:64" ht="12.95" customHeight="1">
      <c r="AA612" s="227"/>
      <c r="AB612" s="227"/>
      <c r="AC612" s="227"/>
      <c r="AD612" s="227"/>
      <c r="AE612" s="227"/>
      <c r="AG612" s="19"/>
      <c r="AN612" s="227"/>
      <c r="AO612" s="227"/>
      <c r="AP612" s="227"/>
      <c r="AQ612" s="227"/>
      <c r="AR612" s="227"/>
      <c r="AS612" s="227"/>
      <c r="AT612" s="227"/>
      <c r="AU612" s="227"/>
      <c r="AV612" s="227"/>
      <c r="AW612" s="227"/>
      <c r="AX612" s="227"/>
      <c r="AY612" s="227"/>
      <c r="AZ612" s="227"/>
      <c r="BA612" s="227"/>
      <c r="BB612" s="227"/>
      <c r="BC612" s="227"/>
      <c r="BD612" s="227"/>
      <c r="BE612" s="227"/>
      <c r="BF612" s="227"/>
      <c r="BG612" s="227"/>
      <c r="BH612" s="227"/>
      <c r="BI612" s="227"/>
      <c r="BJ612" s="227"/>
      <c r="BK612" s="227"/>
      <c r="BL612" s="227"/>
    </row>
    <row r="613" spans="27:64" ht="12.95" customHeight="1">
      <c r="AA613" s="227"/>
      <c r="AB613" s="227"/>
      <c r="AC613" s="227"/>
      <c r="AD613" s="227"/>
      <c r="AE613" s="227"/>
      <c r="AG613" s="19"/>
      <c r="AN613" s="227"/>
      <c r="AO613" s="227"/>
      <c r="AP613" s="227"/>
      <c r="AQ613" s="227"/>
      <c r="AR613" s="227"/>
      <c r="AS613" s="227"/>
      <c r="AT613" s="227"/>
      <c r="AU613" s="227"/>
    </row>
    <row r="614" spans="27:64" ht="12.95" customHeight="1">
      <c r="AA614" s="227"/>
      <c r="AB614" s="227"/>
      <c r="AC614" s="227"/>
      <c r="AD614" s="227"/>
      <c r="AE614" s="227"/>
      <c r="AG614" s="19"/>
      <c r="AN614" s="227"/>
      <c r="AO614" s="227"/>
      <c r="AP614" s="227"/>
      <c r="AQ614" s="227"/>
      <c r="AR614" s="227"/>
      <c r="AS614" s="227"/>
      <c r="AT614" s="227"/>
      <c r="AU614" s="227"/>
    </row>
    <row r="615" spans="27:64" ht="12.95" customHeight="1">
      <c r="AA615" s="227"/>
      <c r="AB615" s="227"/>
      <c r="AC615" s="227"/>
      <c r="AD615" s="227"/>
      <c r="AE615" s="227"/>
      <c r="AG615" s="19"/>
      <c r="AN615" s="227"/>
      <c r="AO615" s="227"/>
      <c r="AP615" s="227"/>
      <c r="AQ615" s="227"/>
      <c r="AR615" s="227"/>
      <c r="AS615" s="227"/>
      <c r="AT615" s="227"/>
      <c r="AU615" s="227"/>
    </row>
    <row r="616" spans="27:64" ht="12.95" customHeight="1">
      <c r="AA616" s="227"/>
      <c r="AB616" s="227"/>
      <c r="AC616" s="227"/>
      <c r="AD616" s="227"/>
      <c r="AE616" s="227"/>
      <c r="AG616" s="19"/>
      <c r="AN616" s="227"/>
      <c r="AO616" s="227"/>
      <c r="AP616" s="227"/>
      <c r="AQ616" s="227"/>
      <c r="AR616" s="227"/>
      <c r="AS616" s="227"/>
      <c r="AT616" s="227"/>
      <c r="AU616" s="227"/>
    </row>
    <row r="617" spans="27:64" ht="12.95" customHeight="1">
      <c r="AA617" s="227"/>
      <c r="AB617" s="227"/>
      <c r="AC617" s="227"/>
      <c r="AD617" s="227"/>
      <c r="AE617" s="227"/>
      <c r="AG617" s="19"/>
      <c r="AN617" s="227"/>
      <c r="AO617" s="227"/>
      <c r="AP617" s="227"/>
      <c r="AQ617" s="227"/>
      <c r="AR617" s="227"/>
      <c r="AS617" s="227"/>
      <c r="AT617" s="227"/>
      <c r="AU617" s="227"/>
    </row>
    <row r="618" spans="27:64" ht="12.95" customHeight="1">
      <c r="AA618" s="227"/>
      <c r="AB618" s="227"/>
      <c r="AC618" s="227"/>
      <c r="AD618" s="227"/>
      <c r="AE618" s="227"/>
      <c r="AG618" s="19"/>
      <c r="AN618" s="227"/>
      <c r="AO618" s="227"/>
      <c r="AP618" s="227"/>
      <c r="AQ618" s="227"/>
      <c r="AR618" s="227"/>
      <c r="AS618" s="227"/>
      <c r="AT618" s="227"/>
      <c r="AU618" s="227"/>
    </row>
    <row r="619" spans="27:64" ht="12.95" customHeight="1">
      <c r="AA619" s="227"/>
      <c r="AB619" s="227"/>
      <c r="AC619" s="227"/>
      <c r="AD619" s="227"/>
      <c r="AE619" s="227"/>
      <c r="AG619" s="19"/>
      <c r="AN619" s="227"/>
      <c r="AO619" s="227"/>
      <c r="AP619" s="227"/>
      <c r="AQ619" s="227"/>
      <c r="AR619" s="227"/>
      <c r="AS619" s="227"/>
      <c r="AT619" s="227"/>
      <c r="AU619" s="227"/>
    </row>
    <row r="620" spans="27:64" ht="12.95" customHeight="1">
      <c r="AA620" s="227"/>
      <c r="AB620" s="227"/>
      <c r="AC620" s="227"/>
      <c r="AD620" s="227"/>
      <c r="AE620" s="227"/>
      <c r="AG620" s="19"/>
      <c r="AN620" s="227"/>
      <c r="AO620" s="227"/>
      <c r="AP620" s="227"/>
      <c r="AQ620" s="227"/>
      <c r="AR620" s="227"/>
      <c r="AS620" s="227"/>
      <c r="AT620" s="227"/>
      <c r="AU620" s="227"/>
      <c r="AV620" s="227"/>
      <c r="AW620" s="227"/>
      <c r="AX620" s="227"/>
      <c r="AY620" s="227"/>
      <c r="AZ620" s="227"/>
      <c r="BA620" s="227"/>
      <c r="BB620" s="227"/>
      <c r="BC620" s="227"/>
      <c r="BD620" s="227"/>
      <c r="BE620" s="227"/>
      <c r="BF620" s="227"/>
      <c r="BG620" s="227"/>
      <c r="BH620" s="227"/>
      <c r="BI620" s="227"/>
      <c r="BJ620" s="227"/>
      <c r="BK620" s="227"/>
      <c r="BL620" s="227"/>
    </row>
    <row r="621" spans="27:64" ht="12.95" customHeight="1">
      <c r="AA621" s="227"/>
      <c r="AB621" s="227"/>
      <c r="AC621" s="227"/>
      <c r="AD621" s="227"/>
      <c r="AE621" s="227"/>
      <c r="AG621" s="19"/>
      <c r="AN621" s="227"/>
      <c r="AO621" s="227"/>
      <c r="AP621" s="227"/>
      <c r="AQ621" s="227"/>
      <c r="AR621" s="227"/>
      <c r="AS621" s="227"/>
      <c r="AT621" s="227"/>
      <c r="AU621" s="227"/>
    </row>
    <row r="622" spans="27:64" ht="12.95" customHeight="1">
      <c r="AA622" s="227"/>
      <c r="AB622" s="227"/>
      <c r="AC622" s="227"/>
      <c r="AD622" s="227"/>
      <c r="AE622" s="227"/>
      <c r="AG622" s="19"/>
      <c r="AN622" s="227"/>
      <c r="AO622" s="227"/>
      <c r="AP622" s="227"/>
      <c r="AQ622" s="227"/>
      <c r="AR622" s="227"/>
      <c r="AS622" s="227"/>
      <c r="AT622" s="227"/>
      <c r="AU622" s="227"/>
    </row>
    <row r="623" spans="27:64" ht="12.95" customHeight="1">
      <c r="AA623" s="227"/>
      <c r="AB623" s="227"/>
      <c r="AC623" s="227"/>
      <c r="AD623" s="227"/>
      <c r="AE623" s="227"/>
      <c r="AG623" s="19"/>
      <c r="AN623" s="227"/>
      <c r="AO623" s="227"/>
      <c r="AP623" s="227"/>
      <c r="AQ623" s="227"/>
      <c r="AR623" s="227"/>
      <c r="AS623" s="227"/>
      <c r="AT623" s="227"/>
      <c r="AU623" s="227"/>
    </row>
    <row r="624" spans="27:64" ht="12.95" customHeight="1">
      <c r="AA624" s="227"/>
      <c r="AB624" s="227"/>
      <c r="AC624" s="227"/>
      <c r="AD624" s="227"/>
      <c r="AE624" s="227"/>
      <c r="AG624" s="19"/>
      <c r="AN624" s="227"/>
      <c r="AO624" s="227"/>
      <c r="AP624" s="227"/>
      <c r="AQ624" s="227"/>
      <c r="AR624" s="227"/>
      <c r="AS624" s="227"/>
      <c r="AT624" s="227"/>
      <c r="AU624" s="227"/>
    </row>
    <row r="625" spans="27:48" ht="12.95" customHeight="1">
      <c r="AA625" s="227"/>
      <c r="AB625" s="227"/>
      <c r="AC625" s="227"/>
      <c r="AD625" s="227"/>
      <c r="AE625" s="227"/>
      <c r="AG625" s="19"/>
      <c r="AN625" s="227"/>
      <c r="AO625" s="227"/>
      <c r="AP625" s="227"/>
      <c r="AQ625" s="227"/>
      <c r="AR625" s="227"/>
      <c r="AS625" s="227"/>
      <c r="AT625" s="227"/>
      <c r="AU625" s="227"/>
    </row>
    <row r="626" spans="27:48" ht="12.95" customHeight="1">
      <c r="AA626" s="227"/>
      <c r="AB626" s="227"/>
      <c r="AC626" s="227"/>
      <c r="AD626" s="227"/>
      <c r="AE626" s="227"/>
      <c r="AG626" s="19"/>
      <c r="AN626" s="227"/>
      <c r="AO626" s="227"/>
      <c r="AP626" s="227"/>
      <c r="AQ626" s="227"/>
      <c r="AR626" s="227"/>
      <c r="AS626" s="227"/>
      <c r="AT626" s="227"/>
      <c r="AU626" s="227"/>
    </row>
    <row r="627" spans="27:48" ht="12.95" customHeight="1">
      <c r="AA627" s="227"/>
      <c r="AB627" s="227"/>
      <c r="AC627" s="227"/>
      <c r="AD627" s="227"/>
      <c r="AE627" s="227"/>
      <c r="AG627" s="19"/>
      <c r="AN627" s="227"/>
      <c r="AO627" s="227"/>
      <c r="AP627" s="227"/>
      <c r="AQ627" s="227"/>
      <c r="AR627" s="227"/>
      <c r="AS627" s="227"/>
      <c r="AT627" s="227"/>
      <c r="AU627" s="227"/>
    </row>
    <row r="628" spans="27:48" ht="12.95" customHeight="1">
      <c r="AA628" s="227"/>
      <c r="AB628" s="227"/>
      <c r="AC628" s="227"/>
      <c r="AD628" s="227"/>
      <c r="AE628" s="227"/>
      <c r="AG628" s="19"/>
      <c r="AN628" s="227"/>
      <c r="AO628" s="227"/>
      <c r="AP628" s="227"/>
      <c r="AQ628" s="227"/>
      <c r="AR628" s="227"/>
      <c r="AS628" s="227"/>
      <c r="AT628" s="227"/>
      <c r="AU628" s="227"/>
    </row>
    <row r="629" spans="27:48" ht="12.95" customHeight="1">
      <c r="AA629" s="227"/>
      <c r="AB629" s="227"/>
      <c r="AC629" s="227"/>
      <c r="AD629" s="227"/>
      <c r="AE629" s="227"/>
      <c r="AG629" s="19"/>
      <c r="AN629" s="227"/>
      <c r="AO629" s="227"/>
      <c r="AP629" s="227"/>
      <c r="AQ629" s="227"/>
      <c r="AR629" s="227"/>
      <c r="AS629" s="227"/>
      <c r="AT629" s="227"/>
      <c r="AU629" s="227"/>
    </row>
    <row r="630" spans="27:48" ht="12.95" customHeight="1">
      <c r="AA630" s="227"/>
      <c r="AB630" s="227"/>
      <c r="AC630" s="227"/>
      <c r="AD630" s="227"/>
      <c r="AE630" s="227"/>
      <c r="AG630" s="19"/>
      <c r="AN630" s="227"/>
      <c r="AO630" s="227"/>
      <c r="AP630" s="227"/>
      <c r="AQ630" s="227"/>
      <c r="AR630" s="227"/>
      <c r="AS630" s="227"/>
      <c r="AT630" s="227"/>
      <c r="AU630" s="227"/>
    </row>
    <row r="631" spans="27:48" ht="12.95" customHeight="1">
      <c r="AA631" s="227"/>
      <c r="AB631" s="227"/>
      <c r="AC631" s="227"/>
      <c r="AD631" s="227"/>
      <c r="AE631" s="227"/>
      <c r="AG631" s="19"/>
      <c r="AN631" s="227"/>
      <c r="AO631" s="227"/>
      <c r="AP631" s="227"/>
      <c r="AQ631" s="227"/>
      <c r="AR631" s="227"/>
      <c r="AS631" s="227"/>
      <c r="AT631" s="227"/>
      <c r="AU631" s="227"/>
    </row>
    <row r="632" spans="27:48" ht="12.95" customHeight="1">
      <c r="AA632" s="227"/>
      <c r="AB632" s="227"/>
      <c r="AC632" s="227"/>
      <c r="AD632" s="227"/>
      <c r="AE632" s="227"/>
      <c r="AG632" s="19"/>
      <c r="AN632" s="227"/>
      <c r="AO632" s="227"/>
      <c r="AP632" s="227"/>
      <c r="AQ632" s="227"/>
      <c r="AR632" s="227"/>
      <c r="AS632" s="227"/>
      <c r="AT632" s="227"/>
      <c r="AU632" s="227"/>
    </row>
    <row r="633" spans="27:48" ht="12.95" customHeight="1">
      <c r="AA633" s="227"/>
      <c r="AB633" s="227"/>
      <c r="AC633" s="227"/>
      <c r="AD633" s="227"/>
      <c r="AE633" s="227"/>
      <c r="AG633" s="19"/>
      <c r="AN633" s="227"/>
      <c r="AO633" s="227"/>
      <c r="AP633" s="227"/>
      <c r="AQ633" s="227"/>
      <c r="AR633" s="227"/>
      <c r="AS633" s="227"/>
      <c r="AT633" s="227"/>
      <c r="AU633" s="227"/>
    </row>
    <row r="634" spans="27:48" ht="12.95" customHeight="1">
      <c r="AA634" s="227"/>
      <c r="AB634" s="227"/>
      <c r="AC634" s="227"/>
      <c r="AD634" s="227"/>
      <c r="AE634" s="227"/>
      <c r="AG634" s="19"/>
      <c r="AN634" s="227"/>
      <c r="AO634" s="227"/>
      <c r="AP634" s="227"/>
      <c r="AQ634" s="227"/>
      <c r="AR634" s="227"/>
      <c r="AS634" s="227"/>
      <c r="AT634" s="227"/>
      <c r="AU634" s="227"/>
      <c r="AV634" s="227"/>
    </row>
    <row r="635" spans="27:48" ht="12.95" customHeight="1">
      <c r="AA635" s="227"/>
      <c r="AB635" s="227"/>
      <c r="AC635" s="227"/>
      <c r="AD635" s="227"/>
      <c r="AE635" s="227"/>
      <c r="AG635" s="19"/>
      <c r="AN635" s="227"/>
      <c r="AO635" s="227"/>
      <c r="AP635" s="227"/>
      <c r="AQ635" s="227"/>
      <c r="AR635" s="227"/>
      <c r="AS635" s="227"/>
      <c r="AT635" s="227"/>
      <c r="AU635" s="227"/>
    </row>
    <row r="636" spans="27:48" ht="12.95" customHeight="1">
      <c r="AA636" s="227"/>
      <c r="AB636" s="227"/>
      <c r="AC636" s="227"/>
      <c r="AD636" s="227"/>
      <c r="AE636" s="227"/>
      <c r="AG636" s="19"/>
      <c r="AN636" s="227"/>
      <c r="AO636" s="227"/>
      <c r="AP636" s="227"/>
      <c r="AQ636" s="227"/>
      <c r="AR636" s="227"/>
      <c r="AS636" s="227"/>
      <c r="AT636" s="227"/>
      <c r="AU636" s="227"/>
    </row>
    <row r="637" spans="27:48" ht="12.95" customHeight="1">
      <c r="AA637" s="227"/>
      <c r="AB637" s="227"/>
      <c r="AC637" s="227"/>
      <c r="AD637" s="227"/>
      <c r="AE637" s="227"/>
      <c r="AG637" s="19"/>
      <c r="AN637" s="227"/>
      <c r="AO637" s="227"/>
      <c r="AP637" s="227"/>
      <c r="AQ637" s="227"/>
      <c r="AR637" s="227"/>
      <c r="AS637" s="227"/>
      <c r="AT637" s="227"/>
      <c r="AU637" s="227"/>
    </row>
    <row r="638" spans="27:48" ht="12.95" customHeight="1">
      <c r="AA638" s="227"/>
      <c r="AB638" s="227"/>
      <c r="AC638" s="227"/>
      <c r="AD638" s="227"/>
      <c r="AE638" s="227"/>
      <c r="AG638" s="19"/>
      <c r="AN638" s="227"/>
      <c r="AO638" s="227"/>
      <c r="AP638" s="227"/>
      <c r="AQ638" s="227"/>
      <c r="AR638" s="227"/>
      <c r="AS638" s="227"/>
      <c r="AT638" s="227"/>
      <c r="AU638" s="227"/>
    </row>
    <row r="639" spans="27:48" ht="12.95" customHeight="1">
      <c r="AA639" s="227"/>
      <c r="AB639" s="227"/>
      <c r="AC639" s="227"/>
      <c r="AD639" s="227"/>
      <c r="AE639" s="227"/>
      <c r="AG639" s="19"/>
      <c r="AN639" s="227"/>
      <c r="AO639" s="227"/>
      <c r="AP639" s="227"/>
      <c r="AQ639" s="227"/>
      <c r="AR639" s="227"/>
      <c r="AS639" s="227"/>
      <c r="AT639" s="227"/>
      <c r="AU639" s="227"/>
    </row>
    <row r="640" spans="27:48" ht="12.95" customHeight="1">
      <c r="AA640" s="227"/>
      <c r="AB640" s="227"/>
      <c r="AC640" s="227"/>
      <c r="AD640" s="227"/>
      <c r="AE640" s="227"/>
      <c r="AG640" s="19"/>
      <c r="AN640" s="227"/>
      <c r="AO640" s="227"/>
      <c r="AP640" s="227"/>
      <c r="AQ640" s="227"/>
      <c r="AR640" s="227"/>
      <c r="AS640" s="227"/>
      <c r="AT640" s="227"/>
      <c r="AU640" s="227"/>
    </row>
    <row r="641" spans="27:64" ht="12.95" customHeight="1">
      <c r="AA641" s="227"/>
      <c r="AB641" s="227"/>
      <c r="AC641" s="227"/>
      <c r="AD641" s="227"/>
      <c r="AE641" s="227"/>
      <c r="AG641" s="19"/>
      <c r="AN641" s="227"/>
      <c r="AO641" s="227"/>
      <c r="AP641" s="227"/>
      <c r="AQ641" s="227"/>
      <c r="AR641" s="227"/>
      <c r="AS641" s="227"/>
      <c r="AT641" s="227"/>
      <c r="AU641" s="227"/>
    </row>
    <row r="642" spans="27:64" ht="12.95" customHeight="1">
      <c r="AA642" s="227"/>
      <c r="AB642" s="227"/>
      <c r="AC642" s="227"/>
      <c r="AD642" s="227"/>
      <c r="AE642" s="227"/>
      <c r="AG642" s="19"/>
      <c r="AN642" s="227"/>
      <c r="AO642" s="227"/>
      <c r="AP642" s="227"/>
      <c r="AQ642" s="227"/>
      <c r="AR642" s="227"/>
      <c r="AS642" s="227"/>
      <c r="AT642" s="227"/>
      <c r="AU642" s="227"/>
    </row>
    <row r="643" spans="27:64" ht="12.95" customHeight="1">
      <c r="AA643" s="227"/>
      <c r="AB643" s="227"/>
      <c r="AC643" s="227"/>
      <c r="AD643" s="227"/>
      <c r="AE643" s="227"/>
      <c r="AG643" s="19"/>
      <c r="AN643" s="227"/>
      <c r="AO643" s="227"/>
      <c r="AP643" s="227"/>
      <c r="AQ643" s="227"/>
      <c r="AR643" s="227"/>
      <c r="AS643" s="227"/>
      <c r="AT643" s="227"/>
      <c r="AU643" s="227"/>
    </row>
    <row r="644" spans="27:64" ht="12.95" customHeight="1">
      <c r="AA644" s="227"/>
      <c r="AB644" s="227"/>
      <c r="AC644" s="227"/>
      <c r="AD644" s="227"/>
      <c r="AE644" s="227"/>
      <c r="AG644" s="19"/>
      <c r="AN644" s="227"/>
      <c r="AO644" s="227"/>
      <c r="AP644" s="227"/>
      <c r="AQ644" s="227"/>
      <c r="AR644" s="227"/>
      <c r="AS644" s="227"/>
      <c r="AT644" s="227"/>
      <c r="AU644" s="227"/>
    </row>
    <row r="645" spans="27:64" ht="12.95" customHeight="1">
      <c r="AA645" s="227"/>
      <c r="AB645" s="227"/>
      <c r="AC645" s="227"/>
      <c r="AD645" s="227"/>
      <c r="AE645" s="227"/>
      <c r="AG645" s="19"/>
      <c r="AN645" s="227"/>
      <c r="AO645" s="227"/>
      <c r="AP645" s="227"/>
      <c r="AQ645" s="227"/>
      <c r="AR645" s="227"/>
      <c r="AS645" s="227"/>
      <c r="AT645" s="227"/>
      <c r="AU645" s="227"/>
    </row>
    <row r="646" spans="27:64" ht="12.95" customHeight="1">
      <c r="AA646" s="227"/>
      <c r="AB646" s="227"/>
      <c r="AC646" s="227"/>
      <c r="AD646" s="227"/>
      <c r="AE646" s="227"/>
      <c r="AG646" s="19"/>
      <c r="AN646" s="227"/>
      <c r="AO646" s="227"/>
      <c r="AP646" s="227"/>
      <c r="AQ646" s="227"/>
      <c r="AR646" s="227"/>
      <c r="AS646" s="227"/>
      <c r="AT646" s="227"/>
      <c r="AU646" s="227"/>
    </row>
    <row r="647" spans="27:64" ht="12.95" customHeight="1">
      <c r="AA647" s="227"/>
      <c r="AB647" s="227"/>
      <c r="AC647" s="227"/>
      <c r="AD647" s="227"/>
      <c r="AE647" s="227"/>
      <c r="AG647" s="19"/>
      <c r="AN647" s="227"/>
      <c r="AO647" s="227"/>
      <c r="AP647" s="227"/>
      <c r="AQ647" s="227"/>
      <c r="AR647" s="227"/>
      <c r="AS647" s="227"/>
      <c r="AT647" s="227"/>
      <c r="AU647" s="227"/>
    </row>
    <row r="648" spans="27:64" ht="12.95" customHeight="1">
      <c r="AA648" s="227"/>
      <c r="AB648" s="227"/>
      <c r="AC648" s="227"/>
      <c r="AD648" s="227"/>
      <c r="AE648" s="227"/>
      <c r="AG648" s="19"/>
      <c r="AN648" s="227"/>
      <c r="AO648" s="227"/>
      <c r="AP648" s="227"/>
      <c r="AQ648" s="227"/>
      <c r="AR648" s="227"/>
      <c r="AS648" s="227"/>
      <c r="AT648" s="227"/>
      <c r="AU648" s="227"/>
    </row>
    <row r="649" spans="27:64" ht="12.95" customHeight="1">
      <c r="AA649" s="227"/>
      <c r="AB649" s="227"/>
      <c r="AC649" s="227"/>
      <c r="AD649" s="227"/>
      <c r="AE649" s="227"/>
      <c r="AG649" s="19"/>
      <c r="AN649" s="227"/>
      <c r="AO649" s="227"/>
      <c r="AP649" s="227"/>
      <c r="AQ649" s="227"/>
      <c r="AR649" s="227"/>
      <c r="AS649" s="227"/>
      <c r="AT649" s="227"/>
      <c r="AU649" s="227"/>
    </row>
    <row r="650" spans="27:64" ht="12.95" customHeight="1">
      <c r="AA650" s="227"/>
      <c r="AB650" s="227"/>
      <c r="AC650" s="227"/>
      <c r="AD650" s="227"/>
      <c r="AE650" s="227"/>
      <c r="AG650" s="19"/>
      <c r="AN650" s="227"/>
      <c r="AO650" s="227"/>
      <c r="AP650" s="227"/>
      <c r="AQ650" s="227"/>
      <c r="AR650" s="227"/>
      <c r="AS650" s="227"/>
      <c r="AT650" s="227"/>
      <c r="AU650" s="227"/>
    </row>
    <row r="651" spans="27:64" ht="12.95" customHeight="1">
      <c r="AA651" s="227"/>
      <c r="AB651" s="227"/>
      <c r="AC651" s="227"/>
      <c r="AD651" s="227"/>
      <c r="AE651" s="227"/>
      <c r="AG651" s="19"/>
      <c r="AN651" s="227"/>
      <c r="AO651" s="227"/>
      <c r="AP651" s="227"/>
      <c r="AQ651" s="227"/>
      <c r="AR651" s="227"/>
      <c r="AS651" s="227"/>
      <c r="AT651" s="227"/>
      <c r="AU651" s="227"/>
    </row>
    <row r="652" spans="27:64" ht="12.95" customHeight="1">
      <c r="AA652" s="227"/>
      <c r="AB652" s="227"/>
      <c r="AC652" s="227"/>
      <c r="AD652" s="227"/>
      <c r="AE652" s="227"/>
      <c r="AG652" s="19"/>
      <c r="AN652" s="227"/>
      <c r="AO652" s="227"/>
      <c r="AP652" s="227"/>
      <c r="AQ652" s="227"/>
      <c r="AR652" s="227"/>
      <c r="AS652" s="227"/>
      <c r="AT652" s="227"/>
      <c r="AU652" s="227"/>
    </row>
    <row r="653" spans="27:64" ht="12.95" customHeight="1">
      <c r="AA653" s="227"/>
      <c r="AB653" s="227"/>
      <c r="AC653" s="227"/>
      <c r="AD653" s="227"/>
      <c r="AE653" s="227"/>
      <c r="AG653" s="19"/>
      <c r="AN653" s="227"/>
      <c r="AO653" s="227"/>
      <c r="AP653" s="227"/>
      <c r="AQ653" s="227"/>
      <c r="AR653" s="227"/>
      <c r="AS653" s="227"/>
      <c r="AT653" s="227"/>
      <c r="AU653" s="227"/>
      <c r="AV653" s="227"/>
      <c r="AW653" s="227"/>
      <c r="AX653" s="227"/>
      <c r="AY653" s="227"/>
      <c r="AZ653" s="227"/>
      <c r="BA653" s="227"/>
      <c r="BB653" s="227"/>
      <c r="BC653" s="227"/>
      <c r="BD653" s="227"/>
      <c r="BE653" s="227"/>
      <c r="BF653" s="227"/>
      <c r="BG653" s="227"/>
      <c r="BH653" s="227"/>
      <c r="BI653" s="227"/>
      <c r="BJ653" s="227"/>
      <c r="BK653" s="227"/>
      <c r="BL653" s="227"/>
    </row>
    <row r="654" spans="27:64" ht="12.95" customHeight="1">
      <c r="AA654" s="227"/>
      <c r="AB654" s="227"/>
      <c r="AC654" s="227"/>
      <c r="AD654" s="227"/>
      <c r="AE654" s="227"/>
      <c r="AG654" s="19"/>
      <c r="AN654" s="227"/>
      <c r="AO654" s="227"/>
      <c r="AP654" s="227"/>
      <c r="AQ654" s="227"/>
      <c r="AR654" s="227"/>
      <c r="AS654" s="227"/>
      <c r="AT654" s="227"/>
      <c r="AU654" s="227"/>
    </row>
    <row r="655" spans="27:64" ht="12.95" customHeight="1">
      <c r="AA655" s="227"/>
      <c r="AB655" s="227"/>
      <c r="AC655" s="227"/>
      <c r="AD655" s="227"/>
      <c r="AE655" s="227"/>
      <c r="AG655" s="19"/>
      <c r="AN655" s="227"/>
      <c r="AO655" s="227"/>
      <c r="AP655" s="227"/>
      <c r="AQ655" s="227"/>
      <c r="AR655" s="227"/>
      <c r="AS655" s="227"/>
      <c r="AT655" s="227"/>
      <c r="AU655" s="227"/>
    </row>
    <row r="656" spans="27:64" ht="12.95" customHeight="1">
      <c r="AA656" s="227"/>
      <c r="AB656" s="227"/>
      <c r="AC656" s="227"/>
      <c r="AD656" s="227"/>
      <c r="AE656" s="227"/>
      <c r="AG656" s="19"/>
      <c r="AN656" s="227"/>
      <c r="AO656" s="227"/>
      <c r="AP656" s="227"/>
      <c r="AQ656" s="227"/>
      <c r="AR656" s="227"/>
      <c r="AS656" s="227"/>
      <c r="AT656" s="227"/>
      <c r="AU656" s="227"/>
    </row>
    <row r="657" spans="27:64" ht="12.95" customHeight="1">
      <c r="AA657" s="227"/>
      <c r="AB657" s="227"/>
      <c r="AC657" s="227"/>
      <c r="AD657" s="227"/>
      <c r="AE657" s="227"/>
      <c r="AG657" s="19"/>
      <c r="AN657" s="227"/>
      <c r="AO657" s="227"/>
      <c r="AP657" s="227"/>
      <c r="AQ657" s="227"/>
      <c r="AR657" s="227"/>
      <c r="AS657" s="227"/>
      <c r="AT657" s="227"/>
      <c r="AU657" s="227"/>
    </row>
    <row r="658" spans="27:64" ht="12.95" customHeight="1">
      <c r="AA658" s="227"/>
      <c r="AB658" s="227"/>
      <c r="AC658" s="227"/>
      <c r="AD658" s="227"/>
      <c r="AE658" s="227"/>
      <c r="AG658" s="19"/>
      <c r="AN658" s="227"/>
      <c r="AO658" s="227"/>
      <c r="AP658" s="227"/>
      <c r="AQ658" s="227"/>
      <c r="AR658" s="227"/>
      <c r="AS658" s="227"/>
      <c r="AT658" s="227"/>
      <c r="AU658" s="227"/>
      <c r="AV658" s="227"/>
      <c r="AW658" s="227"/>
      <c r="AX658" s="227"/>
      <c r="AY658" s="227"/>
      <c r="AZ658" s="227"/>
      <c r="BA658" s="227"/>
      <c r="BB658" s="227"/>
      <c r="BC658" s="227"/>
      <c r="BD658" s="227"/>
      <c r="BE658" s="227"/>
      <c r="BF658" s="227"/>
      <c r="BG658" s="227"/>
      <c r="BH658" s="227"/>
      <c r="BI658" s="227"/>
      <c r="BJ658" s="227"/>
      <c r="BK658" s="227"/>
      <c r="BL658" s="227"/>
    </row>
    <row r="659" spans="27:64" ht="12.95" customHeight="1">
      <c r="AA659" s="227"/>
      <c r="AB659" s="227"/>
      <c r="AC659" s="227"/>
      <c r="AD659" s="227"/>
      <c r="AE659" s="227"/>
      <c r="AG659" s="19"/>
      <c r="AN659" s="227"/>
      <c r="AO659" s="227"/>
      <c r="AP659" s="227"/>
      <c r="AQ659" s="227"/>
      <c r="AR659" s="227"/>
      <c r="AS659" s="227"/>
      <c r="AT659" s="227"/>
      <c r="AU659" s="227"/>
    </row>
    <row r="660" spans="27:64" ht="12.95" customHeight="1">
      <c r="AA660" s="227"/>
      <c r="AB660" s="227"/>
      <c r="AC660" s="227"/>
      <c r="AD660" s="227"/>
      <c r="AE660" s="227"/>
      <c r="AG660" s="19"/>
      <c r="AN660" s="227"/>
      <c r="AO660" s="227"/>
      <c r="AP660" s="227"/>
      <c r="AQ660" s="227"/>
      <c r="AR660" s="227"/>
      <c r="AS660" s="227"/>
      <c r="AT660" s="227"/>
      <c r="AU660" s="227"/>
    </row>
    <row r="661" spans="27:64" ht="12.95" customHeight="1">
      <c r="AA661" s="227"/>
      <c r="AB661" s="227"/>
      <c r="AC661" s="227"/>
      <c r="AD661" s="227"/>
      <c r="AE661" s="227"/>
      <c r="AG661" s="19"/>
      <c r="AN661" s="227"/>
      <c r="AO661" s="227"/>
      <c r="AP661" s="227"/>
      <c r="AQ661" s="227"/>
      <c r="AR661" s="227"/>
      <c r="AS661" s="227"/>
      <c r="AT661" s="227"/>
      <c r="AU661" s="227"/>
    </row>
    <row r="662" spans="27:64" ht="12.95" customHeight="1">
      <c r="AA662" s="227"/>
      <c r="AB662" s="227"/>
      <c r="AC662" s="227"/>
      <c r="AD662" s="227"/>
      <c r="AE662" s="227"/>
      <c r="AG662" s="19"/>
      <c r="AN662" s="227"/>
      <c r="AO662" s="227"/>
      <c r="AP662" s="227"/>
      <c r="AQ662" s="227"/>
      <c r="AR662" s="227"/>
      <c r="AS662" s="227"/>
      <c r="AT662" s="227"/>
      <c r="AU662" s="227"/>
    </row>
    <row r="663" spans="27:64" ht="12.95" customHeight="1">
      <c r="AA663" s="227"/>
      <c r="AB663" s="227"/>
      <c r="AC663" s="227"/>
      <c r="AD663" s="227"/>
      <c r="AE663" s="227"/>
      <c r="AG663" s="19"/>
      <c r="AN663" s="227"/>
      <c r="AO663" s="227"/>
      <c r="AP663" s="227"/>
      <c r="AQ663" s="227"/>
      <c r="AR663" s="227"/>
      <c r="AS663" s="227"/>
      <c r="AT663" s="227"/>
      <c r="AU663" s="227"/>
      <c r="AV663" s="227"/>
      <c r="AX663" s="227"/>
    </row>
    <row r="664" spans="27:64" ht="12.95" customHeight="1">
      <c r="AA664" s="227"/>
      <c r="AB664" s="227"/>
      <c r="AC664" s="227"/>
      <c r="AD664" s="227"/>
      <c r="AE664" s="227"/>
      <c r="AG664" s="19"/>
      <c r="AN664" s="227"/>
      <c r="AO664" s="227"/>
      <c r="AP664" s="227"/>
      <c r="AQ664" s="227"/>
      <c r="AR664" s="227"/>
      <c r="AS664" s="227"/>
      <c r="AT664" s="227"/>
      <c r="AU664" s="227"/>
    </row>
    <row r="665" spans="27:64" ht="12.95" customHeight="1">
      <c r="AA665" s="227"/>
      <c r="AB665" s="227"/>
      <c r="AC665" s="227"/>
      <c r="AD665" s="227"/>
      <c r="AE665" s="227"/>
      <c r="AG665" s="19"/>
      <c r="AN665" s="227"/>
      <c r="AO665" s="227"/>
      <c r="AP665" s="227"/>
      <c r="AQ665" s="227"/>
      <c r="AR665" s="227"/>
      <c r="AS665" s="227"/>
      <c r="AT665" s="227"/>
      <c r="AU665" s="227"/>
    </row>
    <row r="666" spans="27:64" ht="12.95" customHeight="1">
      <c r="AA666" s="227"/>
      <c r="AB666" s="227"/>
      <c r="AC666" s="227"/>
      <c r="AD666" s="227"/>
      <c r="AE666" s="227"/>
      <c r="AG666" s="19"/>
      <c r="AN666" s="227"/>
      <c r="AO666" s="227"/>
      <c r="AP666" s="227"/>
      <c r="AQ666" s="227"/>
      <c r="AR666" s="227"/>
      <c r="AS666" s="227"/>
      <c r="AT666" s="227"/>
      <c r="AU666" s="227"/>
    </row>
    <row r="667" spans="27:64" ht="12.95" customHeight="1">
      <c r="AA667" s="227"/>
      <c r="AB667" s="227"/>
      <c r="AC667" s="227"/>
      <c r="AD667" s="227"/>
      <c r="AE667" s="227"/>
      <c r="AG667" s="19"/>
      <c r="AN667" s="227"/>
      <c r="AO667" s="227"/>
      <c r="AP667" s="227"/>
      <c r="AQ667" s="227"/>
      <c r="AR667" s="227"/>
      <c r="AS667" s="227"/>
      <c r="AT667" s="227"/>
      <c r="AU667" s="227"/>
    </row>
    <row r="668" spans="27:64" ht="12.95" customHeight="1">
      <c r="AA668" s="227"/>
      <c r="AB668" s="227"/>
      <c r="AC668" s="227"/>
      <c r="AD668" s="227"/>
      <c r="AE668" s="227"/>
      <c r="AG668" s="19"/>
      <c r="AN668" s="227"/>
      <c r="AO668" s="227"/>
      <c r="AP668" s="227"/>
      <c r="AQ668" s="227"/>
      <c r="AR668" s="227"/>
      <c r="AS668" s="227"/>
      <c r="AT668" s="227"/>
      <c r="AU668" s="227"/>
    </row>
    <row r="669" spans="27:64" ht="12.95" customHeight="1">
      <c r="AA669" s="227"/>
      <c r="AB669" s="227"/>
      <c r="AC669" s="227"/>
      <c r="AD669" s="227"/>
      <c r="AE669" s="227"/>
      <c r="AG669" s="19"/>
      <c r="AN669" s="227"/>
      <c r="AO669" s="227"/>
      <c r="AP669" s="227"/>
      <c r="AQ669" s="227"/>
      <c r="AR669" s="227"/>
      <c r="AS669" s="227"/>
      <c r="AT669" s="227"/>
      <c r="AU669" s="227"/>
    </row>
    <row r="670" spans="27:64" ht="12.95" customHeight="1">
      <c r="AA670" s="227"/>
      <c r="AB670" s="227"/>
      <c r="AC670" s="227"/>
      <c r="AD670" s="227"/>
      <c r="AE670" s="227"/>
      <c r="AG670" s="19"/>
      <c r="AN670" s="227"/>
      <c r="AO670" s="227"/>
      <c r="AP670" s="227"/>
      <c r="AQ670" s="227"/>
      <c r="AR670" s="227"/>
      <c r="AS670" s="227"/>
      <c r="AT670" s="227"/>
      <c r="AU670" s="227"/>
    </row>
    <row r="671" spans="27:64" ht="12.95" customHeight="1">
      <c r="AA671" s="227"/>
      <c r="AB671" s="227"/>
      <c r="AC671" s="227"/>
      <c r="AD671" s="227"/>
      <c r="AE671" s="227"/>
      <c r="AG671" s="19"/>
      <c r="AN671" s="227"/>
      <c r="AO671" s="227"/>
      <c r="AP671" s="227"/>
      <c r="AQ671" s="227"/>
      <c r="AR671" s="227"/>
      <c r="AS671" s="227"/>
      <c r="AT671" s="227"/>
      <c r="AU671" s="227"/>
    </row>
    <row r="672" spans="27:64" ht="12.95" customHeight="1">
      <c r="AA672" s="227"/>
      <c r="AB672" s="227"/>
      <c r="AC672" s="227"/>
      <c r="AD672" s="227"/>
      <c r="AE672" s="227"/>
      <c r="AG672" s="19"/>
      <c r="AN672" s="227"/>
      <c r="AO672" s="227"/>
      <c r="AP672" s="227"/>
      <c r="AQ672" s="227"/>
      <c r="AR672" s="227"/>
      <c r="AS672" s="227"/>
      <c r="AT672" s="227"/>
      <c r="AU672" s="227"/>
    </row>
    <row r="673" spans="27:64" ht="12.95" customHeight="1">
      <c r="AA673" s="227"/>
      <c r="AB673" s="227"/>
      <c r="AC673" s="227"/>
      <c r="AD673" s="227"/>
      <c r="AE673" s="227"/>
      <c r="AG673" s="19"/>
      <c r="AN673" s="227"/>
      <c r="AO673" s="227"/>
      <c r="AP673" s="227"/>
      <c r="AQ673" s="227"/>
      <c r="AR673" s="227"/>
      <c r="AS673" s="227"/>
      <c r="AT673" s="227"/>
      <c r="AU673" s="227"/>
    </row>
    <row r="674" spans="27:64" ht="12.95" customHeight="1">
      <c r="AA674" s="227"/>
      <c r="AB674" s="227"/>
      <c r="AC674" s="227"/>
      <c r="AD674" s="227"/>
      <c r="AE674" s="227"/>
      <c r="AG674" s="19"/>
      <c r="AN674" s="227"/>
      <c r="AO674" s="227"/>
      <c r="AP674" s="227"/>
      <c r="AQ674" s="227"/>
      <c r="AR674" s="227"/>
      <c r="AS674" s="227"/>
      <c r="AT674" s="227"/>
      <c r="AU674" s="227"/>
    </row>
    <row r="675" spans="27:64" ht="12.95" customHeight="1">
      <c r="AA675" s="227"/>
      <c r="AB675" s="227"/>
      <c r="AC675" s="227"/>
      <c r="AD675" s="227"/>
      <c r="AE675" s="227"/>
      <c r="AG675" s="19"/>
      <c r="AN675" s="227"/>
      <c r="AO675" s="227"/>
      <c r="AP675" s="227"/>
      <c r="AQ675" s="227"/>
      <c r="AR675" s="227"/>
      <c r="AS675" s="227"/>
      <c r="AT675" s="227"/>
      <c r="AU675" s="227"/>
    </row>
    <row r="676" spans="27:64" ht="12.95" customHeight="1">
      <c r="AA676" s="227"/>
      <c r="AB676" s="227"/>
      <c r="AC676" s="227"/>
      <c r="AD676" s="227"/>
      <c r="AE676" s="227"/>
      <c r="AG676" s="19"/>
      <c r="AN676" s="227"/>
      <c r="AO676" s="227"/>
      <c r="AP676" s="227"/>
      <c r="AQ676" s="227"/>
      <c r="AR676" s="227"/>
      <c r="AS676" s="227"/>
      <c r="AT676" s="227"/>
      <c r="AU676" s="227"/>
    </row>
    <row r="677" spans="27:64" ht="12.95" customHeight="1">
      <c r="AA677" s="227"/>
      <c r="AB677" s="227"/>
      <c r="AC677" s="227"/>
      <c r="AD677" s="227"/>
      <c r="AE677" s="227"/>
      <c r="AG677" s="19"/>
      <c r="AN677" s="227"/>
      <c r="AO677" s="227"/>
      <c r="AP677" s="227"/>
      <c r="AQ677" s="227"/>
      <c r="AR677" s="227"/>
      <c r="AS677" s="227"/>
      <c r="AT677" s="227"/>
      <c r="AU677" s="227"/>
    </row>
    <row r="678" spans="27:64" ht="12.95" customHeight="1">
      <c r="AA678" s="227"/>
      <c r="AB678" s="227"/>
      <c r="AC678" s="227"/>
      <c r="AD678" s="227"/>
      <c r="AE678" s="227"/>
      <c r="AG678" s="19"/>
      <c r="AN678" s="227"/>
      <c r="AO678" s="227"/>
      <c r="AP678" s="227"/>
      <c r="AQ678" s="227"/>
      <c r="AR678" s="227"/>
      <c r="AS678" s="227"/>
      <c r="AT678" s="227"/>
      <c r="AU678" s="227"/>
    </row>
    <row r="679" spans="27:64" ht="12.95" customHeight="1">
      <c r="AA679" s="227"/>
      <c r="AB679" s="227"/>
      <c r="AC679" s="227"/>
      <c r="AD679" s="227"/>
      <c r="AE679" s="227"/>
      <c r="AG679" s="19"/>
      <c r="AN679" s="227"/>
      <c r="AO679" s="227"/>
      <c r="AP679" s="227"/>
      <c r="AQ679" s="227"/>
      <c r="AR679" s="227"/>
      <c r="AS679" s="227"/>
      <c r="AT679" s="227"/>
      <c r="AU679" s="227"/>
    </row>
    <row r="680" spans="27:64" ht="12.95" customHeight="1">
      <c r="AA680" s="227"/>
      <c r="AB680" s="227"/>
      <c r="AC680" s="227"/>
      <c r="AD680" s="227"/>
      <c r="AE680" s="227"/>
      <c r="AG680" s="19"/>
      <c r="AN680" s="227"/>
      <c r="AO680" s="227"/>
      <c r="AP680" s="227"/>
      <c r="AQ680" s="227"/>
      <c r="AR680" s="227"/>
      <c r="AS680" s="227"/>
      <c r="AT680" s="227"/>
      <c r="AU680" s="227"/>
    </row>
    <row r="681" spans="27:64" ht="12.95" customHeight="1">
      <c r="AA681" s="227"/>
      <c r="AB681" s="227"/>
      <c r="AC681" s="227"/>
      <c r="AD681" s="227"/>
      <c r="AE681" s="227"/>
      <c r="AG681" s="19"/>
      <c r="AN681" s="227"/>
      <c r="AO681" s="227"/>
      <c r="AP681" s="227"/>
      <c r="AQ681" s="227"/>
      <c r="AR681" s="227"/>
      <c r="AS681" s="227"/>
      <c r="AT681" s="227"/>
      <c r="AU681" s="227"/>
    </row>
    <row r="682" spans="27:64" ht="12.95" customHeight="1">
      <c r="AA682" s="227"/>
      <c r="AB682" s="227"/>
      <c r="AC682" s="227"/>
      <c r="AD682" s="227"/>
      <c r="AE682" s="227"/>
      <c r="AG682" s="19"/>
      <c r="AN682" s="227"/>
      <c r="AO682" s="227"/>
      <c r="AP682" s="227"/>
      <c r="AQ682" s="227"/>
      <c r="AR682" s="227"/>
      <c r="AS682" s="227"/>
      <c r="AT682" s="227"/>
      <c r="AU682" s="227"/>
    </row>
    <row r="683" spans="27:64" ht="12.95" customHeight="1">
      <c r="AA683" s="227"/>
      <c r="AB683" s="227"/>
      <c r="AC683" s="227"/>
      <c r="AD683" s="227"/>
      <c r="AE683" s="227"/>
      <c r="AG683" s="19"/>
      <c r="AN683" s="227"/>
      <c r="AO683" s="227"/>
      <c r="AP683" s="227"/>
      <c r="AQ683" s="227"/>
      <c r="AR683" s="227"/>
      <c r="AS683" s="227"/>
      <c r="AT683" s="227"/>
      <c r="AU683" s="227"/>
    </row>
    <row r="684" spans="27:64" ht="12.95" customHeight="1">
      <c r="AA684" s="227"/>
      <c r="AB684" s="227"/>
      <c r="AC684" s="227"/>
      <c r="AD684" s="227"/>
      <c r="AE684" s="227"/>
      <c r="AG684" s="19"/>
      <c r="AN684" s="227"/>
      <c r="AO684" s="227"/>
      <c r="AP684" s="227"/>
      <c r="AQ684" s="227"/>
      <c r="AR684" s="227"/>
      <c r="AS684" s="227"/>
      <c r="AT684" s="227"/>
      <c r="AU684" s="227"/>
    </row>
    <row r="685" spans="27:64" ht="12.95" customHeight="1">
      <c r="AA685" s="227"/>
      <c r="AB685" s="227"/>
      <c r="AC685" s="227"/>
      <c r="AD685" s="227"/>
      <c r="AE685" s="227"/>
      <c r="AG685" s="19"/>
      <c r="AN685" s="227"/>
      <c r="AO685" s="227"/>
      <c r="AP685" s="227"/>
      <c r="AQ685" s="227"/>
      <c r="AR685" s="227"/>
      <c r="AS685" s="227"/>
      <c r="AT685" s="227"/>
      <c r="AU685" s="227"/>
      <c r="AV685" s="227"/>
      <c r="AW685" s="227"/>
      <c r="AX685" s="227"/>
      <c r="AY685" s="227"/>
      <c r="AZ685" s="227"/>
      <c r="BA685" s="227"/>
      <c r="BB685" s="227"/>
      <c r="BC685" s="227"/>
      <c r="BD685" s="227"/>
      <c r="BE685" s="227"/>
      <c r="BF685" s="227"/>
      <c r="BG685" s="227"/>
      <c r="BH685" s="227"/>
      <c r="BI685" s="227"/>
      <c r="BJ685" s="227"/>
      <c r="BK685" s="227"/>
      <c r="BL685" s="227"/>
    </row>
    <row r="686" spans="27:64" ht="12.95" customHeight="1">
      <c r="AA686" s="227"/>
      <c r="AB686" s="227"/>
      <c r="AC686" s="227"/>
      <c r="AD686" s="227"/>
      <c r="AE686" s="227"/>
      <c r="AG686" s="19"/>
      <c r="AN686" s="227"/>
      <c r="AO686" s="227"/>
      <c r="AP686" s="227"/>
      <c r="AQ686" s="227"/>
      <c r="AR686" s="227"/>
      <c r="AS686" s="227"/>
      <c r="AT686" s="227"/>
      <c r="AU686" s="227"/>
    </row>
    <row r="687" spans="27:64" ht="12.95" customHeight="1">
      <c r="AA687" s="227"/>
      <c r="AB687" s="227"/>
      <c r="AC687" s="227"/>
      <c r="AD687" s="227"/>
      <c r="AE687" s="227"/>
      <c r="AG687" s="19"/>
      <c r="AN687" s="227"/>
      <c r="AO687" s="227"/>
      <c r="AP687" s="227"/>
      <c r="AQ687" s="227"/>
      <c r="AR687" s="227"/>
      <c r="AS687" s="227"/>
      <c r="AT687" s="227"/>
      <c r="AU687" s="227"/>
    </row>
    <row r="688" spans="27:64" ht="12.95" customHeight="1">
      <c r="AA688" s="227"/>
      <c r="AB688" s="227"/>
      <c r="AC688" s="227"/>
      <c r="AD688" s="227"/>
      <c r="AE688" s="227"/>
      <c r="AG688" s="19"/>
      <c r="AN688" s="227"/>
      <c r="AO688" s="227"/>
      <c r="AP688" s="227"/>
      <c r="AQ688" s="227"/>
      <c r="AR688" s="227"/>
      <c r="AS688" s="227"/>
      <c r="AT688" s="227"/>
      <c r="AU688" s="227"/>
    </row>
    <row r="689" spans="27:47" ht="12.95" customHeight="1">
      <c r="AA689" s="227"/>
      <c r="AB689" s="227"/>
      <c r="AC689" s="227"/>
      <c r="AD689" s="227"/>
      <c r="AE689" s="227"/>
      <c r="AG689" s="19"/>
      <c r="AN689" s="227"/>
      <c r="AO689" s="227"/>
      <c r="AP689" s="227"/>
      <c r="AQ689" s="227"/>
      <c r="AR689" s="227"/>
      <c r="AS689" s="227"/>
      <c r="AT689" s="227"/>
      <c r="AU689" s="227"/>
    </row>
    <row r="690" spans="27:47" ht="12.95" customHeight="1">
      <c r="AA690" s="227"/>
      <c r="AB690" s="227"/>
      <c r="AC690" s="227"/>
      <c r="AD690" s="227"/>
      <c r="AE690" s="227"/>
      <c r="AG690" s="19"/>
      <c r="AN690" s="227"/>
      <c r="AO690" s="227"/>
      <c r="AP690" s="227"/>
      <c r="AQ690" s="227"/>
      <c r="AR690" s="227"/>
      <c r="AS690" s="227"/>
      <c r="AT690" s="227"/>
      <c r="AU690" s="227"/>
    </row>
    <row r="691" spans="27:47" ht="12.95" customHeight="1">
      <c r="AA691" s="227"/>
      <c r="AB691" s="227"/>
      <c r="AC691" s="227"/>
      <c r="AD691" s="227"/>
      <c r="AE691" s="227"/>
      <c r="AG691" s="19"/>
      <c r="AN691" s="227"/>
      <c r="AO691" s="227"/>
      <c r="AP691" s="227"/>
      <c r="AQ691" s="227"/>
      <c r="AR691" s="227"/>
      <c r="AS691" s="227"/>
      <c r="AT691" s="227"/>
      <c r="AU691" s="227"/>
    </row>
    <row r="692" spans="27:47" ht="12.95" customHeight="1">
      <c r="AA692" s="227"/>
      <c r="AB692" s="227"/>
      <c r="AC692" s="227"/>
      <c r="AD692" s="227"/>
      <c r="AE692" s="227"/>
      <c r="AG692" s="19"/>
      <c r="AN692" s="227"/>
      <c r="AO692" s="227"/>
      <c r="AP692" s="227"/>
      <c r="AQ692" s="227"/>
      <c r="AR692" s="227"/>
      <c r="AS692" s="227"/>
      <c r="AT692" s="227"/>
      <c r="AU692" s="227"/>
    </row>
    <row r="693" spans="27:47" ht="12.95" customHeight="1">
      <c r="AA693" s="227"/>
      <c r="AB693" s="227"/>
      <c r="AC693" s="227"/>
      <c r="AD693" s="227"/>
      <c r="AE693" s="227"/>
      <c r="AG693" s="19"/>
      <c r="AN693" s="227"/>
      <c r="AO693" s="227"/>
      <c r="AP693" s="227"/>
      <c r="AQ693" s="227"/>
      <c r="AR693" s="227"/>
      <c r="AS693" s="227"/>
      <c r="AT693" s="227"/>
      <c r="AU693" s="227"/>
    </row>
    <row r="694" spans="27:47" ht="12.95" customHeight="1">
      <c r="AA694" s="227"/>
      <c r="AB694" s="227"/>
      <c r="AC694" s="227"/>
      <c r="AD694" s="227"/>
      <c r="AE694" s="227"/>
      <c r="AG694" s="19"/>
      <c r="AN694" s="227"/>
      <c r="AO694" s="227"/>
      <c r="AP694" s="227"/>
      <c r="AQ694" s="227"/>
      <c r="AR694" s="227"/>
      <c r="AS694" s="227"/>
      <c r="AT694" s="227"/>
      <c r="AU694" s="227"/>
    </row>
    <row r="695" spans="27:47" ht="12.95" customHeight="1">
      <c r="AA695" s="227"/>
      <c r="AB695" s="227"/>
      <c r="AC695" s="227"/>
      <c r="AD695" s="227"/>
      <c r="AE695" s="227"/>
      <c r="AG695" s="19"/>
      <c r="AN695" s="227"/>
      <c r="AO695" s="227"/>
      <c r="AP695" s="227"/>
      <c r="AQ695" s="227"/>
      <c r="AR695" s="227"/>
      <c r="AS695" s="227"/>
      <c r="AT695" s="227"/>
      <c r="AU695" s="227"/>
    </row>
    <row r="696" spans="27:47" ht="12.95" customHeight="1">
      <c r="AA696" s="227"/>
      <c r="AB696" s="227"/>
      <c r="AC696" s="227"/>
      <c r="AD696" s="227"/>
      <c r="AE696" s="227"/>
      <c r="AG696" s="19"/>
      <c r="AN696" s="227"/>
      <c r="AO696" s="227"/>
      <c r="AP696" s="227"/>
      <c r="AQ696" s="227"/>
      <c r="AR696" s="227"/>
      <c r="AS696" s="227"/>
      <c r="AT696" s="227"/>
      <c r="AU696" s="227"/>
    </row>
    <row r="697" spans="27:47" ht="12.95" customHeight="1">
      <c r="AA697" s="227"/>
      <c r="AB697" s="227"/>
      <c r="AC697" s="227"/>
      <c r="AD697" s="227"/>
      <c r="AE697" s="227"/>
      <c r="AG697" s="19"/>
      <c r="AN697" s="227"/>
      <c r="AO697" s="227"/>
      <c r="AP697" s="227"/>
      <c r="AQ697" s="227"/>
      <c r="AR697" s="227"/>
      <c r="AS697" s="227"/>
      <c r="AT697" s="227"/>
      <c r="AU697" s="227"/>
    </row>
    <row r="698" spans="27:47" ht="12.95" customHeight="1">
      <c r="AA698" s="227"/>
      <c r="AB698" s="227"/>
      <c r="AC698" s="227"/>
      <c r="AD698" s="227"/>
      <c r="AE698" s="227"/>
      <c r="AG698" s="19"/>
      <c r="AN698" s="227"/>
      <c r="AO698" s="227"/>
      <c r="AP698" s="227"/>
      <c r="AQ698" s="227"/>
      <c r="AR698" s="227"/>
      <c r="AS698" s="227"/>
      <c r="AT698" s="227"/>
      <c r="AU698" s="227"/>
    </row>
    <row r="699" spans="27:47" ht="12.95" customHeight="1">
      <c r="AA699" s="227"/>
      <c r="AB699" s="227"/>
      <c r="AC699" s="227"/>
      <c r="AD699" s="227"/>
      <c r="AE699" s="227"/>
      <c r="AG699" s="19"/>
      <c r="AN699" s="227"/>
      <c r="AO699" s="227"/>
      <c r="AP699" s="227"/>
      <c r="AQ699" s="227"/>
      <c r="AR699" s="227"/>
      <c r="AS699" s="227"/>
      <c r="AT699" s="227"/>
      <c r="AU699" s="227"/>
    </row>
    <row r="700" spans="27:47" ht="12.95" customHeight="1">
      <c r="AA700" s="227"/>
      <c r="AB700" s="227"/>
      <c r="AC700" s="227"/>
      <c r="AD700" s="227"/>
      <c r="AE700" s="227"/>
      <c r="AG700" s="19"/>
      <c r="AN700" s="227"/>
      <c r="AO700" s="227"/>
      <c r="AP700" s="227"/>
      <c r="AQ700" s="227"/>
      <c r="AR700" s="227"/>
      <c r="AS700" s="227"/>
      <c r="AT700" s="227"/>
      <c r="AU700" s="227"/>
    </row>
    <row r="701" spans="27:47" ht="12.95" customHeight="1">
      <c r="AA701" s="227"/>
      <c r="AB701" s="227"/>
      <c r="AC701" s="227"/>
      <c r="AD701" s="227"/>
      <c r="AE701" s="227"/>
      <c r="AG701" s="19"/>
      <c r="AN701" s="227"/>
      <c r="AO701" s="227"/>
      <c r="AP701" s="227"/>
      <c r="AQ701" s="227"/>
      <c r="AR701" s="227"/>
      <c r="AS701" s="227"/>
      <c r="AT701" s="227"/>
      <c r="AU701" s="227"/>
    </row>
    <row r="702" spans="27:47" ht="12.95" customHeight="1">
      <c r="AA702" s="227"/>
      <c r="AB702" s="227"/>
      <c r="AC702" s="227"/>
      <c r="AD702" s="227"/>
      <c r="AE702" s="227"/>
      <c r="AG702" s="19"/>
      <c r="AN702" s="227"/>
      <c r="AO702" s="227"/>
      <c r="AP702" s="227"/>
      <c r="AQ702" s="227"/>
      <c r="AR702" s="227"/>
      <c r="AS702" s="227"/>
      <c r="AT702" s="227"/>
      <c r="AU702" s="227"/>
    </row>
    <row r="703" spans="27:47" ht="12.95" customHeight="1">
      <c r="AA703" s="227"/>
      <c r="AB703" s="227"/>
      <c r="AC703" s="227"/>
      <c r="AD703" s="227"/>
      <c r="AE703" s="227"/>
      <c r="AG703" s="19"/>
      <c r="AN703" s="227"/>
      <c r="AO703" s="227"/>
      <c r="AP703" s="227"/>
      <c r="AQ703" s="227"/>
      <c r="AR703" s="227"/>
      <c r="AS703" s="227"/>
      <c r="AT703" s="227"/>
      <c r="AU703" s="227"/>
    </row>
    <row r="704" spans="27:47" ht="12.95" customHeight="1">
      <c r="AA704" s="227"/>
      <c r="AB704" s="227"/>
      <c r="AC704" s="227"/>
      <c r="AD704" s="227"/>
      <c r="AE704" s="227"/>
      <c r="AG704" s="19"/>
      <c r="AN704" s="227"/>
      <c r="AO704" s="227"/>
      <c r="AP704" s="227"/>
      <c r="AQ704" s="227"/>
      <c r="AR704" s="227"/>
      <c r="AS704" s="227"/>
      <c r="AT704" s="227"/>
      <c r="AU704" s="227"/>
    </row>
    <row r="705" spans="27:47" ht="12.95" customHeight="1">
      <c r="AA705" s="227"/>
      <c r="AB705" s="227"/>
      <c r="AC705" s="227"/>
      <c r="AD705" s="227"/>
      <c r="AE705" s="227"/>
      <c r="AG705" s="19"/>
      <c r="AN705" s="227"/>
      <c r="AO705" s="227"/>
      <c r="AP705" s="227"/>
      <c r="AQ705" s="227"/>
      <c r="AR705" s="227"/>
      <c r="AS705" s="227"/>
      <c r="AT705" s="227"/>
      <c r="AU705" s="227"/>
    </row>
    <row r="706" spans="27:47" ht="12.95" customHeight="1">
      <c r="AA706" s="227"/>
      <c r="AB706" s="227"/>
      <c r="AC706" s="227"/>
      <c r="AD706" s="227"/>
      <c r="AE706" s="227"/>
      <c r="AG706" s="19"/>
      <c r="AN706" s="227"/>
      <c r="AO706" s="227"/>
      <c r="AP706" s="227"/>
      <c r="AQ706" s="227"/>
      <c r="AR706" s="227"/>
      <c r="AS706" s="227"/>
      <c r="AT706" s="227"/>
      <c r="AU706" s="227"/>
    </row>
    <row r="707" spans="27:47" ht="12.95" customHeight="1">
      <c r="AA707" s="227"/>
      <c r="AB707" s="227"/>
      <c r="AC707" s="227"/>
      <c r="AD707" s="227"/>
      <c r="AE707" s="227"/>
      <c r="AG707" s="19"/>
      <c r="AN707" s="227"/>
      <c r="AO707" s="227"/>
      <c r="AP707" s="227"/>
      <c r="AQ707" s="227"/>
      <c r="AR707" s="227"/>
      <c r="AS707" s="227"/>
      <c r="AT707" s="227"/>
      <c r="AU707" s="227"/>
    </row>
    <row r="708" spans="27:47" ht="12.95" customHeight="1">
      <c r="AA708" s="227"/>
      <c r="AB708" s="227"/>
      <c r="AC708" s="227"/>
      <c r="AD708" s="227"/>
      <c r="AE708" s="227"/>
      <c r="AG708" s="19"/>
      <c r="AN708" s="227"/>
      <c r="AO708" s="227"/>
      <c r="AP708" s="227"/>
      <c r="AQ708" s="227"/>
      <c r="AR708" s="227"/>
      <c r="AS708" s="227"/>
      <c r="AT708" s="227"/>
      <c r="AU708" s="227"/>
    </row>
    <row r="709" spans="27:47" ht="12.95" customHeight="1">
      <c r="AA709" s="227"/>
      <c r="AB709" s="227"/>
      <c r="AC709" s="227"/>
      <c r="AD709" s="227"/>
      <c r="AE709" s="227"/>
      <c r="AG709" s="19"/>
      <c r="AN709" s="227"/>
      <c r="AO709" s="227"/>
      <c r="AP709" s="227"/>
      <c r="AQ709" s="227"/>
      <c r="AR709" s="227"/>
      <c r="AS709" s="227"/>
      <c r="AT709" s="227"/>
      <c r="AU709" s="227"/>
    </row>
    <row r="710" spans="27:47" ht="12.95" customHeight="1">
      <c r="AA710" s="227"/>
      <c r="AB710" s="227"/>
      <c r="AC710" s="227"/>
      <c r="AD710" s="227"/>
      <c r="AE710" s="227"/>
      <c r="AG710" s="19"/>
      <c r="AN710" s="227"/>
      <c r="AO710" s="227"/>
      <c r="AP710" s="227"/>
      <c r="AQ710" s="227"/>
      <c r="AR710" s="227"/>
      <c r="AS710" s="227"/>
      <c r="AT710" s="227"/>
      <c r="AU710" s="227"/>
    </row>
    <row r="711" spans="27:47" ht="12.95" customHeight="1">
      <c r="AA711" s="227"/>
      <c r="AB711" s="227"/>
      <c r="AC711" s="227"/>
      <c r="AD711" s="227"/>
      <c r="AE711" s="227"/>
      <c r="AG711" s="19"/>
      <c r="AN711" s="227"/>
      <c r="AO711" s="227"/>
      <c r="AP711" s="227"/>
      <c r="AQ711" s="227"/>
      <c r="AR711" s="227"/>
      <c r="AS711" s="227"/>
      <c r="AT711" s="227"/>
      <c r="AU711" s="227"/>
    </row>
    <row r="712" spans="27:47" ht="12.95" customHeight="1">
      <c r="AA712" s="227"/>
      <c r="AB712" s="227"/>
      <c r="AC712" s="227"/>
      <c r="AD712" s="227"/>
      <c r="AE712" s="227"/>
      <c r="AG712" s="19"/>
      <c r="AN712" s="227"/>
      <c r="AO712" s="227"/>
      <c r="AP712" s="227"/>
      <c r="AQ712" s="227"/>
      <c r="AR712" s="227"/>
      <c r="AS712" s="227"/>
      <c r="AT712" s="227"/>
      <c r="AU712" s="227"/>
    </row>
    <row r="713" spans="27:47" ht="12.95" customHeight="1">
      <c r="AA713" s="227"/>
      <c r="AB713" s="227"/>
      <c r="AC713" s="227"/>
      <c r="AD713" s="227"/>
      <c r="AE713" s="227"/>
      <c r="AG713" s="19"/>
      <c r="AN713" s="227"/>
      <c r="AO713" s="227"/>
      <c r="AP713" s="227"/>
      <c r="AQ713" s="227"/>
      <c r="AR713" s="227"/>
      <c r="AS713" s="227"/>
      <c r="AT713" s="227"/>
      <c r="AU713" s="227"/>
    </row>
    <row r="714" spans="27:47" ht="12.95" customHeight="1">
      <c r="AA714" s="227"/>
      <c r="AB714" s="227"/>
      <c r="AC714" s="227"/>
      <c r="AD714" s="227"/>
      <c r="AE714" s="227"/>
      <c r="AG714" s="19"/>
      <c r="AN714" s="227"/>
      <c r="AO714" s="227"/>
      <c r="AP714" s="227"/>
      <c r="AQ714" s="227"/>
      <c r="AR714" s="227"/>
      <c r="AS714" s="227"/>
      <c r="AT714" s="227"/>
      <c r="AU714" s="227"/>
    </row>
    <row r="715" spans="27:47" ht="12.95" customHeight="1">
      <c r="AA715" s="227"/>
      <c r="AB715" s="227"/>
      <c r="AC715" s="227"/>
      <c r="AD715" s="227"/>
      <c r="AE715" s="227"/>
      <c r="AG715" s="19"/>
      <c r="AN715" s="227"/>
      <c r="AO715" s="227"/>
      <c r="AP715" s="227"/>
      <c r="AQ715" s="227"/>
      <c r="AR715" s="227"/>
      <c r="AS715" s="227"/>
      <c r="AT715" s="227"/>
      <c r="AU715" s="227"/>
    </row>
    <row r="716" spans="27:47" ht="12.95" customHeight="1">
      <c r="AA716" s="227"/>
      <c r="AB716" s="227"/>
      <c r="AC716" s="227"/>
      <c r="AD716" s="227"/>
      <c r="AE716" s="227"/>
      <c r="AG716" s="19"/>
      <c r="AN716" s="227"/>
      <c r="AO716" s="227"/>
      <c r="AP716" s="227"/>
      <c r="AQ716" s="227"/>
      <c r="AR716" s="227"/>
      <c r="AS716" s="227"/>
      <c r="AT716" s="227"/>
      <c r="AU716" s="227"/>
    </row>
    <row r="717" spans="27:47" ht="12.95" customHeight="1">
      <c r="AA717" s="227"/>
      <c r="AB717" s="227"/>
      <c r="AC717" s="227"/>
      <c r="AD717" s="227"/>
      <c r="AE717" s="227"/>
      <c r="AG717" s="19"/>
      <c r="AN717" s="227"/>
      <c r="AO717" s="227"/>
      <c r="AP717" s="227"/>
      <c r="AQ717" s="227"/>
      <c r="AR717" s="227"/>
      <c r="AS717" s="227"/>
      <c r="AT717" s="227"/>
      <c r="AU717" s="227"/>
    </row>
    <row r="718" spans="27:47" ht="12.95" customHeight="1">
      <c r="AA718" s="227"/>
      <c r="AB718" s="227"/>
      <c r="AC718" s="227"/>
      <c r="AD718" s="227"/>
      <c r="AE718" s="227"/>
      <c r="AG718" s="19"/>
      <c r="AN718" s="227"/>
      <c r="AO718" s="227"/>
      <c r="AP718" s="227"/>
      <c r="AQ718" s="227"/>
      <c r="AR718" s="227"/>
      <c r="AS718" s="227"/>
      <c r="AT718" s="227"/>
      <c r="AU718" s="227"/>
    </row>
    <row r="719" spans="27:47" ht="12.95" customHeight="1">
      <c r="AA719" s="227"/>
      <c r="AB719" s="227"/>
      <c r="AC719" s="227"/>
      <c r="AD719" s="227"/>
      <c r="AE719" s="227"/>
      <c r="AG719" s="19"/>
      <c r="AN719" s="227"/>
      <c r="AO719" s="227"/>
      <c r="AP719" s="227"/>
      <c r="AQ719" s="227"/>
      <c r="AR719" s="227"/>
      <c r="AS719" s="227"/>
      <c r="AT719" s="227"/>
      <c r="AU719" s="227"/>
    </row>
    <row r="720" spans="27:47" ht="12.95" customHeight="1">
      <c r="AA720" s="227"/>
      <c r="AB720" s="227"/>
      <c r="AC720" s="227"/>
      <c r="AD720" s="227"/>
      <c r="AE720" s="227"/>
      <c r="AG720" s="19"/>
      <c r="AN720" s="227"/>
      <c r="AO720" s="227"/>
      <c r="AP720" s="227"/>
      <c r="AQ720" s="227"/>
      <c r="AR720" s="227"/>
      <c r="AS720" s="227"/>
      <c r="AT720" s="227"/>
      <c r="AU720" s="227"/>
    </row>
    <row r="721" spans="27:64" ht="12.95" customHeight="1">
      <c r="AA721" s="227"/>
      <c r="AB721" s="227"/>
      <c r="AC721" s="227"/>
      <c r="AD721" s="227"/>
      <c r="AE721" s="227"/>
      <c r="AG721" s="19"/>
      <c r="AN721" s="227"/>
      <c r="AO721" s="227"/>
      <c r="AP721" s="227"/>
      <c r="AQ721" s="227"/>
      <c r="AR721" s="227"/>
      <c r="AS721" s="227"/>
      <c r="AT721" s="227"/>
      <c r="AU721" s="227"/>
      <c r="AV721" s="227"/>
    </row>
    <row r="722" spans="27:64" ht="12.95" customHeight="1">
      <c r="AA722" s="227"/>
      <c r="AB722" s="227"/>
      <c r="AC722" s="227"/>
      <c r="AD722" s="227"/>
      <c r="AE722" s="227"/>
      <c r="AG722" s="19"/>
      <c r="AN722" s="227"/>
      <c r="AO722" s="227"/>
      <c r="AP722" s="227"/>
      <c r="AQ722" s="227"/>
      <c r="AR722" s="227"/>
      <c r="AS722" s="227"/>
      <c r="AT722" s="227"/>
      <c r="AU722" s="227"/>
      <c r="AV722" s="227"/>
      <c r="AW722" s="227"/>
      <c r="AX722" s="227"/>
      <c r="AY722" s="227"/>
      <c r="AZ722" s="227"/>
      <c r="BA722" s="227"/>
      <c r="BB722" s="227"/>
      <c r="BC722" s="227"/>
      <c r="BD722" s="227"/>
      <c r="BE722" s="227"/>
      <c r="BF722" s="227"/>
      <c r="BG722" s="227"/>
      <c r="BH722" s="227"/>
      <c r="BI722" s="227"/>
      <c r="BJ722" s="227"/>
      <c r="BK722" s="227"/>
      <c r="BL722" s="227"/>
    </row>
    <row r="723" spans="27:64" ht="12.95" customHeight="1">
      <c r="AA723" s="227"/>
      <c r="AB723" s="227"/>
      <c r="AC723" s="227"/>
      <c r="AD723" s="227"/>
      <c r="AE723" s="227"/>
      <c r="AG723" s="19"/>
      <c r="AN723" s="227"/>
      <c r="AO723" s="227"/>
      <c r="AP723" s="227"/>
      <c r="AQ723" s="227"/>
      <c r="AR723" s="227"/>
      <c r="AS723" s="227"/>
      <c r="AT723" s="227"/>
      <c r="AU723" s="227"/>
    </row>
    <row r="724" spans="27:64" ht="12.95" customHeight="1">
      <c r="AA724" s="227"/>
      <c r="AB724" s="227"/>
      <c r="AC724" s="227"/>
      <c r="AD724" s="227"/>
      <c r="AE724" s="227"/>
      <c r="AG724" s="19"/>
      <c r="AN724" s="227"/>
      <c r="AO724" s="227"/>
      <c r="AP724" s="227"/>
      <c r="AQ724" s="227"/>
      <c r="AR724" s="227"/>
      <c r="AS724" s="227"/>
      <c r="AT724" s="227"/>
      <c r="AU724" s="227"/>
    </row>
    <row r="725" spans="27:64" ht="12.95" customHeight="1">
      <c r="AA725" s="227"/>
      <c r="AB725" s="227"/>
      <c r="AC725" s="227"/>
      <c r="AD725" s="227"/>
      <c r="AE725" s="227"/>
      <c r="AG725" s="19"/>
      <c r="AN725" s="227"/>
      <c r="AO725" s="227"/>
      <c r="AP725" s="227"/>
      <c r="AQ725" s="227"/>
      <c r="AR725" s="227"/>
      <c r="AS725" s="227"/>
      <c r="AT725" s="227"/>
      <c r="AU725" s="227"/>
    </row>
    <row r="726" spans="27:64" ht="12.95" customHeight="1">
      <c r="AA726" s="227"/>
      <c r="AB726" s="227"/>
      <c r="AC726" s="227"/>
      <c r="AD726" s="227"/>
      <c r="AE726" s="227"/>
      <c r="AG726" s="19"/>
      <c r="AN726" s="227"/>
      <c r="AO726" s="227"/>
      <c r="AP726" s="227"/>
      <c r="AQ726" s="227"/>
      <c r="AR726" s="227"/>
      <c r="AS726" s="227"/>
      <c r="AT726" s="227"/>
      <c r="AU726" s="227"/>
    </row>
    <row r="727" spans="27:64" ht="12.95" customHeight="1">
      <c r="AA727" s="227"/>
      <c r="AB727" s="227"/>
      <c r="AC727" s="227"/>
      <c r="AD727" s="227"/>
      <c r="AE727" s="227"/>
      <c r="AG727" s="19"/>
      <c r="AN727" s="227"/>
      <c r="AO727" s="227"/>
      <c r="AP727" s="227"/>
      <c r="AQ727" s="227"/>
      <c r="AR727" s="227"/>
      <c r="AS727" s="227"/>
      <c r="AT727" s="227"/>
      <c r="AU727" s="227"/>
    </row>
    <row r="728" spans="27:64" ht="12.95" customHeight="1">
      <c r="AA728" s="227"/>
      <c r="AB728" s="227"/>
      <c r="AC728" s="227"/>
      <c r="AD728" s="227"/>
      <c r="AE728" s="227"/>
      <c r="AG728" s="19"/>
      <c r="AN728" s="227"/>
      <c r="AO728" s="227"/>
      <c r="AP728" s="227"/>
      <c r="AQ728" s="227"/>
      <c r="AR728" s="227"/>
      <c r="AS728" s="227"/>
      <c r="AT728" s="227"/>
      <c r="AU728" s="227"/>
    </row>
    <row r="729" spans="27:64" ht="12.95" customHeight="1">
      <c r="AA729" s="227"/>
      <c r="AB729" s="227"/>
      <c r="AC729" s="227"/>
      <c r="AD729" s="227"/>
      <c r="AE729" s="227"/>
      <c r="AG729" s="19"/>
      <c r="AN729" s="227"/>
      <c r="AO729" s="227"/>
      <c r="AP729" s="227"/>
      <c r="AQ729" s="227"/>
      <c r="AR729" s="227"/>
      <c r="AS729" s="227"/>
      <c r="AT729" s="227"/>
      <c r="AU729" s="227"/>
    </row>
    <row r="730" spans="27:64" ht="12.95" customHeight="1">
      <c r="AA730" s="227"/>
      <c r="AB730" s="227"/>
      <c r="AC730" s="227"/>
      <c r="AD730" s="227"/>
      <c r="AE730" s="227"/>
      <c r="AG730" s="19"/>
      <c r="AN730" s="227"/>
      <c r="AO730" s="227"/>
      <c r="AP730" s="227"/>
      <c r="AQ730" s="227"/>
      <c r="AR730" s="227"/>
      <c r="AS730" s="227"/>
      <c r="AT730" s="227"/>
      <c r="AU730" s="227"/>
    </row>
    <row r="731" spans="27:64" ht="12.95" customHeight="1">
      <c r="AA731" s="227"/>
      <c r="AB731" s="227"/>
      <c r="AC731" s="227"/>
      <c r="AD731" s="227"/>
      <c r="AE731" s="227"/>
      <c r="AG731" s="19"/>
      <c r="AN731" s="227"/>
      <c r="AO731" s="227"/>
      <c r="AP731" s="227"/>
      <c r="AQ731" s="227"/>
      <c r="AR731" s="227"/>
      <c r="AS731" s="227"/>
      <c r="AT731" s="227"/>
      <c r="AU731" s="227"/>
    </row>
    <row r="732" spans="27:64" ht="12.95" customHeight="1">
      <c r="AA732" s="227"/>
      <c r="AB732" s="227"/>
      <c r="AC732" s="227"/>
      <c r="AD732" s="227"/>
      <c r="AE732" s="227"/>
      <c r="AG732" s="19"/>
      <c r="AN732" s="227"/>
      <c r="AO732" s="227"/>
      <c r="AP732" s="227"/>
      <c r="AQ732" s="227"/>
      <c r="AR732" s="227"/>
      <c r="AS732" s="227"/>
      <c r="AT732" s="227"/>
      <c r="AU732" s="227"/>
    </row>
    <row r="733" spans="27:64" ht="12.95" customHeight="1">
      <c r="AA733" s="227"/>
      <c r="AB733" s="227"/>
      <c r="AC733" s="227"/>
      <c r="AD733" s="227"/>
      <c r="AE733" s="227"/>
      <c r="AG733" s="19"/>
      <c r="AN733" s="227"/>
      <c r="AO733" s="227"/>
      <c r="AP733" s="227"/>
      <c r="AQ733" s="227"/>
      <c r="AR733" s="227"/>
      <c r="AS733" s="227"/>
      <c r="AT733" s="227"/>
      <c r="AU733" s="227"/>
    </row>
    <row r="734" spans="27:64" ht="12.95" customHeight="1">
      <c r="AA734" s="227"/>
      <c r="AB734" s="227"/>
      <c r="AC734" s="227"/>
      <c r="AD734" s="227"/>
      <c r="AE734" s="227"/>
      <c r="AG734" s="19"/>
      <c r="AN734" s="227"/>
      <c r="AO734" s="227"/>
      <c r="AP734" s="227"/>
      <c r="AQ734" s="227"/>
      <c r="AR734" s="227"/>
      <c r="AS734" s="227"/>
      <c r="AT734" s="227"/>
      <c r="AU734" s="227"/>
    </row>
    <row r="735" spans="27:64" ht="12.95" customHeight="1">
      <c r="AA735" s="227"/>
      <c r="AB735" s="227"/>
      <c r="AC735" s="227"/>
      <c r="AD735" s="227"/>
      <c r="AE735" s="227"/>
      <c r="AG735" s="19"/>
      <c r="AN735" s="227"/>
      <c r="AO735" s="227"/>
      <c r="AP735" s="227"/>
      <c r="AQ735" s="227"/>
      <c r="AR735" s="227"/>
      <c r="AS735" s="227"/>
      <c r="AT735" s="227"/>
      <c r="AU735" s="227"/>
    </row>
    <row r="736" spans="27:64" ht="12.95" customHeight="1">
      <c r="AA736" s="227"/>
      <c r="AB736" s="227"/>
      <c r="AC736" s="227"/>
      <c r="AD736" s="227"/>
      <c r="AE736" s="227"/>
      <c r="AG736" s="19"/>
      <c r="AN736" s="227"/>
      <c r="AO736" s="227"/>
      <c r="AP736" s="227"/>
      <c r="AQ736" s="227"/>
      <c r="AR736" s="227"/>
      <c r="AS736" s="227"/>
      <c r="AT736" s="227"/>
      <c r="AU736" s="227"/>
    </row>
    <row r="737" spans="27:64" ht="12.95" customHeight="1">
      <c r="AA737" s="227"/>
      <c r="AB737" s="227"/>
      <c r="AC737" s="227"/>
      <c r="AD737" s="227"/>
      <c r="AE737" s="227"/>
      <c r="AG737" s="19"/>
      <c r="AN737" s="227"/>
      <c r="AO737" s="227"/>
      <c r="AP737" s="227"/>
      <c r="AQ737" s="227"/>
      <c r="AR737" s="227"/>
      <c r="AS737" s="227"/>
      <c r="AT737" s="227"/>
      <c r="AU737" s="227"/>
    </row>
    <row r="738" spans="27:64" ht="12.95" customHeight="1">
      <c r="AA738" s="227"/>
      <c r="AB738" s="227"/>
      <c r="AC738" s="227"/>
      <c r="AD738" s="227"/>
      <c r="AE738" s="227"/>
      <c r="AG738" s="19"/>
      <c r="AN738" s="227"/>
      <c r="AO738" s="227"/>
      <c r="AP738" s="227"/>
      <c r="AQ738" s="227"/>
      <c r="AR738" s="227"/>
      <c r="AS738" s="227"/>
      <c r="AT738" s="227"/>
      <c r="AU738" s="227"/>
    </row>
    <row r="739" spans="27:64" ht="12.95" customHeight="1">
      <c r="AA739" s="227"/>
      <c r="AB739" s="227"/>
      <c r="AC739" s="227"/>
      <c r="AD739" s="227"/>
      <c r="AE739" s="227"/>
      <c r="AG739" s="19"/>
      <c r="AN739" s="227"/>
      <c r="AO739" s="227"/>
      <c r="AP739" s="227"/>
      <c r="AQ739" s="227"/>
      <c r="AR739" s="227"/>
      <c r="AS739" s="227"/>
      <c r="AT739" s="227"/>
      <c r="AU739" s="227"/>
    </row>
    <row r="740" spans="27:64" ht="12.95" customHeight="1">
      <c r="AA740" s="227"/>
      <c r="AB740" s="227"/>
      <c r="AC740" s="227"/>
      <c r="AD740" s="227"/>
      <c r="AE740" s="227"/>
      <c r="AG740" s="19"/>
      <c r="AN740" s="227"/>
      <c r="AO740" s="227"/>
      <c r="AP740" s="227"/>
      <c r="AQ740" s="227"/>
      <c r="AR740" s="227"/>
      <c r="AS740" s="227"/>
      <c r="AT740" s="227"/>
      <c r="AU740" s="227"/>
    </row>
    <row r="741" spans="27:64" ht="12.95" customHeight="1">
      <c r="AA741" s="227"/>
      <c r="AB741" s="227"/>
      <c r="AC741" s="227"/>
      <c r="AD741" s="227"/>
      <c r="AE741" s="227"/>
      <c r="AG741" s="19"/>
      <c r="AN741" s="227"/>
      <c r="AO741" s="227"/>
      <c r="AP741" s="227"/>
      <c r="AQ741" s="227"/>
      <c r="AR741" s="227"/>
      <c r="AS741" s="227"/>
      <c r="AT741" s="227"/>
      <c r="AU741" s="227"/>
    </row>
    <row r="742" spans="27:64" ht="12.95" customHeight="1">
      <c r="AA742" s="227"/>
      <c r="AB742" s="227"/>
      <c r="AC742" s="227"/>
      <c r="AD742" s="227"/>
      <c r="AE742" s="227"/>
      <c r="AG742" s="19"/>
      <c r="AN742" s="227"/>
      <c r="AO742" s="227"/>
      <c r="AP742" s="227"/>
      <c r="AQ742" s="227"/>
      <c r="AR742" s="227"/>
      <c r="AS742" s="227"/>
      <c r="AT742" s="227"/>
      <c r="AU742" s="227"/>
      <c r="AV742" s="227"/>
      <c r="AW742" s="227"/>
      <c r="AX742" s="227"/>
      <c r="AY742" s="227"/>
      <c r="AZ742" s="227"/>
      <c r="BA742" s="227"/>
      <c r="BB742" s="227"/>
      <c r="BC742" s="227"/>
      <c r="BD742" s="227"/>
      <c r="BE742" s="227"/>
      <c r="BF742" s="227"/>
      <c r="BG742" s="227"/>
      <c r="BH742" s="227"/>
      <c r="BI742" s="227"/>
      <c r="BJ742" s="227"/>
      <c r="BK742" s="227"/>
      <c r="BL742" s="227"/>
    </row>
    <row r="743" spans="27:64" ht="12.95" customHeight="1">
      <c r="AA743" s="227"/>
      <c r="AB743" s="227"/>
      <c r="AC743" s="227"/>
      <c r="AD743" s="227"/>
      <c r="AE743" s="227"/>
      <c r="AG743" s="19"/>
      <c r="AN743" s="227"/>
      <c r="AO743" s="227"/>
      <c r="AP743" s="227"/>
      <c r="AQ743" s="227"/>
      <c r="AR743" s="227"/>
      <c r="AS743" s="227"/>
      <c r="AT743" s="227"/>
      <c r="AU743" s="227"/>
    </row>
    <row r="744" spans="27:64" ht="12.95" customHeight="1">
      <c r="AA744" s="227"/>
      <c r="AB744" s="227"/>
      <c r="AC744" s="227"/>
      <c r="AD744" s="227"/>
      <c r="AE744" s="227"/>
      <c r="AG744" s="19"/>
      <c r="AN744" s="227"/>
      <c r="AO744" s="227"/>
      <c r="AP744" s="227"/>
      <c r="AQ744" s="227"/>
      <c r="AR744" s="227"/>
      <c r="AS744" s="227"/>
      <c r="AT744" s="227"/>
      <c r="AU744" s="227"/>
    </row>
    <row r="745" spans="27:64" ht="12.95" customHeight="1">
      <c r="AA745" s="227"/>
      <c r="AB745" s="227"/>
      <c r="AC745" s="227"/>
      <c r="AD745" s="227"/>
      <c r="AE745" s="227"/>
      <c r="AG745" s="19"/>
      <c r="AN745" s="227"/>
      <c r="AO745" s="227"/>
      <c r="AP745" s="227"/>
      <c r="AQ745" s="227"/>
      <c r="AR745" s="227"/>
      <c r="AS745" s="227"/>
      <c r="AT745" s="227"/>
      <c r="AU745" s="227"/>
    </row>
    <row r="746" spans="27:64" ht="12.95" customHeight="1">
      <c r="AA746" s="227"/>
      <c r="AB746" s="227"/>
      <c r="AC746" s="227"/>
      <c r="AD746" s="227"/>
      <c r="AE746" s="227"/>
      <c r="AG746" s="19"/>
      <c r="AN746" s="227"/>
      <c r="AO746" s="227"/>
      <c r="AP746" s="227"/>
      <c r="AQ746" s="227"/>
      <c r="AR746" s="227"/>
      <c r="AS746" s="227"/>
      <c r="AT746" s="227"/>
      <c r="AU746" s="227"/>
    </row>
    <row r="747" spans="27:64" ht="12.95" customHeight="1">
      <c r="AA747" s="227"/>
      <c r="AB747" s="227"/>
      <c r="AC747" s="227"/>
      <c r="AD747" s="227"/>
      <c r="AE747" s="227"/>
      <c r="AG747" s="19"/>
      <c r="AN747" s="227"/>
      <c r="AO747" s="227"/>
      <c r="AP747" s="227"/>
      <c r="AQ747" s="227"/>
      <c r="AR747" s="227"/>
      <c r="AS747" s="227"/>
      <c r="AT747" s="227"/>
      <c r="AU747" s="227"/>
    </row>
    <row r="748" spans="27:64" ht="12.95" customHeight="1">
      <c r="AA748" s="227"/>
      <c r="AB748" s="227"/>
      <c r="AC748" s="227"/>
      <c r="AD748" s="227"/>
      <c r="AE748" s="227"/>
      <c r="AG748" s="19"/>
      <c r="AN748" s="227"/>
      <c r="AO748" s="227"/>
      <c r="AP748" s="227"/>
      <c r="AQ748" s="227"/>
      <c r="AR748" s="227"/>
      <c r="AS748" s="227"/>
      <c r="AT748" s="227"/>
      <c r="AU748" s="227"/>
    </row>
    <row r="749" spans="27:64" ht="12.95" customHeight="1">
      <c r="AA749" s="227"/>
      <c r="AB749" s="227"/>
      <c r="AC749" s="227"/>
      <c r="AD749" s="227"/>
      <c r="AE749" s="227"/>
      <c r="AG749" s="19"/>
      <c r="AN749" s="227"/>
      <c r="AO749" s="227"/>
      <c r="AP749" s="227"/>
      <c r="AQ749" s="227"/>
      <c r="AR749" s="227"/>
      <c r="AS749" s="227"/>
      <c r="AT749" s="227"/>
      <c r="AU749" s="227"/>
    </row>
    <row r="750" spans="27:64" ht="12.95" customHeight="1">
      <c r="AA750" s="227"/>
      <c r="AB750" s="227"/>
      <c r="AC750" s="227"/>
      <c r="AD750" s="227"/>
      <c r="AE750" s="227"/>
      <c r="AG750" s="19"/>
      <c r="AN750" s="227"/>
      <c r="AO750" s="227"/>
      <c r="AP750" s="227"/>
      <c r="AQ750" s="227"/>
      <c r="AR750" s="227"/>
      <c r="AS750" s="227"/>
      <c r="AT750" s="227"/>
      <c r="AU750" s="227"/>
    </row>
    <row r="751" spans="27:64" ht="12.95" customHeight="1">
      <c r="AA751" s="227"/>
      <c r="AB751" s="227"/>
      <c r="AC751" s="227"/>
      <c r="AD751" s="227"/>
      <c r="AE751" s="227"/>
      <c r="AG751" s="19"/>
      <c r="AN751" s="227"/>
      <c r="AO751" s="227"/>
      <c r="AP751" s="227"/>
      <c r="AQ751" s="227"/>
      <c r="AR751" s="227"/>
      <c r="AS751" s="227"/>
      <c r="AT751" s="227"/>
      <c r="AU751" s="227"/>
    </row>
    <row r="752" spans="27:64" ht="12.95" customHeight="1">
      <c r="AA752" s="227"/>
      <c r="AB752" s="227"/>
      <c r="AC752" s="227"/>
      <c r="AD752" s="227"/>
      <c r="AE752" s="227"/>
      <c r="AG752" s="19"/>
      <c r="AN752" s="227"/>
      <c r="AO752" s="227"/>
      <c r="AP752" s="227"/>
      <c r="AQ752" s="227"/>
      <c r="AR752" s="227"/>
      <c r="AS752" s="227"/>
      <c r="AT752" s="227"/>
      <c r="AU752" s="227"/>
    </row>
    <row r="753" spans="27:64" ht="12.95" customHeight="1">
      <c r="AA753" s="227"/>
      <c r="AB753" s="227"/>
      <c r="AC753" s="227"/>
      <c r="AD753" s="227"/>
      <c r="AE753" s="227"/>
      <c r="AG753" s="19"/>
      <c r="AN753" s="227"/>
      <c r="AO753" s="227"/>
      <c r="AP753" s="227"/>
      <c r="AQ753" s="227"/>
      <c r="AR753" s="227"/>
      <c r="AS753" s="227"/>
      <c r="AT753" s="227"/>
      <c r="AU753" s="227"/>
      <c r="AV753" s="227"/>
    </row>
    <row r="754" spans="27:64" ht="12.95" customHeight="1">
      <c r="AA754" s="227"/>
      <c r="AB754" s="227"/>
      <c r="AC754" s="227"/>
      <c r="AD754" s="227"/>
      <c r="AE754" s="227"/>
      <c r="AG754" s="19"/>
      <c r="AN754" s="227"/>
      <c r="AO754" s="227"/>
      <c r="AP754" s="227"/>
      <c r="AQ754" s="227"/>
      <c r="AR754" s="227"/>
      <c r="AS754" s="227"/>
      <c r="AT754" s="227"/>
      <c r="AU754" s="227"/>
    </row>
    <row r="755" spans="27:64" ht="12.95" customHeight="1">
      <c r="AA755" s="227"/>
      <c r="AB755" s="227"/>
      <c r="AC755" s="227"/>
      <c r="AD755" s="227"/>
      <c r="AE755" s="227"/>
      <c r="AG755" s="19"/>
      <c r="AN755" s="227"/>
      <c r="AO755" s="227"/>
      <c r="AP755" s="227"/>
      <c r="AQ755" s="227"/>
      <c r="AR755" s="227"/>
      <c r="AS755" s="227"/>
      <c r="AT755" s="227"/>
      <c r="AU755" s="227"/>
    </row>
    <row r="756" spans="27:64" ht="12.95" customHeight="1">
      <c r="AA756" s="227"/>
      <c r="AB756" s="227"/>
      <c r="AC756" s="227"/>
      <c r="AD756" s="227"/>
      <c r="AE756" s="227"/>
      <c r="AG756" s="19"/>
      <c r="AN756" s="227"/>
      <c r="AO756" s="227"/>
      <c r="AP756" s="227"/>
      <c r="AQ756" s="227"/>
      <c r="AR756" s="227"/>
      <c r="AS756" s="227"/>
      <c r="AT756" s="227"/>
      <c r="AU756" s="227"/>
    </row>
    <row r="757" spans="27:64" ht="12.95" customHeight="1">
      <c r="AA757" s="227"/>
      <c r="AB757" s="227"/>
      <c r="AC757" s="227"/>
      <c r="AD757" s="227"/>
      <c r="AE757" s="227"/>
      <c r="AG757" s="19"/>
      <c r="AN757" s="227"/>
      <c r="AO757" s="227"/>
      <c r="AP757" s="227"/>
      <c r="AQ757" s="227"/>
      <c r="AR757" s="227"/>
      <c r="AS757" s="227"/>
      <c r="AT757" s="227"/>
      <c r="AU757" s="227"/>
    </row>
    <row r="758" spans="27:64" ht="12.95" customHeight="1">
      <c r="AA758" s="227"/>
      <c r="AB758" s="227"/>
      <c r="AC758" s="227"/>
      <c r="AD758" s="227"/>
      <c r="AE758" s="227"/>
      <c r="AG758" s="19"/>
      <c r="AN758" s="227"/>
      <c r="AO758" s="227"/>
      <c r="AP758" s="227"/>
      <c r="AQ758" s="227"/>
      <c r="AR758" s="227"/>
      <c r="AS758" s="227"/>
      <c r="AT758" s="227"/>
      <c r="AU758" s="227"/>
    </row>
    <row r="759" spans="27:64" ht="12.95" customHeight="1">
      <c r="AA759" s="227"/>
      <c r="AB759" s="227"/>
      <c r="AC759" s="227"/>
      <c r="AD759" s="227"/>
      <c r="AE759" s="227"/>
      <c r="AG759" s="19"/>
      <c r="AN759" s="227"/>
      <c r="AO759" s="227"/>
      <c r="AP759" s="227"/>
      <c r="AQ759" s="227"/>
      <c r="AR759" s="227"/>
      <c r="AS759" s="227"/>
      <c r="AT759" s="227"/>
      <c r="AU759" s="227"/>
    </row>
    <row r="760" spans="27:64" ht="12.95" customHeight="1">
      <c r="AA760" s="227"/>
      <c r="AB760" s="227"/>
      <c r="AC760" s="227"/>
      <c r="AD760" s="227"/>
      <c r="AE760" s="227"/>
      <c r="AG760" s="19"/>
      <c r="AN760" s="227"/>
      <c r="AO760" s="227"/>
      <c r="AP760" s="227"/>
      <c r="AQ760" s="227"/>
      <c r="AR760" s="227"/>
      <c r="AS760" s="227"/>
      <c r="AT760" s="227"/>
      <c r="AU760" s="227"/>
    </row>
    <row r="761" spans="27:64" ht="12.95" customHeight="1">
      <c r="AA761" s="227"/>
      <c r="AB761" s="227"/>
      <c r="AC761" s="227"/>
      <c r="AD761" s="227"/>
      <c r="AE761" s="227"/>
      <c r="AG761" s="19"/>
      <c r="AN761" s="227"/>
      <c r="AO761" s="227"/>
      <c r="AP761" s="227"/>
      <c r="AQ761" s="227"/>
      <c r="AR761" s="227"/>
      <c r="AS761" s="227"/>
      <c r="AT761" s="227"/>
      <c r="AU761" s="227"/>
    </row>
    <row r="762" spans="27:64" ht="12.95" customHeight="1">
      <c r="AA762" s="227"/>
      <c r="AB762" s="227"/>
      <c r="AC762" s="227"/>
      <c r="AD762" s="227"/>
      <c r="AE762" s="227"/>
      <c r="AG762" s="19"/>
      <c r="AN762" s="227"/>
      <c r="AO762" s="227"/>
      <c r="AP762" s="227"/>
      <c r="AQ762" s="227"/>
      <c r="AR762" s="227"/>
      <c r="AS762" s="227"/>
      <c r="AT762" s="227"/>
      <c r="AU762" s="227"/>
    </row>
    <row r="763" spans="27:64" ht="12.95" customHeight="1">
      <c r="AA763" s="227"/>
      <c r="AB763" s="227"/>
      <c r="AC763" s="227"/>
      <c r="AD763" s="227"/>
      <c r="AE763" s="227"/>
      <c r="AG763" s="19"/>
      <c r="AN763" s="227"/>
      <c r="AO763" s="227"/>
      <c r="AP763" s="227"/>
      <c r="AQ763" s="227"/>
      <c r="AR763" s="227"/>
      <c r="AS763" s="227"/>
      <c r="AT763" s="227"/>
      <c r="AU763" s="227"/>
      <c r="AV763" s="227"/>
      <c r="AX763" s="227"/>
      <c r="AY763" s="227"/>
      <c r="AZ763" s="227"/>
      <c r="BA763" s="227"/>
      <c r="BB763" s="227"/>
      <c r="BC763" s="227"/>
      <c r="BD763" s="227"/>
      <c r="BE763" s="227"/>
      <c r="BF763" s="227"/>
      <c r="BG763" s="227"/>
      <c r="BH763" s="227"/>
      <c r="BI763" s="227"/>
      <c r="BJ763" s="227"/>
      <c r="BK763" s="227"/>
      <c r="BL763" s="227"/>
    </row>
    <row r="764" spans="27:64" ht="12.95" customHeight="1">
      <c r="AA764" s="227"/>
      <c r="AB764" s="227"/>
      <c r="AC764" s="227"/>
      <c r="AD764" s="227"/>
      <c r="AE764" s="227"/>
      <c r="AG764" s="19"/>
      <c r="AN764" s="227"/>
      <c r="AO764" s="227"/>
      <c r="AP764" s="227"/>
      <c r="AQ764" s="227"/>
      <c r="AR764" s="227"/>
      <c r="AS764" s="227"/>
      <c r="AT764" s="227"/>
      <c r="AU764" s="227"/>
    </row>
    <row r="765" spans="27:64" ht="12.95" customHeight="1">
      <c r="AA765" s="227"/>
      <c r="AB765" s="227"/>
      <c r="AC765" s="227"/>
      <c r="AD765" s="227"/>
      <c r="AE765" s="227"/>
      <c r="AG765" s="19"/>
      <c r="AN765" s="227"/>
      <c r="AO765" s="227"/>
      <c r="AP765" s="227"/>
      <c r="AQ765" s="227"/>
      <c r="AR765" s="227"/>
      <c r="AS765" s="227"/>
      <c r="AT765" s="227"/>
      <c r="AU765" s="227"/>
    </row>
    <row r="766" spans="27:64" ht="12.95" customHeight="1">
      <c r="AA766" s="227"/>
      <c r="AB766" s="227"/>
      <c r="AC766" s="227"/>
      <c r="AD766" s="227"/>
      <c r="AE766" s="227"/>
      <c r="AG766" s="19"/>
      <c r="AN766" s="227"/>
      <c r="AO766" s="227"/>
      <c r="AP766" s="227"/>
      <c r="AQ766" s="227"/>
      <c r="AR766" s="227"/>
      <c r="AS766" s="227"/>
      <c r="AT766" s="227"/>
      <c r="AU766" s="227"/>
    </row>
    <row r="767" spans="27:64" ht="12.95" customHeight="1">
      <c r="AA767" s="227"/>
      <c r="AB767" s="227"/>
      <c r="AC767" s="227"/>
      <c r="AD767" s="227"/>
      <c r="AE767" s="227"/>
      <c r="AG767" s="19"/>
      <c r="AN767" s="227"/>
      <c r="AO767" s="227"/>
      <c r="AP767" s="227"/>
      <c r="AQ767" s="227"/>
      <c r="AR767" s="227"/>
      <c r="AS767" s="227"/>
      <c r="AT767" s="227"/>
      <c r="AU767" s="227"/>
    </row>
    <row r="768" spans="27:64" ht="12.95" customHeight="1">
      <c r="AA768" s="227"/>
      <c r="AB768" s="227"/>
      <c r="AC768" s="227"/>
      <c r="AD768" s="227"/>
      <c r="AE768" s="227"/>
      <c r="AG768" s="19"/>
      <c r="AN768" s="227"/>
      <c r="AO768" s="227"/>
      <c r="AP768" s="227"/>
      <c r="AQ768" s="227"/>
      <c r="AR768" s="227"/>
      <c r="AS768" s="227"/>
      <c r="AT768" s="227"/>
      <c r="AU768" s="227"/>
      <c r="AV768" s="227"/>
      <c r="AW768" s="227"/>
      <c r="AX768" s="227"/>
      <c r="AY768" s="227"/>
      <c r="AZ768" s="227"/>
      <c r="BA768" s="227"/>
      <c r="BB768" s="227"/>
      <c r="BC768" s="227"/>
      <c r="BD768" s="227"/>
      <c r="BE768" s="227"/>
      <c r="BF768" s="227"/>
      <c r="BG768" s="227"/>
      <c r="BH768" s="227"/>
      <c r="BI768" s="227"/>
      <c r="BJ768" s="227"/>
      <c r="BK768" s="227"/>
      <c r="BL768" s="227"/>
    </row>
    <row r="769" spans="27:48" ht="12.95" customHeight="1">
      <c r="AA769" s="227"/>
      <c r="AB769" s="227"/>
      <c r="AC769" s="227"/>
      <c r="AD769" s="227"/>
      <c r="AE769" s="227"/>
      <c r="AG769" s="19"/>
      <c r="AN769" s="227"/>
      <c r="AO769" s="227"/>
      <c r="AP769" s="227"/>
      <c r="AQ769" s="227"/>
      <c r="AR769" s="227"/>
      <c r="AS769" s="227"/>
      <c r="AT769" s="227"/>
      <c r="AU769" s="227"/>
    </row>
    <row r="770" spans="27:48" ht="12.95" customHeight="1">
      <c r="AA770" s="227"/>
      <c r="AB770" s="227"/>
      <c r="AC770" s="227"/>
      <c r="AD770" s="227"/>
      <c r="AE770" s="227"/>
      <c r="AG770" s="19"/>
      <c r="AN770" s="227"/>
      <c r="AO770" s="227"/>
      <c r="AP770" s="227"/>
      <c r="AQ770" s="227"/>
      <c r="AR770" s="227"/>
      <c r="AS770" s="227"/>
      <c r="AT770" s="227"/>
      <c r="AU770" s="227"/>
    </row>
    <row r="771" spans="27:48" ht="12.95" customHeight="1">
      <c r="AA771" s="227"/>
      <c r="AB771" s="227"/>
      <c r="AC771" s="227"/>
      <c r="AD771" s="227"/>
      <c r="AE771" s="227"/>
      <c r="AG771" s="19"/>
      <c r="AN771" s="227"/>
      <c r="AO771" s="227"/>
      <c r="AP771" s="227"/>
      <c r="AQ771" s="227"/>
      <c r="AR771" s="227"/>
      <c r="AS771" s="227"/>
      <c r="AT771" s="227"/>
      <c r="AU771" s="227"/>
    </row>
    <row r="772" spans="27:48" ht="12.95" customHeight="1">
      <c r="AA772" s="227"/>
      <c r="AB772" s="227"/>
      <c r="AC772" s="227"/>
      <c r="AD772" s="227"/>
      <c r="AE772" s="227"/>
      <c r="AG772" s="19"/>
      <c r="AN772" s="227"/>
      <c r="AO772" s="227"/>
      <c r="AP772" s="227"/>
      <c r="AQ772" s="227"/>
      <c r="AR772" s="227"/>
      <c r="AS772" s="227"/>
      <c r="AT772" s="227"/>
      <c r="AU772" s="227"/>
    </row>
    <row r="773" spans="27:48" ht="12.95" customHeight="1">
      <c r="AA773" s="227"/>
      <c r="AB773" s="227"/>
      <c r="AC773" s="227"/>
      <c r="AD773" s="227"/>
      <c r="AE773" s="227"/>
      <c r="AG773" s="19"/>
      <c r="AN773" s="227"/>
      <c r="AO773" s="227"/>
      <c r="AP773" s="227"/>
      <c r="AQ773" s="227"/>
      <c r="AR773" s="227"/>
      <c r="AS773" s="227"/>
      <c r="AT773" s="227"/>
      <c r="AU773" s="227"/>
    </row>
    <row r="774" spans="27:48" ht="12.95" customHeight="1">
      <c r="AA774" s="227"/>
      <c r="AB774" s="227"/>
      <c r="AC774" s="227"/>
      <c r="AD774" s="227"/>
      <c r="AE774" s="227"/>
      <c r="AG774" s="19"/>
      <c r="AN774" s="227"/>
      <c r="AO774" s="227"/>
      <c r="AP774" s="227"/>
      <c r="AQ774" s="227"/>
      <c r="AR774" s="227"/>
      <c r="AS774" s="227"/>
      <c r="AT774" s="227"/>
      <c r="AU774" s="227"/>
    </row>
    <row r="775" spans="27:48" ht="12.95" customHeight="1">
      <c r="AA775" s="227"/>
      <c r="AB775" s="227"/>
      <c r="AC775" s="227"/>
      <c r="AD775" s="227"/>
      <c r="AE775" s="227"/>
      <c r="AG775" s="19"/>
      <c r="AN775" s="227"/>
      <c r="AO775" s="227"/>
      <c r="AP775" s="227"/>
      <c r="AQ775" s="227"/>
      <c r="AR775" s="227"/>
      <c r="AS775" s="227"/>
      <c r="AT775" s="227"/>
      <c r="AU775" s="227"/>
    </row>
    <row r="776" spans="27:48" ht="12.95" customHeight="1">
      <c r="AA776" s="227"/>
      <c r="AB776" s="227"/>
      <c r="AC776" s="227"/>
      <c r="AD776" s="227"/>
      <c r="AE776" s="227"/>
      <c r="AG776" s="19"/>
      <c r="AN776" s="227"/>
      <c r="AO776" s="227"/>
      <c r="AP776" s="227"/>
      <c r="AQ776" s="227"/>
      <c r="AR776" s="227"/>
      <c r="AS776" s="227"/>
      <c r="AT776" s="227"/>
      <c r="AU776" s="227"/>
    </row>
    <row r="777" spans="27:48" ht="12.95" customHeight="1">
      <c r="AA777" s="227"/>
      <c r="AB777" s="227"/>
      <c r="AC777" s="227"/>
      <c r="AD777" s="227"/>
      <c r="AE777" s="227"/>
      <c r="AG777" s="19"/>
      <c r="AN777" s="227"/>
      <c r="AO777" s="227"/>
      <c r="AP777" s="227"/>
      <c r="AQ777" s="227"/>
      <c r="AR777" s="227"/>
      <c r="AS777" s="227"/>
      <c r="AT777" s="227"/>
      <c r="AU777" s="227"/>
      <c r="AV777" s="227"/>
    </row>
    <row r="778" spans="27:48" ht="12.95" customHeight="1">
      <c r="AA778" s="227"/>
      <c r="AB778" s="227"/>
      <c r="AC778" s="227"/>
      <c r="AD778" s="227"/>
      <c r="AE778" s="227"/>
      <c r="AG778" s="19"/>
      <c r="AN778" s="227"/>
      <c r="AO778" s="227"/>
      <c r="AP778" s="227"/>
      <c r="AQ778" s="227"/>
      <c r="AR778" s="227"/>
      <c r="AS778" s="227"/>
      <c r="AT778" s="227"/>
      <c r="AU778" s="227"/>
    </row>
    <row r="779" spans="27:48" ht="12.95" customHeight="1">
      <c r="AA779" s="227"/>
      <c r="AB779" s="227"/>
      <c r="AC779" s="227"/>
      <c r="AD779" s="227"/>
      <c r="AE779" s="227"/>
      <c r="AG779" s="19"/>
      <c r="AN779" s="227"/>
      <c r="AO779" s="227"/>
      <c r="AP779" s="227"/>
      <c r="AQ779" s="227"/>
      <c r="AR779" s="227"/>
      <c r="AS779" s="227"/>
      <c r="AT779" s="227"/>
      <c r="AU779" s="227"/>
    </row>
    <row r="780" spans="27:48" ht="12.95" customHeight="1">
      <c r="AA780" s="227"/>
      <c r="AB780" s="227"/>
      <c r="AC780" s="227"/>
      <c r="AD780" s="227"/>
      <c r="AE780" s="227"/>
      <c r="AG780" s="19"/>
      <c r="AN780" s="227"/>
      <c r="AO780" s="227"/>
      <c r="AP780" s="227"/>
      <c r="AQ780" s="227"/>
      <c r="AR780" s="227"/>
      <c r="AS780" s="227"/>
      <c r="AT780" s="227"/>
      <c r="AU780" s="227"/>
    </row>
    <row r="781" spans="27:48" ht="12.95" customHeight="1">
      <c r="AA781" s="227"/>
      <c r="AB781" s="227"/>
      <c r="AC781" s="227"/>
      <c r="AD781" s="227"/>
      <c r="AE781" s="227"/>
      <c r="AG781" s="19"/>
      <c r="AN781" s="227"/>
      <c r="AO781" s="227"/>
      <c r="AP781" s="227"/>
      <c r="AQ781" s="227"/>
      <c r="AR781" s="227"/>
      <c r="AS781" s="227"/>
      <c r="AT781" s="227"/>
      <c r="AU781" s="227"/>
    </row>
    <row r="782" spans="27:48" ht="12.95" customHeight="1">
      <c r="AA782" s="227"/>
      <c r="AB782" s="227"/>
      <c r="AC782" s="227"/>
      <c r="AD782" s="227"/>
      <c r="AE782" s="227"/>
      <c r="AG782" s="19"/>
      <c r="AN782" s="227"/>
      <c r="AO782" s="227"/>
      <c r="AP782" s="227"/>
      <c r="AQ782" s="227"/>
      <c r="AR782" s="227"/>
      <c r="AS782" s="227"/>
      <c r="AT782" s="227"/>
      <c r="AU782" s="227"/>
    </row>
    <row r="783" spans="27:48" ht="12.95" customHeight="1">
      <c r="AA783" s="227"/>
      <c r="AB783" s="227"/>
      <c r="AC783" s="227"/>
      <c r="AD783" s="227"/>
      <c r="AE783" s="227"/>
      <c r="AG783" s="19"/>
      <c r="AN783" s="227"/>
      <c r="AO783" s="227"/>
      <c r="AP783" s="227"/>
      <c r="AQ783" s="227"/>
      <c r="AR783" s="227"/>
      <c r="AS783" s="227"/>
      <c r="AT783" s="227"/>
      <c r="AU783" s="227"/>
    </row>
    <row r="784" spans="27:48" ht="12.95" customHeight="1">
      <c r="AA784" s="227"/>
      <c r="AB784" s="227"/>
      <c r="AC784" s="227"/>
      <c r="AD784" s="227"/>
      <c r="AE784" s="227"/>
      <c r="AG784" s="19"/>
      <c r="AN784" s="227"/>
      <c r="AO784" s="227"/>
      <c r="AP784" s="227"/>
      <c r="AQ784" s="227"/>
      <c r="AR784" s="227"/>
      <c r="AS784" s="227"/>
      <c r="AT784" s="227"/>
      <c r="AU784" s="227"/>
    </row>
    <row r="785" spans="27:47" ht="12.95" customHeight="1">
      <c r="AA785" s="227"/>
      <c r="AB785" s="227"/>
      <c r="AC785" s="227"/>
      <c r="AD785" s="227"/>
      <c r="AE785" s="227"/>
      <c r="AG785" s="19"/>
      <c r="AN785" s="227"/>
      <c r="AO785" s="227"/>
      <c r="AP785" s="227"/>
      <c r="AQ785" s="227"/>
      <c r="AR785" s="227"/>
      <c r="AS785" s="227"/>
      <c r="AT785" s="227"/>
      <c r="AU785" s="227"/>
    </row>
    <row r="786" spans="27:47" ht="12.95" customHeight="1">
      <c r="AA786" s="227"/>
      <c r="AB786" s="227"/>
      <c r="AC786" s="227"/>
      <c r="AD786" s="227"/>
      <c r="AE786" s="227"/>
      <c r="AG786" s="19"/>
      <c r="AN786" s="227"/>
      <c r="AO786" s="227"/>
      <c r="AP786" s="227"/>
      <c r="AQ786" s="227"/>
      <c r="AR786" s="227"/>
      <c r="AS786" s="227"/>
      <c r="AT786" s="227"/>
      <c r="AU786" s="227"/>
    </row>
    <row r="787" spans="27:47" ht="12.95" customHeight="1">
      <c r="AA787" s="227"/>
      <c r="AB787" s="227"/>
      <c r="AC787" s="227"/>
      <c r="AD787" s="227"/>
      <c r="AE787" s="227"/>
      <c r="AG787" s="19"/>
      <c r="AN787" s="227"/>
      <c r="AO787" s="227"/>
      <c r="AP787" s="227"/>
      <c r="AQ787" s="227"/>
      <c r="AR787" s="227"/>
      <c r="AS787" s="227"/>
      <c r="AT787" s="227"/>
      <c r="AU787" s="227"/>
    </row>
    <row r="788" spans="27:47" ht="12.95" customHeight="1">
      <c r="AA788" s="227"/>
      <c r="AB788" s="227"/>
      <c r="AC788" s="227"/>
      <c r="AD788" s="227"/>
      <c r="AE788" s="227"/>
      <c r="AG788" s="19"/>
      <c r="AN788" s="227"/>
      <c r="AO788" s="227"/>
      <c r="AP788" s="227"/>
      <c r="AQ788" s="227"/>
      <c r="AR788" s="227"/>
      <c r="AS788" s="227"/>
      <c r="AT788" s="227"/>
      <c r="AU788" s="227"/>
    </row>
    <row r="789" spans="27:47" ht="12.95" customHeight="1">
      <c r="AA789" s="227"/>
      <c r="AB789" s="227"/>
      <c r="AC789" s="227"/>
      <c r="AD789" s="227"/>
      <c r="AE789" s="227"/>
      <c r="AG789" s="19"/>
      <c r="AN789" s="227"/>
      <c r="AO789" s="227"/>
      <c r="AP789" s="227"/>
      <c r="AQ789" s="227"/>
      <c r="AR789" s="227"/>
      <c r="AS789" s="227"/>
      <c r="AT789" s="227"/>
      <c r="AU789" s="227"/>
    </row>
    <row r="790" spans="27:47" ht="12.95" customHeight="1">
      <c r="AA790" s="227"/>
      <c r="AB790" s="227"/>
      <c r="AC790" s="227"/>
      <c r="AD790" s="227"/>
      <c r="AE790" s="227"/>
      <c r="AG790" s="19"/>
      <c r="AN790" s="227"/>
      <c r="AO790" s="227"/>
      <c r="AP790" s="227"/>
      <c r="AQ790" s="227"/>
      <c r="AR790" s="227"/>
      <c r="AS790" s="227"/>
      <c r="AT790" s="227"/>
      <c r="AU790" s="227"/>
    </row>
    <row r="791" spans="27:47" ht="12.95" customHeight="1">
      <c r="AA791" s="227"/>
      <c r="AB791" s="227"/>
      <c r="AC791" s="227"/>
      <c r="AD791" s="227"/>
      <c r="AE791" s="227"/>
      <c r="AG791" s="19"/>
      <c r="AN791" s="227"/>
      <c r="AO791" s="227"/>
      <c r="AP791" s="227"/>
      <c r="AQ791" s="227"/>
      <c r="AR791" s="227"/>
      <c r="AS791" s="227"/>
      <c r="AT791" s="227"/>
      <c r="AU791" s="227"/>
    </row>
    <row r="792" spans="27:47" ht="12.95" customHeight="1">
      <c r="AA792" s="227"/>
      <c r="AB792" s="227"/>
      <c r="AC792" s="227"/>
      <c r="AD792" s="227"/>
      <c r="AE792" s="227"/>
      <c r="AG792" s="19"/>
      <c r="AN792" s="227"/>
      <c r="AO792" s="227"/>
      <c r="AP792" s="227"/>
      <c r="AQ792" s="227"/>
      <c r="AR792" s="227"/>
      <c r="AS792" s="227"/>
      <c r="AT792" s="227"/>
      <c r="AU792" s="227"/>
    </row>
    <row r="793" spans="27:47" ht="12.95" customHeight="1">
      <c r="AA793" s="227"/>
      <c r="AB793" s="227"/>
      <c r="AC793" s="227"/>
      <c r="AD793" s="227"/>
      <c r="AE793" s="227"/>
      <c r="AG793" s="19"/>
      <c r="AN793" s="227"/>
      <c r="AO793" s="227"/>
      <c r="AP793" s="227"/>
      <c r="AQ793" s="227"/>
      <c r="AR793" s="227"/>
      <c r="AS793" s="227"/>
      <c r="AT793" s="227"/>
      <c r="AU793" s="227"/>
    </row>
    <row r="794" spans="27:47" ht="12.95" customHeight="1">
      <c r="AA794" s="227"/>
      <c r="AB794" s="227"/>
      <c r="AC794" s="227"/>
      <c r="AD794" s="227"/>
      <c r="AE794" s="227"/>
      <c r="AG794" s="19"/>
      <c r="AN794" s="227"/>
      <c r="AO794" s="227"/>
      <c r="AP794" s="227"/>
      <c r="AQ794" s="227"/>
      <c r="AR794" s="227"/>
      <c r="AS794" s="227"/>
      <c r="AT794" s="227"/>
      <c r="AU794" s="227"/>
    </row>
    <row r="795" spans="27:47" ht="12.95" customHeight="1">
      <c r="AA795" s="227"/>
      <c r="AB795" s="227"/>
      <c r="AC795" s="227"/>
      <c r="AD795" s="227"/>
      <c r="AE795" s="227"/>
      <c r="AG795" s="19"/>
      <c r="AN795" s="227"/>
      <c r="AO795" s="227"/>
      <c r="AP795" s="227"/>
      <c r="AQ795" s="227"/>
      <c r="AR795" s="227"/>
      <c r="AS795" s="227"/>
      <c r="AT795" s="227"/>
      <c r="AU795" s="227"/>
    </row>
    <row r="796" spans="27:47" ht="12.95" customHeight="1">
      <c r="AA796" s="227"/>
      <c r="AB796" s="227"/>
      <c r="AC796" s="227"/>
      <c r="AD796" s="227"/>
      <c r="AE796" s="227"/>
      <c r="AG796" s="19"/>
      <c r="AN796" s="227"/>
      <c r="AO796" s="227"/>
      <c r="AP796" s="227"/>
      <c r="AQ796" s="227"/>
      <c r="AR796" s="227"/>
      <c r="AS796" s="227"/>
      <c r="AT796" s="227"/>
      <c r="AU796" s="227"/>
    </row>
    <row r="797" spans="27:47" ht="12.95" customHeight="1">
      <c r="AA797" s="227"/>
      <c r="AB797" s="227"/>
      <c r="AC797" s="227"/>
      <c r="AD797" s="227"/>
      <c r="AE797" s="227"/>
      <c r="AG797" s="19"/>
      <c r="AN797" s="227"/>
      <c r="AO797" s="227"/>
      <c r="AP797" s="227"/>
      <c r="AQ797" s="227"/>
      <c r="AR797" s="227"/>
      <c r="AS797" s="227"/>
      <c r="AT797" s="227"/>
      <c r="AU797" s="227"/>
    </row>
    <row r="798" spans="27:47" ht="12.95" customHeight="1">
      <c r="AA798" s="227"/>
      <c r="AB798" s="227"/>
      <c r="AC798" s="227"/>
      <c r="AD798" s="227"/>
      <c r="AE798" s="227"/>
      <c r="AG798" s="19"/>
      <c r="AN798" s="227"/>
      <c r="AO798" s="227"/>
      <c r="AP798" s="227"/>
      <c r="AQ798" s="227"/>
      <c r="AR798" s="227"/>
      <c r="AS798" s="227"/>
      <c r="AT798" s="227"/>
      <c r="AU798" s="227"/>
    </row>
    <row r="799" spans="27:47" ht="12.95" customHeight="1">
      <c r="AA799" s="227"/>
      <c r="AB799" s="227"/>
      <c r="AC799" s="227"/>
      <c r="AD799" s="227"/>
      <c r="AE799" s="227"/>
      <c r="AG799" s="19"/>
      <c r="AN799" s="227"/>
      <c r="AO799" s="227"/>
      <c r="AP799" s="227"/>
      <c r="AQ799" s="227"/>
      <c r="AR799" s="227"/>
      <c r="AS799" s="227"/>
      <c r="AT799" s="227"/>
      <c r="AU799" s="227"/>
    </row>
    <row r="800" spans="27:47" ht="12.95" customHeight="1">
      <c r="AA800" s="227"/>
      <c r="AB800" s="227"/>
      <c r="AC800" s="227"/>
      <c r="AD800" s="227"/>
      <c r="AE800" s="227"/>
      <c r="AG800" s="19"/>
      <c r="AN800" s="227"/>
      <c r="AO800" s="227"/>
      <c r="AP800" s="227"/>
      <c r="AQ800" s="227"/>
      <c r="AR800" s="227"/>
      <c r="AS800" s="227"/>
      <c r="AT800" s="227"/>
      <c r="AU800" s="227"/>
    </row>
    <row r="801" spans="27:64" ht="12.95" customHeight="1">
      <c r="AA801" s="227"/>
      <c r="AB801" s="227"/>
      <c r="AC801" s="227"/>
      <c r="AD801" s="227"/>
      <c r="AE801" s="227"/>
      <c r="AG801" s="19"/>
      <c r="AN801" s="227"/>
      <c r="AO801" s="227"/>
      <c r="AP801" s="227"/>
      <c r="AQ801" s="227"/>
      <c r="AR801" s="227"/>
      <c r="AS801" s="227"/>
      <c r="AT801" s="227"/>
      <c r="AU801" s="227"/>
    </row>
    <row r="802" spans="27:64" ht="12.95" customHeight="1">
      <c r="AA802" s="227"/>
      <c r="AB802" s="227"/>
      <c r="AC802" s="227"/>
      <c r="AD802" s="227"/>
      <c r="AE802" s="227"/>
      <c r="AG802" s="19"/>
      <c r="AN802" s="227"/>
      <c r="AO802" s="227"/>
      <c r="AP802" s="227"/>
      <c r="AQ802" s="227"/>
      <c r="AR802" s="227"/>
      <c r="AS802" s="227"/>
      <c r="AT802" s="227"/>
      <c r="AU802" s="227"/>
    </row>
    <row r="803" spans="27:64" ht="12.95" customHeight="1">
      <c r="AA803" s="227"/>
      <c r="AB803" s="227"/>
      <c r="AC803" s="227"/>
      <c r="AD803" s="227"/>
      <c r="AE803" s="227"/>
      <c r="AG803" s="19"/>
      <c r="AN803" s="227"/>
      <c r="AO803" s="227"/>
      <c r="AP803" s="227"/>
      <c r="AQ803" s="227"/>
      <c r="AR803" s="227"/>
      <c r="AS803" s="227"/>
      <c r="AT803" s="227"/>
      <c r="AU803" s="227"/>
    </row>
    <row r="804" spans="27:64" ht="12.95" customHeight="1">
      <c r="AA804" s="227"/>
      <c r="AB804" s="227"/>
      <c r="AC804" s="227"/>
      <c r="AD804" s="227"/>
      <c r="AE804" s="227"/>
      <c r="AG804" s="19"/>
      <c r="AN804" s="227"/>
      <c r="AO804" s="227"/>
      <c r="AP804" s="227"/>
      <c r="AQ804" s="227"/>
      <c r="AR804" s="227"/>
      <c r="AS804" s="227"/>
      <c r="AT804" s="227"/>
      <c r="AU804" s="227"/>
    </row>
    <row r="805" spans="27:64" ht="12.95" customHeight="1">
      <c r="AA805" s="227"/>
      <c r="AB805" s="227"/>
      <c r="AC805" s="227"/>
      <c r="AD805" s="227"/>
      <c r="AE805" s="227"/>
      <c r="AG805" s="19"/>
      <c r="AN805" s="227"/>
      <c r="AO805" s="227"/>
      <c r="AP805" s="227"/>
      <c r="AQ805" s="227"/>
      <c r="AR805" s="227"/>
      <c r="AS805" s="227"/>
      <c r="AT805" s="227"/>
      <c r="AU805" s="227"/>
    </row>
    <row r="806" spans="27:64" ht="12.95" customHeight="1">
      <c r="AA806" s="227"/>
      <c r="AB806" s="227"/>
      <c r="AC806" s="227"/>
      <c r="AD806" s="227"/>
      <c r="AE806" s="227"/>
      <c r="AG806" s="19"/>
      <c r="AN806" s="227"/>
      <c r="AO806" s="227"/>
      <c r="AP806" s="227"/>
      <c r="AQ806" s="227"/>
      <c r="AR806" s="227"/>
      <c r="AS806" s="227"/>
      <c r="AT806" s="227"/>
      <c r="AU806" s="227"/>
    </row>
    <row r="807" spans="27:64" ht="12.95" customHeight="1">
      <c r="AA807" s="227"/>
      <c r="AB807" s="227"/>
      <c r="AC807" s="227"/>
      <c r="AD807" s="227"/>
      <c r="AE807" s="227"/>
      <c r="AG807" s="19"/>
      <c r="AN807" s="227"/>
      <c r="AO807" s="227"/>
      <c r="AP807" s="227"/>
      <c r="AQ807" s="227"/>
      <c r="AR807" s="227"/>
      <c r="AS807" s="227"/>
      <c r="AT807" s="227"/>
      <c r="AU807" s="227"/>
    </row>
    <row r="808" spans="27:64" ht="12.95" customHeight="1">
      <c r="AA808" s="227"/>
      <c r="AB808" s="227"/>
      <c r="AC808" s="227"/>
      <c r="AD808" s="227"/>
      <c r="AE808" s="227"/>
      <c r="AG808" s="19"/>
      <c r="AN808" s="227"/>
      <c r="AO808" s="227"/>
      <c r="AP808" s="227"/>
      <c r="AQ808" s="227"/>
      <c r="AR808" s="227"/>
      <c r="AS808" s="227"/>
      <c r="AT808" s="227"/>
      <c r="AU808" s="227"/>
    </row>
    <row r="809" spans="27:64" ht="12.95" customHeight="1">
      <c r="AA809" s="227"/>
      <c r="AB809" s="227"/>
      <c r="AC809" s="227"/>
      <c r="AD809" s="227"/>
      <c r="AE809" s="227"/>
      <c r="AG809" s="19"/>
      <c r="AN809" s="227"/>
      <c r="AO809" s="227"/>
      <c r="AP809" s="227"/>
      <c r="AQ809" s="227"/>
      <c r="AR809" s="227"/>
      <c r="AS809" s="227"/>
      <c r="AT809" s="227"/>
      <c r="AU809" s="227"/>
    </row>
    <row r="810" spans="27:64" ht="12.95" customHeight="1">
      <c r="AA810" s="227"/>
      <c r="AB810" s="227"/>
      <c r="AC810" s="227"/>
      <c r="AD810" s="227"/>
      <c r="AE810" s="227"/>
      <c r="AG810" s="19"/>
      <c r="AN810" s="227"/>
      <c r="AO810" s="227"/>
      <c r="AP810" s="227"/>
      <c r="AQ810" s="227"/>
      <c r="AR810" s="227"/>
      <c r="AS810" s="227"/>
      <c r="AT810" s="227"/>
      <c r="AU810" s="227"/>
    </row>
    <row r="811" spans="27:64" ht="12.95" customHeight="1">
      <c r="AA811" s="227"/>
      <c r="AB811" s="227"/>
      <c r="AC811" s="227"/>
      <c r="AD811" s="227"/>
      <c r="AE811" s="227"/>
      <c r="AG811" s="19"/>
      <c r="AN811" s="227"/>
      <c r="AO811" s="227"/>
      <c r="AP811" s="227"/>
      <c r="AQ811" s="227"/>
      <c r="AR811" s="227"/>
      <c r="AS811" s="227"/>
      <c r="AT811" s="227"/>
      <c r="AU811" s="227"/>
    </row>
    <row r="812" spans="27:64" ht="12.95" customHeight="1">
      <c r="AA812" s="227"/>
      <c r="AB812" s="227"/>
      <c r="AC812" s="227"/>
      <c r="AD812" s="227"/>
      <c r="AE812" s="227"/>
      <c r="AG812" s="19"/>
      <c r="AN812" s="227"/>
      <c r="AO812" s="227"/>
      <c r="AP812" s="227"/>
      <c r="AQ812" s="227"/>
      <c r="AR812" s="227"/>
      <c r="AS812" s="227"/>
      <c r="AT812" s="227"/>
      <c r="AU812" s="227"/>
    </row>
    <row r="813" spans="27:64" ht="12.95" customHeight="1">
      <c r="AA813" s="227"/>
      <c r="AB813" s="227"/>
      <c r="AC813" s="227"/>
      <c r="AD813" s="227"/>
      <c r="AE813" s="227"/>
      <c r="AG813" s="19"/>
      <c r="AN813" s="227"/>
      <c r="AO813" s="227"/>
      <c r="AP813" s="227"/>
      <c r="AQ813" s="227"/>
      <c r="AR813" s="227"/>
      <c r="AS813" s="227"/>
      <c r="AT813" s="227"/>
      <c r="AU813" s="227"/>
    </row>
    <row r="814" spans="27:64" ht="12.95" customHeight="1">
      <c r="AA814" s="227"/>
      <c r="AB814" s="227"/>
      <c r="AC814" s="227"/>
      <c r="AD814" s="227"/>
      <c r="AE814" s="227"/>
      <c r="AG814" s="19"/>
      <c r="AN814" s="227"/>
      <c r="AO814" s="227"/>
      <c r="AP814" s="227"/>
      <c r="AQ814" s="227"/>
      <c r="AR814" s="227"/>
      <c r="AS814" s="227"/>
      <c r="AT814" s="227"/>
      <c r="AU814" s="227"/>
    </row>
    <row r="815" spans="27:64" ht="12.95" customHeight="1">
      <c r="AA815" s="227"/>
      <c r="AB815" s="227"/>
      <c r="AC815" s="227"/>
      <c r="AD815" s="227"/>
      <c r="AE815" s="227"/>
      <c r="AG815" s="19"/>
      <c r="AN815" s="227"/>
      <c r="AO815" s="227"/>
      <c r="AP815" s="227"/>
      <c r="AQ815" s="227"/>
      <c r="AR815" s="227"/>
      <c r="AS815" s="227"/>
      <c r="AT815" s="227"/>
      <c r="AU815" s="227"/>
      <c r="AV815" s="227"/>
      <c r="AW815" s="227"/>
      <c r="AX815" s="227"/>
      <c r="AY815" s="227"/>
      <c r="AZ815" s="227"/>
      <c r="BA815" s="227"/>
      <c r="BB815" s="227"/>
      <c r="BC815" s="227"/>
      <c r="BD815" s="227"/>
      <c r="BE815" s="227"/>
      <c r="BF815" s="227"/>
      <c r="BG815" s="227"/>
      <c r="BH815" s="227"/>
      <c r="BI815" s="227"/>
      <c r="BJ815" s="227"/>
      <c r="BK815" s="227"/>
      <c r="BL815" s="227"/>
    </row>
    <row r="816" spans="27:64" ht="12.95" customHeight="1">
      <c r="AA816" s="227"/>
      <c r="AB816" s="227"/>
      <c r="AC816" s="227"/>
      <c r="AD816" s="227"/>
      <c r="AE816" s="227"/>
      <c r="AG816" s="19"/>
      <c r="AN816" s="227"/>
      <c r="AO816" s="227"/>
      <c r="AP816" s="227"/>
      <c r="AQ816" s="227"/>
      <c r="AR816" s="227"/>
      <c r="AS816" s="227"/>
      <c r="AT816" s="227"/>
      <c r="AU816" s="227"/>
      <c r="AV816" s="227"/>
      <c r="AX816" s="227"/>
      <c r="AY816" s="227"/>
      <c r="AZ816" s="227"/>
      <c r="BA816" s="227"/>
      <c r="BB816" s="227"/>
      <c r="BC816" s="227"/>
      <c r="BD816" s="227"/>
      <c r="BE816" s="227"/>
      <c r="BF816" s="227"/>
      <c r="BG816" s="227"/>
      <c r="BH816" s="227"/>
      <c r="BI816" s="227"/>
      <c r="BJ816" s="227"/>
      <c r="BK816" s="227"/>
      <c r="BL816" s="227"/>
    </row>
    <row r="817" spans="27:50" ht="12.95" customHeight="1">
      <c r="AA817" s="227"/>
      <c r="AB817" s="227"/>
      <c r="AC817" s="227"/>
      <c r="AD817" s="227"/>
      <c r="AE817" s="227"/>
      <c r="AG817" s="19"/>
      <c r="AN817" s="227"/>
      <c r="AO817" s="227"/>
      <c r="AP817" s="227"/>
      <c r="AQ817" s="227"/>
      <c r="AR817" s="227"/>
      <c r="AS817" s="227"/>
      <c r="AT817" s="227"/>
      <c r="AU817" s="227"/>
    </row>
    <row r="818" spans="27:50" ht="12.95" customHeight="1">
      <c r="AA818" s="227"/>
      <c r="AB818" s="227"/>
      <c r="AC818" s="227"/>
      <c r="AD818" s="227"/>
      <c r="AE818" s="227"/>
      <c r="AG818" s="19"/>
      <c r="AN818" s="227"/>
      <c r="AO818" s="227"/>
      <c r="AP818" s="227"/>
      <c r="AQ818" s="227"/>
      <c r="AR818" s="227"/>
      <c r="AS818" s="227"/>
      <c r="AT818" s="227"/>
      <c r="AU818" s="227"/>
    </row>
    <row r="819" spans="27:50" ht="12.95" customHeight="1">
      <c r="AA819" s="227"/>
      <c r="AB819" s="227"/>
      <c r="AC819" s="227"/>
      <c r="AD819" s="227"/>
      <c r="AE819" s="227"/>
      <c r="AG819" s="19"/>
      <c r="AN819" s="227"/>
      <c r="AO819" s="227"/>
      <c r="AP819" s="227"/>
      <c r="AQ819" s="227"/>
      <c r="AR819" s="227"/>
      <c r="AS819" s="227"/>
      <c r="AT819" s="227"/>
      <c r="AU819" s="227"/>
    </row>
    <row r="820" spans="27:50" ht="12.95" customHeight="1">
      <c r="AA820" s="227"/>
      <c r="AB820" s="227"/>
      <c r="AC820" s="227"/>
      <c r="AD820" s="227"/>
      <c r="AE820" s="227"/>
      <c r="AG820" s="19"/>
      <c r="AN820" s="227"/>
      <c r="AO820" s="227"/>
      <c r="AP820" s="227"/>
      <c r="AQ820" s="227"/>
      <c r="AR820" s="227"/>
      <c r="AS820" s="227"/>
      <c r="AT820" s="227"/>
      <c r="AU820" s="227"/>
    </row>
    <row r="821" spans="27:50" ht="12.95" customHeight="1">
      <c r="AA821" s="227"/>
      <c r="AB821" s="227"/>
      <c r="AC821" s="227"/>
      <c r="AD821" s="227"/>
      <c r="AE821" s="227"/>
      <c r="AG821" s="19"/>
      <c r="AN821" s="227"/>
      <c r="AO821" s="227"/>
      <c r="AP821" s="227"/>
      <c r="AQ821" s="227"/>
      <c r="AR821" s="227"/>
      <c r="AS821" s="227"/>
      <c r="AT821" s="227"/>
      <c r="AU821" s="227"/>
    </row>
    <row r="822" spans="27:50" ht="12.95" customHeight="1">
      <c r="AA822" s="227"/>
      <c r="AB822" s="227"/>
      <c r="AC822" s="227"/>
      <c r="AD822" s="227"/>
      <c r="AE822" s="227"/>
      <c r="AG822" s="19"/>
      <c r="AN822" s="227"/>
      <c r="AO822" s="227"/>
      <c r="AP822" s="227"/>
      <c r="AQ822" s="227"/>
      <c r="AR822" s="227"/>
      <c r="AS822" s="227"/>
      <c r="AT822" s="227"/>
      <c r="AU822" s="227"/>
    </row>
    <row r="823" spans="27:50" ht="12.95" customHeight="1">
      <c r="AA823" s="227"/>
      <c r="AB823" s="227"/>
      <c r="AC823" s="227"/>
      <c r="AD823" s="227"/>
      <c r="AE823" s="227"/>
      <c r="AG823" s="19"/>
      <c r="AN823" s="227"/>
      <c r="AO823" s="227"/>
      <c r="AP823" s="227"/>
      <c r="AQ823" s="227"/>
      <c r="AR823" s="227"/>
      <c r="AS823" s="227"/>
      <c r="AT823" s="227"/>
      <c r="AU823" s="227"/>
    </row>
    <row r="824" spans="27:50" ht="12.95" customHeight="1">
      <c r="AA824" s="227"/>
      <c r="AB824" s="227"/>
      <c r="AC824" s="227"/>
      <c r="AD824" s="227"/>
      <c r="AE824" s="227"/>
      <c r="AG824" s="19"/>
      <c r="AN824" s="227"/>
      <c r="AO824" s="227"/>
      <c r="AP824" s="227"/>
      <c r="AQ824" s="227"/>
      <c r="AR824" s="227"/>
      <c r="AS824" s="227"/>
      <c r="AT824" s="227"/>
      <c r="AU824" s="227"/>
    </row>
    <row r="825" spans="27:50" ht="12.95" customHeight="1">
      <c r="AA825" s="227"/>
      <c r="AB825" s="227"/>
      <c r="AC825" s="227"/>
      <c r="AD825" s="227"/>
      <c r="AE825" s="227"/>
      <c r="AG825" s="19"/>
      <c r="AN825" s="227"/>
      <c r="AO825" s="227"/>
      <c r="AP825" s="227"/>
      <c r="AQ825" s="227"/>
      <c r="AR825" s="227"/>
      <c r="AS825" s="227"/>
      <c r="AT825" s="227"/>
      <c r="AU825" s="227"/>
    </row>
    <row r="826" spans="27:50" ht="12.95" customHeight="1">
      <c r="AA826" s="227"/>
      <c r="AB826" s="227"/>
      <c r="AC826" s="227"/>
      <c r="AD826" s="227"/>
      <c r="AE826" s="227"/>
      <c r="AG826" s="19"/>
      <c r="AN826" s="227"/>
      <c r="AO826" s="227"/>
      <c r="AP826" s="227"/>
      <c r="AQ826" s="227"/>
      <c r="AR826" s="227"/>
      <c r="AS826" s="227"/>
      <c r="AT826" s="227"/>
      <c r="AU826" s="227"/>
    </row>
    <row r="827" spans="27:50" ht="12.95" customHeight="1">
      <c r="AA827" s="227"/>
      <c r="AB827" s="227"/>
      <c r="AC827" s="227"/>
      <c r="AD827" s="227"/>
      <c r="AE827" s="227"/>
      <c r="AG827" s="19"/>
      <c r="AN827" s="227"/>
      <c r="AO827" s="227"/>
      <c r="AP827" s="227"/>
      <c r="AQ827" s="227"/>
      <c r="AR827" s="227"/>
      <c r="AS827" s="227"/>
      <c r="AT827" s="227"/>
      <c r="AU827" s="227"/>
      <c r="AV827" s="227"/>
      <c r="AX827" s="227"/>
    </row>
    <row r="828" spans="27:50" ht="12.95" customHeight="1">
      <c r="AA828" s="227"/>
      <c r="AB828" s="227"/>
      <c r="AC828" s="227"/>
      <c r="AD828" s="227"/>
      <c r="AE828" s="227"/>
      <c r="AG828" s="19"/>
      <c r="AN828" s="227"/>
      <c r="AO828" s="227"/>
      <c r="AP828" s="227"/>
      <c r="AQ828" s="227"/>
      <c r="AR828" s="227"/>
      <c r="AS828" s="227"/>
      <c r="AT828" s="227"/>
      <c r="AU828" s="227"/>
    </row>
    <row r="829" spans="27:50" ht="12.95" customHeight="1">
      <c r="AA829" s="227"/>
      <c r="AB829" s="227"/>
      <c r="AC829" s="227"/>
      <c r="AD829" s="227"/>
      <c r="AE829" s="227"/>
      <c r="AG829" s="19"/>
      <c r="AN829" s="227"/>
      <c r="AO829" s="227"/>
      <c r="AP829" s="227"/>
      <c r="AQ829" s="227"/>
      <c r="AR829" s="227"/>
      <c r="AS829" s="227"/>
      <c r="AT829" s="227"/>
      <c r="AU829" s="227"/>
    </row>
    <row r="830" spans="27:50" ht="12.95" customHeight="1">
      <c r="AA830" s="227"/>
      <c r="AB830" s="227"/>
      <c r="AC830" s="227"/>
      <c r="AD830" s="227"/>
      <c r="AE830" s="227"/>
      <c r="AG830" s="19"/>
      <c r="AN830" s="227"/>
      <c r="AO830" s="227"/>
      <c r="AP830" s="227"/>
      <c r="AQ830" s="227"/>
      <c r="AR830" s="227"/>
      <c r="AS830" s="227"/>
      <c r="AT830" s="227"/>
      <c r="AU830" s="227"/>
    </row>
    <row r="831" spans="27:50" ht="12.95" customHeight="1">
      <c r="AA831" s="227"/>
      <c r="AB831" s="227"/>
      <c r="AC831" s="227"/>
      <c r="AD831" s="227"/>
      <c r="AE831" s="227"/>
      <c r="AG831" s="19"/>
      <c r="AN831" s="227"/>
      <c r="AO831" s="227"/>
      <c r="AP831" s="227"/>
      <c r="AQ831" s="227"/>
      <c r="AR831" s="227"/>
      <c r="AS831" s="227"/>
      <c r="AT831" s="227"/>
      <c r="AU831" s="227"/>
    </row>
    <row r="832" spans="27:50" ht="12.95" customHeight="1">
      <c r="AA832" s="227"/>
      <c r="AB832" s="227"/>
      <c r="AC832" s="227"/>
      <c r="AD832" s="227"/>
      <c r="AE832" s="227"/>
      <c r="AG832" s="19"/>
      <c r="AN832" s="227"/>
      <c r="AO832" s="227"/>
      <c r="AP832" s="227"/>
      <c r="AQ832" s="227"/>
      <c r="AR832" s="227"/>
      <c r="AS832" s="227"/>
      <c r="AT832" s="227"/>
      <c r="AU832" s="227"/>
    </row>
    <row r="833" spans="27:47" ht="12.95" customHeight="1">
      <c r="AA833" s="227"/>
      <c r="AB833" s="227"/>
      <c r="AC833" s="227"/>
      <c r="AD833" s="227"/>
      <c r="AE833" s="227"/>
      <c r="AG833" s="19"/>
      <c r="AN833" s="227"/>
      <c r="AO833" s="227"/>
      <c r="AP833" s="227"/>
      <c r="AQ833" s="227"/>
      <c r="AR833" s="227"/>
      <c r="AS833" s="227"/>
      <c r="AT833" s="227"/>
      <c r="AU833" s="227"/>
    </row>
    <row r="834" spans="27:47" ht="12.95" customHeight="1">
      <c r="AA834" s="227"/>
      <c r="AB834" s="227"/>
      <c r="AC834" s="227"/>
      <c r="AD834" s="227"/>
      <c r="AE834" s="227"/>
      <c r="AG834" s="19"/>
      <c r="AN834" s="227"/>
      <c r="AO834" s="227"/>
      <c r="AP834" s="227"/>
      <c r="AQ834" s="227"/>
      <c r="AR834" s="227"/>
      <c r="AS834" s="227"/>
      <c r="AT834" s="227"/>
      <c r="AU834" s="227"/>
    </row>
    <row r="835" spans="27:47" ht="12.95" customHeight="1">
      <c r="AA835" s="227"/>
      <c r="AB835" s="227"/>
      <c r="AC835" s="227"/>
      <c r="AD835" s="227"/>
      <c r="AE835" s="227"/>
      <c r="AG835" s="19"/>
      <c r="AN835" s="227"/>
      <c r="AO835" s="227"/>
      <c r="AP835" s="227"/>
      <c r="AQ835" s="227"/>
      <c r="AR835" s="227"/>
      <c r="AS835" s="227"/>
      <c r="AT835" s="227"/>
      <c r="AU835" s="227"/>
    </row>
    <row r="836" spans="27:47" ht="12.95" customHeight="1">
      <c r="AA836" s="227"/>
      <c r="AB836" s="227"/>
      <c r="AC836" s="227"/>
      <c r="AD836" s="227"/>
      <c r="AE836" s="227"/>
      <c r="AG836" s="19"/>
      <c r="AN836" s="227"/>
      <c r="AO836" s="227"/>
      <c r="AP836" s="227"/>
      <c r="AQ836" s="227"/>
      <c r="AR836" s="227"/>
      <c r="AS836" s="227"/>
      <c r="AT836" s="227"/>
      <c r="AU836" s="227"/>
    </row>
    <row r="837" spans="27:47" ht="12.95" customHeight="1">
      <c r="AA837" s="227"/>
      <c r="AB837" s="227"/>
      <c r="AC837" s="227"/>
      <c r="AD837" s="227"/>
      <c r="AE837" s="227"/>
      <c r="AG837" s="19"/>
      <c r="AN837" s="227"/>
      <c r="AO837" s="227"/>
      <c r="AP837" s="227"/>
      <c r="AQ837" s="227"/>
      <c r="AR837" s="227"/>
      <c r="AS837" s="227"/>
      <c r="AT837" s="227"/>
      <c r="AU837" s="227"/>
    </row>
    <row r="838" spans="27:47" ht="12.95" customHeight="1">
      <c r="AA838" s="227"/>
      <c r="AB838" s="227"/>
      <c r="AC838" s="227"/>
      <c r="AD838" s="227"/>
      <c r="AE838" s="227"/>
      <c r="AG838" s="19"/>
      <c r="AN838" s="227"/>
      <c r="AO838" s="227"/>
      <c r="AP838" s="227"/>
      <c r="AQ838" s="227"/>
      <c r="AR838" s="227"/>
      <c r="AS838" s="227"/>
      <c r="AT838" s="227"/>
      <c r="AU838" s="227"/>
    </row>
    <row r="839" spans="27:47" ht="12.95" customHeight="1">
      <c r="AA839" s="227"/>
      <c r="AB839" s="227"/>
      <c r="AC839" s="227"/>
      <c r="AD839" s="227"/>
      <c r="AE839" s="227"/>
      <c r="AG839" s="19"/>
      <c r="AN839" s="227"/>
      <c r="AO839" s="227"/>
      <c r="AP839" s="227"/>
      <c r="AQ839" s="227"/>
      <c r="AR839" s="227"/>
      <c r="AS839" s="227"/>
      <c r="AT839" s="227"/>
      <c r="AU839" s="227"/>
    </row>
    <row r="840" spans="27:47" ht="12.95" customHeight="1">
      <c r="AA840" s="227"/>
      <c r="AB840" s="227"/>
      <c r="AC840" s="227"/>
      <c r="AD840" s="227"/>
      <c r="AE840" s="227"/>
      <c r="AG840" s="19"/>
      <c r="AN840" s="227"/>
      <c r="AO840" s="227"/>
      <c r="AP840" s="227"/>
      <c r="AQ840" s="227"/>
      <c r="AR840" s="227"/>
      <c r="AS840" s="227"/>
      <c r="AT840" s="227"/>
      <c r="AU840" s="227"/>
    </row>
    <row r="841" spans="27:47" ht="12.95" customHeight="1">
      <c r="AA841" s="227"/>
      <c r="AB841" s="227"/>
      <c r="AC841" s="227"/>
      <c r="AD841" s="227"/>
      <c r="AE841" s="227"/>
      <c r="AG841" s="19"/>
      <c r="AN841" s="227"/>
      <c r="AO841" s="227"/>
      <c r="AP841" s="227"/>
      <c r="AQ841" s="227"/>
      <c r="AR841" s="227"/>
      <c r="AS841" s="227"/>
      <c r="AT841" s="227"/>
      <c r="AU841" s="227"/>
    </row>
    <row r="842" spans="27:47" ht="12.95" customHeight="1">
      <c r="AA842" s="227"/>
      <c r="AB842" s="227"/>
      <c r="AC842" s="227"/>
      <c r="AD842" s="227"/>
      <c r="AE842" s="227"/>
      <c r="AG842" s="19"/>
      <c r="AN842" s="227"/>
      <c r="AO842" s="227"/>
      <c r="AP842" s="227"/>
      <c r="AQ842" s="227"/>
      <c r="AR842" s="227"/>
      <c r="AS842" s="227"/>
      <c r="AT842" s="227"/>
      <c r="AU842" s="227"/>
    </row>
    <row r="843" spans="27:47" ht="12.95" customHeight="1">
      <c r="AA843" s="227"/>
      <c r="AB843" s="227"/>
      <c r="AC843" s="227"/>
      <c r="AD843" s="227"/>
      <c r="AE843" s="227"/>
      <c r="AG843" s="19"/>
      <c r="AN843" s="227"/>
      <c r="AO843" s="227"/>
      <c r="AP843" s="227"/>
      <c r="AQ843" s="227"/>
      <c r="AR843" s="227"/>
      <c r="AS843" s="227"/>
      <c r="AT843" s="227"/>
      <c r="AU843" s="227"/>
    </row>
    <row r="844" spans="27:47" ht="12.95" customHeight="1">
      <c r="AA844" s="227"/>
      <c r="AB844" s="227"/>
      <c r="AC844" s="227"/>
      <c r="AD844" s="227"/>
      <c r="AE844" s="227"/>
      <c r="AG844" s="19"/>
      <c r="AN844" s="227"/>
      <c r="AO844" s="227"/>
      <c r="AP844" s="227"/>
      <c r="AQ844" s="227"/>
      <c r="AR844" s="227"/>
      <c r="AS844" s="227"/>
      <c r="AT844" s="227"/>
      <c r="AU844" s="227"/>
    </row>
    <row r="845" spans="27:47" ht="12.95" customHeight="1">
      <c r="AA845" s="227"/>
      <c r="AB845" s="227"/>
      <c r="AC845" s="227"/>
      <c r="AD845" s="227"/>
      <c r="AE845" s="227"/>
      <c r="AG845" s="19"/>
      <c r="AN845" s="227"/>
      <c r="AO845" s="227"/>
      <c r="AP845" s="227"/>
      <c r="AQ845" s="227"/>
      <c r="AR845" s="227"/>
      <c r="AS845" s="227"/>
      <c r="AT845" s="227"/>
      <c r="AU845" s="227"/>
    </row>
    <row r="846" spans="27:47" ht="12.95" customHeight="1">
      <c r="AA846" s="227"/>
      <c r="AB846" s="227"/>
      <c r="AC846" s="227"/>
      <c r="AD846" s="227"/>
      <c r="AE846" s="227"/>
      <c r="AG846" s="19"/>
      <c r="AN846" s="227"/>
      <c r="AO846" s="227"/>
      <c r="AP846" s="227"/>
      <c r="AQ846" s="227"/>
      <c r="AR846" s="227"/>
      <c r="AS846" s="227"/>
      <c r="AT846" s="227"/>
      <c r="AU846" s="227"/>
    </row>
    <row r="847" spans="27:47" ht="12.95" customHeight="1">
      <c r="AA847" s="227"/>
      <c r="AB847" s="227"/>
      <c r="AC847" s="227"/>
      <c r="AD847" s="227"/>
      <c r="AE847" s="227"/>
      <c r="AG847" s="19"/>
      <c r="AN847" s="227"/>
      <c r="AO847" s="227"/>
      <c r="AP847" s="227"/>
      <c r="AQ847" s="227"/>
      <c r="AR847" s="227"/>
      <c r="AS847" s="227"/>
      <c r="AT847" s="227"/>
      <c r="AU847" s="227"/>
    </row>
    <row r="848" spans="27:47" ht="12.95" customHeight="1">
      <c r="AA848" s="227"/>
      <c r="AB848" s="227"/>
      <c r="AC848" s="227"/>
      <c r="AD848" s="227"/>
      <c r="AE848" s="227"/>
      <c r="AG848" s="19"/>
      <c r="AN848" s="227"/>
      <c r="AO848" s="227"/>
      <c r="AP848" s="227"/>
      <c r="AQ848" s="227"/>
      <c r="AR848" s="227"/>
      <c r="AS848" s="227"/>
      <c r="AT848" s="227"/>
      <c r="AU848" s="227"/>
    </row>
    <row r="849" spans="27:47" ht="12.95" customHeight="1">
      <c r="AA849" s="227"/>
      <c r="AB849" s="227"/>
      <c r="AC849" s="227"/>
      <c r="AD849" s="227"/>
      <c r="AE849" s="227"/>
      <c r="AG849" s="19"/>
      <c r="AN849" s="227"/>
      <c r="AO849" s="227"/>
      <c r="AP849" s="227"/>
      <c r="AQ849" s="227"/>
      <c r="AR849" s="227"/>
      <c r="AS849" s="227"/>
      <c r="AT849" s="227"/>
      <c r="AU849" s="227"/>
    </row>
    <row r="850" spans="27:47" ht="12.95" customHeight="1">
      <c r="AA850" s="227"/>
      <c r="AB850" s="227"/>
      <c r="AC850" s="227"/>
      <c r="AD850" s="227"/>
      <c r="AE850" s="227"/>
      <c r="AG850" s="19"/>
      <c r="AN850" s="227"/>
      <c r="AO850" s="227"/>
      <c r="AP850" s="227"/>
      <c r="AQ850" s="227"/>
      <c r="AR850" s="227"/>
      <c r="AS850" s="227"/>
      <c r="AT850" s="227"/>
      <c r="AU850" s="227"/>
    </row>
    <row r="851" spans="27:47" ht="12.95" customHeight="1">
      <c r="AA851" s="227"/>
      <c r="AB851" s="227"/>
      <c r="AC851" s="227"/>
      <c r="AD851" s="227"/>
      <c r="AE851" s="227"/>
      <c r="AG851" s="19"/>
      <c r="AN851" s="227"/>
      <c r="AO851" s="227"/>
      <c r="AP851" s="227"/>
      <c r="AQ851" s="227"/>
      <c r="AR851" s="227"/>
      <c r="AS851" s="227"/>
      <c r="AT851" s="227"/>
      <c r="AU851" s="227"/>
    </row>
    <row r="852" spans="27:47" ht="12.95" customHeight="1">
      <c r="AA852" s="227"/>
      <c r="AB852" s="227"/>
      <c r="AC852" s="227"/>
      <c r="AD852" s="227"/>
      <c r="AE852" s="227"/>
      <c r="AG852" s="19"/>
      <c r="AN852" s="227"/>
      <c r="AO852" s="227"/>
      <c r="AP852" s="227"/>
      <c r="AQ852" s="227"/>
      <c r="AR852" s="227"/>
      <c r="AS852" s="227"/>
      <c r="AT852" s="227"/>
      <c r="AU852" s="227"/>
    </row>
    <row r="853" spans="27:47" ht="12.95" customHeight="1">
      <c r="AA853" s="227"/>
      <c r="AB853" s="227"/>
      <c r="AC853" s="227"/>
      <c r="AD853" s="227"/>
      <c r="AE853" s="227"/>
      <c r="AG853" s="19"/>
      <c r="AN853" s="227"/>
      <c r="AO853" s="227"/>
      <c r="AP853" s="227"/>
      <c r="AQ853" s="227"/>
      <c r="AR853" s="227"/>
      <c r="AS853" s="227"/>
      <c r="AT853" s="227"/>
      <c r="AU853" s="227"/>
    </row>
    <row r="854" spans="27:47" ht="12.95" customHeight="1">
      <c r="AA854" s="227"/>
      <c r="AB854" s="227"/>
      <c r="AC854" s="227"/>
      <c r="AD854" s="227"/>
      <c r="AE854" s="227"/>
      <c r="AG854" s="19"/>
      <c r="AN854" s="227"/>
      <c r="AO854" s="227"/>
      <c r="AP854" s="227"/>
      <c r="AQ854" s="227"/>
      <c r="AR854" s="227"/>
      <c r="AS854" s="227"/>
      <c r="AT854" s="227"/>
      <c r="AU854" s="227"/>
    </row>
    <row r="855" spans="27:47" ht="12.95" customHeight="1">
      <c r="AA855" s="227"/>
      <c r="AB855" s="227"/>
      <c r="AC855" s="227"/>
      <c r="AD855" s="227"/>
      <c r="AE855" s="227"/>
      <c r="AG855" s="19"/>
      <c r="AN855" s="227"/>
      <c r="AO855" s="227"/>
      <c r="AP855" s="227"/>
      <c r="AQ855" s="227"/>
      <c r="AR855" s="227"/>
      <c r="AS855" s="227"/>
      <c r="AT855" s="227"/>
      <c r="AU855" s="227"/>
    </row>
    <row r="856" spans="27:47" ht="12.95" customHeight="1">
      <c r="AA856" s="227"/>
      <c r="AB856" s="227"/>
      <c r="AC856" s="227"/>
      <c r="AD856" s="227"/>
      <c r="AE856" s="227"/>
      <c r="AG856" s="19"/>
      <c r="AN856" s="227"/>
      <c r="AO856" s="227"/>
      <c r="AP856" s="227"/>
      <c r="AQ856" s="227"/>
      <c r="AR856" s="227"/>
      <c r="AS856" s="227"/>
      <c r="AT856" s="227"/>
      <c r="AU856" s="227"/>
    </row>
    <row r="857" spans="27:47" ht="12.95" customHeight="1">
      <c r="AA857" s="227"/>
      <c r="AB857" s="227"/>
      <c r="AC857" s="227"/>
      <c r="AD857" s="227"/>
      <c r="AE857" s="227"/>
      <c r="AG857" s="19"/>
      <c r="AN857" s="227"/>
      <c r="AO857" s="227"/>
      <c r="AP857" s="227"/>
      <c r="AQ857" s="227"/>
      <c r="AR857" s="227"/>
      <c r="AS857" s="227"/>
      <c r="AT857" s="227"/>
      <c r="AU857" s="227"/>
    </row>
    <row r="858" spans="27:47" ht="12.95" customHeight="1">
      <c r="AA858" s="227"/>
      <c r="AB858" s="227"/>
      <c r="AC858" s="227"/>
      <c r="AD858" s="227"/>
      <c r="AE858" s="227"/>
      <c r="AG858" s="19"/>
      <c r="AN858" s="227"/>
      <c r="AO858" s="227"/>
      <c r="AP858" s="227"/>
      <c r="AQ858" s="227"/>
      <c r="AR858" s="227"/>
      <c r="AS858" s="227"/>
      <c r="AT858" s="227"/>
      <c r="AU858" s="227"/>
    </row>
    <row r="859" spans="27:47" ht="12.95" customHeight="1">
      <c r="AA859" s="227"/>
      <c r="AB859" s="227"/>
      <c r="AC859" s="227"/>
      <c r="AD859" s="227"/>
      <c r="AE859" s="227"/>
      <c r="AG859" s="19"/>
      <c r="AN859" s="227"/>
      <c r="AO859" s="227"/>
      <c r="AP859" s="227"/>
      <c r="AQ859" s="227"/>
      <c r="AR859" s="227"/>
      <c r="AS859" s="227"/>
      <c r="AT859" s="227"/>
      <c r="AU859" s="227"/>
    </row>
    <row r="860" spans="27:47" ht="12.95" customHeight="1">
      <c r="AA860" s="227"/>
      <c r="AB860" s="227"/>
      <c r="AC860" s="227"/>
      <c r="AD860" s="227"/>
      <c r="AE860" s="227"/>
      <c r="AG860" s="19"/>
      <c r="AN860" s="227"/>
      <c r="AO860" s="227"/>
      <c r="AP860" s="227"/>
      <c r="AQ860" s="227"/>
      <c r="AR860" s="227"/>
      <c r="AS860" s="227"/>
      <c r="AT860" s="227"/>
      <c r="AU860" s="227"/>
    </row>
    <row r="861" spans="27:47" ht="12.95" customHeight="1">
      <c r="AA861" s="227"/>
      <c r="AB861" s="227"/>
      <c r="AC861" s="227"/>
      <c r="AD861" s="227"/>
      <c r="AE861" s="227"/>
      <c r="AG861" s="19"/>
      <c r="AN861" s="227"/>
      <c r="AO861" s="227"/>
      <c r="AP861" s="227"/>
      <c r="AQ861" s="227"/>
      <c r="AR861" s="227"/>
      <c r="AS861" s="227"/>
      <c r="AT861" s="227"/>
      <c r="AU861" s="227"/>
    </row>
    <row r="862" spans="27:47" ht="12.95" customHeight="1">
      <c r="AA862" s="227"/>
      <c r="AB862" s="227"/>
      <c r="AC862" s="227"/>
      <c r="AD862" s="227"/>
      <c r="AE862" s="227"/>
      <c r="AG862" s="19"/>
      <c r="AN862" s="227"/>
      <c r="AO862" s="227"/>
      <c r="AP862" s="227"/>
      <c r="AQ862" s="227"/>
      <c r="AR862" s="227"/>
      <c r="AS862" s="227"/>
      <c r="AT862" s="227"/>
      <c r="AU862" s="227"/>
    </row>
    <row r="863" spans="27:47" ht="12.95" customHeight="1">
      <c r="AA863" s="227"/>
      <c r="AB863" s="227"/>
      <c r="AC863" s="227"/>
      <c r="AD863" s="227"/>
      <c r="AE863" s="227"/>
      <c r="AG863" s="19"/>
      <c r="AN863" s="227"/>
      <c r="AO863" s="227"/>
      <c r="AP863" s="227"/>
      <c r="AQ863" s="227"/>
      <c r="AR863" s="227"/>
      <c r="AS863" s="227"/>
      <c r="AT863" s="227"/>
      <c r="AU863" s="227"/>
    </row>
    <row r="864" spans="27:47" ht="12.95" customHeight="1">
      <c r="AA864" s="227"/>
      <c r="AB864" s="227"/>
      <c r="AC864" s="227"/>
      <c r="AD864" s="227"/>
      <c r="AE864" s="227"/>
      <c r="AG864" s="19"/>
      <c r="AN864" s="227"/>
      <c r="AO864" s="227"/>
      <c r="AP864" s="227"/>
      <c r="AQ864" s="227"/>
      <c r="AR864" s="227"/>
      <c r="AS864" s="227"/>
      <c r="AT864" s="227"/>
      <c r="AU864" s="227"/>
    </row>
    <row r="865" spans="27:47" ht="12.95" customHeight="1">
      <c r="AA865" s="227"/>
      <c r="AB865" s="227"/>
      <c r="AC865" s="227"/>
      <c r="AD865" s="227"/>
      <c r="AE865" s="227"/>
      <c r="AG865" s="19"/>
      <c r="AN865" s="227"/>
      <c r="AO865" s="227"/>
      <c r="AP865" s="227"/>
      <c r="AQ865" s="227"/>
      <c r="AR865" s="227"/>
      <c r="AS865" s="227"/>
      <c r="AT865" s="227"/>
      <c r="AU865" s="227"/>
    </row>
    <row r="866" spans="27:47" ht="12.95" customHeight="1">
      <c r="AA866" s="227"/>
      <c r="AB866" s="227"/>
      <c r="AC866" s="227"/>
      <c r="AD866" s="227"/>
      <c r="AE866" s="227"/>
      <c r="AG866" s="19"/>
      <c r="AN866" s="227"/>
      <c r="AO866" s="227"/>
      <c r="AP866" s="227"/>
      <c r="AQ866" s="227"/>
      <c r="AR866" s="227"/>
      <c r="AS866" s="227"/>
      <c r="AT866" s="227"/>
      <c r="AU866" s="227"/>
    </row>
    <row r="867" spans="27:47" ht="12.95" customHeight="1">
      <c r="AA867" s="227"/>
      <c r="AB867" s="227"/>
      <c r="AC867" s="227"/>
      <c r="AD867" s="227"/>
      <c r="AE867" s="227"/>
      <c r="AG867" s="19"/>
      <c r="AN867" s="227"/>
      <c r="AO867" s="227"/>
      <c r="AP867" s="227"/>
      <c r="AQ867" s="227"/>
      <c r="AR867" s="227"/>
      <c r="AS867" s="227"/>
      <c r="AT867" s="227"/>
      <c r="AU867" s="227"/>
    </row>
    <row r="868" spans="27:47" ht="12.95" customHeight="1">
      <c r="AA868" s="227"/>
      <c r="AB868" s="227"/>
      <c r="AC868" s="227"/>
      <c r="AD868" s="227"/>
      <c r="AE868" s="227"/>
      <c r="AG868" s="19"/>
      <c r="AN868" s="227"/>
      <c r="AO868" s="227"/>
      <c r="AP868" s="227"/>
      <c r="AQ868" s="227"/>
      <c r="AR868" s="227"/>
      <c r="AS868" s="227"/>
      <c r="AT868" s="227"/>
      <c r="AU868" s="227"/>
    </row>
    <row r="869" spans="27:47" ht="12.95" customHeight="1">
      <c r="AA869" s="227"/>
      <c r="AB869" s="227"/>
      <c r="AC869" s="227"/>
      <c r="AD869" s="227"/>
      <c r="AE869" s="227"/>
      <c r="AG869" s="19"/>
      <c r="AN869" s="227"/>
      <c r="AO869" s="227"/>
      <c r="AP869" s="227"/>
      <c r="AQ869" s="227"/>
      <c r="AR869" s="227"/>
      <c r="AS869" s="227"/>
      <c r="AT869" s="227"/>
      <c r="AU869" s="227"/>
    </row>
    <row r="870" spans="27:47" ht="12.95" customHeight="1">
      <c r="AA870" s="227"/>
      <c r="AB870" s="227"/>
      <c r="AC870" s="227"/>
      <c r="AD870" s="227"/>
      <c r="AE870" s="227"/>
      <c r="AG870" s="19"/>
      <c r="AN870" s="227"/>
      <c r="AO870" s="227"/>
      <c r="AP870" s="227"/>
      <c r="AQ870" s="227"/>
      <c r="AR870" s="227"/>
      <c r="AS870" s="227"/>
      <c r="AT870" s="227"/>
      <c r="AU870" s="227"/>
    </row>
    <row r="871" spans="27:47" ht="12.95" customHeight="1">
      <c r="AA871" s="227"/>
      <c r="AB871" s="227"/>
      <c r="AC871" s="227"/>
      <c r="AD871" s="227"/>
      <c r="AE871" s="227"/>
      <c r="AG871" s="19"/>
      <c r="AN871" s="227"/>
      <c r="AO871" s="227"/>
      <c r="AP871" s="227"/>
      <c r="AQ871" s="227"/>
      <c r="AR871" s="227"/>
      <c r="AS871" s="227"/>
      <c r="AT871" s="227"/>
      <c r="AU871" s="227"/>
    </row>
    <row r="872" spans="27:47" ht="12.95" customHeight="1">
      <c r="AA872" s="227"/>
      <c r="AB872" s="227"/>
      <c r="AC872" s="227"/>
      <c r="AD872" s="227"/>
      <c r="AE872" s="227"/>
      <c r="AG872" s="19"/>
      <c r="AN872" s="227"/>
      <c r="AO872" s="227"/>
      <c r="AP872" s="227"/>
      <c r="AQ872" s="227"/>
      <c r="AR872" s="227"/>
      <c r="AS872" s="227"/>
      <c r="AT872" s="227"/>
      <c r="AU872" s="227"/>
    </row>
    <row r="873" spans="27:47" ht="12.95" customHeight="1">
      <c r="AA873" s="227"/>
      <c r="AB873" s="227"/>
      <c r="AC873" s="227"/>
      <c r="AD873" s="227"/>
      <c r="AE873" s="227"/>
      <c r="AG873" s="19"/>
      <c r="AN873" s="227"/>
      <c r="AO873" s="227"/>
      <c r="AP873" s="227"/>
      <c r="AQ873" s="227"/>
      <c r="AR873" s="227"/>
      <c r="AS873" s="227"/>
      <c r="AT873" s="227"/>
      <c r="AU873" s="227"/>
    </row>
    <row r="874" spans="27:47" ht="12.95" customHeight="1">
      <c r="AA874" s="227"/>
      <c r="AB874" s="227"/>
      <c r="AC874" s="227"/>
      <c r="AD874" s="227"/>
      <c r="AE874" s="227"/>
      <c r="AG874" s="19"/>
      <c r="AN874" s="227"/>
      <c r="AO874" s="227"/>
      <c r="AP874" s="227"/>
      <c r="AQ874" s="227"/>
      <c r="AR874" s="227"/>
      <c r="AS874" s="227"/>
      <c r="AT874" s="227"/>
      <c r="AU874" s="227"/>
    </row>
    <row r="875" spans="27:47" ht="12.95" customHeight="1">
      <c r="AA875" s="227"/>
      <c r="AB875" s="227"/>
      <c r="AC875" s="227"/>
      <c r="AD875" s="227"/>
      <c r="AE875" s="227"/>
      <c r="AG875" s="19"/>
      <c r="AN875" s="227"/>
      <c r="AO875" s="227"/>
      <c r="AP875" s="227"/>
      <c r="AQ875" s="227"/>
      <c r="AR875" s="227"/>
      <c r="AS875" s="227"/>
      <c r="AT875" s="227"/>
      <c r="AU875" s="227"/>
    </row>
    <row r="876" spans="27:47" ht="12.95" customHeight="1">
      <c r="AA876" s="227"/>
      <c r="AB876" s="227"/>
      <c r="AC876" s="227"/>
      <c r="AD876" s="227"/>
      <c r="AE876" s="227"/>
      <c r="AG876" s="19"/>
      <c r="AN876" s="227"/>
      <c r="AO876" s="227"/>
      <c r="AP876" s="227"/>
      <c r="AQ876" s="227"/>
      <c r="AR876" s="227"/>
      <c r="AS876" s="227"/>
      <c r="AT876" s="227"/>
      <c r="AU876" s="227"/>
    </row>
    <row r="877" spans="27:47" ht="12.95" customHeight="1">
      <c r="AA877" s="227"/>
      <c r="AB877" s="227"/>
      <c r="AC877" s="227"/>
      <c r="AD877" s="227"/>
      <c r="AE877" s="227"/>
      <c r="AG877" s="19"/>
      <c r="AN877" s="227"/>
      <c r="AO877" s="227"/>
      <c r="AP877" s="227"/>
      <c r="AQ877" s="227"/>
      <c r="AR877" s="227"/>
      <c r="AS877" s="227"/>
      <c r="AT877" s="227"/>
      <c r="AU877" s="227"/>
    </row>
    <row r="878" spans="27:47" ht="12.95" customHeight="1">
      <c r="AA878" s="227"/>
      <c r="AB878" s="227"/>
      <c r="AC878" s="227"/>
      <c r="AD878" s="227"/>
      <c r="AE878" s="227"/>
      <c r="AG878" s="19"/>
      <c r="AN878" s="227"/>
      <c r="AO878" s="227"/>
      <c r="AP878" s="227"/>
      <c r="AQ878" s="227"/>
      <c r="AR878" s="227"/>
      <c r="AS878" s="227"/>
      <c r="AT878" s="227"/>
      <c r="AU878" s="227"/>
    </row>
    <row r="879" spans="27:47" ht="12.95" customHeight="1">
      <c r="AA879" s="227"/>
      <c r="AB879" s="227"/>
      <c r="AC879" s="227"/>
      <c r="AD879" s="227"/>
      <c r="AE879" s="227"/>
      <c r="AG879" s="19"/>
      <c r="AN879" s="227"/>
      <c r="AO879" s="227"/>
      <c r="AP879" s="227"/>
      <c r="AQ879" s="227"/>
      <c r="AR879" s="227"/>
      <c r="AS879" s="227"/>
      <c r="AT879" s="227"/>
      <c r="AU879" s="227"/>
    </row>
    <row r="880" spans="27:47" ht="12.95" customHeight="1">
      <c r="AA880" s="227"/>
      <c r="AB880" s="227"/>
      <c r="AC880" s="227"/>
      <c r="AD880" s="227"/>
      <c r="AE880" s="227"/>
      <c r="AG880" s="19"/>
      <c r="AN880" s="227"/>
      <c r="AO880" s="227"/>
      <c r="AP880" s="227"/>
      <c r="AQ880" s="227"/>
      <c r="AR880" s="227"/>
      <c r="AS880" s="227"/>
      <c r="AT880" s="227"/>
      <c r="AU880" s="227"/>
    </row>
    <row r="881" spans="27:48" ht="12.95" customHeight="1">
      <c r="AA881" s="227"/>
      <c r="AB881" s="227"/>
      <c r="AC881" s="227"/>
      <c r="AD881" s="227"/>
      <c r="AE881" s="227"/>
      <c r="AG881" s="19"/>
      <c r="AN881" s="227"/>
      <c r="AO881" s="227"/>
      <c r="AP881" s="227"/>
      <c r="AQ881" s="227"/>
      <c r="AR881" s="227"/>
      <c r="AS881" s="227"/>
      <c r="AT881" s="227"/>
      <c r="AU881" s="227"/>
    </row>
    <row r="882" spans="27:48" ht="12.95" customHeight="1">
      <c r="AA882" s="227"/>
      <c r="AB882" s="227"/>
      <c r="AC882" s="227"/>
      <c r="AD882" s="227"/>
      <c r="AE882" s="227"/>
      <c r="AG882" s="19"/>
      <c r="AN882" s="227"/>
      <c r="AO882" s="227"/>
      <c r="AP882" s="227"/>
      <c r="AQ882" s="227"/>
      <c r="AR882" s="227"/>
      <c r="AS882" s="227"/>
      <c r="AT882" s="227"/>
      <c r="AU882" s="227"/>
      <c r="AV882" s="227"/>
    </row>
    <row r="883" spans="27:48" ht="12.95" customHeight="1">
      <c r="AA883" s="227"/>
      <c r="AB883" s="227"/>
      <c r="AC883" s="227"/>
      <c r="AD883" s="227"/>
      <c r="AE883" s="227"/>
      <c r="AG883" s="19"/>
      <c r="AN883" s="227"/>
      <c r="AO883" s="227"/>
      <c r="AP883" s="227"/>
      <c r="AQ883" s="227"/>
      <c r="AR883" s="227"/>
      <c r="AS883" s="227"/>
      <c r="AT883" s="227"/>
      <c r="AU883" s="227"/>
    </row>
    <row r="884" spans="27:48" ht="12.95" customHeight="1">
      <c r="AA884" s="227"/>
      <c r="AB884" s="227"/>
      <c r="AC884" s="227"/>
      <c r="AD884" s="227"/>
      <c r="AE884" s="227"/>
      <c r="AG884" s="19"/>
      <c r="AN884" s="227"/>
      <c r="AO884" s="227"/>
      <c r="AP884" s="227"/>
      <c r="AQ884" s="227"/>
      <c r="AR884" s="227"/>
      <c r="AS884" s="227"/>
      <c r="AT884" s="227"/>
      <c r="AU884" s="227"/>
    </row>
    <row r="885" spans="27:48" ht="12.95" customHeight="1">
      <c r="AA885" s="227"/>
      <c r="AB885" s="227"/>
      <c r="AC885" s="227"/>
      <c r="AD885" s="227"/>
      <c r="AE885" s="227"/>
      <c r="AG885" s="19"/>
      <c r="AN885" s="227"/>
      <c r="AO885" s="227"/>
      <c r="AP885" s="227"/>
      <c r="AQ885" s="227"/>
      <c r="AR885" s="227"/>
      <c r="AS885" s="227"/>
      <c r="AT885" s="227"/>
      <c r="AU885" s="227"/>
    </row>
    <row r="886" spans="27:48" ht="12.95" customHeight="1">
      <c r="AA886" s="227"/>
      <c r="AB886" s="227"/>
      <c r="AC886" s="227"/>
      <c r="AD886" s="227"/>
      <c r="AE886" s="227"/>
      <c r="AG886" s="19"/>
      <c r="AN886" s="227"/>
      <c r="AO886" s="227"/>
      <c r="AP886" s="227"/>
      <c r="AQ886" s="227"/>
      <c r="AR886" s="227"/>
      <c r="AS886" s="227"/>
      <c r="AT886" s="227"/>
      <c r="AU886" s="227"/>
    </row>
    <row r="887" spans="27:48" ht="12.95" customHeight="1">
      <c r="AA887" s="227"/>
      <c r="AB887" s="227"/>
      <c r="AC887" s="227"/>
      <c r="AD887" s="227"/>
      <c r="AE887" s="227"/>
      <c r="AG887" s="19"/>
      <c r="AN887" s="227"/>
      <c r="AO887" s="227"/>
      <c r="AP887" s="227"/>
      <c r="AQ887" s="227"/>
      <c r="AR887" s="227"/>
      <c r="AS887" s="227"/>
      <c r="AT887" s="227"/>
      <c r="AU887" s="227"/>
    </row>
    <row r="888" spans="27:48" ht="12.95" customHeight="1">
      <c r="AA888" s="227"/>
      <c r="AB888" s="227"/>
      <c r="AC888" s="227"/>
      <c r="AD888" s="227"/>
      <c r="AE888" s="227"/>
      <c r="AG888" s="19"/>
      <c r="AN888" s="227"/>
      <c r="AO888" s="227"/>
      <c r="AP888" s="227"/>
      <c r="AQ888" s="227"/>
      <c r="AR888" s="227"/>
      <c r="AS888" s="227"/>
      <c r="AT888" s="227"/>
      <c r="AU888" s="227"/>
    </row>
    <row r="889" spans="27:48" ht="12.95" customHeight="1">
      <c r="AA889" s="227"/>
      <c r="AB889" s="227"/>
      <c r="AC889" s="227"/>
      <c r="AD889" s="227"/>
      <c r="AE889" s="227"/>
      <c r="AG889" s="19"/>
      <c r="AN889" s="227"/>
      <c r="AO889" s="227"/>
      <c r="AP889" s="227"/>
      <c r="AQ889" s="227"/>
      <c r="AR889" s="227"/>
      <c r="AS889" s="227"/>
      <c r="AT889" s="227"/>
      <c r="AU889" s="227"/>
    </row>
    <row r="890" spans="27:48" ht="12.95" customHeight="1">
      <c r="AA890" s="227"/>
      <c r="AB890" s="227"/>
      <c r="AC890" s="227"/>
      <c r="AD890" s="227"/>
      <c r="AE890" s="227"/>
      <c r="AG890" s="19"/>
      <c r="AN890" s="227"/>
      <c r="AO890" s="227"/>
      <c r="AP890" s="227"/>
      <c r="AQ890" s="227"/>
      <c r="AR890" s="227"/>
      <c r="AS890" s="227"/>
      <c r="AT890" s="227"/>
      <c r="AU890" s="227"/>
    </row>
    <row r="891" spans="27:48" ht="12.95" customHeight="1">
      <c r="AA891" s="227"/>
      <c r="AB891" s="227"/>
      <c r="AC891" s="227"/>
      <c r="AD891" s="227"/>
      <c r="AE891" s="227"/>
      <c r="AG891" s="19"/>
      <c r="AN891" s="227"/>
      <c r="AO891" s="227"/>
      <c r="AP891" s="227"/>
      <c r="AQ891" s="227"/>
      <c r="AR891" s="227"/>
      <c r="AS891" s="227"/>
      <c r="AT891" s="227"/>
      <c r="AU891" s="227"/>
    </row>
    <row r="892" spans="27:48" ht="12.95" customHeight="1">
      <c r="AA892" s="227"/>
      <c r="AB892" s="227"/>
      <c r="AC892" s="227"/>
      <c r="AD892" s="227"/>
      <c r="AE892" s="227"/>
      <c r="AG892" s="19"/>
      <c r="AN892" s="227"/>
      <c r="AO892" s="227"/>
      <c r="AP892" s="227"/>
      <c r="AQ892" s="227"/>
      <c r="AR892" s="227"/>
      <c r="AS892" s="227"/>
      <c r="AT892" s="227"/>
      <c r="AU892" s="227"/>
    </row>
    <row r="893" spans="27:48" ht="12.95" customHeight="1">
      <c r="AA893" s="227"/>
      <c r="AB893" s="227"/>
      <c r="AC893" s="227"/>
      <c r="AD893" s="227"/>
      <c r="AE893" s="227"/>
      <c r="AG893" s="19"/>
      <c r="AN893" s="227"/>
      <c r="AO893" s="227"/>
      <c r="AP893" s="227"/>
      <c r="AQ893" s="227"/>
      <c r="AR893" s="227"/>
      <c r="AS893" s="227"/>
      <c r="AT893" s="227"/>
      <c r="AU893" s="227"/>
    </row>
    <row r="894" spans="27:48" ht="12.95" customHeight="1">
      <c r="AA894" s="227"/>
      <c r="AB894" s="227"/>
      <c r="AC894" s="227"/>
      <c r="AD894" s="227"/>
      <c r="AE894" s="227"/>
      <c r="AG894" s="19"/>
      <c r="AN894" s="227"/>
      <c r="AO894" s="227"/>
      <c r="AP894" s="227"/>
      <c r="AQ894" s="227"/>
      <c r="AR894" s="227"/>
      <c r="AS894" s="227"/>
      <c r="AT894" s="227"/>
      <c r="AU894" s="227"/>
    </row>
    <row r="895" spans="27:48" ht="12.95" customHeight="1">
      <c r="AA895" s="227"/>
      <c r="AB895" s="227"/>
      <c r="AC895" s="227"/>
      <c r="AD895" s="227"/>
      <c r="AE895" s="227"/>
      <c r="AG895" s="19"/>
      <c r="AN895" s="227"/>
      <c r="AO895" s="227"/>
      <c r="AP895" s="227"/>
      <c r="AQ895" s="227"/>
      <c r="AR895" s="227"/>
      <c r="AS895" s="227"/>
      <c r="AT895" s="227"/>
      <c r="AU895" s="227"/>
    </row>
    <row r="896" spans="27:48" ht="12.95" customHeight="1">
      <c r="AA896" s="227"/>
      <c r="AB896" s="227"/>
      <c r="AC896" s="227"/>
      <c r="AD896" s="227"/>
      <c r="AE896" s="227"/>
      <c r="AG896" s="19"/>
      <c r="AN896" s="227"/>
      <c r="AO896" s="227"/>
      <c r="AP896" s="227"/>
      <c r="AQ896" s="227"/>
      <c r="AR896" s="227"/>
      <c r="AS896" s="227"/>
      <c r="AT896" s="227"/>
      <c r="AU896" s="227"/>
    </row>
    <row r="897" spans="27:64" ht="12.95" customHeight="1">
      <c r="AA897" s="227"/>
      <c r="AB897" s="227"/>
      <c r="AC897" s="227"/>
      <c r="AD897" s="227"/>
      <c r="AE897" s="227"/>
      <c r="AG897" s="19"/>
      <c r="AN897" s="227"/>
      <c r="AO897" s="227"/>
      <c r="AP897" s="227"/>
      <c r="AQ897" s="227"/>
      <c r="AR897" s="227"/>
      <c r="AS897" s="227"/>
      <c r="AT897" s="227"/>
      <c r="AU897" s="227"/>
      <c r="AV897" s="227"/>
      <c r="AW897" s="227"/>
      <c r="AX897" s="227"/>
      <c r="AY897" s="227"/>
      <c r="AZ897" s="227"/>
      <c r="BA897" s="227"/>
      <c r="BB897" s="227"/>
      <c r="BC897" s="227"/>
      <c r="BD897" s="227"/>
      <c r="BE897" s="227"/>
      <c r="BF897" s="227"/>
      <c r="BG897" s="227"/>
      <c r="BH897" s="227"/>
      <c r="BI897" s="227"/>
      <c r="BJ897" s="227"/>
      <c r="BK897" s="227"/>
      <c r="BL897" s="227"/>
    </row>
    <row r="898" spans="27:64" ht="12.95" customHeight="1">
      <c r="AA898" s="227"/>
      <c r="AB898" s="227"/>
      <c r="AC898" s="227"/>
      <c r="AD898" s="227"/>
      <c r="AE898" s="227"/>
      <c r="AG898" s="19"/>
      <c r="AN898" s="227"/>
      <c r="AO898" s="227"/>
      <c r="AP898" s="227"/>
      <c r="AQ898" s="227"/>
      <c r="AR898" s="227"/>
      <c r="AS898" s="227"/>
      <c r="AT898" s="227"/>
      <c r="AU898" s="227"/>
    </row>
    <row r="899" spans="27:64" ht="12.95" customHeight="1">
      <c r="AA899" s="227"/>
      <c r="AB899" s="227"/>
      <c r="AC899" s="227"/>
      <c r="AD899" s="227"/>
      <c r="AE899" s="227"/>
      <c r="AG899" s="19"/>
      <c r="AN899" s="227"/>
      <c r="AO899" s="227"/>
      <c r="AP899" s="227"/>
      <c r="AQ899" s="227"/>
      <c r="AR899" s="227"/>
      <c r="AS899" s="227"/>
      <c r="AT899" s="227"/>
      <c r="AU899" s="227"/>
    </row>
    <row r="900" spans="27:64" ht="12.95" customHeight="1">
      <c r="AA900" s="227"/>
      <c r="AB900" s="227"/>
      <c r="AC900" s="227"/>
      <c r="AD900" s="227"/>
      <c r="AE900" s="227"/>
      <c r="AG900" s="19"/>
      <c r="AN900" s="227"/>
      <c r="AO900" s="227"/>
      <c r="AP900" s="227"/>
      <c r="AQ900" s="227"/>
      <c r="AR900" s="227"/>
      <c r="AS900" s="227"/>
      <c r="AT900" s="227"/>
      <c r="AU900" s="227"/>
    </row>
    <row r="901" spans="27:64" ht="12.95" customHeight="1">
      <c r="AA901" s="227"/>
      <c r="AB901" s="227"/>
      <c r="AC901" s="227"/>
      <c r="AD901" s="227"/>
      <c r="AE901" s="227"/>
      <c r="AG901" s="19"/>
      <c r="AN901" s="227"/>
      <c r="AO901" s="227"/>
      <c r="AP901" s="227"/>
      <c r="AQ901" s="227"/>
      <c r="AR901" s="227"/>
      <c r="AS901" s="227"/>
      <c r="AT901" s="227"/>
      <c r="AU901" s="227"/>
      <c r="AV901" s="227"/>
      <c r="AW901" s="227"/>
      <c r="AX901" s="227"/>
      <c r="AY901" s="227"/>
      <c r="AZ901" s="227"/>
      <c r="BA901" s="227"/>
      <c r="BB901" s="227"/>
      <c r="BC901" s="227"/>
      <c r="BD901" s="227"/>
      <c r="BE901" s="227"/>
      <c r="BF901" s="227"/>
      <c r="BG901" s="227"/>
      <c r="BH901" s="227"/>
      <c r="BI901" s="227"/>
      <c r="BJ901" s="227"/>
      <c r="BK901" s="227"/>
      <c r="BL901" s="227"/>
    </row>
    <row r="902" spans="27:64" ht="12.95" customHeight="1">
      <c r="AA902" s="227"/>
      <c r="AB902" s="227"/>
      <c r="AC902" s="227"/>
      <c r="AD902" s="227"/>
      <c r="AE902" s="227"/>
      <c r="AG902" s="19"/>
      <c r="AN902" s="227"/>
      <c r="AO902" s="227"/>
      <c r="AP902" s="227"/>
      <c r="AQ902" s="227"/>
      <c r="AR902" s="227"/>
      <c r="AS902" s="227"/>
      <c r="AT902" s="227"/>
      <c r="AU902" s="227"/>
    </row>
    <row r="903" spans="27:64" ht="12.95" customHeight="1">
      <c r="AA903" s="227"/>
      <c r="AB903" s="227"/>
      <c r="AC903" s="227"/>
      <c r="AD903" s="227"/>
      <c r="AE903" s="227"/>
      <c r="AG903" s="19"/>
      <c r="AN903" s="227"/>
      <c r="AO903" s="227"/>
      <c r="AP903" s="227"/>
      <c r="AQ903" s="227"/>
      <c r="AR903" s="227"/>
      <c r="AS903" s="227"/>
      <c r="AT903" s="227"/>
      <c r="AU903" s="227"/>
    </row>
    <row r="904" spans="27:64" ht="12.95" customHeight="1">
      <c r="AA904" s="227"/>
      <c r="AB904" s="227"/>
      <c r="AC904" s="227"/>
      <c r="AD904" s="227"/>
      <c r="AE904" s="227"/>
      <c r="AG904" s="19"/>
      <c r="AN904" s="227"/>
      <c r="AO904" s="227"/>
      <c r="AP904" s="227"/>
      <c r="AQ904" s="227"/>
      <c r="AR904" s="227"/>
      <c r="AS904" s="227"/>
      <c r="AT904" s="227"/>
      <c r="AU904" s="227"/>
    </row>
    <row r="905" spans="27:64" ht="12.95" customHeight="1">
      <c r="AA905" s="227"/>
      <c r="AB905" s="227"/>
      <c r="AC905" s="227"/>
      <c r="AD905" s="227"/>
      <c r="AE905" s="227"/>
      <c r="AG905" s="19"/>
      <c r="AN905" s="227"/>
      <c r="AO905" s="227"/>
      <c r="AP905" s="227"/>
      <c r="AQ905" s="227"/>
      <c r="AR905" s="227"/>
      <c r="AS905" s="227"/>
      <c r="AT905" s="227"/>
      <c r="AU905" s="227"/>
      <c r="AV905" s="227"/>
      <c r="AW905" s="227"/>
      <c r="AX905" s="227"/>
      <c r="AY905" s="227"/>
      <c r="AZ905" s="227"/>
      <c r="BA905" s="227"/>
      <c r="BB905" s="227"/>
      <c r="BC905" s="227"/>
      <c r="BD905" s="227"/>
      <c r="BE905" s="227"/>
      <c r="BF905" s="227"/>
      <c r="BG905" s="227"/>
      <c r="BH905" s="227"/>
      <c r="BI905" s="227"/>
      <c r="BJ905" s="227"/>
      <c r="BK905" s="227"/>
      <c r="BL905" s="227"/>
    </row>
    <row r="906" spans="27:64" ht="12.95" customHeight="1">
      <c r="AA906" s="227"/>
      <c r="AB906" s="227"/>
      <c r="AC906" s="227"/>
      <c r="AD906" s="227"/>
      <c r="AE906" s="227"/>
      <c r="AG906" s="19"/>
      <c r="AN906" s="227"/>
      <c r="AO906" s="227"/>
      <c r="AP906" s="227"/>
      <c r="AQ906" s="227"/>
      <c r="AR906" s="227"/>
      <c r="AS906" s="227"/>
      <c r="AT906" s="227"/>
      <c r="AU906" s="227"/>
    </row>
    <row r="907" spans="27:64" ht="12.95" customHeight="1">
      <c r="AA907" s="227"/>
      <c r="AB907" s="227"/>
      <c r="AC907" s="227"/>
      <c r="AD907" s="227"/>
      <c r="AE907" s="227"/>
      <c r="AG907" s="19"/>
      <c r="AN907" s="227"/>
      <c r="AO907" s="227"/>
      <c r="AP907" s="227"/>
      <c r="AQ907" s="227"/>
      <c r="AR907" s="227"/>
      <c r="AS907" s="227"/>
      <c r="AT907" s="227"/>
      <c r="AU907" s="227"/>
    </row>
    <row r="908" spans="27:64" ht="12.95" customHeight="1">
      <c r="AA908" s="227"/>
      <c r="AB908" s="227"/>
      <c r="AC908" s="227"/>
      <c r="AD908" s="227"/>
      <c r="AE908" s="227"/>
      <c r="AG908" s="19"/>
      <c r="AN908" s="227"/>
      <c r="AO908" s="227"/>
      <c r="AP908" s="227"/>
      <c r="AQ908" s="227"/>
      <c r="AR908" s="227"/>
      <c r="AS908" s="227"/>
      <c r="AT908" s="227"/>
      <c r="AU908" s="227"/>
    </row>
    <row r="909" spans="27:64" ht="12.95" customHeight="1">
      <c r="AA909" s="227"/>
      <c r="AB909" s="227"/>
      <c r="AC909" s="227"/>
      <c r="AD909" s="227"/>
      <c r="AE909" s="227"/>
      <c r="AG909" s="19"/>
      <c r="AN909" s="227"/>
      <c r="AO909" s="227"/>
      <c r="AP909" s="227"/>
      <c r="AQ909" s="227"/>
      <c r="AR909" s="227"/>
      <c r="AS909" s="227"/>
      <c r="AT909" s="227"/>
      <c r="AU909" s="227"/>
    </row>
    <row r="910" spans="27:64" ht="12.95" customHeight="1">
      <c r="AA910" s="227"/>
      <c r="AB910" s="227"/>
      <c r="AC910" s="227"/>
      <c r="AD910" s="227"/>
      <c r="AE910" s="227"/>
      <c r="AG910" s="19"/>
      <c r="AN910" s="227"/>
      <c r="AO910" s="227"/>
      <c r="AP910" s="227"/>
      <c r="AQ910" s="227"/>
      <c r="AR910" s="227"/>
      <c r="AS910" s="227"/>
      <c r="AT910" s="227"/>
      <c r="AU910" s="227"/>
    </row>
    <row r="911" spans="27:64" ht="12.95" customHeight="1">
      <c r="AA911" s="227"/>
      <c r="AB911" s="227"/>
      <c r="AC911" s="227"/>
      <c r="AD911" s="227"/>
      <c r="AE911" s="227"/>
      <c r="AG911" s="19"/>
      <c r="AN911" s="227"/>
      <c r="AO911" s="227"/>
      <c r="AP911" s="227"/>
      <c r="AQ911" s="227"/>
      <c r="AR911" s="227"/>
      <c r="AS911" s="227"/>
      <c r="AT911" s="227"/>
      <c r="AU911" s="227"/>
    </row>
    <row r="912" spans="27:64" ht="12.95" customHeight="1">
      <c r="AA912" s="227"/>
      <c r="AB912" s="227"/>
      <c r="AC912" s="227"/>
      <c r="AD912" s="227"/>
      <c r="AE912" s="227"/>
      <c r="AG912" s="19"/>
      <c r="AN912" s="227"/>
      <c r="AO912" s="227"/>
      <c r="AP912" s="227"/>
      <c r="AQ912" s="227"/>
      <c r="AR912" s="227"/>
      <c r="AS912" s="227"/>
      <c r="AT912" s="227"/>
      <c r="AU912" s="227"/>
    </row>
    <row r="913" spans="27:64" ht="12.95" customHeight="1">
      <c r="AA913" s="227"/>
      <c r="AB913" s="227"/>
      <c r="AC913" s="227"/>
      <c r="AD913" s="227"/>
      <c r="AE913" s="227"/>
      <c r="AG913" s="19"/>
      <c r="AN913" s="227"/>
      <c r="AO913" s="227"/>
      <c r="AP913" s="227"/>
      <c r="AQ913" s="227"/>
      <c r="AR913" s="227"/>
      <c r="AS913" s="227"/>
      <c r="AT913" s="227"/>
      <c r="AU913" s="227"/>
    </row>
    <row r="914" spans="27:64" ht="12.95" customHeight="1">
      <c r="AA914" s="227"/>
      <c r="AB914" s="227"/>
      <c r="AC914" s="227"/>
      <c r="AD914" s="227"/>
      <c r="AE914" s="227"/>
      <c r="AG914" s="19"/>
      <c r="AN914" s="227"/>
      <c r="AO914" s="227"/>
      <c r="AP914" s="227"/>
      <c r="AQ914" s="227"/>
      <c r="AR914" s="227"/>
      <c r="AS914" s="227"/>
      <c r="AT914" s="227"/>
      <c r="AU914" s="227"/>
      <c r="AV914" s="227"/>
      <c r="AW914" s="227"/>
      <c r="AX914" s="227"/>
      <c r="AY914" s="227"/>
      <c r="AZ914" s="227"/>
      <c r="BA914" s="227"/>
      <c r="BB914" s="227"/>
      <c r="BC914" s="227"/>
      <c r="BD914" s="227"/>
      <c r="BE914" s="227"/>
      <c r="BF914" s="227"/>
      <c r="BG914" s="227"/>
      <c r="BH914" s="227"/>
      <c r="BI914" s="227"/>
      <c r="BJ914" s="227"/>
      <c r="BK914" s="227"/>
      <c r="BL914" s="227"/>
    </row>
    <row r="915" spans="27:64" ht="12.95" customHeight="1">
      <c r="AA915" s="227"/>
      <c r="AB915" s="227"/>
      <c r="AC915" s="227"/>
      <c r="AD915" s="227"/>
      <c r="AE915" s="227"/>
      <c r="AG915" s="19"/>
      <c r="AN915" s="227"/>
      <c r="AO915" s="227"/>
      <c r="AP915" s="227"/>
      <c r="AQ915" s="227"/>
      <c r="AR915" s="227"/>
      <c r="AS915" s="227"/>
      <c r="AT915" s="227"/>
      <c r="AU915" s="227"/>
    </row>
    <row r="916" spans="27:64" ht="12.95" customHeight="1">
      <c r="AA916" s="227"/>
      <c r="AB916" s="227"/>
      <c r="AC916" s="227"/>
      <c r="AD916" s="227"/>
      <c r="AE916" s="227"/>
      <c r="AG916" s="19"/>
      <c r="AN916" s="227"/>
      <c r="AO916" s="227"/>
      <c r="AP916" s="227"/>
      <c r="AQ916" s="227"/>
      <c r="AR916" s="227"/>
      <c r="AS916" s="227"/>
      <c r="AT916" s="227"/>
      <c r="AU916" s="227"/>
    </row>
    <row r="917" spans="27:64" ht="12.95" customHeight="1">
      <c r="AA917" s="227"/>
      <c r="AB917" s="227"/>
      <c r="AC917" s="227"/>
      <c r="AD917" s="227"/>
      <c r="AE917" s="227"/>
      <c r="AG917" s="19"/>
      <c r="AN917" s="227"/>
      <c r="AO917" s="227"/>
      <c r="AP917" s="227"/>
      <c r="AQ917" s="227"/>
      <c r="AR917" s="227"/>
      <c r="AS917" s="227"/>
      <c r="AT917" s="227"/>
      <c r="AU917" s="227"/>
    </row>
    <row r="918" spans="27:64" ht="12.95" customHeight="1">
      <c r="AA918" s="227"/>
      <c r="AB918" s="227"/>
      <c r="AC918" s="227"/>
      <c r="AD918" s="227"/>
      <c r="AE918" s="227"/>
      <c r="AG918" s="19"/>
      <c r="AN918" s="227"/>
      <c r="AO918" s="227"/>
      <c r="AP918" s="227"/>
      <c r="AQ918" s="227"/>
      <c r="AR918" s="227"/>
      <c r="AS918" s="227"/>
      <c r="AT918" s="227"/>
      <c r="AU918" s="227"/>
    </row>
    <row r="919" spans="27:64" ht="12.95" customHeight="1">
      <c r="AA919" s="227"/>
      <c r="AB919" s="227"/>
      <c r="AC919" s="227"/>
      <c r="AD919" s="227"/>
      <c r="AE919" s="227"/>
      <c r="AG919" s="19"/>
      <c r="AN919" s="227"/>
      <c r="AO919" s="227"/>
      <c r="AP919" s="227"/>
      <c r="AQ919" s="227"/>
      <c r="AR919" s="227"/>
      <c r="AS919" s="227"/>
      <c r="AT919" s="227"/>
      <c r="AU919" s="227"/>
    </row>
    <row r="920" spans="27:64" ht="12.95" customHeight="1">
      <c r="AA920" s="227"/>
      <c r="AB920" s="227"/>
      <c r="AC920" s="227"/>
      <c r="AD920" s="227"/>
      <c r="AE920" s="227"/>
      <c r="AG920" s="19"/>
      <c r="AN920" s="227"/>
      <c r="AO920" s="227"/>
      <c r="AP920" s="227"/>
      <c r="AQ920" s="227"/>
      <c r="AR920" s="227"/>
      <c r="AS920" s="227"/>
      <c r="AT920" s="227"/>
      <c r="AU920" s="227"/>
    </row>
    <row r="921" spans="27:64" ht="12.95" customHeight="1">
      <c r="AA921" s="227"/>
      <c r="AB921" s="227"/>
      <c r="AC921" s="227"/>
      <c r="AD921" s="227"/>
      <c r="AE921" s="227"/>
      <c r="AG921" s="19"/>
      <c r="AN921" s="227"/>
      <c r="AO921" s="227"/>
      <c r="AP921" s="227"/>
      <c r="AQ921" s="227"/>
      <c r="AR921" s="227"/>
      <c r="AS921" s="227"/>
      <c r="AT921" s="227"/>
      <c r="AU921" s="227"/>
    </row>
    <row r="922" spans="27:64" ht="12.95" customHeight="1">
      <c r="AA922" s="227"/>
      <c r="AB922" s="227"/>
      <c r="AC922" s="227"/>
      <c r="AD922" s="227"/>
      <c r="AE922" s="227"/>
      <c r="AG922" s="19"/>
      <c r="AN922" s="227"/>
      <c r="AO922" s="227"/>
      <c r="AP922" s="227"/>
      <c r="AQ922" s="227"/>
      <c r="AR922" s="227"/>
      <c r="AS922" s="227"/>
      <c r="AT922" s="227"/>
      <c r="AU922" s="227"/>
    </row>
    <row r="923" spans="27:64" ht="12.95" customHeight="1">
      <c r="AA923" s="227"/>
      <c r="AB923" s="227"/>
      <c r="AC923" s="227"/>
      <c r="AD923" s="227"/>
      <c r="AE923" s="227"/>
      <c r="AG923" s="19"/>
      <c r="AN923" s="227"/>
      <c r="AO923" s="227"/>
      <c r="AP923" s="227"/>
      <c r="AQ923" s="227"/>
      <c r="AR923" s="227"/>
      <c r="AS923" s="227"/>
      <c r="AT923" s="227"/>
      <c r="AU923" s="227"/>
    </row>
    <row r="924" spans="27:64" ht="12.95" customHeight="1">
      <c r="AA924" s="227"/>
      <c r="AB924" s="227"/>
      <c r="AC924" s="227"/>
      <c r="AD924" s="227"/>
      <c r="AE924" s="227"/>
      <c r="AG924" s="19"/>
      <c r="AN924" s="227"/>
      <c r="AO924" s="227"/>
      <c r="AP924" s="227"/>
      <c r="AQ924" s="227"/>
      <c r="AR924" s="227"/>
      <c r="AS924" s="227"/>
      <c r="AT924" s="227"/>
      <c r="AU924" s="227"/>
    </row>
    <row r="925" spans="27:64" ht="12.95" customHeight="1">
      <c r="AA925" s="227"/>
      <c r="AB925" s="227"/>
      <c r="AC925" s="227"/>
      <c r="AD925" s="227"/>
      <c r="AE925" s="227"/>
      <c r="AG925" s="19"/>
      <c r="AN925" s="227"/>
      <c r="AO925" s="227"/>
      <c r="AP925" s="227"/>
      <c r="AQ925" s="227"/>
      <c r="AR925" s="227"/>
      <c r="AS925" s="227"/>
      <c r="AT925" s="227"/>
      <c r="AU925" s="227"/>
    </row>
    <row r="926" spans="27:64" ht="12.95" customHeight="1">
      <c r="AA926" s="227"/>
      <c r="AB926" s="227"/>
      <c r="AC926" s="227"/>
      <c r="AD926" s="227"/>
      <c r="AE926" s="227"/>
      <c r="AG926" s="19"/>
      <c r="AN926" s="227"/>
      <c r="AO926" s="227"/>
      <c r="AP926" s="227"/>
      <c r="AQ926" s="227"/>
      <c r="AR926" s="227"/>
      <c r="AS926" s="227"/>
      <c r="AT926" s="227"/>
      <c r="AU926" s="227"/>
    </row>
    <row r="927" spans="27:64" ht="12.95" customHeight="1">
      <c r="AA927" s="227"/>
      <c r="AB927" s="227"/>
      <c r="AC927" s="227"/>
      <c r="AD927" s="227"/>
      <c r="AE927" s="227"/>
      <c r="AG927" s="19"/>
      <c r="AN927" s="227"/>
      <c r="AO927" s="227"/>
      <c r="AP927" s="227"/>
      <c r="AQ927" s="227"/>
      <c r="AR927" s="227"/>
      <c r="AS927" s="227"/>
      <c r="AT927" s="227"/>
      <c r="AU927" s="227"/>
    </row>
    <row r="928" spans="27:64" ht="12.95" customHeight="1">
      <c r="AA928" s="227"/>
      <c r="AB928" s="227"/>
      <c r="AC928" s="227"/>
      <c r="AD928" s="227"/>
      <c r="AE928" s="227"/>
      <c r="AG928" s="19"/>
      <c r="AN928" s="227"/>
      <c r="AO928" s="227"/>
      <c r="AP928" s="227"/>
      <c r="AQ928" s="227"/>
      <c r="AR928" s="227"/>
      <c r="AS928" s="227"/>
      <c r="AT928" s="227"/>
      <c r="AU928" s="227"/>
    </row>
    <row r="929" spans="27:64" ht="12.95" customHeight="1">
      <c r="AA929" s="227"/>
      <c r="AB929" s="227"/>
      <c r="AC929" s="227"/>
      <c r="AD929" s="227"/>
      <c r="AE929" s="227"/>
      <c r="AG929" s="19"/>
      <c r="AN929" s="227"/>
      <c r="AO929" s="227"/>
      <c r="AP929" s="227"/>
      <c r="AQ929" s="227"/>
      <c r="AR929" s="227"/>
      <c r="AS929" s="227"/>
      <c r="AT929" s="227"/>
      <c r="AU929" s="227"/>
    </row>
    <row r="930" spans="27:64" ht="12.95" customHeight="1">
      <c r="AA930" s="227"/>
      <c r="AB930" s="227"/>
      <c r="AC930" s="227"/>
      <c r="AD930" s="227"/>
      <c r="AE930" s="227"/>
      <c r="AG930" s="19"/>
      <c r="AN930" s="227"/>
      <c r="AO930" s="227"/>
      <c r="AP930" s="227"/>
      <c r="AQ930" s="227"/>
      <c r="AR930" s="227"/>
      <c r="AS930" s="227"/>
      <c r="AT930" s="227"/>
      <c r="AU930" s="227"/>
      <c r="AV930" s="227"/>
      <c r="AW930" s="227"/>
      <c r="AX930" s="227"/>
      <c r="AY930" s="227"/>
      <c r="AZ930" s="227"/>
      <c r="BA930" s="227"/>
      <c r="BB930" s="227"/>
      <c r="BC930" s="227"/>
      <c r="BD930" s="227"/>
      <c r="BE930" s="227"/>
      <c r="BF930" s="227"/>
      <c r="BG930" s="227"/>
      <c r="BH930" s="227"/>
      <c r="BI930" s="227"/>
      <c r="BJ930" s="227"/>
      <c r="BK930" s="227"/>
      <c r="BL930" s="227"/>
    </row>
    <row r="931" spans="27:64" ht="12.95" customHeight="1">
      <c r="AA931" s="227"/>
      <c r="AB931" s="227"/>
      <c r="AC931" s="227"/>
      <c r="AD931" s="227"/>
      <c r="AE931" s="227"/>
      <c r="AG931" s="19"/>
      <c r="AN931" s="227"/>
      <c r="AO931" s="227"/>
      <c r="AP931" s="227"/>
      <c r="AQ931" s="227"/>
      <c r="AR931" s="227"/>
      <c r="AS931" s="227"/>
      <c r="AT931" s="227"/>
      <c r="AU931" s="227"/>
    </row>
    <row r="932" spans="27:64" ht="12.95" customHeight="1">
      <c r="AA932" s="227"/>
      <c r="AB932" s="227"/>
      <c r="AC932" s="227"/>
      <c r="AD932" s="227"/>
      <c r="AE932" s="227"/>
      <c r="AG932" s="19"/>
      <c r="AN932" s="227"/>
      <c r="AO932" s="227"/>
      <c r="AP932" s="227"/>
      <c r="AQ932" s="227"/>
      <c r="AR932" s="227"/>
      <c r="AS932" s="227"/>
      <c r="AT932" s="227"/>
      <c r="AU932" s="227"/>
    </row>
    <row r="933" spans="27:64" ht="12.95" customHeight="1">
      <c r="AA933" s="227"/>
      <c r="AB933" s="227"/>
      <c r="AC933" s="227"/>
      <c r="AD933" s="227"/>
      <c r="AE933" s="227"/>
      <c r="AG933" s="19"/>
      <c r="AN933" s="227"/>
      <c r="AO933" s="227"/>
      <c r="AP933" s="227"/>
      <c r="AQ933" s="227"/>
      <c r="AR933" s="227"/>
      <c r="AS933" s="227"/>
      <c r="AT933" s="227"/>
      <c r="AU933" s="227"/>
    </row>
    <row r="934" spans="27:64" ht="12.95" customHeight="1">
      <c r="AA934" s="227"/>
      <c r="AB934" s="227"/>
      <c r="AC934" s="227"/>
      <c r="AD934" s="227"/>
      <c r="AE934" s="227"/>
      <c r="AG934" s="19"/>
      <c r="AN934" s="227"/>
      <c r="AO934" s="227"/>
      <c r="AP934" s="227"/>
      <c r="AQ934" s="227"/>
      <c r="AR934" s="227"/>
      <c r="AS934" s="227"/>
      <c r="AT934" s="227"/>
      <c r="AU934" s="227"/>
    </row>
    <row r="935" spans="27:64" ht="12.95" customHeight="1">
      <c r="AA935" s="227"/>
      <c r="AB935" s="227"/>
      <c r="AC935" s="227"/>
      <c r="AD935" s="227"/>
      <c r="AE935" s="227"/>
      <c r="AG935" s="19"/>
      <c r="AN935" s="227"/>
      <c r="AO935" s="227"/>
      <c r="AP935" s="227"/>
      <c r="AQ935" s="227"/>
      <c r="AR935" s="227"/>
      <c r="AS935" s="227"/>
      <c r="AT935" s="227"/>
      <c r="AU935" s="227"/>
    </row>
    <row r="936" spans="27:64" ht="12.95" customHeight="1">
      <c r="AA936" s="227"/>
      <c r="AB936" s="227"/>
      <c r="AC936" s="227"/>
      <c r="AD936" s="227"/>
      <c r="AE936" s="227"/>
      <c r="AG936" s="19"/>
      <c r="AN936" s="227"/>
      <c r="AO936" s="227"/>
      <c r="AP936" s="227"/>
      <c r="AQ936" s="227"/>
      <c r="AR936" s="227"/>
      <c r="AS936" s="227"/>
      <c r="AT936" s="227"/>
      <c r="AU936" s="227"/>
    </row>
    <row r="937" spans="27:64" ht="12.95" customHeight="1">
      <c r="AA937" s="227"/>
      <c r="AB937" s="227"/>
      <c r="AC937" s="227"/>
      <c r="AD937" s="227"/>
      <c r="AE937" s="227"/>
      <c r="AG937" s="19"/>
      <c r="AN937" s="227"/>
      <c r="AO937" s="227"/>
      <c r="AP937" s="227"/>
      <c r="AQ937" s="227"/>
      <c r="AR937" s="227"/>
      <c r="AS937" s="227"/>
      <c r="AT937" s="227"/>
      <c r="AU937" s="227"/>
      <c r="AV937" s="227"/>
      <c r="AW937" s="227"/>
      <c r="AX937" s="227"/>
      <c r="AY937" s="227"/>
      <c r="AZ937" s="227"/>
      <c r="BA937" s="227"/>
      <c r="BB937" s="227"/>
      <c r="BC937" s="227"/>
      <c r="BD937" s="227"/>
      <c r="BE937" s="227"/>
      <c r="BF937" s="227"/>
      <c r="BG937" s="227"/>
      <c r="BH937" s="227"/>
      <c r="BI937" s="227"/>
      <c r="BJ937" s="227"/>
      <c r="BK937" s="227"/>
      <c r="BL937" s="227"/>
    </row>
    <row r="938" spans="27:64" ht="12.95" customHeight="1">
      <c r="AA938" s="227"/>
      <c r="AB938" s="227"/>
      <c r="AC938" s="227"/>
      <c r="AD938" s="227"/>
      <c r="AE938" s="227"/>
      <c r="AG938" s="19"/>
      <c r="AN938" s="227"/>
      <c r="AO938" s="227"/>
      <c r="AP938" s="227"/>
      <c r="AQ938" s="227"/>
      <c r="AR938" s="227"/>
      <c r="AS938" s="227"/>
      <c r="AT938" s="227"/>
      <c r="AU938" s="227"/>
    </row>
    <row r="939" spans="27:64" ht="12.95" customHeight="1">
      <c r="AA939" s="227"/>
      <c r="AB939" s="227"/>
      <c r="AC939" s="227"/>
      <c r="AD939" s="227"/>
      <c r="AE939" s="227"/>
      <c r="AG939" s="19"/>
      <c r="AN939" s="227"/>
      <c r="AO939" s="227"/>
      <c r="AP939" s="227"/>
      <c r="AQ939" s="227"/>
      <c r="AR939" s="227"/>
      <c r="AS939" s="227"/>
      <c r="AT939" s="227"/>
      <c r="AU939" s="227"/>
    </row>
    <row r="940" spans="27:64" ht="12.95" customHeight="1">
      <c r="AA940" s="227"/>
      <c r="AB940" s="227"/>
      <c r="AC940" s="227"/>
      <c r="AD940" s="227"/>
      <c r="AE940" s="227"/>
      <c r="AG940" s="19"/>
      <c r="AN940" s="227"/>
      <c r="AO940" s="227"/>
      <c r="AP940" s="227"/>
      <c r="AQ940" s="227"/>
      <c r="AR940" s="227"/>
      <c r="AS940" s="227"/>
      <c r="AT940" s="227"/>
      <c r="AU940" s="227"/>
    </row>
    <row r="941" spans="27:64" ht="12.95" customHeight="1">
      <c r="AA941" s="227"/>
      <c r="AB941" s="227"/>
      <c r="AC941" s="227"/>
      <c r="AD941" s="227"/>
      <c r="AE941" s="227"/>
      <c r="AG941" s="19"/>
      <c r="AN941" s="227"/>
      <c r="AO941" s="227"/>
      <c r="AP941" s="227"/>
      <c r="AQ941" s="227"/>
      <c r="AR941" s="227"/>
      <c r="AS941" s="227"/>
      <c r="AT941" s="227"/>
      <c r="AU941" s="227"/>
    </row>
    <row r="942" spans="27:64" ht="12.95" customHeight="1">
      <c r="AA942" s="227"/>
      <c r="AB942" s="227"/>
      <c r="AC942" s="227"/>
      <c r="AD942" s="227"/>
      <c r="AE942" s="227"/>
      <c r="AG942" s="19"/>
      <c r="AN942" s="227"/>
      <c r="AO942" s="227"/>
      <c r="AP942" s="227"/>
      <c r="AQ942" s="227"/>
      <c r="AR942" s="227"/>
      <c r="AS942" s="227"/>
      <c r="AT942" s="227"/>
      <c r="AU942" s="227"/>
    </row>
    <row r="943" spans="27:64" ht="12.95" customHeight="1">
      <c r="AA943" s="227"/>
      <c r="AB943" s="227"/>
      <c r="AC943" s="227"/>
      <c r="AD943" s="227"/>
      <c r="AE943" s="227"/>
      <c r="AG943" s="19"/>
      <c r="AN943" s="227"/>
      <c r="AO943" s="227"/>
      <c r="AP943" s="227"/>
      <c r="AQ943" s="227"/>
      <c r="AR943" s="227"/>
      <c r="AS943" s="227"/>
      <c r="AT943" s="227"/>
      <c r="AU943" s="227"/>
      <c r="AV943" s="227"/>
      <c r="AW943" s="227"/>
      <c r="AX943" s="227"/>
      <c r="AY943" s="227"/>
      <c r="AZ943" s="227"/>
      <c r="BA943" s="227"/>
      <c r="BB943" s="227"/>
      <c r="BC943" s="227"/>
      <c r="BD943" s="227"/>
      <c r="BE943" s="227"/>
      <c r="BF943" s="227"/>
      <c r="BG943" s="227"/>
      <c r="BH943" s="227"/>
      <c r="BI943" s="227"/>
      <c r="BJ943" s="227"/>
      <c r="BK943" s="227"/>
      <c r="BL943" s="227"/>
    </row>
    <row r="944" spans="27:64" ht="12.95" customHeight="1">
      <c r="AA944" s="227"/>
      <c r="AB944" s="227"/>
      <c r="AC944" s="227"/>
      <c r="AD944" s="227"/>
      <c r="AE944" s="227"/>
      <c r="AG944" s="19"/>
      <c r="AN944" s="227"/>
      <c r="AO944" s="227"/>
      <c r="AP944" s="227"/>
      <c r="AQ944" s="227"/>
      <c r="AR944" s="227"/>
      <c r="AS944" s="227"/>
      <c r="AT944" s="227"/>
      <c r="AU944" s="227"/>
    </row>
    <row r="945" spans="27:64" ht="12.95" customHeight="1">
      <c r="AA945" s="227"/>
      <c r="AB945" s="227"/>
      <c r="AC945" s="227"/>
      <c r="AD945" s="227"/>
      <c r="AE945" s="227"/>
      <c r="AG945" s="19"/>
      <c r="AN945" s="227"/>
      <c r="AO945" s="227"/>
      <c r="AP945" s="227"/>
      <c r="AQ945" s="227"/>
      <c r="AR945" s="227"/>
      <c r="AS945" s="227"/>
      <c r="AT945" s="227"/>
      <c r="AU945" s="227"/>
      <c r="AV945" s="227"/>
      <c r="AW945" s="227"/>
      <c r="AX945" s="227"/>
      <c r="AY945" s="227"/>
      <c r="AZ945" s="227"/>
      <c r="BA945" s="227"/>
      <c r="BB945" s="227"/>
      <c r="BC945" s="227"/>
      <c r="BD945" s="227"/>
      <c r="BE945" s="227"/>
      <c r="BF945" s="227"/>
      <c r="BG945" s="227"/>
      <c r="BH945" s="227"/>
      <c r="BI945" s="227"/>
      <c r="BJ945" s="227"/>
      <c r="BK945" s="227"/>
      <c r="BL945" s="227"/>
    </row>
    <row r="946" spans="27:64" ht="12.95" customHeight="1">
      <c r="AA946" s="227"/>
      <c r="AB946" s="227"/>
      <c r="AC946" s="227"/>
      <c r="AD946" s="227"/>
      <c r="AE946" s="227"/>
      <c r="AG946" s="19"/>
      <c r="AN946" s="227"/>
      <c r="AO946" s="227"/>
      <c r="AP946" s="227"/>
      <c r="AQ946" s="227"/>
      <c r="AR946" s="227"/>
      <c r="AS946" s="227"/>
      <c r="AT946" s="227"/>
      <c r="AU946" s="227"/>
    </row>
    <row r="947" spans="27:64" ht="12.95" customHeight="1">
      <c r="AA947" s="227"/>
      <c r="AB947" s="227"/>
      <c r="AC947" s="227"/>
      <c r="AD947" s="227"/>
      <c r="AE947" s="227"/>
      <c r="AG947" s="19"/>
      <c r="AN947" s="227"/>
      <c r="AO947" s="227"/>
      <c r="AP947" s="227"/>
      <c r="AQ947" s="227"/>
      <c r="AR947" s="227"/>
      <c r="AS947" s="227"/>
      <c r="AT947" s="227"/>
      <c r="AU947" s="227"/>
      <c r="AV947" s="227"/>
    </row>
    <row r="948" spans="27:64" ht="12.95" customHeight="1">
      <c r="AA948" s="227"/>
      <c r="AB948" s="227"/>
      <c r="AC948" s="227"/>
      <c r="AD948" s="227"/>
      <c r="AE948" s="227"/>
      <c r="AG948" s="19"/>
      <c r="AN948" s="227"/>
      <c r="AO948" s="227"/>
      <c r="AP948" s="227"/>
      <c r="AQ948" s="227"/>
      <c r="AR948" s="227"/>
      <c r="AS948" s="227"/>
      <c r="AT948" s="227"/>
      <c r="AU948" s="227"/>
    </row>
    <row r="949" spans="27:64" ht="12.95" customHeight="1">
      <c r="AA949" s="227"/>
      <c r="AB949" s="227"/>
      <c r="AC949" s="227"/>
      <c r="AD949" s="227"/>
      <c r="AE949" s="227"/>
      <c r="AG949" s="19"/>
      <c r="AN949" s="227"/>
      <c r="AO949" s="227"/>
      <c r="AP949" s="227"/>
      <c r="AQ949" s="227"/>
      <c r="AR949" s="227"/>
      <c r="AS949" s="227"/>
      <c r="AT949" s="227"/>
      <c r="AU949" s="227"/>
    </row>
    <row r="950" spans="27:64" ht="12.95" customHeight="1">
      <c r="AA950" s="227"/>
      <c r="AB950" s="227"/>
      <c r="AC950" s="227"/>
      <c r="AD950" s="227"/>
      <c r="AE950" s="227"/>
      <c r="AG950" s="19"/>
      <c r="AN950" s="227"/>
      <c r="AO950" s="227"/>
      <c r="AP950" s="227"/>
      <c r="AQ950" s="227"/>
      <c r="AR950" s="227"/>
      <c r="AS950" s="227"/>
      <c r="AT950" s="227"/>
      <c r="AU950" s="227"/>
    </row>
    <row r="951" spans="27:64" ht="12.95" customHeight="1">
      <c r="AA951" s="227"/>
      <c r="AB951" s="227"/>
      <c r="AC951" s="227"/>
      <c r="AD951" s="227"/>
      <c r="AE951" s="227"/>
      <c r="AG951" s="19"/>
      <c r="AN951" s="227"/>
      <c r="AO951" s="227"/>
      <c r="AP951" s="227"/>
      <c r="AQ951" s="227"/>
      <c r="AR951" s="227"/>
      <c r="AS951" s="227"/>
      <c r="AT951" s="227"/>
      <c r="AU951" s="227"/>
    </row>
    <row r="952" spans="27:64" ht="12.95" customHeight="1">
      <c r="AA952" s="227"/>
      <c r="AB952" s="227"/>
      <c r="AC952" s="227"/>
      <c r="AD952" s="227"/>
      <c r="AE952" s="227"/>
      <c r="AG952" s="19"/>
      <c r="AN952" s="227"/>
      <c r="AO952" s="227"/>
      <c r="AP952" s="227"/>
      <c r="AQ952" s="227"/>
      <c r="AR952" s="227"/>
      <c r="AS952" s="227"/>
      <c r="AT952" s="227"/>
      <c r="AU952" s="227"/>
    </row>
    <row r="953" spans="27:64" ht="12.95" customHeight="1">
      <c r="AA953" s="227"/>
      <c r="AB953" s="227"/>
      <c r="AC953" s="227"/>
      <c r="AD953" s="227"/>
      <c r="AE953" s="227"/>
      <c r="AG953" s="19"/>
      <c r="AN953" s="227"/>
      <c r="AO953" s="227"/>
      <c r="AP953" s="227"/>
      <c r="AQ953" s="227"/>
      <c r="AR953" s="227"/>
      <c r="AS953" s="227"/>
      <c r="AT953" s="227"/>
      <c r="AU953" s="227"/>
      <c r="AV953" s="227"/>
    </row>
    <row r="954" spans="27:64" ht="12.95" customHeight="1">
      <c r="AA954" s="227"/>
      <c r="AB954" s="227"/>
      <c r="AC954" s="227"/>
      <c r="AD954" s="227"/>
      <c r="AE954" s="227"/>
      <c r="AG954" s="19"/>
      <c r="AN954" s="227"/>
      <c r="AO954" s="227"/>
      <c r="AP954" s="227"/>
      <c r="AQ954" s="227"/>
      <c r="AR954" s="227"/>
      <c r="AS954" s="227"/>
      <c r="AT954" s="227"/>
      <c r="AU954" s="227"/>
    </row>
    <row r="955" spans="27:64" ht="12.95" customHeight="1">
      <c r="AA955" s="227"/>
      <c r="AB955" s="227"/>
      <c r="AC955" s="227"/>
      <c r="AD955" s="227"/>
      <c r="AE955" s="227"/>
      <c r="AG955" s="19"/>
      <c r="AN955" s="227"/>
      <c r="AO955" s="227"/>
      <c r="AP955" s="227"/>
      <c r="AQ955" s="227"/>
      <c r="AR955" s="227"/>
      <c r="AS955" s="227"/>
      <c r="AT955" s="227"/>
      <c r="AU955" s="227"/>
    </row>
    <row r="956" spans="27:64" ht="12.95" customHeight="1">
      <c r="AA956" s="227"/>
      <c r="AB956" s="227"/>
      <c r="AC956" s="227"/>
      <c r="AD956" s="227"/>
      <c r="AE956" s="227"/>
      <c r="AG956" s="19"/>
      <c r="AN956" s="227"/>
      <c r="AO956" s="227"/>
      <c r="AP956" s="227"/>
      <c r="AQ956" s="227"/>
      <c r="AR956" s="227"/>
      <c r="AS956" s="227"/>
      <c r="AT956" s="227"/>
      <c r="AU956" s="227"/>
    </row>
    <row r="957" spans="27:64" ht="12.95" customHeight="1">
      <c r="AA957" s="227"/>
      <c r="AB957" s="227"/>
      <c r="AC957" s="227"/>
      <c r="AD957" s="227"/>
      <c r="AE957" s="227"/>
      <c r="AG957" s="19"/>
      <c r="AN957" s="227"/>
      <c r="AO957" s="227"/>
      <c r="AP957" s="227"/>
      <c r="AQ957" s="227"/>
      <c r="AR957" s="227"/>
      <c r="AS957" s="227"/>
      <c r="AT957" s="227"/>
      <c r="AU957" s="227"/>
    </row>
    <row r="958" spans="27:64" ht="12.95" customHeight="1">
      <c r="AA958" s="227"/>
      <c r="AB958" s="227"/>
      <c r="AC958" s="227"/>
      <c r="AD958" s="227"/>
      <c r="AE958" s="227"/>
      <c r="AG958" s="19"/>
      <c r="AN958" s="227"/>
      <c r="AO958" s="227"/>
      <c r="AP958" s="227"/>
      <c r="AQ958" s="227"/>
      <c r="AR958" s="227"/>
      <c r="AS958" s="227"/>
      <c r="AT958" s="227"/>
      <c r="AU958" s="227"/>
    </row>
    <row r="959" spans="27:64" ht="12.95" customHeight="1">
      <c r="AA959" s="227"/>
      <c r="AB959" s="227"/>
      <c r="AC959" s="227"/>
      <c r="AD959" s="227"/>
      <c r="AE959" s="227"/>
      <c r="AG959" s="19"/>
      <c r="AN959" s="227"/>
      <c r="AO959" s="227"/>
      <c r="AP959" s="227"/>
      <c r="AQ959" s="227"/>
      <c r="AR959" s="227"/>
      <c r="AS959" s="227"/>
      <c r="AT959" s="227"/>
      <c r="AU959" s="227"/>
    </row>
    <row r="960" spans="27:64" ht="12.95" customHeight="1">
      <c r="AA960" s="227"/>
      <c r="AB960" s="227"/>
      <c r="AC960" s="227"/>
      <c r="AD960" s="227"/>
      <c r="AE960" s="227"/>
      <c r="AG960" s="19"/>
      <c r="AN960" s="227"/>
      <c r="AO960" s="227"/>
      <c r="AP960" s="227"/>
      <c r="AQ960" s="227"/>
      <c r="AR960" s="227"/>
      <c r="AS960" s="227"/>
      <c r="AT960" s="227"/>
      <c r="AU960" s="227"/>
    </row>
    <row r="961" spans="27:48" ht="12.95" customHeight="1">
      <c r="AA961" s="227"/>
      <c r="AB961" s="227"/>
      <c r="AC961" s="227"/>
      <c r="AD961" s="227"/>
      <c r="AE961" s="227"/>
      <c r="AG961" s="19"/>
      <c r="AN961" s="227"/>
      <c r="AO961" s="227"/>
      <c r="AP961" s="227"/>
      <c r="AQ961" s="227"/>
      <c r="AR961" s="227"/>
      <c r="AS961" s="227"/>
      <c r="AT961" s="227"/>
      <c r="AU961" s="227"/>
    </row>
    <row r="962" spans="27:48" ht="12.95" customHeight="1">
      <c r="AA962" s="227"/>
      <c r="AB962" s="227"/>
      <c r="AC962" s="227"/>
      <c r="AD962" s="227"/>
      <c r="AE962" s="227"/>
      <c r="AG962" s="19"/>
      <c r="AN962" s="227"/>
      <c r="AO962" s="227"/>
      <c r="AP962" s="227"/>
      <c r="AQ962" s="227"/>
      <c r="AR962" s="227"/>
      <c r="AS962" s="227"/>
      <c r="AT962" s="227"/>
      <c r="AU962" s="227"/>
    </row>
    <row r="963" spans="27:48" ht="12.95" customHeight="1">
      <c r="AA963" s="227"/>
      <c r="AB963" s="227"/>
      <c r="AC963" s="227"/>
      <c r="AD963" s="227"/>
      <c r="AE963" s="227"/>
      <c r="AG963" s="19"/>
      <c r="AN963" s="227"/>
      <c r="AO963" s="227"/>
      <c r="AP963" s="227"/>
      <c r="AQ963" s="227"/>
      <c r="AR963" s="227"/>
      <c r="AS963" s="227"/>
      <c r="AT963" s="227"/>
      <c r="AU963" s="227"/>
    </row>
    <row r="964" spans="27:48" ht="12.95" customHeight="1">
      <c r="AA964" s="227"/>
      <c r="AB964" s="227"/>
      <c r="AC964" s="227"/>
      <c r="AD964" s="227"/>
      <c r="AE964" s="227"/>
      <c r="AG964" s="19"/>
      <c r="AN964" s="227"/>
      <c r="AO964" s="227"/>
      <c r="AP964" s="227"/>
      <c r="AQ964" s="227"/>
      <c r="AR964" s="227"/>
      <c r="AS964" s="227"/>
      <c r="AT964" s="227"/>
      <c r="AU964" s="227"/>
      <c r="AV964" s="227"/>
    </row>
    <row r="965" spans="27:48" ht="12.95" customHeight="1">
      <c r="AA965" s="227"/>
      <c r="AB965" s="227"/>
      <c r="AC965" s="227"/>
      <c r="AD965" s="227"/>
      <c r="AE965" s="227"/>
      <c r="AG965" s="19"/>
      <c r="AN965" s="227"/>
      <c r="AO965" s="227"/>
      <c r="AP965" s="227"/>
      <c r="AQ965" s="227"/>
      <c r="AR965" s="227"/>
      <c r="AS965" s="227"/>
      <c r="AT965" s="227"/>
      <c r="AU965" s="227"/>
    </row>
    <row r="966" spans="27:48" ht="12.95" customHeight="1">
      <c r="AA966" s="227"/>
      <c r="AB966" s="227"/>
      <c r="AC966" s="227"/>
      <c r="AD966" s="227"/>
      <c r="AE966" s="227"/>
      <c r="AG966" s="19"/>
      <c r="AN966" s="227"/>
      <c r="AO966" s="227"/>
      <c r="AP966" s="227"/>
      <c r="AQ966" s="227"/>
      <c r="AR966" s="227"/>
      <c r="AS966" s="227"/>
      <c r="AT966" s="227"/>
      <c r="AU966" s="227"/>
    </row>
    <row r="967" spans="27:48" ht="12.95" customHeight="1">
      <c r="AA967" s="227"/>
      <c r="AB967" s="227"/>
      <c r="AC967" s="227"/>
      <c r="AD967" s="227"/>
      <c r="AE967" s="227"/>
      <c r="AG967" s="19"/>
      <c r="AN967" s="227"/>
      <c r="AO967" s="227"/>
      <c r="AP967" s="227"/>
      <c r="AQ967" s="227"/>
      <c r="AR967" s="227"/>
      <c r="AS967" s="227"/>
      <c r="AT967" s="227"/>
      <c r="AU967" s="227"/>
    </row>
    <row r="968" spans="27:48" ht="12.95" customHeight="1">
      <c r="AA968" s="227"/>
      <c r="AB968" s="227"/>
      <c r="AC968" s="227"/>
      <c r="AD968" s="227"/>
      <c r="AE968" s="227"/>
      <c r="AG968" s="19"/>
      <c r="AN968" s="227"/>
      <c r="AO968" s="227"/>
      <c r="AP968" s="227"/>
      <c r="AQ968" s="227"/>
      <c r="AR968" s="227"/>
      <c r="AS968" s="227"/>
      <c r="AT968" s="227"/>
      <c r="AU968" s="227"/>
    </row>
    <row r="969" spans="27:48" ht="12.95" customHeight="1">
      <c r="AA969" s="227"/>
      <c r="AB969" s="227"/>
      <c r="AC969" s="227"/>
      <c r="AD969" s="227"/>
      <c r="AE969" s="227"/>
      <c r="AG969" s="19"/>
      <c r="AN969" s="227"/>
      <c r="AO969" s="227"/>
      <c r="AP969" s="227"/>
      <c r="AQ969" s="227"/>
      <c r="AR969" s="227"/>
      <c r="AS969" s="227"/>
      <c r="AT969" s="227"/>
      <c r="AU969" s="227"/>
    </row>
    <row r="970" spans="27:48" ht="12.95" customHeight="1">
      <c r="AA970" s="227"/>
      <c r="AB970" s="227"/>
      <c r="AC970" s="227"/>
      <c r="AD970" s="227"/>
      <c r="AE970" s="227"/>
      <c r="AG970" s="19"/>
      <c r="AN970" s="227"/>
      <c r="AO970" s="227"/>
      <c r="AP970" s="227"/>
      <c r="AQ970" s="227"/>
      <c r="AR970" s="227"/>
      <c r="AS970" s="227"/>
      <c r="AT970" s="227"/>
      <c r="AU970" s="227"/>
      <c r="AV970" s="227"/>
    </row>
    <row r="971" spans="27:48" ht="12.95" customHeight="1">
      <c r="AA971" s="227"/>
      <c r="AB971" s="227"/>
      <c r="AC971" s="227"/>
      <c r="AD971" s="227"/>
      <c r="AE971" s="227"/>
      <c r="AG971" s="19"/>
      <c r="AN971" s="227"/>
      <c r="AO971" s="227"/>
      <c r="AP971" s="227"/>
      <c r="AQ971" s="227"/>
      <c r="AR971" s="227"/>
      <c r="AS971" s="227"/>
      <c r="AT971" s="227"/>
      <c r="AU971" s="227"/>
    </row>
    <row r="972" spans="27:48" ht="12.95" customHeight="1">
      <c r="AA972" s="227"/>
      <c r="AB972" s="227"/>
      <c r="AC972" s="227"/>
      <c r="AD972" s="227"/>
      <c r="AE972" s="227"/>
      <c r="AG972" s="19"/>
      <c r="AN972" s="227"/>
      <c r="AO972" s="227"/>
      <c r="AP972" s="227"/>
      <c r="AQ972" s="227"/>
      <c r="AR972" s="227"/>
      <c r="AS972" s="227"/>
      <c r="AT972" s="227"/>
      <c r="AU972" s="227"/>
    </row>
    <row r="973" spans="27:48" ht="12.95" customHeight="1">
      <c r="AA973" s="227"/>
      <c r="AB973" s="227"/>
      <c r="AC973" s="227"/>
      <c r="AD973" s="227"/>
      <c r="AE973" s="227"/>
      <c r="AG973" s="19"/>
      <c r="AN973" s="227"/>
      <c r="AO973" s="227"/>
      <c r="AP973" s="227"/>
      <c r="AQ973" s="227"/>
      <c r="AR973" s="227"/>
      <c r="AS973" s="227"/>
      <c r="AT973" s="227"/>
      <c r="AU973" s="227"/>
    </row>
    <row r="974" spans="27:48" ht="12.95" customHeight="1">
      <c r="AA974" s="227"/>
      <c r="AB974" s="227"/>
      <c r="AC974" s="227"/>
      <c r="AD974" s="227"/>
      <c r="AE974" s="227"/>
      <c r="AG974" s="19"/>
      <c r="AN974" s="227"/>
      <c r="AO974" s="227"/>
      <c r="AP974" s="227"/>
      <c r="AQ974" s="227"/>
      <c r="AR974" s="227"/>
      <c r="AS974" s="227"/>
      <c r="AT974" s="227"/>
      <c r="AU974" s="227"/>
    </row>
    <row r="975" spans="27:48" ht="12.95" customHeight="1">
      <c r="AA975" s="227"/>
      <c r="AB975" s="227"/>
      <c r="AC975" s="227"/>
      <c r="AD975" s="227"/>
      <c r="AE975" s="227"/>
      <c r="AG975" s="19"/>
      <c r="AN975" s="227"/>
      <c r="AO975" s="227"/>
      <c r="AP975" s="227"/>
      <c r="AQ975" s="227"/>
      <c r="AR975" s="227"/>
      <c r="AS975" s="227"/>
      <c r="AT975" s="227"/>
      <c r="AU975" s="227"/>
    </row>
    <row r="976" spans="27:48" ht="12.95" customHeight="1">
      <c r="AA976" s="227"/>
      <c r="AB976" s="227"/>
      <c r="AC976" s="227"/>
      <c r="AD976" s="227"/>
      <c r="AE976" s="227"/>
      <c r="AG976" s="19"/>
      <c r="AN976" s="227"/>
      <c r="AO976" s="227"/>
      <c r="AP976" s="227"/>
      <c r="AQ976" s="227"/>
      <c r="AR976" s="227"/>
      <c r="AS976" s="227"/>
      <c r="AT976" s="227"/>
      <c r="AU976" s="227"/>
    </row>
    <row r="977" spans="27:64" ht="12.95" customHeight="1">
      <c r="AA977" s="227"/>
      <c r="AB977" s="227"/>
      <c r="AC977" s="227"/>
      <c r="AD977" s="227"/>
      <c r="AE977" s="227"/>
      <c r="AG977" s="19"/>
      <c r="AN977" s="227"/>
      <c r="AO977" s="227"/>
      <c r="AP977" s="227"/>
      <c r="AQ977" s="227"/>
      <c r="AR977" s="227"/>
      <c r="AS977" s="227"/>
      <c r="AT977" s="227"/>
      <c r="AU977" s="227"/>
    </row>
    <row r="978" spans="27:64" ht="12.95" customHeight="1">
      <c r="AA978" s="227"/>
      <c r="AB978" s="227"/>
      <c r="AC978" s="227"/>
      <c r="AD978" s="227"/>
      <c r="AE978" s="227"/>
      <c r="AG978" s="19"/>
      <c r="AN978" s="227"/>
      <c r="AO978" s="227"/>
      <c r="AP978" s="227"/>
      <c r="AQ978" s="227"/>
      <c r="AR978" s="227"/>
      <c r="AS978" s="227"/>
      <c r="AT978" s="227"/>
      <c r="AU978" s="227"/>
    </row>
    <row r="979" spans="27:64" ht="12.95" customHeight="1">
      <c r="AA979" s="227"/>
      <c r="AB979" s="227"/>
      <c r="AC979" s="227"/>
      <c r="AD979" s="227"/>
      <c r="AE979" s="227"/>
      <c r="AG979" s="19"/>
      <c r="AN979" s="227"/>
      <c r="AO979" s="227"/>
      <c r="AP979" s="227"/>
      <c r="AQ979" s="227"/>
      <c r="AR979" s="227"/>
      <c r="AS979" s="227"/>
      <c r="AT979" s="227"/>
      <c r="AU979" s="227"/>
    </row>
    <row r="980" spans="27:64" ht="12.95" customHeight="1">
      <c r="AA980" s="227"/>
      <c r="AB980" s="227"/>
      <c r="AC980" s="227"/>
      <c r="AD980" s="227"/>
      <c r="AE980" s="227"/>
      <c r="AG980" s="19"/>
      <c r="AN980" s="227"/>
      <c r="AO980" s="227"/>
      <c r="AP980" s="227"/>
      <c r="AQ980" s="227"/>
      <c r="AR980" s="227"/>
      <c r="AS980" s="227"/>
      <c r="AT980" s="227"/>
      <c r="AU980" s="227"/>
    </row>
    <row r="981" spans="27:64" ht="12.95" customHeight="1">
      <c r="AA981" s="227"/>
      <c r="AB981" s="227"/>
      <c r="AC981" s="227"/>
      <c r="AD981" s="227"/>
      <c r="AE981" s="227"/>
      <c r="AG981" s="19"/>
      <c r="AN981" s="227"/>
      <c r="AO981" s="227"/>
      <c r="AP981" s="227"/>
      <c r="AQ981" s="227"/>
      <c r="AR981" s="227"/>
      <c r="AS981" s="227"/>
      <c r="AT981" s="227"/>
      <c r="AU981" s="227"/>
    </row>
    <row r="982" spans="27:64" ht="12.95" customHeight="1">
      <c r="AA982" s="227"/>
      <c r="AB982" s="227"/>
      <c r="AC982" s="227"/>
      <c r="AD982" s="227"/>
      <c r="AE982" s="227"/>
      <c r="AG982" s="19"/>
      <c r="AN982" s="227"/>
      <c r="AO982" s="227"/>
      <c r="AP982" s="227"/>
      <c r="AQ982" s="227"/>
      <c r="AR982" s="227"/>
      <c r="AS982" s="227"/>
      <c r="AT982" s="227"/>
      <c r="AU982" s="227"/>
    </row>
    <row r="983" spans="27:64" ht="12.95" customHeight="1">
      <c r="AA983" s="227"/>
      <c r="AB983" s="227"/>
      <c r="AC983" s="227"/>
      <c r="AD983" s="227"/>
      <c r="AE983" s="227"/>
      <c r="AG983" s="19"/>
      <c r="AN983" s="227"/>
      <c r="AO983" s="227"/>
      <c r="AP983" s="227"/>
      <c r="AQ983" s="227"/>
      <c r="AR983" s="227"/>
      <c r="AS983" s="227"/>
      <c r="AT983" s="227"/>
      <c r="AU983" s="227"/>
      <c r="AV983" s="227"/>
      <c r="AW983" s="227"/>
      <c r="AX983" s="227"/>
      <c r="AY983" s="227"/>
      <c r="AZ983" s="227"/>
      <c r="BA983" s="227"/>
      <c r="BB983" s="227"/>
      <c r="BC983" s="227"/>
      <c r="BD983" s="227"/>
      <c r="BE983" s="227"/>
      <c r="BF983" s="227"/>
      <c r="BG983" s="227"/>
      <c r="BH983" s="227"/>
      <c r="BI983" s="227"/>
      <c r="BJ983" s="227"/>
      <c r="BK983" s="227"/>
      <c r="BL983" s="227"/>
    </row>
    <row r="984" spans="27:64" ht="12.95" customHeight="1">
      <c r="AA984" s="227"/>
      <c r="AB984" s="227"/>
      <c r="AC984" s="227"/>
      <c r="AD984" s="227"/>
      <c r="AE984" s="227"/>
      <c r="AG984" s="19"/>
      <c r="AN984" s="227"/>
      <c r="AO984" s="227"/>
      <c r="AP984" s="227"/>
      <c r="AQ984" s="227"/>
      <c r="AR984" s="227"/>
      <c r="AS984" s="227"/>
      <c r="AT984" s="227"/>
      <c r="AU984" s="227"/>
    </row>
    <row r="985" spans="27:64" ht="12.95" customHeight="1">
      <c r="AA985" s="227"/>
      <c r="AB985" s="227"/>
      <c r="AC985" s="227"/>
      <c r="AD985" s="227"/>
      <c r="AE985" s="227"/>
      <c r="AG985" s="19"/>
      <c r="AN985" s="227"/>
      <c r="AO985" s="227"/>
      <c r="AP985" s="227"/>
      <c r="AQ985" s="227"/>
      <c r="AR985" s="227"/>
      <c r="AS985" s="227"/>
      <c r="AT985" s="227"/>
      <c r="AU985" s="227"/>
    </row>
    <row r="986" spans="27:64" ht="12.95" customHeight="1">
      <c r="AA986" s="227"/>
      <c r="AB986" s="227"/>
      <c r="AC986" s="227"/>
      <c r="AD986" s="227"/>
      <c r="AE986" s="227"/>
      <c r="AG986" s="19"/>
      <c r="AN986" s="227"/>
      <c r="AO986" s="227"/>
      <c r="AP986" s="227"/>
      <c r="AQ986" s="227"/>
      <c r="AR986" s="227"/>
      <c r="AS986" s="227"/>
      <c r="AT986" s="227"/>
      <c r="AU986" s="227"/>
    </row>
    <row r="987" spans="27:64" ht="12.95" customHeight="1">
      <c r="AA987" s="227"/>
      <c r="AB987" s="227"/>
      <c r="AC987" s="227"/>
      <c r="AD987" s="227"/>
      <c r="AE987" s="227"/>
      <c r="AG987" s="19"/>
      <c r="AN987" s="227"/>
      <c r="AO987" s="227"/>
      <c r="AP987" s="227"/>
      <c r="AQ987" s="227"/>
      <c r="AR987" s="227"/>
      <c r="AS987" s="227"/>
      <c r="AT987" s="227"/>
      <c r="AU987" s="227"/>
    </row>
    <row r="988" spans="27:64" ht="12.95" customHeight="1">
      <c r="AA988" s="227"/>
      <c r="AB988" s="227"/>
      <c r="AC988" s="227"/>
      <c r="AD988" s="227"/>
      <c r="AE988" s="227"/>
      <c r="AG988" s="19"/>
      <c r="AN988" s="227"/>
      <c r="AO988" s="227"/>
      <c r="AP988" s="227"/>
      <c r="AQ988" s="227"/>
      <c r="AR988" s="227"/>
      <c r="AS988" s="227"/>
      <c r="AT988" s="227"/>
      <c r="AU988" s="227"/>
    </row>
    <row r="989" spans="27:64" ht="12.95" customHeight="1">
      <c r="AA989" s="227"/>
      <c r="AB989" s="227"/>
      <c r="AC989" s="227"/>
      <c r="AD989" s="227"/>
      <c r="AE989" s="227"/>
      <c r="AG989" s="19"/>
      <c r="AN989" s="227"/>
      <c r="AO989" s="227"/>
      <c r="AP989" s="227"/>
      <c r="AQ989" s="227"/>
      <c r="AR989" s="227"/>
      <c r="AS989" s="227"/>
      <c r="AT989" s="227"/>
      <c r="AU989" s="227"/>
    </row>
    <row r="990" spans="27:64" ht="12.95" customHeight="1">
      <c r="AA990" s="227"/>
      <c r="AB990" s="227"/>
      <c r="AC990" s="227"/>
      <c r="AD990" s="227"/>
      <c r="AE990" s="227"/>
      <c r="AG990" s="19"/>
      <c r="AN990" s="227"/>
      <c r="AO990" s="227"/>
      <c r="AP990" s="227"/>
      <c r="AQ990" s="227"/>
      <c r="AR990" s="227"/>
      <c r="AS990" s="227"/>
      <c r="AT990" s="227"/>
      <c r="AU990" s="227"/>
    </row>
    <row r="991" spans="27:64" ht="12.95" customHeight="1">
      <c r="AA991" s="227"/>
      <c r="AB991" s="227"/>
      <c r="AC991" s="227"/>
      <c r="AD991" s="227"/>
      <c r="AE991" s="227"/>
      <c r="AG991" s="19"/>
      <c r="AN991" s="227"/>
      <c r="AO991" s="227"/>
      <c r="AP991" s="227"/>
      <c r="AQ991" s="227"/>
      <c r="AR991" s="227"/>
      <c r="AS991" s="227"/>
      <c r="AT991" s="227"/>
      <c r="AU991" s="227"/>
    </row>
    <row r="992" spans="27:64" ht="12.95" customHeight="1">
      <c r="AA992" s="227"/>
      <c r="AB992" s="227"/>
      <c r="AC992" s="227"/>
      <c r="AD992" s="227"/>
      <c r="AE992" s="227"/>
      <c r="AG992" s="19"/>
      <c r="AN992" s="227"/>
      <c r="AO992" s="227"/>
      <c r="AP992" s="227"/>
      <c r="AQ992" s="227"/>
      <c r="AR992" s="227"/>
      <c r="AS992" s="227"/>
      <c r="AT992" s="227"/>
      <c r="AU992" s="227"/>
    </row>
    <row r="993" spans="27:64" ht="12.95" customHeight="1">
      <c r="AA993" s="227"/>
      <c r="AB993" s="227"/>
      <c r="AC993" s="227"/>
      <c r="AD993" s="227"/>
      <c r="AE993" s="227"/>
      <c r="AG993" s="19"/>
      <c r="AN993" s="227"/>
      <c r="AO993" s="227"/>
      <c r="AP993" s="227"/>
      <c r="AQ993" s="227"/>
      <c r="AR993" s="227"/>
      <c r="AS993" s="227"/>
      <c r="AT993" s="227"/>
      <c r="AU993" s="227"/>
    </row>
    <row r="994" spans="27:64" ht="12.95" customHeight="1">
      <c r="AA994" s="227"/>
      <c r="AB994" s="227"/>
      <c r="AC994" s="227"/>
      <c r="AD994" s="227"/>
      <c r="AE994" s="227"/>
      <c r="AG994" s="19"/>
      <c r="AN994" s="227"/>
      <c r="AO994" s="227"/>
      <c r="AP994" s="227"/>
      <c r="AQ994" s="227"/>
      <c r="AR994" s="227"/>
      <c r="AS994" s="227"/>
      <c r="AT994" s="227"/>
      <c r="AU994" s="227"/>
    </row>
    <row r="995" spans="27:64" ht="12.95" customHeight="1">
      <c r="AA995" s="227"/>
      <c r="AB995" s="227"/>
      <c r="AC995" s="227"/>
      <c r="AD995" s="227"/>
      <c r="AE995" s="227"/>
      <c r="AG995" s="19"/>
      <c r="AN995" s="227"/>
      <c r="AO995" s="227"/>
      <c r="AP995" s="227"/>
      <c r="AQ995" s="227"/>
      <c r="AR995" s="227"/>
      <c r="AS995" s="227"/>
      <c r="AT995" s="227"/>
      <c r="AU995" s="227"/>
    </row>
    <row r="996" spans="27:64" ht="12.95" customHeight="1">
      <c r="AA996" s="227"/>
      <c r="AB996" s="227"/>
      <c r="AC996" s="227"/>
      <c r="AD996" s="227"/>
      <c r="AE996" s="227"/>
      <c r="AG996" s="19"/>
      <c r="AN996" s="227"/>
      <c r="AO996" s="227"/>
      <c r="AP996" s="227"/>
      <c r="AQ996" s="227"/>
      <c r="AR996" s="227"/>
      <c r="AS996" s="227"/>
      <c r="AT996" s="227"/>
      <c r="AU996" s="227"/>
    </row>
    <row r="997" spans="27:64" ht="12.95" customHeight="1">
      <c r="AA997" s="227"/>
      <c r="AB997" s="227"/>
      <c r="AC997" s="227"/>
      <c r="AD997" s="227"/>
      <c r="AE997" s="227"/>
      <c r="AG997" s="19"/>
      <c r="AN997" s="227"/>
      <c r="AO997" s="227"/>
      <c r="AP997" s="227"/>
      <c r="AQ997" s="227"/>
      <c r="AR997" s="227"/>
      <c r="AS997" s="227"/>
      <c r="AT997" s="227"/>
      <c r="AU997" s="227"/>
    </row>
    <row r="998" spans="27:64" ht="12.95" customHeight="1">
      <c r="AA998" s="227"/>
      <c r="AB998" s="227"/>
      <c r="AC998" s="227"/>
      <c r="AD998" s="227"/>
      <c r="AE998" s="227"/>
      <c r="AG998" s="19"/>
      <c r="AN998" s="227"/>
      <c r="AO998" s="227"/>
      <c r="AP998" s="227"/>
      <c r="AQ998" s="227"/>
      <c r="AR998" s="227"/>
      <c r="AS998" s="227"/>
      <c r="AT998" s="227"/>
      <c r="AU998" s="227"/>
    </row>
    <row r="999" spans="27:64" ht="12.95" customHeight="1">
      <c r="AA999" s="227"/>
      <c r="AB999" s="227"/>
      <c r="AC999" s="227"/>
      <c r="AD999" s="227"/>
      <c r="AE999" s="227"/>
      <c r="AG999" s="19"/>
      <c r="AN999" s="227"/>
      <c r="AO999" s="227"/>
      <c r="AP999" s="227"/>
      <c r="AQ999" s="227"/>
      <c r="AR999" s="227"/>
      <c r="AS999" s="227"/>
      <c r="AT999" s="227"/>
      <c r="AU999" s="227"/>
    </row>
    <row r="1000" spans="27:64" ht="12.95" customHeight="1">
      <c r="AA1000" s="227"/>
      <c r="AB1000" s="227"/>
      <c r="AC1000" s="227"/>
      <c r="AD1000" s="227"/>
      <c r="AE1000" s="227"/>
      <c r="AG1000" s="19"/>
      <c r="AN1000" s="227"/>
      <c r="AO1000" s="227"/>
      <c r="AP1000" s="227"/>
      <c r="AQ1000" s="227"/>
      <c r="AR1000" s="227"/>
      <c r="AS1000" s="227"/>
      <c r="AT1000" s="227"/>
      <c r="AU1000" s="227"/>
    </row>
    <row r="1001" spans="27:64" ht="12.95" customHeight="1">
      <c r="AA1001" s="227"/>
      <c r="AB1001" s="227"/>
      <c r="AC1001" s="227"/>
      <c r="AD1001" s="227"/>
      <c r="AE1001" s="227"/>
      <c r="AG1001" s="19"/>
      <c r="AN1001" s="227"/>
      <c r="AO1001" s="227"/>
      <c r="AP1001" s="227"/>
      <c r="AQ1001" s="227"/>
      <c r="AR1001" s="227"/>
      <c r="AS1001" s="227"/>
      <c r="AT1001" s="227"/>
      <c r="AU1001" s="227"/>
      <c r="AV1001" s="227"/>
      <c r="AW1001" s="227"/>
      <c r="AX1001" s="227"/>
      <c r="AY1001" s="227"/>
      <c r="AZ1001" s="227"/>
      <c r="BA1001" s="227"/>
      <c r="BB1001" s="227"/>
      <c r="BC1001" s="227"/>
      <c r="BD1001" s="227"/>
      <c r="BE1001" s="227"/>
      <c r="BF1001" s="227"/>
      <c r="BG1001" s="227"/>
      <c r="BH1001" s="227"/>
      <c r="BI1001" s="227"/>
      <c r="BJ1001" s="227"/>
      <c r="BK1001" s="227"/>
      <c r="BL1001" s="227"/>
    </row>
    <row r="1002" spans="27:64" ht="12.95" customHeight="1">
      <c r="AA1002" s="227"/>
      <c r="AB1002" s="227"/>
      <c r="AC1002" s="227"/>
      <c r="AD1002" s="227"/>
      <c r="AE1002" s="227"/>
      <c r="AG1002" s="19"/>
      <c r="AN1002" s="227"/>
      <c r="AO1002" s="227"/>
      <c r="AP1002" s="227"/>
      <c r="AQ1002" s="227"/>
      <c r="AR1002" s="227"/>
      <c r="AS1002" s="227"/>
      <c r="AT1002" s="227"/>
      <c r="AU1002" s="227"/>
    </row>
    <row r="1003" spans="27:64" ht="12.95" customHeight="1">
      <c r="AA1003" s="227"/>
      <c r="AB1003" s="227"/>
      <c r="AC1003" s="227"/>
      <c r="AD1003" s="227"/>
      <c r="AE1003" s="227"/>
      <c r="AG1003" s="19"/>
      <c r="AN1003" s="227"/>
      <c r="AO1003" s="227"/>
      <c r="AP1003" s="227"/>
      <c r="AQ1003" s="227"/>
      <c r="AR1003" s="227"/>
      <c r="AS1003" s="227"/>
      <c r="AT1003" s="227"/>
      <c r="AU1003" s="227"/>
    </row>
    <row r="1004" spans="27:64" ht="12.95" customHeight="1">
      <c r="AA1004" s="227"/>
      <c r="AB1004" s="227"/>
      <c r="AC1004" s="227"/>
      <c r="AD1004" s="227"/>
      <c r="AE1004" s="227"/>
      <c r="AG1004" s="19"/>
      <c r="AN1004" s="227"/>
      <c r="AO1004" s="227"/>
      <c r="AP1004" s="227"/>
      <c r="AQ1004" s="227"/>
      <c r="AR1004" s="227"/>
      <c r="AS1004" s="227"/>
      <c r="AT1004" s="227"/>
      <c r="AU1004" s="227"/>
    </row>
    <row r="1005" spans="27:64" ht="12.95" customHeight="1">
      <c r="AA1005" s="227"/>
      <c r="AB1005" s="227"/>
      <c r="AC1005" s="227"/>
      <c r="AD1005" s="227"/>
      <c r="AE1005" s="227"/>
      <c r="AG1005" s="19"/>
      <c r="AN1005" s="227"/>
      <c r="AO1005" s="227"/>
      <c r="AP1005" s="227"/>
      <c r="AQ1005" s="227"/>
      <c r="AR1005" s="227"/>
      <c r="AS1005" s="227"/>
      <c r="AT1005" s="227"/>
      <c r="AU1005" s="227"/>
    </row>
    <row r="1006" spans="27:64" ht="12.95" customHeight="1">
      <c r="AA1006" s="227"/>
      <c r="AB1006" s="227"/>
      <c r="AC1006" s="227"/>
      <c r="AD1006" s="227"/>
      <c r="AE1006" s="227"/>
      <c r="AG1006" s="19"/>
      <c r="AN1006" s="227"/>
      <c r="AO1006" s="227"/>
      <c r="AP1006" s="227"/>
      <c r="AQ1006" s="227"/>
      <c r="AR1006" s="227"/>
      <c r="AS1006" s="227"/>
      <c r="AT1006" s="227"/>
      <c r="AU1006" s="227"/>
    </row>
    <row r="1007" spans="27:64" ht="12.95" customHeight="1">
      <c r="AA1007" s="227"/>
      <c r="AB1007" s="227"/>
      <c r="AC1007" s="227"/>
      <c r="AD1007" s="227"/>
      <c r="AE1007" s="227"/>
      <c r="AG1007" s="19"/>
      <c r="AN1007" s="227"/>
      <c r="AO1007" s="227"/>
      <c r="AP1007" s="227"/>
      <c r="AQ1007" s="227"/>
      <c r="AR1007" s="227"/>
      <c r="AS1007" s="227"/>
      <c r="AT1007" s="227"/>
      <c r="AU1007" s="227"/>
    </row>
    <row r="1008" spans="27:64" ht="12.95" customHeight="1">
      <c r="AA1008" s="227"/>
      <c r="AB1008" s="227"/>
      <c r="AC1008" s="227"/>
      <c r="AD1008" s="227"/>
      <c r="AE1008" s="227"/>
      <c r="AG1008" s="19"/>
      <c r="AN1008" s="227"/>
      <c r="AO1008" s="227"/>
      <c r="AP1008" s="227"/>
      <c r="AQ1008" s="227"/>
      <c r="AR1008" s="227"/>
      <c r="AS1008" s="227"/>
      <c r="AT1008" s="227"/>
      <c r="AU1008" s="227"/>
    </row>
    <row r="1009" spans="27:47" ht="12.95" customHeight="1">
      <c r="AA1009" s="227"/>
      <c r="AB1009" s="227"/>
      <c r="AC1009" s="227"/>
      <c r="AD1009" s="227"/>
      <c r="AE1009" s="227"/>
      <c r="AG1009" s="19"/>
      <c r="AN1009" s="227"/>
      <c r="AO1009" s="227"/>
      <c r="AP1009" s="227"/>
      <c r="AQ1009" s="227"/>
      <c r="AR1009" s="227"/>
      <c r="AS1009" s="227"/>
      <c r="AT1009" s="227"/>
      <c r="AU1009" s="227"/>
    </row>
    <row r="1010" spans="27:47" ht="12.95" customHeight="1">
      <c r="AA1010" s="227"/>
      <c r="AB1010" s="227"/>
      <c r="AC1010" s="227"/>
      <c r="AD1010" s="227"/>
      <c r="AE1010" s="227"/>
      <c r="AG1010" s="19"/>
      <c r="AN1010" s="227"/>
      <c r="AO1010" s="227"/>
      <c r="AP1010" s="227"/>
      <c r="AQ1010" s="227"/>
      <c r="AR1010" s="227"/>
      <c r="AS1010" s="227"/>
      <c r="AT1010" s="227"/>
      <c r="AU1010" s="227"/>
    </row>
    <row r="1011" spans="27:47" ht="12.95" customHeight="1">
      <c r="AA1011" s="227"/>
      <c r="AB1011" s="227"/>
      <c r="AC1011" s="227"/>
      <c r="AD1011" s="227"/>
      <c r="AE1011" s="227"/>
      <c r="AG1011" s="19"/>
      <c r="AN1011" s="227"/>
      <c r="AO1011" s="227"/>
      <c r="AP1011" s="227"/>
      <c r="AQ1011" s="227"/>
      <c r="AR1011" s="227"/>
      <c r="AS1011" s="227"/>
      <c r="AT1011" s="227"/>
      <c r="AU1011" s="227"/>
    </row>
    <row r="1012" spans="27:47" ht="12.95" customHeight="1">
      <c r="AA1012" s="227"/>
      <c r="AB1012" s="227"/>
      <c r="AC1012" s="227"/>
      <c r="AD1012" s="227"/>
      <c r="AE1012" s="227"/>
      <c r="AG1012" s="19"/>
      <c r="AN1012" s="227"/>
      <c r="AO1012" s="227"/>
      <c r="AP1012" s="227"/>
      <c r="AQ1012" s="227"/>
      <c r="AR1012" s="227"/>
      <c r="AS1012" s="227"/>
      <c r="AT1012" s="227"/>
      <c r="AU1012" s="227"/>
    </row>
    <row r="1013" spans="27:47" ht="12.95" customHeight="1">
      <c r="AA1013" s="227"/>
      <c r="AB1013" s="227"/>
      <c r="AC1013" s="227"/>
      <c r="AD1013" s="227"/>
      <c r="AE1013" s="227"/>
      <c r="AG1013" s="19"/>
      <c r="AN1013" s="227"/>
      <c r="AO1013" s="227"/>
      <c r="AP1013" s="227"/>
      <c r="AQ1013" s="227"/>
      <c r="AR1013" s="227"/>
      <c r="AS1013" s="227"/>
      <c r="AT1013" s="227"/>
      <c r="AU1013" s="227"/>
    </row>
    <row r="1014" spans="27:47" ht="12.95" customHeight="1">
      <c r="AA1014" s="227"/>
      <c r="AB1014" s="227"/>
      <c r="AC1014" s="227"/>
      <c r="AD1014" s="227"/>
      <c r="AE1014" s="227"/>
      <c r="AG1014" s="19"/>
      <c r="AN1014" s="227"/>
      <c r="AO1014" s="227"/>
      <c r="AP1014" s="227"/>
      <c r="AQ1014" s="227"/>
      <c r="AR1014" s="227"/>
      <c r="AS1014" s="227"/>
      <c r="AT1014" s="227"/>
      <c r="AU1014" s="227"/>
    </row>
    <row r="1015" spans="27:47" ht="12.95" customHeight="1">
      <c r="AA1015" s="227"/>
      <c r="AB1015" s="227"/>
      <c r="AC1015" s="227"/>
      <c r="AD1015" s="227"/>
      <c r="AE1015" s="227"/>
      <c r="AG1015" s="19"/>
      <c r="AN1015" s="227"/>
      <c r="AO1015" s="227"/>
      <c r="AP1015" s="227"/>
      <c r="AQ1015" s="227"/>
      <c r="AR1015" s="227"/>
      <c r="AS1015" s="227"/>
      <c r="AT1015" s="227"/>
      <c r="AU1015" s="227"/>
    </row>
    <row r="1016" spans="27:47" ht="12.95" customHeight="1">
      <c r="AA1016" s="227"/>
      <c r="AB1016" s="227"/>
      <c r="AC1016" s="227"/>
      <c r="AD1016" s="227"/>
      <c r="AE1016" s="227"/>
      <c r="AG1016" s="19"/>
      <c r="AN1016" s="227"/>
      <c r="AO1016" s="227"/>
      <c r="AP1016" s="227"/>
      <c r="AQ1016" s="227"/>
      <c r="AR1016" s="227"/>
      <c r="AS1016" s="227"/>
      <c r="AT1016" s="227"/>
      <c r="AU1016" s="227"/>
    </row>
    <row r="1017" spans="27:47" ht="12.95" customHeight="1">
      <c r="AA1017" s="227"/>
      <c r="AB1017" s="227"/>
      <c r="AC1017" s="227"/>
      <c r="AD1017" s="227"/>
      <c r="AE1017" s="227"/>
      <c r="AG1017" s="19"/>
      <c r="AN1017" s="227"/>
      <c r="AO1017" s="227"/>
      <c r="AP1017" s="227"/>
      <c r="AQ1017" s="227"/>
      <c r="AR1017" s="227"/>
      <c r="AS1017" s="227"/>
      <c r="AT1017" s="227"/>
      <c r="AU1017" s="227"/>
    </row>
    <row r="1018" spans="27:47" ht="12.95" customHeight="1">
      <c r="AA1018" s="227"/>
      <c r="AB1018" s="227"/>
      <c r="AC1018" s="227"/>
      <c r="AD1018" s="227"/>
      <c r="AE1018" s="227"/>
      <c r="AG1018" s="19"/>
      <c r="AN1018" s="227"/>
      <c r="AO1018" s="227"/>
      <c r="AP1018" s="227"/>
      <c r="AQ1018" s="227"/>
      <c r="AR1018" s="227"/>
      <c r="AS1018" s="227"/>
      <c r="AT1018" s="227"/>
      <c r="AU1018" s="227"/>
    </row>
    <row r="1019" spans="27:47" ht="12.95" customHeight="1">
      <c r="AA1019" s="227"/>
      <c r="AB1019" s="227"/>
      <c r="AC1019" s="227"/>
      <c r="AD1019" s="227"/>
      <c r="AE1019" s="227"/>
      <c r="AG1019" s="19"/>
      <c r="AN1019" s="227"/>
      <c r="AO1019" s="227"/>
      <c r="AP1019" s="227"/>
      <c r="AQ1019" s="227"/>
      <c r="AR1019" s="227"/>
      <c r="AS1019" s="227"/>
      <c r="AT1019" s="227"/>
      <c r="AU1019" s="227"/>
    </row>
    <row r="1020" spans="27:47" ht="12.95" customHeight="1">
      <c r="AA1020" s="227"/>
      <c r="AB1020" s="227"/>
      <c r="AC1020" s="227"/>
      <c r="AD1020" s="227"/>
      <c r="AE1020" s="227"/>
      <c r="AG1020" s="19"/>
      <c r="AN1020" s="227"/>
      <c r="AO1020" s="227"/>
      <c r="AP1020" s="227"/>
      <c r="AQ1020" s="227"/>
      <c r="AR1020" s="227"/>
      <c r="AS1020" s="227"/>
      <c r="AT1020" s="227"/>
      <c r="AU1020" s="227"/>
    </row>
    <row r="1021" spans="27:47" ht="12.95" customHeight="1">
      <c r="AA1021" s="227"/>
      <c r="AB1021" s="227"/>
      <c r="AC1021" s="227"/>
      <c r="AD1021" s="227"/>
      <c r="AE1021" s="227"/>
      <c r="AG1021" s="19"/>
      <c r="AN1021" s="227"/>
      <c r="AO1021" s="227"/>
      <c r="AP1021" s="227"/>
      <c r="AQ1021" s="227"/>
      <c r="AR1021" s="227"/>
      <c r="AS1021" s="227"/>
      <c r="AT1021" s="227"/>
      <c r="AU1021" s="227"/>
    </row>
    <row r="1022" spans="27:47" ht="12.95" customHeight="1">
      <c r="AA1022" s="227"/>
      <c r="AB1022" s="227"/>
      <c r="AC1022" s="227"/>
      <c r="AD1022" s="227"/>
      <c r="AE1022" s="227"/>
      <c r="AG1022" s="19"/>
      <c r="AN1022" s="227"/>
      <c r="AO1022" s="227"/>
      <c r="AP1022" s="227"/>
      <c r="AQ1022" s="227"/>
      <c r="AR1022" s="227"/>
      <c r="AS1022" s="227"/>
      <c r="AT1022" s="227"/>
      <c r="AU1022" s="227"/>
    </row>
    <row r="1023" spans="27:47" ht="12.95" customHeight="1">
      <c r="AA1023" s="227"/>
      <c r="AB1023" s="227"/>
      <c r="AC1023" s="227"/>
      <c r="AD1023" s="227"/>
      <c r="AE1023" s="227"/>
      <c r="AG1023" s="19"/>
      <c r="AN1023" s="227"/>
      <c r="AO1023" s="227"/>
      <c r="AP1023" s="227"/>
      <c r="AQ1023" s="227"/>
      <c r="AR1023" s="227"/>
      <c r="AS1023" s="227"/>
      <c r="AT1023" s="227"/>
      <c r="AU1023" s="227"/>
    </row>
    <row r="1024" spans="27:47" ht="12.95" customHeight="1">
      <c r="AA1024" s="227"/>
      <c r="AB1024" s="227"/>
      <c r="AC1024" s="227"/>
      <c r="AD1024" s="227"/>
      <c r="AE1024" s="227"/>
      <c r="AG1024" s="19"/>
      <c r="AN1024" s="227"/>
      <c r="AO1024" s="227"/>
      <c r="AP1024" s="227"/>
      <c r="AQ1024" s="227"/>
      <c r="AR1024" s="227"/>
      <c r="AS1024" s="227"/>
      <c r="AT1024" s="227"/>
      <c r="AU1024" s="227"/>
    </row>
    <row r="1025" spans="27:48" ht="12.95" customHeight="1">
      <c r="AA1025" s="227"/>
      <c r="AB1025" s="227"/>
      <c r="AC1025" s="227"/>
      <c r="AD1025" s="227"/>
      <c r="AE1025" s="227"/>
      <c r="AG1025" s="19"/>
      <c r="AN1025" s="227"/>
      <c r="AO1025" s="227"/>
      <c r="AP1025" s="227"/>
      <c r="AQ1025" s="227"/>
      <c r="AR1025" s="227"/>
      <c r="AS1025" s="227"/>
      <c r="AT1025" s="227"/>
      <c r="AU1025" s="227"/>
    </row>
    <row r="1026" spans="27:48" ht="12.95" customHeight="1">
      <c r="AA1026" s="227"/>
      <c r="AB1026" s="227"/>
      <c r="AC1026" s="227"/>
      <c r="AD1026" s="227"/>
      <c r="AE1026" s="227"/>
      <c r="AG1026" s="19"/>
      <c r="AN1026" s="227"/>
      <c r="AO1026" s="227"/>
      <c r="AP1026" s="227"/>
      <c r="AQ1026" s="227"/>
      <c r="AR1026" s="227"/>
      <c r="AS1026" s="227"/>
      <c r="AT1026" s="227"/>
      <c r="AU1026" s="227"/>
    </row>
    <row r="1027" spans="27:48" ht="12.95" customHeight="1">
      <c r="AA1027" s="227"/>
      <c r="AB1027" s="227"/>
      <c r="AC1027" s="227"/>
      <c r="AD1027" s="227"/>
      <c r="AE1027" s="227"/>
      <c r="AG1027" s="19"/>
      <c r="AN1027" s="227"/>
      <c r="AO1027" s="227"/>
      <c r="AP1027" s="227"/>
      <c r="AQ1027" s="227"/>
      <c r="AR1027" s="227"/>
      <c r="AS1027" s="227"/>
      <c r="AT1027" s="227"/>
      <c r="AU1027" s="227"/>
    </row>
    <row r="1028" spans="27:48" ht="12.95" customHeight="1">
      <c r="AA1028" s="227"/>
      <c r="AB1028" s="227"/>
      <c r="AC1028" s="227"/>
      <c r="AD1028" s="227"/>
      <c r="AE1028" s="227"/>
      <c r="AG1028" s="19"/>
      <c r="AN1028" s="227"/>
      <c r="AO1028" s="227"/>
      <c r="AP1028" s="227"/>
      <c r="AQ1028" s="227"/>
      <c r="AR1028" s="227"/>
      <c r="AS1028" s="227"/>
      <c r="AT1028" s="227"/>
      <c r="AU1028" s="227"/>
    </row>
    <row r="1029" spans="27:48" ht="12.95" customHeight="1">
      <c r="AA1029" s="227"/>
      <c r="AB1029" s="227"/>
      <c r="AC1029" s="227"/>
      <c r="AD1029" s="227"/>
      <c r="AE1029" s="227"/>
      <c r="AG1029" s="19"/>
      <c r="AN1029" s="227"/>
      <c r="AO1029" s="227"/>
      <c r="AP1029" s="227"/>
      <c r="AQ1029" s="227"/>
      <c r="AR1029" s="227"/>
      <c r="AS1029" s="227"/>
      <c r="AT1029" s="227"/>
      <c r="AU1029" s="227"/>
    </row>
    <row r="1030" spans="27:48" ht="12.95" customHeight="1">
      <c r="AA1030" s="227"/>
      <c r="AB1030" s="227"/>
      <c r="AC1030" s="227"/>
      <c r="AD1030" s="227"/>
      <c r="AE1030" s="227"/>
      <c r="AG1030" s="19"/>
      <c r="AN1030" s="227"/>
      <c r="AO1030" s="227"/>
      <c r="AP1030" s="227"/>
      <c r="AQ1030" s="227"/>
      <c r="AR1030" s="227"/>
      <c r="AS1030" s="227"/>
      <c r="AT1030" s="227"/>
      <c r="AU1030" s="227"/>
    </row>
    <row r="1031" spans="27:48" ht="12.95" customHeight="1">
      <c r="AA1031" s="227"/>
      <c r="AB1031" s="227"/>
      <c r="AC1031" s="227"/>
      <c r="AD1031" s="227"/>
      <c r="AE1031" s="227"/>
      <c r="AG1031" s="19"/>
      <c r="AN1031" s="227"/>
      <c r="AO1031" s="227"/>
      <c r="AP1031" s="227"/>
      <c r="AQ1031" s="227"/>
      <c r="AR1031" s="227"/>
      <c r="AS1031" s="227"/>
      <c r="AT1031" s="227"/>
      <c r="AU1031" s="227"/>
    </row>
    <row r="1032" spans="27:48" ht="12.95" customHeight="1">
      <c r="AA1032" s="227"/>
      <c r="AB1032" s="227"/>
      <c r="AC1032" s="227"/>
      <c r="AD1032" s="227"/>
      <c r="AE1032" s="227"/>
      <c r="AG1032" s="19"/>
      <c r="AN1032" s="227"/>
      <c r="AO1032" s="227"/>
      <c r="AP1032" s="227"/>
      <c r="AQ1032" s="227"/>
      <c r="AR1032" s="227"/>
      <c r="AS1032" s="227"/>
      <c r="AT1032" s="227"/>
      <c r="AU1032" s="227"/>
    </row>
    <row r="1033" spans="27:48" ht="12.95" customHeight="1">
      <c r="AA1033" s="227"/>
      <c r="AB1033" s="227"/>
      <c r="AC1033" s="227"/>
      <c r="AD1033" s="227"/>
      <c r="AE1033" s="227"/>
      <c r="AG1033" s="19"/>
      <c r="AN1033" s="227"/>
      <c r="AO1033" s="227"/>
      <c r="AP1033" s="227"/>
      <c r="AQ1033" s="227"/>
      <c r="AR1033" s="227"/>
      <c r="AS1033" s="227"/>
      <c r="AT1033" s="227"/>
      <c r="AU1033" s="227"/>
    </row>
    <row r="1034" spans="27:48" ht="12.95" customHeight="1">
      <c r="AA1034" s="227"/>
      <c r="AB1034" s="227"/>
      <c r="AC1034" s="227"/>
      <c r="AD1034" s="227"/>
      <c r="AE1034" s="227"/>
      <c r="AG1034" s="19"/>
      <c r="AN1034" s="227"/>
      <c r="AO1034" s="227"/>
      <c r="AP1034" s="227"/>
      <c r="AQ1034" s="227"/>
      <c r="AR1034" s="227"/>
      <c r="AS1034" s="227"/>
      <c r="AT1034" s="227"/>
      <c r="AU1034" s="227"/>
    </row>
    <row r="1035" spans="27:48" ht="12.95" customHeight="1">
      <c r="AA1035" s="227"/>
      <c r="AB1035" s="227"/>
      <c r="AC1035" s="227"/>
      <c r="AD1035" s="227"/>
      <c r="AE1035" s="227"/>
      <c r="AG1035" s="19"/>
      <c r="AN1035" s="227"/>
      <c r="AO1035" s="227"/>
      <c r="AP1035" s="227"/>
      <c r="AQ1035" s="227"/>
      <c r="AR1035" s="227"/>
      <c r="AS1035" s="227"/>
      <c r="AT1035" s="227"/>
      <c r="AU1035" s="227"/>
    </row>
    <row r="1036" spans="27:48" ht="12.95" customHeight="1">
      <c r="AA1036" s="227"/>
      <c r="AB1036" s="227"/>
      <c r="AC1036" s="227"/>
      <c r="AD1036" s="227"/>
      <c r="AE1036" s="227"/>
      <c r="AG1036" s="19"/>
      <c r="AN1036" s="227"/>
      <c r="AO1036" s="227"/>
      <c r="AP1036" s="227"/>
      <c r="AQ1036" s="227"/>
      <c r="AR1036" s="227"/>
      <c r="AS1036" s="227"/>
      <c r="AT1036" s="227"/>
      <c r="AU1036" s="227"/>
    </row>
    <row r="1037" spans="27:48" ht="12.95" customHeight="1">
      <c r="AA1037" s="227"/>
      <c r="AB1037" s="227"/>
      <c r="AC1037" s="227"/>
      <c r="AD1037" s="227"/>
      <c r="AE1037" s="227"/>
      <c r="AG1037" s="19"/>
      <c r="AN1037" s="227"/>
      <c r="AO1037" s="227"/>
      <c r="AP1037" s="227"/>
      <c r="AQ1037" s="227"/>
      <c r="AR1037" s="227"/>
      <c r="AS1037" s="227"/>
      <c r="AT1037" s="227"/>
      <c r="AU1037" s="227"/>
    </row>
    <row r="1038" spans="27:48" ht="12.95" customHeight="1">
      <c r="AA1038" s="227"/>
      <c r="AB1038" s="227"/>
      <c r="AC1038" s="227"/>
      <c r="AD1038" s="227"/>
      <c r="AE1038" s="227"/>
      <c r="AG1038" s="19"/>
      <c r="AN1038" s="227"/>
      <c r="AO1038" s="227"/>
      <c r="AP1038" s="227"/>
      <c r="AQ1038" s="227"/>
      <c r="AR1038" s="227"/>
      <c r="AS1038" s="227"/>
      <c r="AT1038" s="227"/>
      <c r="AU1038" s="227"/>
      <c r="AV1038" s="227"/>
    </row>
    <row r="1039" spans="27:48" ht="12.95" customHeight="1">
      <c r="AA1039" s="227"/>
      <c r="AB1039" s="227"/>
      <c r="AC1039" s="227"/>
      <c r="AD1039" s="227"/>
      <c r="AE1039" s="227"/>
      <c r="AG1039" s="19"/>
      <c r="AN1039" s="227"/>
      <c r="AO1039" s="227"/>
      <c r="AP1039" s="227"/>
      <c r="AQ1039" s="227"/>
      <c r="AR1039" s="227"/>
      <c r="AS1039" s="227"/>
      <c r="AT1039" s="227"/>
      <c r="AU1039" s="227"/>
      <c r="AV1039" s="227"/>
    </row>
    <row r="1040" spans="27:48" ht="12.95" customHeight="1">
      <c r="AA1040" s="227"/>
      <c r="AB1040" s="227"/>
      <c r="AC1040" s="227"/>
      <c r="AD1040" s="227"/>
      <c r="AE1040" s="227"/>
      <c r="AG1040" s="19"/>
      <c r="AN1040" s="227"/>
      <c r="AO1040" s="227"/>
      <c r="AP1040" s="227"/>
      <c r="AQ1040" s="227"/>
      <c r="AR1040" s="227"/>
      <c r="AS1040" s="227"/>
      <c r="AT1040" s="227"/>
      <c r="AU1040" s="227"/>
    </row>
    <row r="1041" spans="27:47" ht="12.95" customHeight="1">
      <c r="AA1041" s="227"/>
      <c r="AB1041" s="227"/>
      <c r="AC1041" s="227"/>
      <c r="AD1041" s="227"/>
      <c r="AE1041" s="227"/>
      <c r="AG1041" s="19"/>
      <c r="AN1041" s="227"/>
      <c r="AO1041" s="227"/>
      <c r="AP1041" s="227"/>
      <c r="AQ1041" s="227"/>
      <c r="AR1041" s="227"/>
      <c r="AS1041" s="227"/>
      <c r="AT1041" s="227"/>
      <c r="AU1041" s="227"/>
    </row>
    <row r="1042" spans="27:47" ht="12.95" customHeight="1">
      <c r="AA1042" s="227"/>
      <c r="AB1042" s="227"/>
      <c r="AC1042" s="227"/>
      <c r="AD1042" s="227"/>
      <c r="AE1042" s="227"/>
      <c r="AG1042" s="19"/>
      <c r="AN1042" s="227"/>
      <c r="AO1042" s="227"/>
      <c r="AP1042" s="227"/>
      <c r="AQ1042" s="227"/>
      <c r="AR1042" s="227"/>
      <c r="AS1042" s="227"/>
      <c r="AT1042" s="227"/>
      <c r="AU1042" s="227"/>
    </row>
    <row r="1043" spans="27:47" ht="12.95" customHeight="1">
      <c r="AA1043" s="227"/>
      <c r="AB1043" s="227"/>
      <c r="AC1043" s="227"/>
      <c r="AD1043" s="227"/>
      <c r="AE1043" s="227"/>
      <c r="AG1043" s="19"/>
      <c r="AN1043" s="227"/>
      <c r="AO1043" s="227"/>
      <c r="AP1043" s="227"/>
      <c r="AQ1043" s="227"/>
      <c r="AR1043" s="227"/>
      <c r="AS1043" s="227"/>
      <c r="AT1043" s="227"/>
      <c r="AU1043" s="227"/>
    </row>
    <row r="1044" spans="27:47" ht="12.95" customHeight="1">
      <c r="AA1044" s="227"/>
      <c r="AB1044" s="227"/>
      <c r="AC1044" s="227"/>
      <c r="AD1044" s="227"/>
      <c r="AE1044" s="227"/>
      <c r="AG1044" s="19"/>
      <c r="AN1044" s="227"/>
      <c r="AO1044" s="227"/>
      <c r="AP1044" s="227"/>
      <c r="AQ1044" s="227"/>
      <c r="AR1044" s="227"/>
      <c r="AS1044" s="227"/>
      <c r="AT1044" s="227"/>
      <c r="AU1044" s="227"/>
    </row>
    <row r="1045" spans="27:47" ht="12.95" customHeight="1">
      <c r="AA1045" s="227"/>
      <c r="AB1045" s="227"/>
      <c r="AC1045" s="227"/>
      <c r="AD1045" s="227"/>
      <c r="AE1045" s="227"/>
      <c r="AG1045" s="19"/>
      <c r="AN1045" s="227"/>
      <c r="AO1045" s="227"/>
      <c r="AP1045" s="227"/>
      <c r="AQ1045" s="227"/>
      <c r="AR1045" s="227"/>
      <c r="AS1045" s="227"/>
      <c r="AT1045" s="227"/>
      <c r="AU1045" s="227"/>
    </row>
    <row r="1046" spans="27:47" ht="12.95" customHeight="1">
      <c r="AA1046" s="227"/>
      <c r="AB1046" s="227"/>
      <c r="AC1046" s="227"/>
      <c r="AD1046" s="227"/>
      <c r="AE1046" s="227"/>
      <c r="AG1046" s="19"/>
      <c r="AN1046" s="227"/>
      <c r="AO1046" s="227"/>
      <c r="AP1046" s="227"/>
      <c r="AQ1046" s="227"/>
      <c r="AR1046" s="227"/>
      <c r="AS1046" s="227"/>
      <c r="AT1046" s="227"/>
      <c r="AU1046" s="227"/>
    </row>
    <row r="1047" spans="27:47" ht="12.95" customHeight="1">
      <c r="AA1047" s="227"/>
      <c r="AB1047" s="227"/>
      <c r="AC1047" s="227"/>
      <c r="AD1047" s="227"/>
      <c r="AE1047" s="227"/>
      <c r="AG1047" s="19"/>
      <c r="AN1047" s="227"/>
      <c r="AO1047" s="227"/>
      <c r="AP1047" s="227"/>
      <c r="AQ1047" s="227"/>
      <c r="AR1047" s="227"/>
      <c r="AS1047" s="227"/>
      <c r="AT1047" s="227"/>
      <c r="AU1047" s="227"/>
    </row>
    <row r="1048" spans="27:47" ht="12.95" customHeight="1">
      <c r="AA1048" s="227"/>
      <c r="AB1048" s="227"/>
      <c r="AC1048" s="227"/>
      <c r="AD1048" s="227"/>
      <c r="AE1048" s="227"/>
      <c r="AG1048" s="19"/>
      <c r="AN1048" s="227"/>
      <c r="AO1048" s="227"/>
      <c r="AP1048" s="227"/>
      <c r="AQ1048" s="227"/>
      <c r="AR1048" s="227"/>
      <c r="AS1048" s="227"/>
      <c r="AT1048" s="227"/>
      <c r="AU1048" s="227"/>
    </row>
    <row r="1049" spans="27:47" ht="12.95" customHeight="1">
      <c r="AA1049" s="227"/>
      <c r="AB1049" s="227"/>
      <c r="AC1049" s="227"/>
      <c r="AD1049" s="227"/>
      <c r="AE1049" s="227"/>
      <c r="AG1049" s="19"/>
      <c r="AN1049" s="227"/>
      <c r="AO1049" s="227"/>
      <c r="AP1049" s="227"/>
      <c r="AQ1049" s="227"/>
      <c r="AR1049" s="227"/>
      <c r="AS1049" s="227"/>
      <c r="AT1049" s="227"/>
      <c r="AU1049" s="227"/>
    </row>
    <row r="1050" spans="27:47" ht="12.95" customHeight="1">
      <c r="AA1050" s="227"/>
      <c r="AB1050" s="227"/>
      <c r="AC1050" s="227"/>
      <c r="AD1050" s="227"/>
      <c r="AE1050" s="227"/>
      <c r="AG1050" s="19"/>
      <c r="AN1050" s="227"/>
      <c r="AO1050" s="227"/>
      <c r="AP1050" s="227"/>
      <c r="AQ1050" s="227"/>
      <c r="AR1050" s="227"/>
      <c r="AS1050" s="227"/>
      <c r="AT1050" s="227"/>
      <c r="AU1050" s="227"/>
    </row>
    <row r="1051" spans="27:47" ht="12.95" customHeight="1">
      <c r="AA1051" s="227"/>
      <c r="AB1051" s="227"/>
      <c r="AC1051" s="227"/>
      <c r="AD1051" s="227"/>
      <c r="AE1051" s="227"/>
      <c r="AG1051" s="19"/>
      <c r="AN1051" s="227"/>
      <c r="AO1051" s="227"/>
      <c r="AP1051" s="227"/>
      <c r="AQ1051" s="227"/>
      <c r="AR1051" s="227"/>
      <c r="AS1051" s="227"/>
      <c r="AT1051" s="227"/>
      <c r="AU1051" s="227"/>
    </row>
    <row r="1052" spans="27:47" ht="12.95" customHeight="1">
      <c r="AA1052" s="227"/>
      <c r="AB1052" s="227"/>
      <c r="AC1052" s="227"/>
      <c r="AD1052" s="227"/>
      <c r="AE1052" s="227"/>
      <c r="AG1052" s="19"/>
      <c r="AN1052" s="227"/>
      <c r="AO1052" s="227"/>
      <c r="AP1052" s="227"/>
      <c r="AQ1052" s="227"/>
      <c r="AR1052" s="227"/>
      <c r="AS1052" s="227"/>
      <c r="AT1052" s="227"/>
      <c r="AU1052" s="227"/>
    </row>
    <row r="1053" spans="27:47" ht="12.95" customHeight="1">
      <c r="AA1053" s="227"/>
      <c r="AB1053" s="227"/>
      <c r="AC1053" s="227"/>
      <c r="AD1053" s="227"/>
      <c r="AE1053" s="227"/>
      <c r="AG1053" s="19"/>
      <c r="AN1053" s="227"/>
      <c r="AO1053" s="227"/>
      <c r="AP1053" s="227"/>
      <c r="AQ1053" s="227"/>
      <c r="AR1053" s="227"/>
      <c r="AS1053" s="227"/>
      <c r="AT1053" s="227"/>
      <c r="AU1053" s="227"/>
    </row>
    <row r="1054" spans="27:47" ht="12.95" customHeight="1">
      <c r="AA1054" s="227"/>
      <c r="AB1054" s="227"/>
      <c r="AC1054" s="227"/>
      <c r="AD1054" s="227"/>
      <c r="AE1054" s="227"/>
      <c r="AG1054" s="19"/>
      <c r="AN1054" s="227"/>
      <c r="AO1054" s="227"/>
      <c r="AP1054" s="227"/>
      <c r="AQ1054" s="227"/>
      <c r="AR1054" s="227"/>
      <c r="AS1054" s="227"/>
      <c r="AT1054" s="227"/>
      <c r="AU1054" s="227"/>
    </row>
    <row r="1055" spans="27:47" ht="12.95" customHeight="1">
      <c r="AA1055" s="227"/>
      <c r="AB1055" s="227"/>
      <c r="AC1055" s="227"/>
      <c r="AD1055" s="227"/>
      <c r="AE1055" s="227"/>
      <c r="AG1055" s="19"/>
      <c r="AN1055" s="227"/>
      <c r="AO1055" s="227"/>
      <c r="AP1055" s="227"/>
      <c r="AQ1055" s="227"/>
      <c r="AR1055" s="227"/>
      <c r="AS1055" s="227"/>
      <c r="AT1055" s="227"/>
      <c r="AU1055" s="227"/>
    </row>
    <row r="1056" spans="27:47" ht="12.95" customHeight="1">
      <c r="AA1056" s="227"/>
      <c r="AB1056" s="227"/>
      <c r="AC1056" s="227"/>
      <c r="AD1056" s="227"/>
      <c r="AE1056" s="227"/>
      <c r="AG1056" s="19"/>
      <c r="AN1056" s="227"/>
      <c r="AO1056" s="227"/>
      <c r="AP1056" s="227"/>
      <c r="AQ1056" s="227"/>
      <c r="AR1056" s="227"/>
      <c r="AS1056" s="227"/>
      <c r="AT1056" s="227"/>
      <c r="AU1056" s="227"/>
    </row>
    <row r="1057" spans="27:64" ht="12.95" customHeight="1">
      <c r="AA1057" s="227"/>
      <c r="AB1057" s="227"/>
      <c r="AC1057" s="227"/>
      <c r="AD1057" s="227"/>
      <c r="AE1057" s="227"/>
      <c r="AG1057" s="19"/>
      <c r="AN1057" s="227"/>
      <c r="AO1057" s="227"/>
      <c r="AP1057" s="227"/>
      <c r="AQ1057" s="227"/>
      <c r="AR1057" s="227"/>
      <c r="AS1057" s="227"/>
      <c r="AT1057" s="227"/>
      <c r="AU1057" s="227"/>
    </row>
    <row r="1058" spans="27:64" ht="12.95" customHeight="1">
      <c r="AA1058" s="227"/>
      <c r="AB1058" s="227"/>
      <c r="AC1058" s="227"/>
      <c r="AD1058" s="227"/>
      <c r="AE1058" s="227"/>
      <c r="AG1058" s="19"/>
      <c r="AN1058" s="227"/>
      <c r="AO1058" s="227"/>
      <c r="AP1058" s="227"/>
      <c r="AQ1058" s="227"/>
      <c r="AR1058" s="227"/>
      <c r="AS1058" s="227"/>
      <c r="AT1058" s="227"/>
      <c r="AU1058" s="227"/>
    </row>
    <row r="1059" spans="27:64" ht="12.95" customHeight="1">
      <c r="AA1059" s="227"/>
      <c r="AB1059" s="227"/>
      <c r="AC1059" s="227"/>
      <c r="AD1059" s="227"/>
      <c r="AE1059" s="227"/>
      <c r="AG1059" s="19"/>
      <c r="AN1059" s="227"/>
      <c r="AO1059" s="227"/>
      <c r="AP1059" s="227"/>
      <c r="AQ1059" s="227"/>
      <c r="AR1059" s="227"/>
      <c r="AS1059" s="227"/>
      <c r="AT1059" s="227"/>
      <c r="AU1059" s="227"/>
    </row>
    <row r="1060" spans="27:64" ht="12.95" customHeight="1">
      <c r="AA1060" s="227"/>
      <c r="AB1060" s="227"/>
      <c r="AC1060" s="227"/>
      <c r="AD1060" s="227"/>
      <c r="AE1060" s="227"/>
      <c r="AG1060" s="19"/>
      <c r="AN1060" s="227"/>
      <c r="AO1060" s="227"/>
      <c r="AP1060" s="227"/>
      <c r="AQ1060" s="227"/>
      <c r="AR1060" s="227"/>
      <c r="AS1060" s="227"/>
      <c r="AT1060" s="227"/>
      <c r="AU1060" s="227"/>
    </row>
    <row r="1061" spans="27:64" ht="12.95" customHeight="1">
      <c r="AA1061" s="227"/>
      <c r="AB1061" s="227"/>
      <c r="AC1061" s="227"/>
      <c r="AD1061" s="227"/>
      <c r="AE1061" s="227"/>
      <c r="AG1061" s="19"/>
      <c r="AN1061" s="227"/>
      <c r="AO1061" s="227"/>
      <c r="AP1061" s="227"/>
      <c r="AQ1061" s="227"/>
      <c r="AR1061" s="227"/>
      <c r="AS1061" s="227"/>
      <c r="AT1061" s="227"/>
      <c r="AU1061" s="227"/>
    </row>
    <row r="1062" spans="27:64" ht="12.95" customHeight="1">
      <c r="AA1062" s="227"/>
      <c r="AB1062" s="227"/>
      <c r="AC1062" s="227"/>
      <c r="AD1062" s="227"/>
      <c r="AE1062" s="227"/>
      <c r="AG1062" s="19"/>
      <c r="AN1062" s="227"/>
      <c r="AO1062" s="227"/>
      <c r="AP1062" s="227"/>
      <c r="AQ1062" s="227"/>
      <c r="AR1062" s="227"/>
      <c r="AS1062" s="227"/>
      <c r="AT1062" s="227"/>
      <c r="AU1062" s="227"/>
    </row>
    <row r="1063" spans="27:64" ht="12.95" customHeight="1">
      <c r="AA1063" s="227"/>
      <c r="AB1063" s="227"/>
      <c r="AC1063" s="227"/>
      <c r="AD1063" s="227"/>
      <c r="AE1063" s="227"/>
      <c r="AG1063" s="19"/>
      <c r="AN1063" s="227"/>
      <c r="AO1063" s="227"/>
      <c r="AP1063" s="227"/>
      <c r="AQ1063" s="227"/>
      <c r="AR1063" s="227"/>
      <c r="AS1063" s="227"/>
      <c r="AT1063" s="227"/>
      <c r="AU1063" s="227"/>
      <c r="AV1063" s="227"/>
      <c r="AW1063" s="227"/>
      <c r="AX1063" s="227"/>
      <c r="AY1063" s="227"/>
      <c r="AZ1063" s="227"/>
      <c r="BA1063" s="227"/>
      <c r="BB1063" s="227"/>
      <c r="BC1063" s="227"/>
      <c r="BD1063" s="227"/>
      <c r="BE1063" s="227"/>
      <c r="BF1063" s="227"/>
      <c r="BG1063" s="227"/>
      <c r="BH1063" s="227"/>
      <c r="BI1063" s="227"/>
      <c r="BJ1063" s="227"/>
      <c r="BK1063" s="227"/>
      <c r="BL1063" s="227"/>
    </row>
    <row r="1064" spans="27:64" ht="12.95" customHeight="1">
      <c r="AA1064" s="227"/>
      <c r="AB1064" s="227"/>
      <c r="AC1064" s="227"/>
      <c r="AD1064" s="227"/>
      <c r="AE1064" s="227"/>
      <c r="AG1064" s="19"/>
      <c r="AN1064" s="227"/>
      <c r="AO1064" s="227"/>
      <c r="AP1064" s="227"/>
      <c r="AQ1064" s="227"/>
      <c r="AR1064" s="227"/>
      <c r="AS1064" s="227"/>
      <c r="AT1064" s="227"/>
      <c r="AU1064" s="227"/>
    </row>
    <row r="1065" spans="27:64" ht="12.95" customHeight="1">
      <c r="AA1065" s="227"/>
      <c r="AB1065" s="227"/>
      <c r="AC1065" s="227"/>
      <c r="AD1065" s="227"/>
      <c r="AE1065" s="227"/>
      <c r="AG1065" s="19"/>
      <c r="AN1065" s="227"/>
      <c r="AO1065" s="227"/>
      <c r="AP1065" s="227"/>
      <c r="AQ1065" s="227"/>
      <c r="AR1065" s="227"/>
      <c r="AS1065" s="227"/>
      <c r="AT1065" s="227"/>
      <c r="AU1065" s="227"/>
    </row>
    <row r="1066" spans="27:64" ht="12.95" customHeight="1">
      <c r="AA1066" s="227"/>
      <c r="AB1066" s="227"/>
      <c r="AC1066" s="227"/>
      <c r="AD1066" s="227"/>
      <c r="AE1066" s="227"/>
      <c r="AG1066" s="19"/>
      <c r="AN1066" s="227"/>
      <c r="AO1066" s="227"/>
      <c r="AP1066" s="227"/>
      <c r="AQ1066" s="227"/>
      <c r="AR1066" s="227"/>
      <c r="AS1066" s="227"/>
      <c r="AT1066" s="227"/>
      <c r="AU1066" s="227"/>
    </row>
    <row r="1067" spans="27:64" ht="12.95" customHeight="1">
      <c r="AA1067" s="227"/>
      <c r="AB1067" s="227"/>
      <c r="AC1067" s="227"/>
      <c r="AD1067" s="227"/>
      <c r="AE1067" s="227"/>
      <c r="AG1067" s="19"/>
      <c r="AN1067" s="227"/>
      <c r="AO1067" s="227"/>
      <c r="AP1067" s="227"/>
      <c r="AQ1067" s="227"/>
      <c r="AR1067" s="227"/>
      <c r="AS1067" s="227"/>
      <c r="AT1067" s="227"/>
      <c r="AU1067" s="227"/>
    </row>
    <row r="1068" spans="27:64" ht="12.95" customHeight="1">
      <c r="AA1068" s="227"/>
      <c r="AB1068" s="227"/>
      <c r="AC1068" s="227"/>
      <c r="AD1068" s="227"/>
      <c r="AE1068" s="227"/>
      <c r="AG1068" s="19"/>
      <c r="AN1068" s="227"/>
      <c r="AO1068" s="227"/>
      <c r="AP1068" s="227"/>
      <c r="AQ1068" s="227"/>
      <c r="AR1068" s="227"/>
      <c r="AS1068" s="227"/>
      <c r="AT1068" s="227"/>
      <c r="AU1068" s="227"/>
    </row>
    <row r="1069" spans="27:64" ht="12.95" customHeight="1">
      <c r="AA1069" s="227"/>
      <c r="AB1069" s="227"/>
      <c r="AC1069" s="227"/>
      <c r="AD1069" s="227"/>
      <c r="AE1069" s="227"/>
      <c r="AG1069" s="19"/>
      <c r="AN1069" s="227"/>
      <c r="AO1069" s="227"/>
      <c r="AP1069" s="227"/>
      <c r="AQ1069" s="227"/>
      <c r="AR1069" s="227"/>
      <c r="AS1069" s="227"/>
      <c r="AT1069" s="227"/>
      <c r="AU1069" s="227"/>
    </row>
    <row r="1070" spans="27:64" ht="12.95" customHeight="1">
      <c r="AA1070" s="227"/>
      <c r="AB1070" s="227"/>
      <c r="AC1070" s="227"/>
      <c r="AD1070" s="227"/>
      <c r="AE1070" s="227"/>
      <c r="AG1070" s="19"/>
      <c r="AN1070" s="227"/>
      <c r="AO1070" s="227"/>
      <c r="AP1070" s="227"/>
      <c r="AQ1070" s="227"/>
      <c r="AR1070" s="227"/>
      <c r="AS1070" s="227"/>
      <c r="AT1070" s="227"/>
      <c r="AU1070" s="227"/>
    </row>
    <row r="1071" spans="27:64" ht="12.95" customHeight="1">
      <c r="AA1071" s="227"/>
      <c r="AB1071" s="227"/>
      <c r="AC1071" s="227"/>
      <c r="AD1071" s="227"/>
      <c r="AE1071" s="227"/>
      <c r="AG1071" s="19"/>
      <c r="AN1071" s="227"/>
      <c r="AO1071" s="227"/>
      <c r="AP1071" s="227"/>
      <c r="AQ1071" s="227"/>
      <c r="AR1071" s="227"/>
      <c r="AS1071" s="227"/>
      <c r="AT1071" s="227"/>
      <c r="AU1071" s="227"/>
    </row>
    <row r="1072" spans="27:64" ht="12.95" customHeight="1">
      <c r="AA1072" s="227"/>
      <c r="AB1072" s="227"/>
      <c r="AC1072" s="227"/>
      <c r="AD1072" s="227"/>
      <c r="AE1072" s="227"/>
      <c r="AG1072" s="19"/>
      <c r="AN1072" s="227"/>
      <c r="AO1072" s="227"/>
      <c r="AP1072" s="227"/>
      <c r="AQ1072" s="227"/>
      <c r="AR1072" s="227"/>
      <c r="AS1072" s="227"/>
      <c r="AT1072" s="227"/>
      <c r="AU1072" s="227"/>
    </row>
    <row r="1073" spans="27:48" ht="12.95" customHeight="1">
      <c r="AA1073" s="227"/>
      <c r="AB1073" s="227"/>
      <c r="AC1073" s="227"/>
      <c r="AD1073" s="227"/>
      <c r="AE1073" s="227"/>
      <c r="AG1073" s="19"/>
      <c r="AN1073" s="227"/>
      <c r="AO1073" s="227"/>
      <c r="AP1073" s="227"/>
      <c r="AQ1073" s="227"/>
      <c r="AR1073" s="227"/>
      <c r="AS1073" s="227"/>
      <c r="AT1073" s="227"/>
      <c r="AU1073" s="227"/>
    </row>
    <row r="1074" spans="27:48" ht="12.95" customHeight="1">
      <c r="AA1074" s="227"/>
      <c r="AB1074" s="227"/>
      <c r="AC1074" s="227"/>
      <c r="AD1074" s="227"/>
      <c r="AE1074" s="227"/>
      <c r="AG1074" s="19"/>
      <c r="AN1074" s="227"/>
      <c r="AO1074" s="227"/>
      <c r="AP1074" s="227"/>
      <c r="AQ1074" s="227"/>
      <c r="AR1074" s="227"/>
      <c r="AS1074" s="227"/>
      <c r="AT1074" s="227"/>
      <c r="AU1074" s="227"/>
    </row>
    <row r="1075" spans="27:48" ht="12.95" customHeight="1">
      <c r="AA1075" s="227"/>
      <c r="AB1075" s="227"/>
      <c r="AC1075" s="227"/>
      <c r="AD1075" s="227"/>
      <c r="AE1075" s="227"/>
      <c r="AG1075" s="19"/>
      <c r="AN1075" s="227"/>
      <c r="AO1075" s="227"/>
      <c r="AP1075" s="227"/>
      <c r="AQ1075" s="227"/>
      <c r="AR1075" s="227"/>
      <c r="AS1075" s="227"/>
      <c r="AT1075" s="227"/>
      <c r="AU1075" s="227"/>
      <c r="AV1075" s="227"/>
    </row>
    <row r="1076" spans="27:48" ht="12.95" customHeight="1">
      <c r="AA1076" s="227"/>
      <c r="AB1076" s="227"/>
      <c r="AC1076" s="227"/>
      <c r="AD1076" s="227"/>
      <c r="AE1076" s="227"/>
      <c r="AG1076" s="19"/>
      <c r="AN1076" s="227"/>
      <c r="AO1076" s="227"/>
      <c r="AP1076" s="227"/>
      <c r="AQ1076" s="227"/>
      <c r="AR1076" s="227"/>
      <c r="AS1076" s="227"/>
      <c r="AT1076" s="227"/>
      <c r="AU1076" s="227"/>
    </row>
    <row r="1077" spans="27:48" ht="12.95" customHeight="1">
      <c r="AA1077" s="227"/>
      <c r="AB1077" s="227"/>
      <c r="AC1077" s="227"/>
      <c r="AD1077" s="227"/>
      <c r="AE1077" s="227"/>
      <c r="AG1077" s="19"/>
      <c r="AN1077" s="227"/>
      <c r="AO1077" s="227"/>
      <c r="AP1077" s="227"/>
      <c r="AQ1077" s="227"/>
      <c r="AR1077" s="227"/>
      <c r="AS1077" s="227"/>
      <c r="AT1077" s="227"/>
      <c r="AU1077" s="227"/>
      <c r="AV1077" s="227"/>
    </row>
    <row r="1078" spans="27:48" ht="12.95" customHeight="1">
      <c r="AA1078" s="227"/>
      <c r="AB1078" s="227"/>
      <c r="AC1078" s="227"/>
      <c r="AD1078" s="227"/>
      <c r="AE1078" s="227"/>
      <c r="AG1078" s="19"/>
      <c r="AN1078" s="227"/>
      <c r="AO1078" s="227"/>
      <c r="AP1078" s="227"/>
      <c r="AQ1078" s="227"/>
      <c r="AR1078" s="227"/>
      <c r="AS1078" s="227"/>
      <c r="AT1078" s="227"/>
      <c r="AU1078" s="227"/>
    </row>
    <row r="1079" spans="27:48" ht="12.95" customHeight="1">
      <c r="AA1079" s="227"/>
      <c r="AB1079" s="227"/>
      <c r="AC1079" s="227"/>
      <c r="AD1079" s="227"/>
      <c r="AE1079" s="227"/>
      <c r="AG1079" s="19"/>
      <c r="AN1079" s="227"/>
      <c r="AO1079" s="227"/>
      <c r="AP1079" s="227"/>
      <c r="AQ1079" s="227"/>
      <c r="AR1079" s="227"/>
      <c r="AS1079" s="227"/>
      <c r="AT1079" s="227"/>
      <c r="AU1079" s="227"/>
    </row>
    <row r="1080" spans="27:48" ht="12.95" customHeight="1">
      <c r="AA1080" s="227"/>
      <c r="AB1080" s="227"/>
      <c r="AC1080" s="227"/>
      <c r="AD1080" s="227"/>
      <c r="AE1080" s="227"/>
      <c r="AG1080" s="19"/>
      <c r="AN1080" s="227"/>
      <c r="AO1080" s="227"/>
      <c r="AP1080" s="227"/>
      <c r="AQ1080" s="227"/>
      <c r="AR1080" s="227"/>
      <c r="AS1080" s="227"/>
      <c r="AT1080" s="227"/>
      <c r="AU1080" s="227"/>
    </row>
    <row r="1081" spans="27:48" ht="12.95" customHeight="1">
      <c r="AA1081" s="227"/>
      <c r="AB1081" s="227"/>
      <c r="AC1081" s="227"/>
      <c r="AD1081" s="227"/>
      <c r="AE1081" s="227"/>
      <c r="AG1081" s="19"/>
      <c r="AN1081" s="227"/>
      <c r="AO1081" s="227"/>
      <c r="AP1081" s="227"/>
      <c r="AQ1081" s="227"/>
      <c r="AR1081" s="227"/>
      <c r="AS1081" s="227"/>
      <c r="AT1081" s="227"/>
      <c r="AU1081" s="227"/>
    </row>
    <row r="1082" spans="27:48" ht="12.95" customHeight="1">
      <c r="AA1082" s="227"/>
      <c r="AB1082" s="227"/>
      <c r="AC1082" s="227"/>
      <c r="AD1082" s="227"/>
      <c r="AE1082" s="227"/>
      <c r="AG1082" s="19"/>
      <c r="AN1082" s="227"/>
      <c r="AO1082" s="227"/>
      <c r="AP1082" s="227"/>
      <c r="AQ1082" s="227"/>
      <c r="AR1082" s="227"/>
      <c r="AS1082" s="227"/>
      <c r="AT1082" s="227"/>
      <c r="AU1082" s="227"/>
    </row>
    <row r="1083" spans="27:48" ht="12.95" customHeight="1">
      <c r="AA1083" s="227"/>
      <c r="AB1083" s="227"/>
      <c r="AC1083" s="227"/>
      <c r="AD1083" s="227"/>
      <c r="AE1083" s="227"/>
      <c r="AG1083" s="19"/>
      <c r="AN1083" s="227"/>
      <c r="AO1083" s="227"/>
      <c r="AP1083" s="227"/>
      <c r="AQ1083" s="227"/>
      <c r="AR1083" s="227"/>
      <c r="AS1083" s="227"/>
      <c r="AT1083" s="227"/>
      <c r="AU1083" s="227"/>
    </row>
    <row r="1084" spans="27:48" ht="12.95" customHeight="1">
      <c r="AA1084" s="227"/>
      <c r="AB1084" s="227"/>
      <c r="AC1084" s="227"/>
      <c r="AD1084" s="227"/>
      <c r="AE1084" s="227"/>
      <c r="AG1084" s="19"/>
      <c r="AN1084" s="227"/>
      <c r="AO1084" s="227"/>
      <c r="AP1084" s="227"/>
      <c r="AQ1084" s="227"/>
      <c r="AR1084" s="227"/>
      <c r="AS1084" s="227"/>
      <c r="AT1084" s="227"/>
      <c r="AU1084" s="227"/>
    </row>
    <row r="1085" spans="27:48" ht="12.95" customHeight="1">
      <c r="AA1085" s="227"/>
      <c r="AB1085" s="227"/>
      <c r="AC1085" s="227"/>
      <c r="AD1085" s="227"/>
      <c r="AE1085" s="227"/>
      <c r="AG1085" s="19"/>
      <c r="AN1085" s="227"/>
      <c r="AO1085" s="227"/>
      <c r="AP1085" s="227"/>
      <c r="AQ1085" s="227"/>
      <c r="AR1085" s="227"/>
      <c r="AS1085" s="227"/>
      <c r="AT1085" s="227"/>
      <c r="AU1085" s="227"/>
    </row>
    <row r="1086" spans="27:48" ht="12.95" customHeight="1">
      <c r="AA1086" s="227"/>
      <c r="AB1086" s="227"/>
      <c r="AC1086" s="227"/>
      <c r="AD1086" s="227"/>
      <c r="AE1086" s="227"/>
      <c r="AG1086" s="19"/>
      <c r="AN1086" s="227"/>
      <c r="AO1086" s="227"/>
      <c r="AP1086" s="227"/>
      <c r="AQ1086" s="227"/>
      <c r="AR1086" s="227"/>
      <c r="AS1086" s="227"/>
      <c r="AT1086" s="227"/>
      <c r="AU1086" s="227"/>
    </row>
    <row r="1087" spans="27:48" ht="12.95" customHeight="1">
      <c r="AA1087" s="227"/>
      <c r="AB1087" s="227"/>
      <c r="AC1087" s="227"/>
      <c r="AD1087" s="227"/>
      <c r="AE1087" s="227"/>
      <c r="AG1087" s="19"/>
      <c r="AN1087" s="227"/>
      <c r="AO1087" s="227"/>
      <c r="AP1087" s="227"/>
      <c r="AQ1087" s="227"/>
      <c r="AR1087" s="227"/>
      <c r="AS1087" s="227"/>
      <c r="AT1087" s="227"/>
      <c r="AU1087" s="227"/>
    </row>
    <row r="1088" spans="27:48" ht="12.95" customHeight="1">
      <c r="AA1088" s="227"/>
      <c r="AB1088" s="227"/>
      <c r="AC1088" s="227"/>
      <c r="AD1088" s="227"/>
      <c r="AE1088" s="227"/>
      <c r="AG1088" s="19"/>
      <c r="AN1088" s="227"/>
      <c r="AO1088" s="227"/>
      <c r="AP1088" s="227"/>
      <c r="AQ1088" s="227"/>
      <c r="AR1088" s="227"/>
      <c r="AS1088" s="227"/>
      <c r="AT1088" s="227"/>
      <c r="AU1088" s="227"/>
    </row>
    <row r="1089" spans="27:47" ht="12.95" customHeight="1">
      <c r="AA1089" s="227"/>
      <c r="AB1089" s="227"/>
      <c r="AC1089" s="227"/>
      <c r="AD1089" s="227"/>
      <c r="AE1089" s="227"/>
      <c r="AG1089" s="19"/>
      <c r="AN1089" s="227"/>
      <c r="AO1089" s="227"/>
      <c r="AP1089" s="227"/>
      <c r="AQ1089" s="227"/>
      <c r="AR1089" s="227"/>
      <c r="AS1089" s="227"/>
      <c r="AT1089" s="227"/>
      <c r="AU1089" s="227"/>
    </row>
    <row r="1090" spans="27:47" ht="12.95" customHeight="1">
      <c r="AA1090" s="227"/>
      <c r="AB1090" s="227"/>
      <c r="AC1090" s="227"/>
      <c r="AD1090" s="227"/>
      <c r="AE1090" s="227"/>
      <c r="AG1090" s="19"/>
      <c r="AN1090" s="227"/>
      <c r="AO1090" s="227"/>
      <c r="AP1090" s="227"/>
      <c r="AQ1090" s="227"/>
      <c r="AR1090" s="227"/>
      <c r="AS1090" s="227"/>
      <c r="AT1090" s="227"/>
      <c r="AU1090" s="227"/>
    </row>
    <row r="1091" spans="27:47" ht="12.95" customHeight="1">
      <c r="AA1091" s="227"/>
      <c r="AB1091" s="227"/>
      <c r="AC1091" s="227"/>
      <c r="AD1091" s="227"/>
      <c r="AE1091" s="227"/>
      <c r="AG1091" s="19"/>
      <c r="AN1091" s="227"/>
      <c r="AO1091" s="227"/>
      <c r="AP1091" s="227"/>
      <c r="AQ1091" s="227"/>
      <c r="AR1091" s="227"/>
      <c r="AS1091" s="227"/>
      <c r="AT1091" s="227"/>
      <c r="AU1091" s="227"/>
    </row>
    <row r="1092" spans="27:47" ht="12.95" customHeight="1">
      <c r="AA1092" s="227"/>
      <c r="AB1092" s="227"/>
      <c r="AC1092" s="227"/>
      <c r="AD1092" s="227"/>
      <c r="AE1092" s="227"/>
      <c r="AG1092" s="19"/>
      <c r="AN1092" s="227"/>
      <c r="AO1092" s="227"/>
      <c r="AP1092" s="227"/>
      <c r="AQ1092" s="227"/>
      <c r="AR1092" s="227"/>
      <c r="AS1092" s="227"/>
      <c r="AT1092" s="227"/>
      <c r="AU1092" s="227"/>
    </row>
    <row r="1093" spans="27:47" ht="12.95" customHeight="1">
      <c r="AA1093" s="227"/>
      <c r="AB1093" s="227"/>
      <c r="AC1093" s="227"/>
      <c r="AD1093" s="227"/>
      <c r="AE1093" s="227"/>
      <c r="AG1093" s="19"/>
      <c r="AN1093" s="227"/>
      <c r="AO1093" s="227"/>
      <c r="AP1093" s="227"/>
      <c r="AQ1093" s="227"/>
      <c r="AR1093" s="227"/>
      <c r="AS1093" s="227"/>
      <c r="AT1093" s="227"/>
      <c r="AU1093" s="227"/>
    </row>
    <row r="1094" spans="27:47" ht="12.95" customHeight="1">
      <c r="AA1094" s="227"/>
      <c r="AB1094" s="227"/>
      <c r="AC1094" s="227"/>
      <c r="AD1094" s="227"/>
      <c r="AE1094" s="227"/>
      <c r="AG1094" s="19"/>
      <c r="AN1094" s="227"/>
      <c r="AO1094" s="227"/>
      <c r="AP1094" s="227"/>
      <c r="AQ1094" s="227"/>
      <c r="AR1094" s="227"/>
      <c r="AS1094" s="227"/>
      <c r="AT1094" s="227"/>
      <c r="AU1094" s="227"/>
    </row>
    <row r="1095" spans="27:47" ht="12.95" customHeight="1">
      <c r="AA1095" s="227"/>
      <c r="AB1095" s="227"/>
      <c r="AC1095" s="227"/>
      <c r="AD1095" s="227"/>
      <c r="AE1095" s="227"/>
      <c r="AG1095" s="19"/>
      <c r="AN1095" s="227"/>
      <c r="AO1095" s="227"/>
      <c r="AP1095" s="227"/>
      <c r="AQ1095" s="227"/>
      <c r="AR1095" s="227"/>
      <c r="AS1095" s="227"/>
      <c r="AT1095" s="227"/>
      <c r="AU1095" s="227"/>
    </row>
    <row r="1096" spans="27:47" ht="12.95" customHeight="1">
      <c r="AA1096" s="227"/>
      <c r="AB1096" s="227"/>
      <c r="AC1096" s="227"/>
      <c r="AD1096" s="227"/>
      <c r="AE1096" s="227"/>
      <c r="AG1096" s="19"/>
      <c r="AN1096" s="227"/>
      <c r="AO1096" s="227"/>
      <c r="AP1096" s="227"/>
      <c r="AQ1096" s="227"/>
      <c r="AR1096" s="227"/>
      <c r="AS1096" s="227"/>
      <c r="AT1096" s="227"/>
      <c r="AU1096" s="227"/>
    </row>
    <row r="1097" spans="27:47" ht="12.95" customHeight="1">
      <c r="AA1097" s="227"/>
      <c r="AB1097" s="227"/>
      <c r="AC1097" s="227"/>
      <c r="AD1097" s="227"/>
      <c r="AE1097" s="227"/>
      <c r="AG1097" s="19"/>
      <c r="AN1097" s="227"/>
      <c r="AO1097" s="227"/>
      <c r="AP1097" s="227"/>
      <c r="AQ1097" s="227"/>
      <c r="AR1097" s="227"/>
      <c r="AS1097" s="227"/>
      <c r="AT1097" s="227"/>
      <c r="AU1097" s="227"/>
    </row>
    <row r="1098" spans="27:47" ht="12.95" customHeight="1">
      <c r="AA1098" s="227"/>
      <c r="AB1098" s="227"/>
      <c r="AC1098" s="227"/>
      <c r="AD1098" s="227"/>
      <c r="AE1098" s="227"/>
      <c r="AG1098" s="19"/>
      <c r="AN1098" s="227"/>
      <c r="AO1098" s="227"/>
      <c r="AP1098" s="227"/>
      <c r="AQ1098" s="227"/>
      <c r="AR1098" s="227"/>
      <c r="AS1098" s="227"/>
      <c r="AT1098" s="227"/>
      <c r="AU1098" s="227"/>
    </row>
    <row r="1099" spans="27:47" ht="12.95" customHeight="1">
      <c r="AA1099" s="227"/>
      <c r="AB1099" s="227"/>
      <c r="AC1099" s="227"/>
      <c r="AD1099" s="227"/>
      <c r="AE1099" s="227"/>
      <c r="AG1099" s="19"/>
      <c r="AN1099" s="227"/>
      <c r="AO1099" s="227"/>
      <c r="AP1099" s="227"/>
      <c r="AQ1099" s="227"/>
      <c r="AR1099" s="227"/>
      <c r="AS1099" s="227"/>
      <c r="AT1099" s="227"/>
      <c r="AU1099" s="227"/>
    </row>
    <row r="1100" spans="27:47" ht="12.95" customHeight="1">
      <c r="AA1100" s="227"/>
      <c r="AB1100" s="227"/>
      <c r="AC1100" s="227"/>
      <c r="AD1100" s="227"/>
      <c r="AE1100" s="227"/>
      <c r="AG1100" s="19"/>
      <c r="AN1100" s="227"/>
      <c r="AO1100" s="227"/>
      <c r="AP1100" s="227"/>
      <c r="AQ1100" s="227"/>
      <c r="AR1100" s="227"/>
      <c r="AS1100" s="227"/>
      <c r="AT1100" s="227"/>
      <c r="AU1100" s="227"/>
    </row>
    <row r="1101" spans="27:47" ht="12.95" customHeight="1">
      <c r="AA1101" s="227"/>
      <c r="AB1101" s="227"/>
      <c r="AC1101" s="227"/>
      <c r="AD1101" s="227"/>
      <c r="AE1101" s="227"/>
      <c r="AG1101" s="19"/>
      <c r="AN1101" s="227"/>
      <c r="AO1101" s="227"/>
      <c r="AP1101" s="227"/>
      <c r="AQ1101" s="227"/>
      <c r="AR1101" s="227"/>
      <c r="AS1101" s="227"/>
      <c r="AT1101" s="227"/>
      <c r="AU1101" s="227"/>
    </row>
    <row r="1102" spans="27:47" ht="12.95" customHeight="1">
      <c r="AA1102" s="227"/>
      <c r="AB1102" s="227"/>
      <c r="AC1102" s="227"/>
      <c r="AD1102" s="227"/>
      <c r="AE1102" s="227"/>
      <c r="AG1102" s="19"/>
      <c r="AN1102" s="227"/>
      <c r="AO1102" s="227"/>
      <c r="AP1102" s="227"/>
      <c r="AQ1102" s="227"/>
      <c r="AR1102" s="227"/>
      <c r="AS1102" s="227"/>
      <c r="AT1102" s="227"/>
      <c r="AU1102" s="227"/>
    </row>
    <row r="1103" spans="27:47" ht="12.95" customHeight="1">
      <c r="AA1103" s="227"/>
      <c r="AB1103" s="227"/>
      <c r="AC1103" s="227"/>
      <c r="AD1103" s="227"/>
      <c r="AE1103" s="227"/>
      <c r="AG1103" s="19"/>
      <c r="AN1103" s="227"/>
      <c r="AO1103" s="227"/>
      <c r="AP1103" s="227"/>
      <c r="AQ1103" s="227"/>
      <c r="AR1103" s="227"/>
      <c r="AS1103" s="227"/>
      <c r="AT1103" s="227"/>
      <c r="AU1103" s="227"/>
    </row>
    <row r="1104" spans="27:47" ht="12.95" customHeight="1">
      <c r="AA1104" s="227"/>
      <c r="AB1104" s="227"/>
      <c r="AC1104" s="227"/>
      <c r="AD1104" s="227"/>
      <c r="AE1104" s="227"/>
      <c r="AG1104" s="19"/>
      <c r="AN1104" s="227"/>
      <c r="AO1104" s="227"/>
      <c r="AP1104" s="227"/>
      <c r="AQ1104" s="227"/>
      <c r="AR1104" s="227"/>
      <c r="AS1104" s="227"/>
      <c r="AT1104" s="227"/>
      <c r="AU1104" s="227"/>
    </row>
    <row r="1105" spans="27:47" ht="12.95" customHeight="1">
      <c r="AA1105" s="227"/>
      <c r="AB1105" s="227"/>
      <c r="AC1105" s="227"/>
      <c r="AD1105" s="227"/>
      <c r="AE1105" s="227"/>
      <c r="AG1105" s="19"/>
      <c r="AN1105" s="227"/>
      <c r="AO1105" s="227"/>
      <c r="AP1105" s="227"/>
      <c r="AQ1105" s="227"/>
      <c r="AR1105" s="227"/>
      <c r="AS1105" s="227"/>
      <c r="AT1105" s="227"/>
      <c r="AU1105" s="227"/>
    </row>
    <row r="1106" spans="27:47" ht="12.95" customHeight="1">
      <c r="AA1106" s="227"/>
      <c r="AB1106" s="227"/>
      <c r="AC1106" s="227"/>
      <c r="AD1106" s="227"/>
      <c r="AE1106" s="227"/>
      <c r="AG1106" s="19"/>
      <c r="AN1106" s="227"/>
      <c r="AO1106" s="227"/>
      <c r="AP1106" s="227"/>
      <c r="AQ1106" s="227"/>
      <c r="AR1106" s="227"/>
      <c r="AS1106" s="227"/>
      <c r="AT1106" s="227"/>
      <c r="AU1106" s="227"/>
    </row>
    <row r="1107" spans="27:47" ht="12.95" customHeight="1">
      <c r="AA1107" s="227"/>
      <c r="AB1107" s="227"/>
      <c r="AC1107" s="227"/>
      <c r="AD1107" s="227"/>
      <c r="AE1107" s="227"/>
      <c r="AG1107" s="19"/>
      <c r="AN1107" s="227"/>
      <c r="AO1107" s="227"/>
      <c r="AP1107" s="227"/>
      <c r="AQ1107" s="227"/>
      <c r="AR1107" s="227"/>
      <c r="AS1107" s="227"/>
      <c r="AT1107" s="227"/>
      <c r="AU1107" s="227"/>
    </row>
    <row r="1108" spans="27:47" ht="12.95" customHeight="1">
      <c r="AA1108" s="227"/>
      <c r="AB1108" s="227"/>
      <c r="AC1108" s="227"/>
      <c r="AD1108" s="227"/>
      <c r="AE1108" s="227"/>
      <c r="AG1108" s="19"/>
      <c r="AN1108" s="227"/>
      <c r="AO1108" s="227"/>
      <c r="AP1108" s="227"/>
      <c r="AQ1108" s="227"/>
      <c r="AR1108" s="227"/>
      <c r="AS1108" s="227"/>
      <c r="AT1108" s="227"/>
      <c r="AU1108" s="227"/>
    </row>
    <row r="1109" spans="27:47" ht="12.95" customHeight="1">
      <c r="AA1109" s="227"/>
      <c r="AB1109" s="227"/>
      <c r="AC1109" s="227"/>
      <c r="AD1109" s="227"/>
      <c r="AE1109" s="227"/>
      <c r="AG1109" s="19"/>
      <c r="AN1109" s="227"/>
      <c r="AO1109" s="227"/>
      <c r="AP1109" s="227"/>
      <c r="AQ1109" s="227"/>
      <c r="AR1109" s="227"/>
      <c r="AS1109" s="227"/>
      <c r="AT1109" s="227"/>
      <c r="AU1109" s="227"/>
    </row>
    <row r="1110" spans="27:47" ht="12.95" customHeight="1">
      <c r="AA1110" s="227"/>
      <c r="AB1110" s="227"/>
      <c r="AC1110" s="227"/>
      <c r="AD1110" s="227"/>
      <c r="AE1110" s="227"/>
      <c r="AG1110" s="19"/>
      <c r="AN1110" s="227"/>
      <c r="AO1110" s="227"/>
      <c r="AP1110" s="227"/>
      <c r="AQ1110" s="227"/>
      <c r="AR1110" s="227"/>
      <c r="AS1110" s="227"/>
      <c r="AT1110" s="227"/>
      <c r="AU1110" s="227"/>
    </row>
    <row r="1111" spans="27:47" ht="12.95" customHeight="1">
      <c r="AA1111" s="227"/>
      <c r="AB1111" s="227"/>
      <c r="AC1111" s="227"/>
      <c r="AD1111" s="227"/>
      <c r="AE1111" s="227"/>
      <c r="AG1111" s="19"/>
      <c r="AN1111" s="227"/>
      <c r="AO1111" s="227"/>
      <c r="AP1111" s="227"/>
      <c r="AQ1111" s="227"/>
      <c r="AR1111" s="227"/>
      <c r="AS1111" s="227"/>
      <c r="AT1111" s="227"/>
      <c r="AU1111" s="227"/>
    </row>
    <row r="1112" spans="27:47" ht="12.95" customHeight="1">
      <c r="AA1112" s="227"/>
      <c r="AB1112" s="227"/>
      <c r="AC1112" s="227"/>
      <c r="AD1112" s="227"/>
      <c r="AE1112" s="227"/>
      <c r="AG1112" s="19"/>
      <c r="AN1112" s="227"/>
      <c r="AO1112" s="227"/>
      <c r="AP1112" s="227"/>
      <c r="AQ1112" s="227"/>
      <c r="AR1112" s="227"/>
      <c r="AS1112" s="227"/>
      <c r="AT1112" s="227"/>
      <c r="AU1112" s="227"/>
    </row>
    <row r="1113" spans="27:47" ht="12.95" customHeight="1">
      <c r="AA1113" s="227"/>
      <c r="AB1113" s="227"/>
      <c r="AC1113" s="227"/>
      <c r="AD1113" s="227"/>
      <c r="AE1113" s="227"/>
      <c r="AG1113" s="19"/>
      <c r="AN1113" s="227"/>
      <c r="AO1113" s="227"/>
      <c r="AP1113" s="227"/>
      <c r="AQ1113" s="227"/>
      <c r="AR1113" s="227"/>
      <c r="AS1113" s="227"/>
      <c r="AT1113" s="227"/>
      <c r="AU1113" s="227"/>
    </row>
    <row r="1114" spans="27:47" ht="12.95" customHeight="1">
      <c r="AA1114" s="227"/>
      <c r="AB1114" s="227"/>
      <c r="AC1114" s="227"/>
      <c r="AD1114" s="227"/>
      <c r="AE1114" s="227"/>
      <c r="AG1114" s="19"/>
      <c r="AN1114" s="227"/>
      <c r="AO1114" s="227"/>
      <c r="AP1114" s="227"/>
      <c r="AQ1114" s="227"/>
      <c r="AR1114" s="227"/>
      <c r="AS1114" s="227"/>
      <c r="AT1114" s="227"/>
      <c r="AU1114" s="227"/>
    </row>
    <row r="1115" spans="27:47" ht="12.95" customHeight="1">
      <c r="AA1115" s="227"/>
      <c r="AB1115" s="227"/>
      <c r="AC1115" s="227"/>
      <c r="AD1115" s="227"/>
      <c r="AE1115" s="227"/>
      <c r="AG1115" s="19"/>
      <c r="AN1115" s="227"/>
      <c r="AO1115" s="227"/>
      <c r="AP1115" s="227"/>
      <c r="AQ1115" s="227"/>
      <c r="AR1115" s="227"/>
      <c r="AS1115" s="227"/>
      <c r="AT1115" s="227"/>
      <c r="AU1115" s="227"/>
    </row>
    <row r="1116" spans="27:47" ht="12.95" customHeight="1">
      <c r="AA1116" s="227"/>
      <c r="AB1116" s="227"/>
      <c r="AC1116" s="227"/>
      <c r="AD1116" s="227"/>
      <c r="AE1116" s="227"/>
      <c r="AG1116" s="19"/>
      <c r="AN1116" s="227"/>
      <c r="AO1116" s="227"/>
      <c r="AP1116" s="227"/>
      <c r="AQ1116" s="227"/>
      <c r="AR1116" s="227"/>
      <c r="AS1116" s="227"/>
      <c r="AT1116" s="227"/>
      <c r="AU1116" s="227"/>
    </row>
    <row r="1117" spans="27:47" ht="12.95" customHeight="1">
      <c r="AA1117" s="227"/>
      <c r="AB1117" s="227"/>
      <c r="AC1117" s="227"/>
      <c r="AD1117" s="227"/>
      <c r="AE1117" s="227"/>
      <c r="AG1117" s="19"/>
      <c r="AN1117" s="227"/>
      <c r="AO1117" s="227"/>
      <c r="AP1117" s="227"/>
      <c r="AQ1117" s="227"/>
      <c r="AR1117" s="227"/>
      <c r="AS1117" s="227"/>
      <c r="AT1117" s="227"/>
      <c r="AU1117" s="227"/>
    </row>
    <row r="1118" spans="27:47" ht="12.95" customHeight="1">
      <c r="AA1118" s="227"/>
      <c r="AB1118" s="227"/>
      <c r="AC1118" s="227"/>
      <c r="AD1118" s="227"/>
      <c r="AE1118" s="227"/>
      <c r="AG1118" s="19"/>
      <c r="AN1118" s="227"/>
      <c r="AO1118" s="227"/>
      <c r="AP1118" s="227"/>
      <c r="AQ1118" s="227"/>
      <c r="AR1118" s="227"/>
      <c r="AS1118" s="227"/>
      <c r="AT1118" s="227"/>
      <c r="AU1118" s="227"/>
    </row>
    <row r="1119" spans="27:47" ht="12.95" customHeight="1">
      <c r="AA1119" s="227"/>
      <c r="AB1119" s="227"/>
      <c r="AC1119" s="227"/>
      <c r="AD1119" s="227"/>
      <c r="AE1119" s="227"/>
      <c r="AG1119" s="19"/>
      <c r="AN1119" s="227"/>
      <c r="AO1119" s="227"/>
      <c r="AP1119" s="227"/>
      <c r="AQ1119" s="227"/>
      <c r="AR1119" s="227"/>
      <c r="AS1119" s="227"/>
      <c r="AT1119" s="227"/>
      <c r="AU1119" s="227"/>
    </row>
    <row r="1120" spans="27:47" ht="12.95" customHeight="1">
      <c r="AA1120" s="227"/>
      <c r="AB1120" s="227"/>
      <c r="AC1120" s="227"/>
      <c r="AD1120" s="227"/>
      <c r="AE1120" s="227"/>
      <c r="AG1120" s="19"/>
      <c r="AN1120" s="227"/>
      <c r="AO1120" s="227"/>
      <c r="AP1120" s="227"/>
      <c r="AQ1120" s="227"/>
      <c r="AR1120" s="227"/>
      <c r="AS1120" s="227"/>
      <c r="AT1120" s="227"/>
      <c r="AU1120" s="227"/>
    </row>
    <row r="1121" spans="27:47" ht="12.95" customHeight="1">
      <c r="AA1121" s="227"/>
      <c r="AB1121" s="227"/>
      <c r="AC1121" s="227"/>
      <c r="AD1121" s="227"/>
      <c r="AE1121" s="227"/>
      <c r="AG1121" s="19"/>
      <c r="AN1121" s="227"/>
      <c r="AO1121" s="227"/>
      <c r="AP1121" s="227"/>
      <c r="AQ1121" s="227"/>
      <c r="AR1121" s="227"/>
      <c r="AS1121" s="227"/>
      <c r="AT1121" s="227"/>
      <c r="AU1121" s="227"/>
    </row>
    <row r="1122" spans="27:47" ht="12.95" customHeight="1">
      <c r="AA1122" s="227"/>
      <c r="AB1122" s="227"/>
      <c r="AC1122" s="227"/>
      <c r="AD1122" s="227"/>
      <c r="AE1122" s="227"/>
      <c r="AG1122" s="19"/>
      <c r="AN1122" s="227"/>
      <c r="AO1122" s="227"/>
      <c r="AP1122" s="227"/>
      <c r="AQ1122" s="227"/>
      <c r="AR1122" s="227"/>
      <c r="AS1122" s="227"/>
      <c r="AT1122" s="227"/>
      <c r="AU1122" s="227"/>
    </row>
    <row r="1123" spans="27:47" ht="12.95" customHeight="1">
      <c r="AA1123" s="227"/>
      <c r="AB1123" s="227"/>
      <c r="AC1123" s="227"/>
      <c r="AD1123" s="227"/>
      <c r="AE1123" s="227"/>
      <c r="AG1123" s="19"/>
      <c r="AN1123" s="227"/>
      <c r="AO1123" s="227"/>
      <c r="AP1123" s="227"/>
      <c r="AQ1123" s="227"/>
      <c r="AR1123" s="227"/>
      <c r="AS1123" s="227"/>
      <c r="AT1123" s="227"/>
      <c r="AU1123" s="227"/>
    </row>
    <row r="1124" spans="27:47" ht="12.95" customHeight="1">
      <c r="AA1124" s="227"/>
      <c r="AB1124" s="227"/>
      <c r="AC1124" s="227"/>
      <c r="AD1124" s="227"/>
      <c r="AE1124" s="227"/>
      <c r="AG1124" s="19"/>
      <c r="AN1124" s="227"/>
      <c r="AO1124" s="227"/>
      <c r="AP1124" s="227"/>
      <c r="AQ1124" s="227"/>
      <c r="AR1124" s="227"/>
      <c r="AS1124" s="227"/>
      <c r="AT1124" s="227"/>
      <c r="AU1124" s="227"/>
    </row>
    <row r="1125" spans="27:47" ht="12.95" customHeight="1">
      <c r="AA1125" s="227"/>
      <c r="AB1125" s="227"/>
      <c r="AC1125" s="227"/>
      <c r="AD1125" s="227"/>
      <c r="AE1125" s="227"/>
      <c r="AG1125" s="19"/>
      <c r="AN1125" s="227"/>
      <c r="AO1125" s="227"/>
      <c r="AP1125" s="227"/>
      <c r="AQ1125" s="227"/>
      <c r="AR1125" s="227"/>
      <c r="AS1125" s="227"/>
      <c r="AT1125" s="227"/>
      <c r="AU1125" s="227"/>
    </row>
    <row r="1126" spans="27:47" ht="12.95" customHeight="1">
      <c r="AA1126" s="227"/>
      <c r="AB1126" s="227"/>
      <c r="AC1126" s="227"/>
      <c r="AD1126" s="227"/>
      <c r="AE1126" s="227"/>
      <c r="AG1126" s="19"/>
      <c r="AN1126" s="227"/>
      <c r="AO1126" s="227"/>
      <c r="AP1126" s="227"/>
      <c r="AQ1126" s="227"/>
      <c r="AR1126" s="227"/>
      <c r="AS1126" s="227"/>
      <c r="AT1126" s="227"/>
      <c r="AU1126" s="227"/>
    </row>
    <row r="1127" spans="27:47" ht="12.95" customHeight="1">
      <c r="AA1127" s="227"/>
      <c r="AB1127" s="227"/>
      <c r="AC1127" s="227"/>
      <c r="AD1127" s="227"/>
      <c r="AE1127" s="227"/>
      <c r="AG1127" s="19"/>
      <c r="AN1127" s="227"/>
      <c r="AO1127" s="227"/>
      <c r="AP1127" s="227"/>
      <c r="AQ1127" s="227"/>
      <c r="AR1127" s="227"/>
      <c r="AS1127" s="227"/>
      <c r="AT1127" s="227"/>
      <c r="AU1127" s="227"/>
    </row>
    <row r="1128" spans="27:47" ht="12.95" customHeight="1">
      <c r="AA1128" s="227"/>
      <c r="AB1128" s="227"/>
      <c r="AC1128" s="227"/>
      <c r="AD1128" s="227"/>
      <c r="AE1128" s="227"/>
      <c r="AG1128" s="19"/>
      <c r="AN1128" s="227"/>
      <c r="AO1128" s="227"/>
      <c r="AP1128" s="227"/>
      <c r="AQ1128" s="227"/>
      <c r="AR1128" s="227"/>
      <c r="AS1128" s="227"/>
      <c r="AT1128" s="227"/>
      <c r="AU1128" s="227"/>
    </row>
    <row r="1129" spans="27:47" ht="12.95" customHeight="1">
      <c r="AA1129" s="227"/>
      <c r="AB1129" s="227"/>
      <c r="AC1129" s="227"/>
      <c r="AD1129" s="227"/>
      <c r="AE1129" s="227"/>
      <c r="AG1129" s="19"/>
      <c r="AN1129" s="227"/>
      <c r="AO1129" s="227"/>
      <c r="AP1129" s="227"/>
      <c r="AQ1129" s="227"/>
      <c r="AR1129" s="227"/>
      <c r="AS1129" s="227"/>
      <c r="AT1129" s="227"/>
      <c r="AU1129" s="227"/>
    </row>
    <row r="1130" spans="27:47" ht="12.95" customHeight="1">
      <c r="AA1130" s="227"/>
      <c r="AB1130" s="227"/>
      <c r="AC1130" s="227"/>
      <c r="AD1130" s="227"/>
      <c r="AE1130" s="227"/>
      <c r="AG1130" s="19"/>
      <c r="AN1130" s="227"/>
      <c r="AO1130" s="227"/>
      <c r="AP1130" s="227"/>
      <c r="AQ1130" s="227"/>
      <c r="AR1130" s="227"/>
      <c r="AS1130" s="227"/>
      <c r="AT1130" s="227"/>
      <c r="AU1130" s="227"/>
    </row>
    <row r="1131" spans="27:47" ht="12.95" customHeight="1">
      <c r="AA1131" s="227"/>
      <c r="AB1131" s="227"/>
      <c r="AC1131" s="227"/>
      <c r="AD1131" s="227"/>
      <c r="AE1131" s="227"/>
      <c r="AG1131" s="19"/>
      <c r="AN1131" s="227"/>
      <c r="AO1131" s="227"/>
      <c r="AP1131" s="227"/>
      <c r="AQ1131" s="227"/>
      <c r="AR1131" s="227"/>
      <c r="AS1131" s="227"/>
      <c r="AT1131" s="227"/>
      <c r="AU1131" s="227"/>
    </row>
    <row r="1132" spans="27:47" ht="12.95" customHeight="1">
      <c r="AA1132" s="227"/>
      <c r="AB1132" s="227"/>
      <c r="AC1132" s="227"/>
      <c r="AD1132" s="227"/>
      <c r="AE1132" s="227"/>
      <c r="AG1132" s="19"/>
      <c r="AN1132" s="227"/>
      <c r="AO1132" s="227"/>
      <c r="AP1132" s="227"/>
      <c r="AQ1132" s="227"/>
      <c r="AR1132" s="227"/>
      <c r="AS1132" s="227"/>
      <c r="AT1132" s="227"/>
      <c r="AU1132" s="227"/>
    </row>
    <row r="1133" spans="27:47" ht="12.95" customHeight="1">
      <c r="AA1133" s="227"/>
      <c r="AB1133" s="227"/>
      <c r="AC1133" s="227"/>
      <c r="AD1133" s="227"/>
      <c r="AE1133" s="227"/>
      <c r="AG1133" s="19"/>
      <c r="AN1133" s="227"/>
      <c r="AO1133" s="227"/>
      <c r="AP1133" s="227"/>
      <c r="AQ1133" s="227"/>
      <c r="AR1133" s="227"/>
      <c r="AS1133" s="227"/>
      <c r="AT1133" s="227"/>
      <c r="AU1133" s="227"/>
    </row>
    <row r="1134" spans="27:47" ht="12.95" customHeight="1">
      <c r="AA1134" s="227"/>
      <c r="AB1134" s="227"/>
      <c r="AC1134" s="227"/>
      <c r="AD1134" s="227"/>
      <c r="AE1134" s="227"/>
      <c r="AG1134" s="19"/>
      <c r="AN1134" s="227"/>
      <c r="AO1134" s="227"/>
      <c r="AP1134" s="227"/>
      <c r="AQ1134" s="227"/>
      <c r="AR1134" s="227"/>
      <c r="AS1134" s="227"/>
      <c r="AT1134" s="227"/>
      <c r="AU1134" s="227"/>
    </row>
    <row r="1135" spans="27:47" ht="12.95" customHeight="1">
      <c r="AA1135" s="227"/>
      <c r="AB1135" s="227"/>
      <c r="AC1135" s="227"/>
      <c r="AD1135" s="227"/>
      <c r="AE1135" s="227"/>
      <c r="AG1135" s="19"/>
      <c r="AN1135" s="227"/>
      <c r="AO1135" s="227"/>
      <c r="AP1135" s="227"/>
      <c r="AQ1135" s="227"/>
      <c r="AR1135" s="227"/>
      <c r="AS1135" s="227"/>
      <c r="AT1135" s="227"/>
      <c r="AU1135" s="227"/>
    </row>
    <row r="1136" spans="27:47" ht="12.95" customHeight="1">
      <c r="AA1136" s="227"/>
      <c r="AB1136" s="227"/>
      <c r="AC1136" s="227"/>
      <c r="AD1136" s="227"/>
      <c r="AE1136" s="227"/>
      <c r="AG1136" s="19"/>
      <c r="AN1136" s="227"/>
      <c r="AO1136" s="227"/>
      <c r="AP1136" s="227"/>
      <c r="AQ1136" s="227"/>
      <c r="AR1136" s="227"/>
      <c r="AS1136" s="227"/>
      <c r="AT1136" s="227"/>
      <c r="AU1136" s="227"/>
    </row>
    <row r="1137" spans="27:48" ht="12.95" customHeight="1">
      <c r="AA1137" s="227"/>
      <c r="AB1137" s="227"/>
      <c r="AC1137" s="227"/>
      <c r="AD1137" s="227"/>
      <c r="AE1137" s="227"/>
      <c r="AG1137" s="19"/>
      <c r="AN1137" s="227"/>
      <c r="AO1137" s="227"/>
      <c r="AP1137" s="227"/>
      <c r="AQ1137" s="227"/>
      <c r="AR1137" s="227"/>
      <c r="AS1137" s="227"/>
      <c r="AT1137" s="227"/>
      <c r="AU1137" s="227"/>
    </row>
    <row r="1138" spans="27:48" ht="12.95" customHeight="1">
      <c r="AA1138" s="227"/>
      <c r="AB1138" s="227"/>
      <c r="AC1138" s="227"/>
      <c r="AD1138" s="227"/>
      <c r="AE1138" s="227"/>
      <c r="AG1138" s="19"/>
      <c r="AN1138" s="227"/>
      <c r="AO1138" s="227"/>
      <c r="AP1138" s="227"/>
      <c r="AQ1138" s="227"/>
      <c r="AR1138" s="227"/>
      <c r="AS1138" s="227"/>
      <c r="AT1138" s="227"/>
      <c r="AU1138" s="227"/>
    </row>
    <row r="1139" spans="27:48" ht="12.95" customHeight="1">
      <c r="AA1139" s="227"/>
      <c r="AB1139" s="227"/>
      <c r="AC1139" s="227"/>
      <c r="AD1139" s="227"/>
      <c r="AE1139" s="227"/>
      <c r="AG1139" s="19"/>
      <c r="AN1139" s="227"/>
      <c r="AO1139" s="227"/>
      <c r="AP1139" s="227"/>
      <c r="AQ1139" s="227"/>
      <c r="AR1139" s="227"/>
      <c r="AS1139" s="227"/>
      <c r="AT1139" s="227"/>
      <c r="AU1139" s="227"/>
    </row>
    <row r="1140" spans="27:48" ht="12.95" customHeight="1">
      <c r="AA1140" s="227"/>
      <c r="AB1140" s="227"/>
      <c r="AC1140" s="227"/>
      <c r="AD1140" s="227"/>
      <c r="AE1140" s="227"/>
      <c r="AG1140" s="19"/>
      <c r="AN1140" s="227"/>
      <c r="AO1140" s="227"/>
      <c r="AP1140" s="227"/>
      <c r="AQ1140" s="227"/>
      <c r="AR1140" s="227"/>
      <c r="AS1140" s="227"/>
      <c r="AT1140" s="227"/>
      <c r="AU1140" s="227"/>
    </row>
    <row r="1141" spans="27:48" ht="12.95" customHeight="1">
      <c r="AA1141" s="227"/>
      <c r="AB1141" s="227"/>
      <c r="AC1141" s="227"/>
      <c r="AD1141" s="227"/>
      <c r="AE1141" s="227"/>
      <c r="AG1141" s="19"/>
      <c r="AN1141" s="227"/>
      <c r="AO1141" s="227"/>
      <c r="AP1141" s="227"/>
      <c r="AQ1141" s="227"/>
      <c r="AR1141" s="227"/>
      <c r="AS1141" s="227"/>
      <c r="AT1141" s="227"/>
      <c r="AU1141" s="227"/>
    </row>
    <row r="1142" spans="27:48" ht="12.95" customHeight="1">
      <c r="AA1142" s="227"/>
      <c r="AB1142" s="227"/>
      <c r="AC1142" s="227"/>
      <c r="AD1142" s="227"/>
      <c r="AE1142" s="227"/>
      <c r="AG1142" s="19"/>
      <c r="AN1142" s="227"/>
      <c r="AO1142" s="227"/>
      <c r="AP1142" s="227"/>
      <c r="AQ1142" s="227"/>
      <c r="AR1142" s="227"/>
      <c r="AS1142" s="227"/>
      <c r="AT1142" s="227"/>
      <c r="AU1142" s="227"/>
    </row>
    <row r="1143" spans="27:48" ht="12.95" customHeight="1">
      <c r="AA1143" s="227"/>
      <c r="AB1143" s="227"/>
      <c r="AC1143" s="227"/>
      <c r="AD1143" s="227"/>
      <c r="AE1143" s="227"/>
      <c r="AG1143" s="19"/>
      <c r="AN1143" s="227"/>
      <c r="AO1143" s="227"/>
      <c r="AP1143" s="227"/>
      <c r="AQ1143" s="227"/>
      <c r="AR1143" s="227"/>
      <c r="AS1143" s="227"/>
      <c r="AT1143" s="227"/>
      <c r="AU1143" s="227"/>
    </row>
    <row r="1144" spans="27:48" ht="12.95" customHeight="1">
      <c r="AA1144" s="227"/>
      <c r="AB1144" s="227"/>
      <c r="AC1144" s="227"/>
      <c r="AD1144" s="227"/>
      <c r="AE1144" s="227"/>
      <c r="AG1144" s="19"/>
      <c r="AN1144" s="227"/>
      <c r="AO1144" s="227"/>
      <c r="AP1144" s="227"/>
      <c r="AQ1144" s="227"/>
      <c r="AR1144" s="227"/>
      <c r="AS1144" s="227"/>
      <c r="AT1144" s="227"/>
      <c r="AU1144" s="227"/>
    </row>
    <row r="1145" spans="27:48" ht="12.95" customHeight="1">
      <c r="AA1145" s="227"/>
      <c r="AB1145" s="227"/>
      <c r="AC1145" s="227"/>
      <c r="AD1145" s="227"/>
      <c r="AE1145" s="227"/>
      <c r="AG1145" s="19"/>
      <c r="AN1145" s="227"/>
      <c r="AO1145" s="227"/>
      <c r="AP1145" s="227"/>
      <c r="AQ1145" s="227"/>
      <c r="AR1145" s="227"/>
      <c r="AS1145" s="227"/>
      <c r="AT1145" s="227"/>
      <c r="AU1145" s="227"/>
    </row>
    <row r="1146" spans="27:48" ht="12.95" customHeight="1">
      <c r="AA1146" s="227"/>
      <c r="AB1146" s="227"/>
      <c r="AC1146" s="227"/>
      <c r="AD1146" s="227"/>
      <c r="AE1146" s="227"/>
      <c r="AG1146" s="19"/>
      <c r="AN1146" s="227"/>
      <c r="AO1146" s="227"/>
      <c r="AP1146" s="227"/>
      <c r="AQ1146" s="227"/>
      <c r="AR1146" s="227"/>
      <c r="AS1146" s="227"/>
      <c r="AT1146" s="227"/>
      <c r="AU1146" s="227"/>
    </row>
    <row r="1147" spans="27:48" ht="12.95" customHeight="1">
      <c r="AA1147" s="227"/>
      <c r="AB1147" s="227"/>
      <c r="AC1147" s="227"/>
      <c r="AD1147" s="227"/>
      <c r="AE1147" s="227"/>
      <c r="AG1147" s="19"/>
      <c r="AN1147" s="227"/>
      <c r="AO1147" s="227"/>
      <c r="AP1147" s="227"/>
      <c r="AQ1147" s="227"/>
      <c r="AR1147" s="227"/>
      <c r="AS1147" s="227"/>
      <c r="AT1147" s="227"/>
      <c r="AU1147" s="227"/>
    </row>
    <row r="1148" spans="27:48" ht="12.95" customHeight="1">
      <c r="AA1148" s="227"/>
      <c r="AB1148" s="227"/>
      <c r="AC1148" s="227"/>
      <c r="AD1148" s="227"/>
      <c r="AE1148" s="227"/>
      <c r="AG1148" s="19"/>
      <c r="AN1148" s="227"/>
      <c r="AO1148" s="227"/>
      <c r="AP1148" s="227"/>
      <c r="AQ1148" s="227"/>
      <c r="AR1148" s="227"/>
      <c r="AS1148" s="227"/>
      <c r="AT1148" s="227"/>
      <c r="AU1148" s="227"/>
    </row>
    <row r="1149" spans="27:48" ht="12.95" customHeight="1">
      <c r="AA1149" s="227"/>
      <c r="AB1149" s="227"/>
      <c r="AC1149" s="227"/>
      <c r="AD1149" s="227"/>
      <c r="AE1149" s="227"/>
      <c r="AG1149" s="19"/>
      <c r="AN1149" s="227"/>
      <c r="AO1149" s="227"/>
      <c r="AP1149" s="227"/>
      <c r="AQ1149" s="227"/>
      <c r="AR1149" s="227"/>
      <c r="AS1149" s="227"/>
      <c r="AT1149" s="227"/>
      <c r="AU1149" s="227"/>
    </row>
    <row r="1150" spans="27:48" ht="12.95" customHeight="1">
      <c r="AA1150" s="227"/>
      <c r="AB1150" s="227"/>
      <c r="AC1150" s="227"/>
      <c r="AD1150" s="227"/>
      <c r="AE1150" s="227"/>
      <c r="AG1150" s="19"/>
      <c r="AN1150" s="227"/>
      <c r="AO1150" s="227"/>
      <c r="AP1150" s="227"/>
      <c r="AQ1150" s="227"/>
      <c r="AR1150" s="227"/>
      <c r="AS1150" s="227"/>
      <c r="AT1150" s="227"/>
      <c r="AU1150" s="227"/>
    </row>
    <row r="1151" spans="27:48" ht="12.95" customHeight="1">
      <c r="AA1151" s="227"/>
      <c r="AB1151" s="227"/>
      <c r="AC1151" s="227"/>
      <c r="AD1151" s="227"/>
      <c r="AE1151" s="227"/>
      <c r="AG1151" s="19"/>
      <c r="AN1151" s="227"/>
      <c r="AO1151" s="227"/>
      <c r="AP1151" s="227"/>
      <c r="AQ1151" s="227"/>
      <c r="AR1151" s="227"/>
      <c r="AS1151" s="227"/>
      <c r="AT1151" s="227"/>
      <c r="AU1151" s="227"/>
      <c r="AV1151" s="227"/>
    </row>
    <row r="1152" spans="27:48" ht="12.95" customHeight="1">
      <c r="AA1152" s="227"/>
      <c r="AB1152" s="227"/>
      <c r="AC1152" s="227"/>
      <c r="AD1152" s="227"/>
      <c r="AE1152" s="227"/>
      <c r="AG1152" s="19"/>
      <c r="AN1152" s="227"/>
      <c r="AO1152" s="227"/>
      <c r="AP1152" s="227"/>
      <c r="AQ1152" s="227"/>
      <c r="AR1152" s="227"/>
      <c r="AS1152" s="227"/>
      <c r="AT1152" s="227"/>
      <c r="AU1152" s="227"/>
    </row>
    <row r="1153" spans="27:47" ht="12.95" customHeight="1">
      <c r="AA1153" s="227"/>
      <c r="AB1153" s="227"/>
      <c r="AC1153" s="227"/>
      <c r="AD1153" s="227"/>
      <c r="AE1153" s="227"/>
      <c r="AG1153" s="19"/>
      <c r="AN1153" s="227"/>
      <c r="AO1153" s="227"/>
      <c r="AP1153" s="227"/>
      <c r="AQ1153" s="227"/>
      <c r="AR1153" s="227"/>
      <c r="AS1153" s="227"/>
      <c r="AT1153" s="227"/>
      <c r="AU1153" s="227"/>
    </row>
    <row r="1154" spans="27:47" ht="12.95" customHeight="1">
      <c r="AA1154" s="227"/>
      <c r="AB1154" s="227"/>
      <c r="AC1154" s="227"/>
      <c r="AD1154" s="227"/>
      <c r="AE1154" s="227"/>
      <c r="AG1154" s="19"/>
      <c r="AN1154" s="227"/>
      <c r="AO1154" s="227"/>
      <c r="AP1154" s="227"/>
      <c r="AQ1154" s="227"/>
      <c r="AR1154" s="227"/>
      <c r="AS1154" s="227"/>
      <c r="AT1154" s="227"/>
      <c r="AU1154" s="227"/>
    </row>
    <row r="1155" spans="27:47" ht="12.95" customHeight="1">
      <c r="AA1155" s="227"/>
      <c r="AB1155" s="227"/>
      <c r="AC1155" s="227"/>
      <c r="AD1155" s="227"/>
      <c r="AE1155" s="227"/>
      <c r="AG1155" s="19"/>
      <c r="AN1155" s="227"/>
      <c r="AO1155" s="227"/>
      <c r="AP1155" s="227"/>
      <c r="AQ1155" s="227"/>
      <c r="AR1155" s="227"/>
      <c r="AS1155" s="227"/>
      <c r="AT1155" s="227"/>
      <c r="AU1155" s="227"/>
    </row>
    <row r="1156" spans="27:47" ht="12.95" customHeight="1">
      <c r="AA1156" s="227"/>
      <c r="AB1156" s="227"/>
      <c r="AC1156" s="227"/>
      <c r="AD1156" s="227"/>
      <c r="AE1156" s="227"/>
      <c r="AG1156" s="19"/>
      <c r="AN1156" s="227"/>
      <c r="AO1156" s="227"/>
      <c r="AP1156" s="227"/>
      <c r="AQ1156" s="227"/>
      <c r="AR1156" s="227"/>
      <c r="AS1156" s="227"/>
      <c r="AT1156" s="227"/>
      <c r="AU1156" s="227"/>
    </row>
    <row r="1157" spans="27:47" ht="12.95" customHeight="1">
      <c r="AA1157" s="227"/>
      <c r="AB1157" s="227"/>
      <c r="AC1157" s="227"/>
      <c r="AD1157" s="227"/>
      <c r="AE1157" s="227"/>
      <c r="AG1157" s="19"/>
      <c r="AN1157" s="227"/>
      <c r="AO1157" s="227"/>
      <c r="AP1157" s="227"/>
      <c r="AQ1157" s="227"/>
      <c r="AR1157" s="227"/>
      <c r="AS1157" s="227"/>
      <c r="AT1157" s="227"/>
      <c r="AU1157" s="227"/>
    </row>
    <row r="1158" spans="27:47" ht="12.95" customHeight="1">
      <c r="AA1158" s="227"/>
      <c r="AB1158" s="227"/>
      <c r="AC1158" s="227"/>
      <c r="AD1158" s="227"/>
      <c r="AE1158" s="227"/>
      <c r="AG1158" s="19"/>
      <c r="AN1158" s="227"/>
      <c r="AO1158" s="227"/>
      <c r="AP1158" s="227"/>
      <c r="AQ1158" s="227"/>
      <c r="AR1158" s="227"/>
      <c r="AS1158" s="227"/>
      <c r="AT1158" s="227"/>
      <c r="AU1158" s="227"/>
    </row>
    <row r="1159" spans="27:47" ht="12.95" customHeight="1">
      <c r="AA1159" s="227"/>
      <c r="AB1159" s="227"/>
      <c r="AC1159" s="227"/>
      <c r="AD1159" s="227"/>
      <c r="AE1159" s="227"/>
      <c r="AG1159" s="19"/>
      <c r="AN1159" s="227"/>
      <c r="AO1159" s="227"/>
      <c r="AP1159" s="227"/>
      <c r="AQ1159" s="227"/>
      <c r="AR1159" s="227"/>
      <c r="AS1159" s="227"/>
      <c r="AT1159" s="227"/>
      <c r="AU1159" s="227"/>
    </row>
    <row r="1160" spans="27:47" ht="12.95" customHeight="1">
      <c r="AA1160" s="227"/>
      <c r="AB1160" s="227"/>
      <c r="AC1160" s="227"/>
      <c r="AD1160" s="227"/>
      <c r="AE1160" s="227"/>
      <c r="AG1160" s="19"/>
      <c r="AN1160" s="227"/>
      <c r="AO1160" s="227"/>
      <c r="AP1160" s="227"/>
      <c r="AQ1160" s="227"/>
      <c r="AR1160" s="227"/>
      <c r="AS1160" s="227"/>
      <c r="AT1160" s="227"/>
      <c r="AU1160" s="227"/>
    </row>
    <row r="1161" spans="27:47" ht="12.95" customHeight="1">
      <c r="AA1161" s="227"/>
      <c r="AB1161" s="227"/>
      <c r="AC1161" s="227"/>
      <c r="AD1161" s="227"/>
      <c r="AE1161" s="227"/>
      <c r="AG1161" s="19"/>
      <c r="AN1161" s="227"/>
      <c r="AO1161" s="227"/>
      <c r="AP1161" s="227"/>
      <c r="AQ1161" s="227"/>
      <c r="AR1161" s="227"/>
      <c r="AS1161" s="227"/>
      <c r="AT1161" s="227"/>
      <c r="AU1161" s="227"/>
    </row>
    <row r="1162" spans="27:47" ht="12.95" customHeight="1">
      <c r="AA1162" s="227"/>
      <c r="AB1162" s="227"/>
      <c r="AC1162" s="227"/>
      <c r="AD1162" s="227"/>
      <c r="AE1162" s="227"/>
      <c r="AG1162" s="19"/>
      <c r="AN1162" s="227"/>
      <c r="AO1162" s="227"/>
      <c r="AP1162" s="227"/>
      <c r="AQ1162" s="227"/>
      <c r="AR1162" s="227"/>
      <c r="AS1162" s="227"/>
      <c r="AT1162" s="227"/>
      <c r="AU1162" s="227"/>
    </row>
    <row r="1163" spans="27:47" ht="12.95" customHeight="1">
      <c r="AA1163" s="227"/>
      <c r="AB1163" s="227"/>
      <c r="AC1163" s="227"/>
      <c r="AD1163" s="227"/>
      <c r="AE1163" s="227"/>
      <c r="AG1163" s="19"/>
      <c r="AN1163" s="227"/>
      <c r="AO1163" s="227"/>
      <c r="AP1163" s="227"/>
      <c r="AQ1163" s="227"/>
      <c r="AR1163" s="227"/>
      <c r="AS1163" s="227"/>
      <c r="AT1163" s="227"/>
      <c r="AU1163" s="227"/>
    </row>
    <row r="1164" spans="27:47" ht="12.95" customHeight="1">
      <c r="AA1164" s="227"/>
      <c r="AB1164" s="227"/>
      <c r="AC1164" s="227"/>
      <c r="AD1164" s="227"/>
      <c r="AE1164" s="227"/>
      <c r="AG1164" s="19"/>
      <c r="AN1164" s="227"/>
      <c r="AO1164" s="227"/>
      <c r="AP1164" s="227"/>
      <c r="AQ1164" s="227"/>
      <c r="AR1164" s="227"/>
      <c r="AS1164" s="227"/>
      <c r="AT1164" s="227"/>
      <c r="AU1164" s="227"/>
    </row>
    <row r="1165" spans="27:47" ht="12.95" customHeight="1">
      <c r="AA1165" s="227"/>
      <c r="AB1165" s="227"/>
      <c r="AC1165" s="227"/>
      <c r="AD1165" s="227"/>
      <c r="AE1165" s="227"/>
      <c r="AG1165" s="19"/>
      <c r="AN1165" s="227"/>
      <c r="AO1165" s="227"/>
      <c r="AP1165" s="227"/>
      <c r="AQ1165" s="227"/>
      <c r="AR1165" s="227"/>
      <c r="AS1165" s="227"/>
      <c r="AT1165" s="227"/>
      <c r="AU1165" s="227"/>
    </row>
    <row r="1166" spans="27:47" ht="12.95" customHeight="1">
      <c r="AA1166" s="227"/>
      <c r="AB1166" s="227"/>
      <c r="AC1166" s="227"/>
      <c r="AD1166" s="227"/>
      <c r="AE1166" s="227"/>
      <c r="AG1166" s="19"/>
      <c r="AN1166" s="227"/>
      <c r="AO1166" s="227"/>
      <c r="AP1166" s="227"/>
      <c r="AQ1166" s="227"/>
      <c r="AR1166" s="227"/>
      <c r="AS1166" s="227"/>
      <c r="AT1166" s="227"/>
      <c r="AU1166" s="227"/>
    </row>
    <row r="1167" spans="27:47" ht="12.95" customHeight="1">
      <c r="AA1167" s="227"/>
      <c r="AB1167" s="227"/>
      <c r="AC1167" s="227"/>
      <c r="AD1167" s="227"/>
      <c r="AE1167" s="227"/>
      <c r="AG1167" s="19"/>
      <c r="AN1167" s="227"/>
      <c r="AO1167" s="227"/>
      <c r="AP1167" s="227"/>
      <c r="AQ1167" s="227"/>
      <c r="AR1167" s="227"/>
      <c r="AS1167" s="227"/>
      <c r="AT1167" s="227"/>
      <c r="AU1167" s="227"/>
    </row>
    <row r="1168" spans="27:47" ht="12.95" customHeight="1">
      <c r="AA1168" s="227"/>
      <c r="AB1168" s="227"/>
      <c r="AC1168" s="227"/>
      <c r="AD1168" s="227"/>
      <c r="AE1168" s="227"/>
      <c r="AG1168" s="19"/>
      <c r="AN1168" s="227"/>
      <c r="AO1168" s="227"/>
      <c r="AP1168" s="227"/>
      <c r="AQ1168" s="227"/>
      <c r="AR1168" s="227"/>
      <c r="AS1168" s="227"/>
      <c r="AT1168" s="227"/>
      <c r="AU1168" s="227"/>
    </row>
    <row r="1169" spans="27:64" ht="12.95" customHeight="1">
      <c r="AA1169" s="227"/>
      <c r="AB1169" s="227"/>
      <c r="AC1169" s="227"/>
      <c r="AD1169" s="227"/>
      <c r="AE1169" s="227"/>
      <c r="AG1169" s="19"/>
      <c r="AN1169" s="227"/>
      <c r="AO1169" s="227"/>
      <c r="AP1169" s="227"/>
      <c r="AQ1169" s="227"/>
      <c r="AR1169" s="227"/>
      <c r="AS1169" s="227"/>
      <c r="AT1169" s="227"/>
      <c r="AU1169" s="227"/>
    </row>
    <row r="1170" spans="27:64" ht="12.95" customHeight="1">
      <c r="AA1170" s="227"/>
      <c r="AB1170" s="227"/>
      <c r="AC1170" s="227"/>
      <c r="AD1170" s="227"/>
      <c r="AE1170" s="227"/>
      <c r="AG1170" s="19"/>
      <c r="AN1170" s="227"/>
      <c r="AO1170" s="227"/>
      <c r="AP1170" s="227"/>
      <c r="AQ1170" s="227"/>
      <c r="AR1170" s="227"/>
      <c r="AS1170" s="227"/>
      <c r="AT1170" s="227"/>
      <c r="AU1170" s="227"/>
    </row>
    <row r="1171" spans="27:64" ht="12.95" customHeight="1">
      <c r="AA1171" s="227"/>
      <c r="AB1171" s="227"/>
      <c r="AC1171" s="227"/>
      <c r="AD1171" s="227"/>
      <c r="AE1171" s="227"/>
      <c r="AG1171" s="19"/>
      <c r="AN1171" s="227"/>
      <c r="AO1171" s="227"/>
      <c r="AP1171" s="227"/>
      <c r="AQ1171" s="227"/>
      <c r="AR1171" s="227"/>
      <c r="AS1171" s="227"/>
      <c r="AT1171" s="227"/>
      <c r="AU1171" s="227"/>
      <c r="AV1171" s="227"/>
      <c r="AW1171" s="227"/>
      <c r="AX1171" s="227"/>
      <c r="AY1171" s="227"/>
      <c r="AZ1171" s="227"/>
      <c r="BA1171" s="227"/>
      <c r="BB1171" s="227"/>
      <c r="BC1171" s="227"/>
      <c r="BD1171" s="227"/>
      <c r="BE1171" s="227"/>
      <c r="BF1171" s="227"/>
      <c r="BG1171" s="227"/>
      <c r="BH1171" s="227"/>
      <c r="BI1171" s="227"/>
      <c r="BJ1171" s="227"/>
      <c r="BK1171" s="227"/>
      <c r="BL1171" s="227"/>
    </row>
    <row r="1172" spans="27:64" ht="12.95" customHeight="1">
      <c r="AA1172" s="227"/>
      <c r="AB1172" s="227"/>
      <c r="AC1172" s="227"/>
      <c r="AD1172" s="227"/>
      <c r="AE1172" s="227"/>
      <c r="AG1172" s="19"/>
      <c r="AN1172" s="227"/>
      <c r="AO1172" s="227"/>
      <c r="AP1172" s="227"/>
      <c r="AQ1172" s="227"/>
      <c r="AR1172" s="227"/>
      <c r="AS1172" s="227"/>
      <c r="AT1172" s="227"/>
      <c r="AU1172" s="227"/>
    </row>
    <row r="1173" spans="27:64" ht="12.95" customHeight="1">
      <c r="AA1173" s="227"/>
      <c r="AB1173" s="227"/>
      <c r="AC1173" s="227"/>
      <c r="AD1173" s="227"/>
      <c r="AE1173" s="227"/>
      <c r="AG1173" s="19"/>
      <c r="AN1173" s="227"/>
      <c r="AO1173" s="227"/>
      <c r="AP1173" s="227"/>
      <c r="AQ1173" s="227"/>
      <c r="AR1173" s="227"/>
      <c r="AS1173" s="227"/>
      <c r="AT1173" s="227"/>
      <c r="AU1173" s="227"/>
    </row>
    <row r="1174" spans="27:64" ht="12.95" customHeight="1">
      <c r="AA1174" s="227"/>
      <c r="AB1174" s="227"/>
      <c r="AC1174" s="227"/>
      <c r="AD1174" s="227"/>
      <c r="AE1174" s="227"/>
      <c r="AG1174" s="19"/>
      <c r="AN1174" s="227"/>
      <c r="AO1174" s="227"/>
      <c r="AP1174" s="227"/>
      <c r="AQ1174" s="227"/>
      <c r="AR1174" s="227"/>
      <c r="AS1174" s="227"/>
      <c r="AT1174" s="227"/>
      <c r="AU1174" s="227"/>
    </row>
    <row r="1175" spans="27:64" ht="12.95" customHeight="1">
      <c r="AA1175" s="227"/>
      <c r="AB1175" s="227"/>
      <c r="AC1175" s="227"/>
      <c r="AD1175" s="227"/>
      <c r="AE1175" s="227"/>
      <c r="AG1175" s="19"/>
      <c r="AN1175" s="227"/>
      <c r="AO1175" s="227"/>
      <c r="AP1175" s="227"/>
      <c r="AQ1175" s="227"/>
      <c r="AR1175" s="227"/>
      <c r="AS1175" s="227"/>
      <c r="AT1175" s="227"/>
      <c r="AU1175" s="227"/>
    </row>
    <row r="1176" spans="27:64" ht="12.95" customHeight="1">
      <c r="AA1176" s="227"/>
      <c r="AB1176" s="227"/>
      <c r="AC1176" s="227"/>
      <c r="AD1176" s="227"/>
      <c r="AE1176" s="227"/>
      <c r="AG1176" s="19"/>
      <c r="AN1176" s="227"/>
      <c r="AO1176" s="227"/>
      <c r="AP1176" s="227"/>
      <c r="AQ1176" s="227"/>
      <c r="AR1176" s="227"/>
      <c r="AS1176" s="227"/>
      <c r="AT1176" s="227"/>
      <c r="AU1176" s="227"/>
    </row>
    <row r="1177" spans="27:64" ht="12.95" customHeight="1">
      <c r="AA1177" s="227"/>
      <c r="AB1177" s="227"/>
      <c r="AC1177" s="227"/>
      <c r="AD1177" s="227"/>
      <c r="AE1177" s="227"/>
      <c r="AG1177" s="19"/>
      <c r="AN1177" s="227"/>
      <c r="AO1177" s="227"/>
      <c r="AP1177" s="227"/>
      <c r="AQ1177" s="227"/>
      <c r="AR1177" s="227"/>
      <c r="AS1177" s="227"/>
      <c r="AT1177" s="227"/>
      <c r="AU1177" s="227"/>
    </row>
    <row r="1178" spans="27:64" ht="12.95" customHeight="1">
      <c r="AA1178" s="227"/>
      <c r="AB1178" s="227"/>
      <c r="AC1178" s="227"/>
      <c r="AD1178" s="227"/>
      <c r="AE1178" s="227"/>
      <c r="AG1178" s="19"/>
      <c r="AN1178" s="227"/>
      <c r="AO1178" s="227"/>
      <c r="AP1178" s="227"/>
      <c r="AQ1178" s="227"/>
      <c r="AR1178" s="227"/>
      <c r="AS1178" s="227"/>
      <c r="AT1178" s="227"/>
      <c r="AU1178" s="227"/>
    </row>
    <row r="1179" spans="27:64" ht="12.95" customHeight="1">
      <c r="AA1179" s="227"/>
      <c r="AB1179" s="227"/>
      <c r="AC1179" s="227"/>
      <c r="AD1179" s="227"/>
      <c r="AE1179" s="227"/>
      <c r="AG1179" s="19"/>
      <c r="AN1179" s="227"/>
      <c r="AO1179" s="227"/>
      <c r="AP1179" s="227"/>
      <c r="AQ1179" s="227"/>
      <c r="AR1179" s="227"/>
      <c r="AS1179" s="227"/>
      <c r="AT1179" s="227"/>
      <c r="AU1179" s="227"/>
    </row>
    <row r="1180" spans="27:64" ht="12.95" customHeight="1">
      <c r="AA1180" s="227"/>
      <c r="AB1180" s="227"/>
      <c r="AC1180" s="227"/>
      <c r="AD1180" s="227"/>
      <c r="AE1180" s="227"/>
      <c r="AG1180" s="19"/>
      <c r="AN1180" s="227"/>
      <c r="AO1180" s="227"/>
      <c r="AP1180" s="227"/>
      <c r="AQ1180" s="227"/>
      <c r="AR1180" s="227"/>
      <c r="AS1180" s="227"/>
      <c r="AT1180" s="227"/>
      <c r="AU1180" s="227"/>
    </row>
    <row r="1181" spans="27:64" ht="12.95" customHeight="1">
      <c r="AA1181" s="227"/>
      <c r="AB1181" s="227"/>
      <c r="AC1181" s="227"/>
      <c r="AD1181" s="227"/>
      <c r="AE1181" s="227"/>
      <c r="AG1181" s="19"/>
      <c r="AN1181" s="227"/>
      <c r="AO1181" s="227"/>
      <c r="AP1181" s="227"/>
      <c r="AQ1181" s="227"/>
      <c r="AR1181" s="227"/>
      <c r="AS1181" s="227"/>
      <c r="AT1181" s="227"/>
      <c r="AU1181" s="227"/>
    </row>
    <row r="1182" spans="27:64" ht="12.95" customHeight="1">
      <c r="AA1182" s="227"/>
      <c r="AB1182" s="227"/>
      <c r="AC1182" s="227"/>
      <c r="AD1182" s="227"/>
      <c r="AE1182" s="227"/>
      <c r="AG1182" s="19"/>
      <c r="AN1182" s="227"/>
      <c r="AO1182" s="227"/>
      <c r="AP1182" s="227"/>
      <c r="AQ1182" s="227"/>
      <c r="AR1182" s="227"/>
      <c r="AS1182" s="227"/>
      <c r="AT1182" s="227"/>
      <c r="AU1182" s="227"/>
    </row>
    <row r="1183" spans="27:64" ht="12.95" customHeight="1">
      <c r="AA1183" s="227"/>
      <c r="AB1183" s="227"/>
      <c r="AC1183" s="227"/>
      <c r="AD1183" s="227"/>
      <c r="AE1183" s="227"/>
      <c r="AG1183" s="19"/>
      <c r="AN1183" s="227"/>
      <c r="AO1183" s="227"/>
      <c r="AP1183" s="227"/>
      <c r="AQ1183" s="227"/>
      <c r="AR1183" s="227"/>
      <c r="AS1183" s="227"/>
      <c r="AT1183" s="227"/>
      <c r="AU1183" s="227"/>
    </row>
    <row r="1184" spans="27:64" ht="12.95" customHeight="1">
      <c r="AA1184" s="227"/>
      <c r="AB1184" s="227"/>
      <c r="AC1184" s="227"/>
      <c r="AD1184" s="227"/>
      <c r="AE1184" s="227"/>
      <c r="AG1184" s="19"/>
      <c r="AN1184" s="227"/>
      <c r="AO1184" s="227"/>
      <c r="AP1184" s="227"/>
      <c r="AQ1184" s="227"/>
      <c r="AR1184" s="227"/>
      <c r="AS1184" s="227"/>
      <c r="AT1184" s="227"/>
      <c r="AU1184" s="227"/>
      <c r="AV1184" s="227"/>
    </row>
    <row r="1185" spans="27:48" ht="12.95" customHeight="1">
      <c r="AA1185" s="227"/>
      <c r="AB1185" s="227"/>
      <c r="AC1185" s="227"/>
      <c r="AD1185" s="227"/>
      <c r="AE1185" s="227"/>
      <c r="AG1185" s="19"/>
      <c r="AN1185" s="227"/>
      <c r="AO1185" s="227"/>
      <c r="AP1185" s="227"/>
      <c r="AQ1185" s="227"/>
      <c r="AR1185" s="227"/>
      <c r="AS1185" s="227"/>
      <c r="AT1185" s="227"/>
      <c r="AU1185" s="227"/>
    </row>
    <row r="1186" spans="27:48" ht="12.95" customHeight="1">
      <c r="AA1186" s="227"/>
      <c r="AB1186" s="227"/>
      <c r="AC1186" s="227"/>
      <c r="AD1186" s="227"/>
      <c r="AE1186" s="227"/>
      <c r="AG1186" s="19"/>
      <c r="AN1186" s="227"/>
      <c r="AO1186" s="227"/>
      <c r="AP1186" s="227"/>
      <c r="AQ1186" s="227"/>
      <c r="AR1186" s="227"/>
      <c r="AS1186" s="227"/>
      <c r="AT1186" s="227"/>
      <c r="AU1186" s="227"/>
    </row>
    <row r="1187" spans="27:48" ht="12.95" customHeight="1">
      <c r="AA1187" s="227"/>
      <c r="AB1187" s="227"/>
      <c r="AC1187" s="227"/>
      <c r="AD1187" s="227"/>
      <c r="AE1187" s="227"/>
      <c r="AG1187" s="19"/>
      <c r="AN1187" s="227"/>
      <c r="AO1187" s="227"/>
      <c r="AP1187" s="227"/>
      <c r="AQ1187" s="227"/>
      <c r="AR1187" s="227"/>
      <c r="AS1187" s="227"/>
      <c r="AT1187" s="227"/>
      <c r="AU1187" s="227"/>
      <c r="AV1187" s="227"/>
    </row>
    <row r="1188" spans="27:48" ht="12.95" customHeight="1">
      <c r="AA1188" s="227"/>
      <c r="AB1188" s="227"/>
      <c r="AC1188" s="227"/>
      <c r="AD1188" s="227"/>
      <c r="AE1188" s="227"/>
      <c r="AG1188" s="19"/>
      <c r="AN1188" s="227"/>
      <c r="AO1188" s="227"/>
      <c r="AP1188" s="227"/>
      <c r="AQ1188" s="227"/>
      <c r="AR1188" s="227"/>
      <c r="AS1188" s="227"/>
      <c r="AT1188" s="227"/>
      <c r="AU1188" s="227"/>
    </row>
    <row r="1189" spans="27:48" ht="12.95" customHeight="1">
      <c r="AA1189" s="227"/>
      <c r="AB1189" s="227"/>
      <c r="AC1189" s="227"/>
      <c r="AD1189" s="227"/>
      <c r="AE1189" s="227"/>
      <c r="AG1189" s="19"/>
      <c r="AN1189" s="227"/>
      <c r="AO1189" s="227"/>
      <c r="AP1189" s="227"/>
      <c r="AQ1189" s="227"/>
      <c r="AR1189" s="227"/>
      <c r="AS1189" s="227"/>
      <c r="AT1189" s="227"/>
      <c r="AU1189" s="227"/>
    </row>
    <row r="1190" spans="27:48" ht="12.95" customHeight="1">
      <c r="AA1190" s="227"/>
      <c r="AB1190" s="227"/>
      <c r="AC1190" s="227"/>
      <c r="AD1190" s="227"/>
      <c r="AE1190" s="227"/>
      <c r="AG1190" s="19"/>
      <c r="AN1190" s="227"/>
      <c r="AO1190" s="227"/>
      <c r="AP1190" s="227"/>
      <c r="AQ1190" s="227"/>
      <c r="AR1190" s="227"/>
      <c r="AS1190" s="227"/>
      <c r="AT1190" s="227"/>
      <c r="AU1190" s="227"/>
    </row>
    <row r="1191" spans="27:48" ht="12.95" customHeight="1">
      <c r="AA1191" s="227"/>
      <c r="AB1191" s="227"/>
      <c r="AC1191" s="227"/>
      <c r="AD1191" s="227"/>
      <c r="AE1191" s="227"/>
      <c r="AG1191" s="19"/>
      <c r="AN1191" s="227"/>
      <c r="AO1191" s="227"/>
      <c r="AP1191" s="227"/>
      <c r="AQ1191" s="227"/>
      <c r="AR1191" s="227"/>
      <c r="AS1191" s="227"/>
      <c r="AT1191" s="227"/>
      <c r="AU1191" s="227"/>
    </row>
    <row r="1192" spans="27:48" ht="12.95" customHeight="1">
      <c r="AA1192" s="227"/>
      <c r="AB1192" s="227"/>
      <c r="AC1192" s="227"/>
      <c r="AD1192" s="227"/>
      <c r="AE1192" s="227"/>
      <c r="AG1192" s="19"/>
      <c r="AN1192" s="227"/>
      <c r="AO1192" s="227"/>
      <c r="AP1192" s="227"/>
      <c r="AQ1192" s="227"/>
      <c r="AR1192" s="227"/>
      <c r="AS1192" s="227"/>
      <c r="AT1192" s="227"/>
      <c r="AU1192" s="227"/>
    </row>
    <row r="1193" spans="27:48" ht="12.95" customHeight="1">
      <c r="AA1193" s="227"/>
      <c r="AB1193" s="227"/>
      <c r="AC1193" s="227"/>
      <c r="AD1193" s="227"/>
      <c r="AE1193" s="227"/>
      <c r="AG1193" s="19"/>
      <c r="AN1193" s="227"/>
      <c r="AO1193" s="227"/>
      <c r="AP1193" s="227"/>
      <c r="AQ1193" s="227"/>
      <c r="AR1193" s="227"/>
      <c r="AS1193" s="227"/>
      <c r="AT1193" s="227"/>
      <c r="AU1193" s="227"/>
    </row>
    <row r="1194" spans="27:48" ht="12.95" customHeight="1">
      <c r="AA1194" s="227"/>
      <c r="AB1194" s="227"/>
      <c r="AC1194" s="227"/>
      <c r="AD1194" s="227"/>
      <c r="AE1194" s="227"/>
      <c r="AG1194" s="19"/>
      <c r="AN1194" s="227"/>
      <c r="AO1194" s="227"/>
      <c r="AP1194" s="227"/>
      <c r="AQ1194" s="227"/>
      <c r="AR1194" s="227"/>
      <c r="AS1194" s="227"/>
      <c r="AT1194" s="227"/>
      <c r="AU1194" s="227"/>
    </row>
    <row r="1195" spans="27:48" ht="12.95" customHeight="1">
      <c r="AA1195" s="227"/>
      <c r="AB1195" s="227"/>
      <c r="AC1195" s="227"/>
      <c r="AD1195" s="227"/>
      <c r="AE1195" s="227"/>
      <c r="AG1195" s="19"/>
      <c r="AN1195" s="227"/>
      <c r="AO1195" s="227"/>
      <c r="AP1195" s="227"/>
      <c r="AQ1195" s="227"/>
      <c r="AR1195" s="227"/>
      <c r="AS1195" s="227"/>
      <c r="AT1195" s="227"/>
      <c r="AU1195" s="227"/>
    </row>
    <row r="1196" spans="27:48" ht="12.95" customHeight="1">
      <c r="AA1196" s="227"/>
      <c r="AB1196" s="227"/>
      <c r="AC1196" s="227"/>
      <c r="AD1196" s="227"/>
      <c r="AE1196" s="227"/>
      <c r="AG1196" s="19"/>
      <c r="AN1196" s="227"/>
      <c r="AO1196" s="227"/>
      <c r="AP1196" s="227"/>
      <c r="AQ1196" s="227"/>
      <c r="AR1196" s="227"/>
      <c r="AS1196" s="227"/>
      <c r="AT1196" s="227"/>
      <c r="AU1196" s="227"/>
    </row>
    <row r="1197" spans="27:48" ht="12.95" customHeight="1">
      <c r="AA1197" s="227"/>
      <c r="AB1197" s="227"/>
      <c r="AC1197" s="227"/>
      <c r="AD1197" s="227"/>
      <c r="AE1197" s="227"/>
      <c r="AG1197" s="19"/>
      <c r="AN1197" s="227"/>
      <c r="AO1197" s="227"/>
      <c r="AP1197" s="227"/>
      <c r="AQ1197" s="227"/>
      <c r="AR1197" s="227"/>
      <c r="AS1197" s="227"/>
      <c r="AT1197" s="227"/>
      <c r="AU1197" s="227"/>
    </row>
    <row r="1198" spans="27:48" ht="12.95" customHeight="1">
      <c r="AA1198" s="227"/>
      <c r="AB1198" s="227"/>
      <c r="AC1198" s="227"/>
      <c r="AD1198" s="227"/>
      <c r="AE1198" s="227"/>
      <c r="AG1198" s="19"/>
      <c r="AN1198" s="227"/>
      <c r="AO1198" s="227"/>
      <c r="AP1198" s="227"/>
      <c r="AQ1198" s="227"/>
      <c r="AR1198" s="227"/>
      <c r="AS1198" s="227"/>
      <c r="AT1198" s="227"/>
      <c r="AU1198" s="227"/>
    </row>
    <row r="1199" spans="27:48" ht="12.95" customHeight="1">
      <c r="AA1199" s="227"/>
      <c r="AB1199" s="227"/>
      <c r="AC1199" s="227"/>
      <c r="AD1199" s="227"/>
      <c r="AE1199" s="227"/>
      <c r="AG1199" s="19"/>
      <c r="AN1199" s="227"/>
      <c r="AO1199" s="227"/>
      <c r="AP1199" s="227"/>
      <c r="AQ1199" s="227"/>
      <c r="AR1199" s="227"/>
      <c r="AS1199" s="227"/>
      <c r="AT1199" s="227"/>
      <c r="AU1199" s="227"/>
      <c r="AV1199" s="227"/>
    </row>
    <row r="1200" spans="27:48" ht="12.95" customHeight="1">
      <c r="AA1200" s="227"/>
      <c r="AB1200" s="227"/>
      <c r="AC1200" s="227"/>
      <c r="AD1200" s="227"/>
      <c r="AE1200" s="227"/>
      <c r="AG1200" s="19"/>
      <c r="AN1200" s="227"/>
      <c r="AO1200" s="227"/>
      <c r="AP1200" s="227"/>
      <c r="AQ1200" s="227"/>
      <c r="AR1200" s="227"/>
      <c r="AS1200" s="227"/>
      <c r="AT1200" s="227"/>
      <c r="AU1200" s="227"/>
    </row>
    <row r="1201" spans="27:47" ht="12.95" customHeight="1">
      <c r="AA1201" s="227"/>
      <c r="AB1201" s="227"/>
      <c r="AC1201" s="227"/>
      <c r="AD1201" s="227"/>
      <c r="AE1201" s="227"/>
      <c r="AG1201" s="19"/>
      <c r="AN1201" s="227"/>
      <c r="AO1201" s="227"/>
      <c r="AP1201" s="227"/>
      <c r="AQ1201" s="227"/>
      <c r="AR1201" s="227"/>
      <c r="AS1201" s="227"/>
      <c r="AT1201" s="227"/>
      <c r="AU1201" s="227"/>
    </row>
    <row r="1202" spans="27:47" ht="12.95" customHeight="1">
      <c r="AA1202" s="227"/>
      <c r="AB1202" s="227"/>
      <c r="AC1202" s="227"/>
      <c r="AD1202" s="227"/>
      <c r="AE1202" s="227"/>
      <c r="AG1202" s="19"/>
      <c r="AN1202" s="227"/>
      <c r="AO1202" s="227"/>
      <c r="AP1202" s="227"/>
      <c r="AQ1202" s="227"/>
      <c r="AR1202" s="227"/>
      <c r="AS1202" s="227"/>
      <c r="AT1202" s="227"/>
      <c r="AU1202" s="227"/>
    </row>
    <row r="1203" spans="27:47" ht="12.95" customHeight="1">
      <c r="AA1203" s="227"/>
      <c r="AB1203" s="227"/>
      <c r="AC1203" s="227"/>
      <c r="AD1203" s="227"/>
      <c r="AE1203" s="227"/>
      <c r="AG1203" s="19"/>
      <c r="AN1203" s="227"/>
      <c r="AO1203" s="227"/>
      <c r="AP1203" s="227"/>
      <c r="AQ1203" s="227"/>
      <c r="AR1203" s="227"/>
      <c r="AS1203" s="227"/>
      <c r="AT1203" s="227"/>
      <c r="AU1203" s="227"/>
    </row>
    <row r="1204" spans="27:47" ht="12.95" customHeight="1">
      <c r="AA1204" s="227"/>
      <c r="AB1204" s="227"/>
      <c r="AC1204" s="227"/>
      <c r="AD1204" s="227"/>
      <c r="AE1204" s="227"/>
      <c r="AG1204" s="19"/>
      <c r="AN1204" s="227"/>
      <c r="AO1204" s="227"/>
      <c r="AP1204" s="227"/>
      <c r="AQ1204" s="227"/>
      <c r="AR1204" s="227"/>
      <c r="AS1204" s="227"/>
      <c r="AT1204" s="227"/>
      <c r="AU1204" s="227"/>
    </row>
    <row r="1205" spans="27:47" ht="12.95" customHeight="1">
      <c r="AA1205" s="227"/>
      <c r="AB1205" s="227"/>
      <c r="AC1205" s="227"/>
      <c r="AD1205" s="227"/>
      <c r="AE1205" s="227"/>
      <c r="AG1205" s="19"/>
      <c r="AN1205" s="227"/>
      <c r="AO1205" s="227"/>
      <c r="AP1205" s="227"/>
      <c r="AQ1205" s="227"/>
      <c r="AR1205" s="227"/>
      <c r="AS1205" s="227"/>
      <c r="AT1205" s="227"/>
      <c r="AU1205" s="227"/>
    </row>
    <row r="1206" spans="27:47" ht="12.95" customHeight="1">
      <c r="AA1206" s="227"/>
      <c r="AB1206" s="227"/>
      <c r="AC1206" s="227"/>
      <c r="AD1206" s="227"/>
      <c r="AE1206" s="227"/>
      <c r="AG1206" s="19"/>
      <c r="AN1206" s="227"/>
      <c r="AO1206" s="227"/>
      <c r="AP1206" s="227"/>
      <c r="AQ1206" s="227"/>
      <c r="AR1206" s="227"/>
      <c r="AS1206" s="227"/>
      <c r="AT1206" s="227"/>
      <c r="AU1206" s="227"/>
    </row>
    <row r="1207" spans="27:47" ht="12.95" customHeight="1">
      <c r="AA1207" s="227"/>
      <c r="AB1207" s="227"/>
      <c r="AC1207" s="227"/>
      <c r="AD1207" s="227"/>
      <c r="AE1207" s="227"/>
      <c r="AG1207" s="19"/>
      <c r="AN1207" s="227"/>
      <c r="AO1207" s="227"/>
      <c r="AP1207" s="227"/>
      <c r="AQ1207" s="227"/>
      <c r="AR1207" s="227"/>
      <c r="AS1207" s="227"/>
      <c r="AT1207" s="227"/>
      <c r="AU1207" s="227"/>
    </row>
    <row r="1208" spans="27:47" ht="12.95" customHeight="1">
      <c r="AA1208" s="227"/>
      <c r="AB1208" s="227"/>
      <c r="AC1208" s="227"/>
      <c r="AD1208" s="227"/>
      <c r="AE1208" s="227"/>
      <c r="AG1208" s="19"/>
      <c r="AN1208" s="227"/>
      <c r="AO1208" s="227"/>
      <c r="AP1208" s="227"/>
      <c r="AQ1208" s="227"/>
      <c r="AR1208" s="227"/>
      <c r="AS1208" s="227"/>
      <c r="AT1208" s="227"/>
      <c r="AU1208" s="227"/>
    </row>
    <row r="1209" spans="27:47" ht="12.95" customHeight="1">
      <c r="AA1209" s="227"/>
      <c r="AB1209" s="227"/>
      <c r="AC1209" s="227"/>
      <c r="AD1209" s="227"/>
      <c r="AE1209" s="227"/>
      <c r="AG1209" s="19"/>
      <c r="AN1209" s="227"/>
      <c r="AO1209" s="227"/>
      <c r="AP1209" s="227"/>
      <c r="AQ1209" s="227"/>
      <c r="AR1209" s="227"/>
      <c r="AS1209" s="227"/>
      <c r="AT1209" s="227"/>
      <c r="AU1209" s="227"/>
    </row>
    <row r="1210" spans="27:47" ht="12.95" customHeight="1">
      <c r="AA1210" s="227"/>
      <c r="AB1210" s="227"/>
      <c r="AC1210" s="227"/>
      <c r="AD1210" s="227"/>
      <c r="AE1210" s="227"/>
      <c r="AG1210" s="19"/>
      <c r="AN1210" s="227"/>
      <c r="AO1210" s="227"/>
      <c r="AP1210" s="227"/>
      <c r="AQ1210" s="227"/>
      <c r="AR1210" s="227"/>
      <c r="AS1210" s="227"/>
      <c r="AT1210" s="227"/>
      <c r="AU1210" s="227"/>
    </row>
    <row r="1211" spans="27:47" ht="12.95" customHeight="1">
      <c r="AA1211" s="227"/>
      <c r="AB1211" s="227"/>
      <c r="AC1211" s="227"/>
      <c r="AD1211" s="227"/>
      <c r="AE1211" s="227"/>
      <c r="AG1211" s="19"/>
      <c r="AN1211" s="227"/>
      <c r="AO1211" s="227"/>
      <c r="AP1211" s="227"/>
      <c r="AQ1211" s="227"/>
      <c r="AR1211" s="227"/>
      <c r="AS1211" s="227"/>
      <c r="AT1211" s="227"/>
      <c r="AU1211" s="227"/>
    </row>
    <row r="1212" spans="27:47" ht="12.95" customHeight="1">
      <c r="AA1212" s="227"/>
      <c r="AB1212" s="227"/>
      <c r="AC1212" s="227"/>
      <c r="AD1212" s="227"/>
      <c r="AE1212" s="227"/>
      <c r="AG1212" s="19"/>
      <c r="AN1212" s="227"/>
      <c r="AO1212" s="227"/>
      <c r="AP1212" s="227"/>
      <c r="AQ1212" s="227"/>
      <c r="AR1212" s="227"/>
      <c r="AS1212" s="227"/>
      <c r="AT1212" s="227"/>
      <c r="AU1212" s="227"/>
    </row>
    <row r="1213" spans="27:47" ht="12.95" customHeight="1">
      <c r="AA1213" s="227"/>
      <c r="AB1213" s="227"/>
      <c r="AC1213" s="227"/>
      <c r="AD1213" s="227"/>
      <c r="AE1213" s="227"/>
      <c r="AG1213" s="19"/>
      <c r="AN1213" s="227"/>
      <c r="AO1213" s="227"/>
      <c r="AP1213" s="227"/>
      <c r="AQ1213" s="227"/>
      <c r="AR1213" s="227"/>
      <c r="AS1213" s="227"/>
      <c r="AT1213" s="227"/>
      <c r="AU1213" s="227"/>
    </row>
    <row r="1214" spans="27:47" ht="12.95" customHeight="1">
      <c r="AA1214" s="227"/>
      <c r="AB1214" s="227"/>
      <c r="AC1214" s="227"/>
      <c r="AD1214" s="227"/>
      <c r="AE1214" s="227"/>
      <c r="AG1214" s="19"/>
      <c r="AN1214" s="227"/>
      <c r="AO1214" s="227"/>
      <c r="AP1214" s="227"/>
      <c r="AQ1214" s="227"/>
      <c r="AR1214" s="227"/>
      <c r="AS1214" s="227"/>
      <c r="AT1214" s="227"/>
      <c r="AU1214" s="227"/>
    </row>
    <row r="1215" spans="27:47" ht="12.95" customHeight="1">
      <c r="AA1215" s="227"/>
      <c r="AB1215" s="227"/>
      <c r="AC1215" s="227"/>
      <c r="AD1215" s="227"/>
      <c r="AE1215" s="227"/>
      <c r="AG1215" s="19"/>
      <c r="AN1215" s="227"/>
      <c r="AO1215" s="227"/>
      <c r="AP1215" s="227"/>
      <c r="AQ1215" s="227"/>
      <c r="AR1215" s="227"/>
      <c r="AS1215" s="227"/>
      <c r="AT1215" s="227"/>
      <c r="AU1215" s="227"/>
    </row>
    <row r="1216" spans="27:47" ht="12.95" customHeight="1">
      <c r="AA1216" s="227"/>
      <c r="AB1216" s="227"/>
      <c r="AC1216" s="227"/>
      <c r="AD1216" s="227"/>
      <c r="AE1216" s="227"/>
      <c r="AG1216" s="19"/>
      <c r="AN1216" s="227"/>
      <c r="AO1216" s="227"/>
      <c r="AP1216" s="227"/>
      <c r="AQ1216" s="227"/>
      <c r="AR1216" s="227"/>
      <c r="AS1216" s="227"/>
      <c r="AT1216" s="227"/>
      <c r="AU1216" s="227"/>
    </row>
    <row r="1217" spans="27:64" ht="12.95" customHeight="1">
      <c r="AA1217" s="227"/>
      <c r="AB1217" s="227"/>
      <c r="AC1217" s="227"/>
      <c r="AD1217" s="227"/>
      <c r="AE1217" s="227"/>
      <c r="AG1217" s="19"/>
      <c r="AN1217" s="227"/>
      <c r="AO1217" s="227"/>
      <c r="AP1217" s="227"/>
      <c r="AQ1217" s="227"/>
      <c r="AR1217" s="227"/>
      <c r="AS1217" s="227"/>
      <c r="AT1217" s="227"/>
      <c r="AU1217" s="227"/>
    </row>
    <row r="1218" spans="27:64" ht="12.95" customHeight="1">
      <c r="AA1218" s="227"/>
      <c r="AB1218" s="227"/>
      <c r="AC1218" s="227"/>
      <c r="AD1218" s="227"/>
      <c r="AE1218" s="227"/>
      <c r="AG1218" s="19"/>
      <c r="AN1218" s="227"/>
      <c r="AO1218" s="227"/>
      <c r="AP1218" s="227"/>
      <c r="AQ1218" s="227"/>
      <c r="AR1218" s="227"/>
      <c r="AS1218" s="227"/>
      <c r="AT1218" s="227"/>
      <c r="AU1218" s="227"/>
    </row>
    <row r="1219" spans="27:64" ht="12.95" customHeight="1">
      <c r="AA1219" s="227"/>
      <c r="AB1219" s="227"/>
      <c r="AC1219" s="227"/>
      <c r="AD1219" s="227"/>
      <c r="AE1219" s="227"/>
      <c r="AG1219" s="19"/>
      <c r="AN1219" s="227"/>
      <c r="AO1219" s="227"/>
      <c r="AP1219" s="227"/>
      <c r="AQ1219" s="227"/>
      <c r="AR1219" s="227"/>
      <c r="AS1219" s="227"/>
      <c r="AT1219" s="227"/>
      <c r="AU1219" s="227"/>
    </row>
    <row r="1220" spans="27:64" ht="12.95" customHeight="1">
      <c r="AA1220" s="227"/>
      <c r="AB1220" s="227"/>
      <c r="AC1220" s="227"/>
      <c r="AD1220" s="227"/>
      <c r="AE1220" s="227"/>
      <c r="AG1220" s="19"/>
      <c r="AN1220" s="227"/>
      <c r="AO1220" s="227"/>
      <c r="AP1220" s="227"/>
      <c r="AQ1220" s="227"/>
      <c r="AR1220" s="227"/>
      <c r="AS1220" s="227"/>
      <c r="AT1220" s="227"/>
      <c r="AU1220" s="227"/>
    </row>
    <row r="1221" spans="27:64" ht="12.95" customHeight="1">
      <c r="AA1221" s="227"/>
      <c r="AB1221" s="227"/>
      <c r="AC1221" s="227"/>
      <c r="AD1221" s="227"/>
      <c r="AE1221" s="227"/>
      <c r="AG1221" s="19"/>
      <c r="AN1221" s="227"/>
      <c r="AO1221" s="227"/>
      <c r="AP1221" s="227"/>
      <c r="AQ1221" s="227"/>
      <c r="AR1221" s="227"/>
      <c r="AS1221" s="227"/>
      <c r="AT1221" s="227"/>
      <c r="AU1221" s="227"/>
    </row>
    <row r="1222" spans="27:64" ht="12.95" customHeight="1">
      <c r="AA1222" s="227"/>
      <c r="AB1222" s="227"/>
      <c r="AC1222" s="227"/>
      <c r="AD1222" s="227"/>
      <c r="AE1222" s="227"/>
      <c r="AG1222" s="19"/>
      <c r="AN1222" s="227"/>
      <c r="AO1222" s="227"/>
      <c r="AP1222" s="227"/>
      <c r="AQ1222" s="227"/>
      <c r="AR1222" s="227"/>
      <c r="AS1222" s="227"/>
      <c r="AT1222" s="227"/>
      <c r="AU1222" s="227"/>
    </row>
    <row r="1223" spans="27:64" ht="12.95" customHeight="1">
      <c r="AA1223" s="227"/>
      <c r="AB1223" s="227"/>
      <c r="AC1223" s="227"/>
      <c r="AD1223" s="227"/>
      <c r="AE1223" s="227"/>
      <c r="AG1223" s="19"/>
      <c r="AN1223" s="227"/>
      <c r="AO1223" s="227"/>
      <c r="AP1223" s="227"/>
      <c r="AQ1223" s="227"/>
      <c r="AR1223" s="227"/>
      <c r="AS1223" s="227"/>
      <c r="AT1223" s="227"/>
      <c r="AU1223" s="227"/>
    </row>
    <row r="1224" spans="27:64" ht="12.95" customHeight="1">
      <c r="AA1224" s="227"/>
      <c r="AB1224" s="227"/>
      <c r="AC1224" s="227"/>
      <c r="AD1224" s="227"/>
      <c r="AE1224" s="227"/>
      <c r="AG1224" s="19"/>
      <c r="AN1224" s="227"/>
      <c r="AO1224" s="227"/>
      <c r="AP1224" s="227"/>
      <c r="AQ1224" s="227"/>
      <c r="AR1224" s="227"/>
      <c r="AS1224" s="227"/>
      <c r="AT1224" s="227"/>
      <c r="AU1224" s="227"/>
    </row>
    <row r="1225" spans="27:64" ht="12.95" customHeight="1">
      <c r="AA1225" s="227"/>
      <c r="AB1225" s="227"/>
      <c r="AC1225" s="227"/>
      <c r="AD1225" s="227"/>
      <c r="AE1225" s="227"/>
      <c r="AG1225" s="19"/>
      <c r="AN1225" s="227"/>
      <c r="AO1225" s="227"/>
      <c r="AP1225" s="227"/>
      <c r="AQ1225" s="227"/>
      <c r="AR1225" s="227"/>
      <c r="AS1225" s="227"/>
      <c r="AT1225" s="227"/>
      <c r="AU1225" s="227"/>
    </row>
    <row r="1226" spans="27:64" ht="12.95" customHeight="1">
      <c r="AA1226" s="227"/>
      <c r="AB1226" s="227"/>
      <c r="AC1226" s="227"/>
      <c r="AD1226" s="227"/>
      <c r="AE1226" s="227"/>
      <c r="AG1226" s="19"/>
      <c r="AN1226" s="227"/>
      <c r="AO1226" s="227"/>
      <c r="AP1226" s="227"/>
      <c r="AQ1226" s="227"/>
      <c r="AR1226" s="227"/>
      <c r="AS1226" s="227"/>
      <c r="AT1226" s="227"/>
      <c r="AU1226" s="227"/>
      <c r="AV1226" s="227"/>
      <c r="AW1226" s="227"/>
      <c r="AX1226" s="227"/>
      <c r="AY1226" s="227"/>
      <c r="AZ1226" s="227"/>
      <c r="BA1226" s="227"/>
      <c r="BB1226" s="227"/>
      <c r="BC1226" s="227"/>
      <c r="BD1226" s="227"/>
      <c r="BE1226" s="227"/>
      <c r="BF1226" s="227"/>
      <c r="BG1226" s="227"/>
      <c r="BH1226" s="227"/>
      <c r="BI1226" s="227"/>
      <c r="BJ1226" s="227"/>
      <c r="BK1226" s="227"/>
      <c r="BL1226" s="227"/>
    </row>
    <row r="1227" spans="27:64" ht="12.95" customHeight="1">
      <c r="AA1227" s="227"/>
      <c r="AB1227" s="227"/>
      <c r="AC1227" s="227"/>
      <c r="AD1227" s="227"/>
      <c r="AE1227" s="227"/>
      <c r="AG1227" s="19"/>
      <c r="AN1227" s="227"/>
      <c r="AO1227" s="227"/>
      <c r="AP1227" s="227"/>
      <c r="AQ1227" s="227"/>
      <c r="AR1227" s="227"/>
      <c r="AS1227" s="227"/>
      <c r="AT1227" s="227"/>
      <c r="AU1227" s="227"/>
    </row>
    <row r="1228" spans="27:64" ht="12.95" customHeight="1">
      <c r="AA1228" s="227"/>
      <c r="AB1228" s="227"/>
      <c r="AC1228" s="227"/>
      <c r="AD1228" s="227"/>
      <c r="AE1228" s="227"/>
      <c r="AG1228" s="19"/>
      <c r="AN1228" s="227"/>
      <c r="AO1228" s="227"/>
      <c r="AP1228" s="227"/>
      <c r="AQ1228" s="227"/>
      <c r="AR1228" s="227"/>
      <c r="AS1228" s="227"/>
      <c r="AT1228" s="227"/>
      <c r="AU1228" s="227"/>
    </row>
    <row r="1229" spans="27:64" ht="12.95" customHeight="1">
      <c r="AA1229" s="227"/>
      <c r="AB1229" s="227"/>
      <c r="AC1229" s="227"/>
      <c r="AD1229" s="227"/>
      <c r="AE1229" s="227"/>
      <c r="AG1229" s="19"/>
      <c r="AN1229" s="227"/>
      <c r="AO1229" s="227"/>
      <c r="AP1229" s="227"/>
      <c r="AQ1229" s="227"/>
      <c r="AR1229" s="227"/>
      <c r="AS1229" s="227"/>
      <c r="AT1229" s="227"/>
      <c r="AU1229" s="227"/>
    </row>
    <row r="1230" spans="27:64" ht="12.95" customHeight="1">
      <c r="AA1230" s="227"/>
      <c r="AB1230" s="227"/>
      <c r="AC1230" s="227"/>
      <c r="AD1230" s="227"/>
      <c r="AE1230" s="227"/>
      <c r="AG1230" s="19"/>
      <c r="AN1230" s="227"/>
      <c r="AO1230" s="227"/>
      <c r="AP1230" s="227"/>
      <c r="AQ1230" s="227"/>
      <c r="AR1230" s="227"/>
      <c r="AS1230" s="227"/>
      <c r="AT1230" s="227"/>
      <c r="AU1230" s="227"/>
    </row>
    <row r="1231" spans="27:64" ht="12.95" customHeight="1">
      <c r="AA1231" s="227"/>
      <c r="AB1231" s="227"/>
      <c r="AC1231" s="227"/>
      <c r="AD1231" s="227"/>
      <c r="AE1231" s="227"/>
      <c r="AG1231" s="19"/>
      <c r="AN1231" s="227"/>
      <c r="AO1231" s="227"/>
      <c r="AP1231" s="227"/>
      <c r="AQ1231" s="227"/>
      <c r="AR1231" s="227"/>
      <c r="AS1231" s="227"/>
      <c r="AT1231" s="227"/>
      <c r="AU1231" s="227"/>
    </row>
    <row r="1232" spans="27:64" ht="12.95" customHeight="1">
      <c r="AA1232" s="227"/>
      <c r="AB1232" s="227"/>
      <c r="AC1232" s="227"/>
      <c r="AD1232" s="227"/>
      <c r="AE1232" s="227"/>
      <c r="AG1232" s="19"/>
      <c r="AN1232" s="227"/>
      <c r="AO1232" s="227"/>
      <c r="AP1232" s="227"/>
      <c r="AQ1232" s="227"/>
      <c r="AR1232" s="227"/>
      <c r="AS1232" s="227"/>
      <c r="AT1232" s="227"/>
      <c r="AU1232" s="227"/>
    </row>
    <row r="1233" spans="27:64" ht="12.95" customHeight="1">
      <c r="AA1233" s="227"/>
      <c r="AB1233" s="227"/>
      <c r="AC1233" s="227"/>
      <c r="AD1233" s="227"/>
      <c r="AE1233" s="227"/>
      <c r="AG1233" s="19"/>
      <c r="AN1233" s="227"/>
      <c r="AO1233" s="227"/>
      <c r="AP1233" s="227"/>
      <c r="AQ1233" s="227"/>
      <c r="AR1233" s="227"/>
      <c r="AS1233" s="227"/>
      <c r="AT1233" s="227"/>
      <c r="AU1233" s="227"/>
    </row>
    <row r="1234" spans="27:64" ht="12.95" customHeight="1">
      <c r="AA1234" s="227"/>
      <c r="AB1234" s="227"/>
      <c r="AC1234" s="227"/>
      <c r="AD1234" s="227"/>
      <c r="AE1234" s="227"/>
      <c r="AG1234" s="19"/>
      <c r="AN1234" s="227"/>
      <c r="AO1234" s="227"/>
      <c r="AP1234" s="227"/>
      <c r="AQ1234" s="227"/>
      <c r="AR1234" s="227"/>
      <c r="AS1234" s="227"/>
      <c r="AT1234" s="227"/>
      <c r="AU1234" s="227"/>
    </row>
    <row r="1235" spans="27:64" ht="12.95" customHeight="1">
      <c r="AA1235" s="227"/>
      <c r="AB1235" s="227"/>
      <c r="AC1235" s="227"/>
      <c r="AD1235" s="227"/>
      <c r="AE1235" s="227"/>
      <c r="AG1235" s="19"/>
      <c r="AN1235" s="227"/>
      <c r="AO1235" s="227"/>
      <c r="AP1235" s="227"/>
      <c r="AQ1235" s="227"/>
      <c r="AR1235" s="227"/>
      <c r="AS1235" s="227"/>
      <c r="AT1235" s="227"/>
      <c r="AU1235" s="227"/>
    </row>
    <row r="1236" spans="27:64" ht="12.95" customHeight="1">
      <c r="AA1236" s="227"/>
      <c r="AB1236" s="227"/>
      <c r="AC1236" s="227"/>
      <c r="AD1236" s="227"/>
      <c r="AE1236" s="227"/>
      <c r="AG1236" s="19"/>
      <c r="AN1236" s="227"/>
      <c r="AO1236" s="227"/>
      <c r="AP1236" s="227"/>
      <c r="AQ1236" s="227"/>
      <c r="AR1236" s="227"/>
      <c r="AS1236" s="227"/>
      <c r="AT1236" s="227"/>
      <c r="AU1236" s="227"/>
    </row>
    <row r="1237" spans="27:64" ht="12.95" customHeight="1">
      <c r="AA1237" s="227"/>
      <c r="AB1237" s="227"/>
      <c r="AC1237" s="227"/>
      <c r="AD1237" s="227"/>
      <c r="AE1237" s="227"/>
      <c r="AG1237" s="19"/>
      <c r="AN1237" s="227"/>
      <c r="AO1237" s="227"/>
      <c r="AP1237" s="227"/>
      <c r="AQ1237" s="227"/>
      <c r="AR1237" s="227"/>
      <c r="AS1237" s="227"/>
      <c r="AT1237" s="227"/>
      <c r="AU1237" s="227"/>
    </row>
    <row r="1238" spans="27:64" ht="12.95" customHeight="1">
      <c r="AA1238" s="227"/>
      <c r="AB1238" s="227"/>
      <c r="AC1238" s="227"/>
      <c r="AD1238" s="227"/>
      <c r="AE1238" s="227"/>
      <c r="AG1238" s="19"/>
      <c r="AN1238" s="227"/>
      <c r="AO1238" s="227"/>
      <c r="AP1238" s="227"/>
      <c r="AQ1238" s="227"/>
      <c r="AR1238" s="227"/>
      <c r="AS1238" s="227"/>
      <c r="AT1238" s="227"/>
      <c r="AU1238" s="227"/>
    </row>
    <row r="1239" spans="27:64" ht="12.95" customHeight="1">
      <c r="AA1239" s="227"/>
      <c r="AB1239" s="227"/>
      <c r="AC1239" s="227"/>
      <c r="AD1239" s="227"/>
      <c r="AE1239" s="227"/>
      <c r="AG1239" s="19"/>
      <c r="AN1239" s="227"/>
      <c r="AO1239" s="227"/>
      <c r="AP1239" s="227"/>
      <c r="AQ1239" s="227"/>
      <c r="AR1239" s="227"/>
      <c r="AS1239" s="227"/>
      <c r="AT1239" s="227"/>
      <c r="AU1239" s="227"/>
    </row>
    <row r="1240" spans="27:64" ht="12.95" customHeight="1">
      <c r="AA1240" s="227"/>
      <c r="AB1240" s="227"/>
      <c r="AC1240" s="227"/>
      <c r="AD1240" s="227"/>
      <c r="AE1240" s="227"/>
      <c r="AG1240" s="19"/>
      <c r="AN1240" s="227"/>
      <c r="AO1240" s="227"/>
      <c r="AP1240" s="227"/>
      <c r="AQ1240" s="227"/>
      <c r="AR1240" s="227"/>
      <c r="AS1240" s="227"/>
      <c r="AT1240" s="227"/>
      <c r="AU1240" s="227"/>
    </row>
    <row r="1241" spans="27:64" ht="12.95" customHeight="1">
      <c r="AA1241" s="227"/>
      <c r="AB1241" s="227"/>
      <c r="AC1241" s="227"/>
      <c r="AD1241" s="227"/>
      <c r="AE1241" s="227"/>
      <c r="AG1241" s="19"/>
      <c r="AN1241" s="227"/>
      <c r="AO1241" s="227"/>
      <c r="AP1241" s="227"/>
      <c r="AQ1241" s="227"/>
      <c r="AR1241" s="227"/>
      <c r="AS1241" s="227"/>
      <c r="AT1241" s="227"/>
      <c r="AU1241" s="227"/>
    </row>
    <row r="1242" spans="27:64" ht="12.95" customHeight="1">
      <c r="AA1242" s="227"/>
      <c r="AB1242" s="227"/>
      <c r="AC1242" s="227"/>
      <c r="AD1242" s="227"/>
      <c r="AE1242" s="227"/>
      <c r="AG1242" s="19"/>
      <c r="AN1242" s="227"/>
      <c r="AO1242" s="227"/>
      <c r="AP1242" s="227"/>
      <c r="AQ1242" s="227"/>
      <c r="AR1242" s="227"/>
      <c r="AS1242" s="227"/>
      <c r="AT1242" s="227"/>
      <c r="AU1242" s="227"/>
    </row>
    <row r="1243" spans="27:64" ht="12.95" customHeight="1">
      <c r="AA1243" s="227"/>
      <c r="AB1243" s="227"/>
      <c r="AC1243" s="227"/>
      <c r="AD1243" s="227"/>
      <c r="AE1243" s="227"/>
      <c r="AG1243" s="19"/>
      <c r="AN1243" s="227"/>
      <c r="AO1243" s="227"/>
      <c r="AP1243" s="227"/>
      <c r="AQ1243" s="227"/>
      <c r="AR1243" s="227"/>
      <c r="AS1243" s="227"/>
      <c r="AT1243" s="227"/>
      <c r="AU1243" s="227"/>
      <c r="AV1243" s="227"/>
      <c r="AW1243" s="227"/>
      <c r="AX1243" s="227"/>
      <c r="AY1243" s="227"/>
      <c r="AZ1243" s="227"/>
      <c r="BA1243" s="227"/>
      <c r="BB1243" s="227"/>
      <c r="BC1243" s="227"/>
      <c r="BD1243" s="227"/>
      <c r="BE1243" s="227"/>
      <c r="BF1243" s="227"/>
      <c r="BG1243" s="227"/>
      <c r="BH1243" s="227"/>
      <c r="BI1243" s="227"/>
      <c r="BJ1243" s="227"/>
      <c r="BK1243" s="227"/>
      <c r="BL1243" s="227"/>
    </row>
    <row r="1244" spans="27:64" ht="12.95" customHeight="1">
      <c r="AA1244" s="227"/>
      <c r="AB1244" s="227"/>
      <c r="AC1244" s="227"/>
      <c r="AD1244" s="227"/>
      <c r="AE1244" s="227"/>
      <c r="AG1244" s="19"/>
      <c r="AN1244" s="227"/>
      <c r="AO1244" s="227"/>
      <c r="AP1244" s="227"/>
      <c r="AQ1244" s="227"/>
      <c r="AR1244" s="227"/>
      <c r="AS1244" s="227"/>
      <c r="AT1244" s="227"/>
      <c r="AU1244" s="227"/>
    </row>
    <row r="1245" spans="27:64" ht="12.95" customHeight="1">
      <c r="AA1245" s="227"/>
      <c r="AB1245" s="227"/>
      <c r="AC1245" s="227"/>
      <c r="AD1245" s="227"/>
      <c r="AE1245" s="227"/>
      <c r="AG1245" s="19"/>
      <c r="AN1245" s="227"/>
      <c r="AO1245" s="227"/>
      <c r="AP1245" s="227"/>
      <c r="AQ1245" s="227"/>
      <c r="AR1245" s="227"/>
      <c r="AS1245" s="227"/>
      <c r="AT1245" s="227"/>
      <c r="AU1245" s="227"/>
    </row>
    <row r="1246" spans="27:64" ht="12.95" customHeight="1">
      <c r="AA1246" s="227"/>
      <c r="AB1246" s="227"/>
      <c r="AC1246" s="227"/>
      <c r="AD1246" s="227"/>
      <c r="AE1246" s="227"/>
      <c r="AG1246" s="19"/>
      <c r="AN1246" s="227"/>
      <c r="AO1246" s="227"/>
      <c r="AP1246" s="227"/>
      <c r="AQ1246" s="227"/>
      <c r="AR1246" s="227"/>
      <c r="AS1246" s="227"/>
      <c r="AT1246" s="227"/>
      <c r="AU1246" s="227"/>
    </row>
    <row r="1247" spans="27:64" ht="12.95" customHeight="1">
      <c r="AA1247" s="227"/>
      <c r="AB1247" s="227"/>
      <c r="AC1247" s="227"/>
      <c r="AD1247" s="227"/>
      <c r="AE1247" s="227"/>
      <c r="AG1247" s="19"/>
      <c r="AN1247" s="227"/>
      <c r="AO1247" s="227"/>
      <c r="AP1247" s="227"/>
      <c r="AQ1247" s="227"/>
      <c r="AR1247" s="227"/>
      <c r="AS1247" s="227"/>
      <c r="AT1247" s="227"/>
      <c r="AU1247" s="227"/>
    </row>
    <row r="1248" spans="27:64" ht="12.95" customHeight="1">
      <c r="AA1248" s="227"/>
      <c r="AB1248" s="227"/>
      <c r="AC1248" s="227"/>
      <c r="AD1248" s="227"/>
      <c r="AE1248" s="227"/>
      <c r="AG1248" s="19"/>
      <c r="AN1248" s="227"/>
      <c r="AO1248" s="227"/>
      <c r="AP1248" s="227"/>
      <c r="AQ1248" s="227"/>
      <c r="AR1248" s="227"/>
      <c r="AS1248" s="227"/>
      <c r="AT1248" s="227"/>
      <c r="AU1248" s="227"/>
    </row>
    <row r="1249" spans="27:64" ht="12.95" customHeight="1">
      <c r="AA1249" s="227"/>
      <c r="AB1249" s="227"/>
      <c r="AC1249" s="227"/>
      <c r="AD1249" s="227"/>
      <c r="AE1249" s="227"/>
      <c r="AG1249" s="19"/>
      <c r="AN1249" s="227"/>
      <c r="AO1249" s="227"/>
      <c r="AP1249" s="227"/>
      <c r="AQ1249" s="227"/>
      <c r="AR1249" s="227"/>
      <c r="AS1249" s="227"/>
      <c r="AT1249" s="227"/>
      <c r="AU1249" s="227"/>
    </row>
    <row r="1250" spans="27:64" ht="12.95" customHeight="1">
      <c r="AA1250" s="227"/>
      <c r="AB1250" s="227"/>
      <c r="AC1250" s="227"/>
      <c r="AD1250" s="227"/>
      <c r="AE1250" s="227"/>
      <c r="AG1250" s="19"/>
      <c r="AN1250" s="227"/>
      <c r="AO1250" s="227"/>
      <c r="AP1250" s="227"/>
      <c r="AQ1250" s="227"/>
      <c r="AR1250" s="227"/>
      <c r="AS1250" s="227"/>
      <c r="AT1250" s="227"/>
      <c r="AU1250" s="227"/>
    </row>
    <row r="1251" spans="27:64" ht="12.95" customHeight="1">
      <c r="AA1251" s="227"/>
      <c r="AB1251" s="227"/>
      <c r="AC1251" s="227"/>
      <c r="AD1251" s="227"/>
      <c r="AE1251" s="227"/>
      <c r="AG1251" s="19"/>
      <c r="AN1251" s="227"/>
      <c r="AO1251" s="227"/>
      <c r="AP1251" s="227"/>
      <c r="AQ1251" s="227"/>
      <c r="AR1251" s="227"/>
      <c r="AS1251" s="227"/>
      <c r="AT1251" s="227"/>
      <c r="AU1251" s="227"/>
    </row>
    <row r="1252" spans="27:64" ht="12.95" customHeight="1">
      <c r="AA1252" s="227"/>
      <c r="AB1252" s="227"/>
      <c r="AC1252" s="227"/>
      <c r="AD1252" s="227"/>
      <c r="AE1252" s="227"/>
      <c r="AG1252" s="19"/>
      <c r="AN1252" s="227"/>
      <c r="AO1252" s="227"/>
      <c r="AP1252" s="227"/>
      <c r="AQ1252" s="227"/>
      <c r="AR1252" s="227"/>
      <c r="AS1252" s="227"/>
      <c r="AT1252" s="227"/>
      <c r="AU1252" s="227"/>
      <c r="AV1252" s="227"/>
      <c r="AW1252" s="227"/>
      <c r="AX1252" s="227"/>
      <c r="AY1252" s="227"/>
      <c r="AZ1252" s="227"/>
      <c r="BA1252" s="227"/>
      <c r="BB1252" s="227"/>
      <c r="BC1252" s="227"/>
      <c r="BD1252" s="227"/>
      <c r="BE1252" s="227"/>
      <c r="BF1252" s="227"/>
      <c r="BG1252" s="227"/>
      <c r="BH1252" s="227"/>
      <c r="BI1252" s="227"/>
      <c r="BJ1252" s="227"/>
      <c r="BK1252" s="227"/>
      <c r="BL1252" s="227"/>
    </row>
    <row r="1253" spans="27:64" ht="12.95" customHeight="1">
      <c r="AA1253" s="227"/>
      <c r="AB1253" s="227"/>
      <c r="AC1253" s="227"/>
      <c r="AD1253" s="227"/>
      <c r="AE1253" s="227"/>
      <c r="AG1253" s="19"/>
      <c r="AN1253" s="227"/>
      <c r="AO1253" s="227"/>
      <c r="AP1253" s="227"/>
      <c r="AQ1253" s="227"/>
      <c r="AR1253" s="227"/>
      <c r="AS1253" s="227"/>
      <c r="AT1253" s="227"/>
      <c r="AU1253" s="227"/>
    </row>
    <row r="1254" spans="27:64" ht="12.95" customHeight="1">
      <c r="AA1254" s="227"/>
      <c r="AB1254" s="227"/>
      <c r="AC1254" s="227"/>
      <c r="AD1254" s="227"/>
      <c r="AE1254" s="227"/>
      <c r="AG1254" s="19"/>
      <c r="AN1254" s="227"/>
      <c r="AO1254" s="227"/>
      <c r="AP1254" s="227"/>
      <c r="AQ1254" s="227"/>
      <c r="AR1254" s="227"/>
      <c r="AS1254" s="227"/>
      <c r="AT1254" s="227"/>
      <c r="AU1254" s="227"/>
    </row>
    <row r="1255" spans="27:64" ht="12.95" customHeight="1">
      <c r="AA1255" s="227"/>
      <c r="AB1255" s="227"/>
      <c r="AC1255" s="227"/>
      <c r="AD1255" s="227"/>
      <c r="AE1255" s="227"/>
      <c r="AG1255" s="19"/>
      <c r="AN1255" s="227"/>
      <c r="AO1255" s="227"/>
      <c r="AP1255" s="227"/>
      <c r="AQ1255" s="227"/>
      <c r="AR1255" s="227"/>
      <c r="AS1255" s="227"/>
      <c r="AT1255" s="227"/>
      <c r="AU1255" s="227"/>
    </row>
    <row r="1256" spans="27:64" ht="12.95" customHeight="1">
      <c r="AA1256" s="227"/>
      <c r="AB1256" s="227"/>
      <c r="AC1256" s="227"/>
      <c r="AD1256" s="227"/>
      <c r="AE1256" s="227"/>
      <c r="AG1256" s="19"/>
      <c r="AN1256" s="227"/>
      <c r="AO1256" s="227"/>
      <c r="AP1256" s="227"/>
      <c r="AQ1256" s="227"/>
      <c r="AR1256" s="227"/>
      <c r="AS1256" s="227"/>
      <c r="AT1256" s="227"/>
      <c r="AU1256" s="227"/>
    </row>
    <row r="1257" spans="27:64" ht="12.95" customHeight="1">
      <c r="AA1257" s="227"/>
      <c r="AB1257" s="227"/>
      <c r="AC1257" s="227"/>
      <c r="AD1257" s="227"/>
      <c r="AE1257" s="227"/>
      <c r="AG1257" s="19"/>
      <c r="AN1257" s="227"/>
      <c r="AO1257" s="227"/>
      <c r="AP1257" s="227"/>
      <c r="AQ1257" s="227"/>
      <c r="AR1257" s="227"/>
      <c r="AS1257" s="227"/>
      <c r="AT1257" s="227"/>
      <c r="AU1257" s="227"/>
    </row>
    <row r="1258" spans="27:64" ht="12.95" customHeight="1">
      <c r="AA1258" s="227"/>
      <c r="AB1258" s="227"/>
      <c r="AC1258" s="227"/>
      <c r="AD1258" s="227"/>
      <c r="AE1258" s="227"/>
      <c r="AG1258" s="19"/>
      <c r="AN1258" s="227"/>
      <c r="AO1258" s="227"/>
      <c r="AP1258" s="227"/>
      <c r="AQ1258" s="227"/>
      <c r="AR1258" s="227"/>
      <c r="AS1258" s="227"/>
      <c r="AT1258" s="227"/>
      <c r="AU1258" s="227"/>
    </row>
    <row r="1259" spans="27:64" ht="12.95" customHeight="1">
      <c r="AA1259" s="227"/>
      <c r="AB1259" s="227"/>
      <c r="AC1259" s="227"/>
      <c r="AD1259" s="227"/>
      <c r="AE1259" s="227"/>
      <c r="AG1259" s="19"/>
      <c r="AN1259" s="227"/>
      <c r="AO1259" s="227"/>
      <c r="AP1259" s="227"/>
      <c r="AQ1259" s="227"/>
      <c r="AR1259" s="227"/>
      <c r="AS1259" s="227"/>
      <c r="AT1259" s="227"/>
      <c r="AU1259" s="227"/>
    </row>
    <row r="1260" spans="27:64" ht="12.95" customHeight="1">
      <c r="AA1260" s="227"/>
      <c r="AB1260" s="227"/>
      <c r="AC1260" s="227"/>
      <c r="AD1260" s="227"/>
      <c r="AE1260" s="227"/>
      <c r="AG1260" s="19"/>
      <c r="AN1260" s="227"/>
      <c r="AO1260" s="227"/>
      <c r="AP1260" s="227"/>
      <c r="AQ1260" s="227"/>
      <c r="AR1260" s="227"/>
      <c r="AS1260" s="227"/>
      <c r="AT1260" s="227"/>
      <c r="AU1260" s="227"/>
    </row>
    <row r="1261" spans="27:64" ht="12.95" customHeight="1">
      <c r="AA1261" s="227"/>
      <c r="AB1261" s="227"/>
      <c r="AC1261" s="227"/>
      <c r="AD1261" s="227"/>
      <c r="AE1261" s="227"/>
      <c r="AG1261" s="19"/>
      <c r="AN1261" s="227"/>
      <c r="AO1261" s="227"/>
      <c r="AP1261" s="227"/>
      <c r="AQ1261" s="227"/>
      <c r="AR1261" s="227"/>
      <c r="AS1261" s="227"/>
      <c r="AT1261" s="227"/>
      <c r="AU1261" s="227"/>
    </row>
    <row r="1262" spans="27:64" ht="12.95" customHeight="1">
      <c r="AA1262" s="227"/>
      <c r="AB1262" s="227"/>
      <c r="AC1262" s="227"/>
      <c r="AD1262" s="227"/>
      <c r="AE1262" s="227"/>
      <c r="AG1262" s="19"/>
      <c r="AN1262" s="227"/>
      <c r="AO1262" s="227"/>
      <c r="AP1262" s="227"/>
      <c r="AQ1262" s="227"/>
      <c r="AR1262" s="227"/>
      <c r="AS1262" s="227"/>
      <c r="AT1262" s="227"/>
      <c r="AU1262" s="227"/>
    </row>
    <row r="1263" spans="27:64" ht="12.95" customHeight="1">
      <c r="AA1263" s="227"/>
      <c r="AB1263" s="227"/>
      <c r="AC1263" s="227"/>
      <c r="AD1263" s="227"/>
      <c r="AE1263" s="227"/>
      <c r="AG1263" s="19"/>
      <c r="AN1263" s="227"/>
      <c r="AO1263" s="227"/>
      <c r="AP1263" s="227"/>
      <c r="AQ1263" s="227"/>
      <c r="AR1263" s="227"/>
      <c r="AS1263" s="227"/>
      <c r="AT1263" s="227"/>
      <c r="AU1263" s="227"/>
    </row>
    <row r="1264" spans="27:64" ht="12.95" customHeight="1">
      <c r="AA1264" s="227"/>
      <c r="AB1264" s="227"/>
      <c r="AC1264" s="227"/>
      <c r="AD1264" s="227"/>
      <c r="AE1264" s="227"/>
      <c r="AG1264" s="19"/>
      <c r="AN1264" s="227"/>
      <c r="AO1264" s="227"/>
      <c r="AP1264" s="227"/>
      <c r="AQ1264" s="227"/>
      <c r="AR1264" s="227"/>
      <c r="AS1264" s="227"/>
      <c r="AT1264" s="227"/>
      <c r="AU1264" s="227"/>
    </row>
    <row r="1265" spans="27:47" ht="12.95" customHeight="1">
      <c r="AA1265" s="227"/>
      <c r="AB1265" s="227"/>
      <c r="AC1265" s="227"/>
      <c r="AD1265" s="227"/>
      <c r="AE1265" s="227"/>
      <c r="AG1265" s="19"/>
      <c r="AN1265" s="227"/>
      <c r="AO1265" s="227"/>
      <c r="AP1265" s="227"/>
      <c r="AQ1265" s="227"/>
      <c r="AR1265" s="227"/>
      <c r="AS1265" s="227"/>
      <c r="AT1265" s="227"/>
      <c r="AU1265" s="227"/>
    </row>
    <row r="1266" spans="27:47" ht="12.95" customHeight="1">
      <c r="AA1266" s="227"/>
      <c r="AB1266" s="227"/>
      <c r="AC1266" s="227"/>
      <c r="AD1266" s="227"/>
      <c r="AE1266" s="227"/>
      <c r="AG1266" s="19"/>
      <c r="AN1266" s="227"/>
      <c r="AO1266" s="227"/>
      <c r="AP1266" s="227"/>
      <c r="AQ1266" s="227"/>
      <c r="AR1266" s="227"/>
      <c r="AS1266" s="227"/>
      <c r="AT1266" s="227"/>
      <c r="AU1266" s="227"/>
    </row>
    <row r="1267" spans="27:47" ht="12.95" customHeight="1">
      <c r="AA1267" s="227"/>
      <c r="AB1267" s="227"/>
      <c r="AC1267" s="227"/>
      <c r="AD1267" s="227"/>
      <c r="AE1267" s="227"/>
      <c r="AG1267" s="19"/>
      <c r="AN1267" s="227"/>
      <c r="AO1267" s="227"/>
      <c r="AP1267" s="227"/>
      <c r="AQ1267" s="227"/>
      <c r="AR1267" s="227"/>
      <c r="AS1267" s="227"/>
      <c r="AT1267" s="227"/>
      <c r="AU1267" s="227"/>
    </row>
    <row r="1268" spans="27:47" ht="12.95" customHeight="1">
      <c r="AA1268" s="227"/>
      <c r="AB1268" s="227"/>
      <c r="AC1268" s="227"/>
      <c r="AD1268" s="227"/>
      <c r="AE1268" s="227"/>
      <c r="AG1268" s="19"/>
      <c r="AN1268" s="227"/>
      <c r="AO1268" s="227"/>
      <c r="AP1268" s="227"/>
      <c r="AQ1268" s="227"/>
      <c r="AR1268" s="227"/>
      <c r="AS1268" s="227"/>
      <c r="AT1268" s="227"/>
      <c r="AU1268" s="227"/>
    </row>
    <row r="1269" spans="27:47" ht="12.95" customHeight="1">
      <c r="AA1269" s="227"/>
      <c r="AB1269" s="227"/>
      <c r="AC1269" s="227"/>
      <c r="AD1269" s="227"/>
      <c r="AE1269" s="227"/>
      <c r="AG1269" s="19"/>
      <c r="AN1269" s="227"/>
      <c r="AO1269" s="227"/>
      <c r="AP1269" s="227"/>
      <c r="AQ1269" s="227"/>
      <c r="AR1269" s="227"/>
      <c r="AS1269" s="227"/>
      <c r="AT1269" s="227"/>
      <c r="AU1269" s="227"/>
    </row>
    <row r="1270" spans="27:47" ht="12.95" customHeight="1">
      <c r="AA1270" s="227"/>
      <c r="AB1270" s="227"/>
      <c r="AC1270" s="227"/>
      <c r="AD1270" s="227"/>
      <c r="AE1270" s="227"/>
      <c r="AG1270" s="19"/>
      <c r="AN1270" s="227"/>
      <c r="AO1270" s="227"/>
      <c r="AP1270" s="227"/>
      <c r="AQ1270" s="227"/>
      <c r="AR1270" s="227"/>
      <c r="AS1270" s="227"/>
      <c r="AT1270" s="227"/>
      <c r="AU1270" s="227"/>
    </row>
    <row r="1271" spans="27:47" ht="12.95" customHeight="1">
      <c r="AA1271" s="227"/>
      <c r="AB1271" s="227"/>
      <c r="AC1271" s="227"/>
      <c r="AD1271" s="227"/>
      <c r="AE1271" s="227"/>
      <c r="AG1271" s="19"/>
      <c r="AN1271" s="227"/>
      <c r="AO1271" s="227"/>
      <c r="AP1271" s="227"/>
      <c r="AQ1271" s="227"/>
      <c r="AR1271" s="227"/>
      <c r="AS1271" s="227"/>
      <c r="AT1271" s="227"/>
      <c r="AU1271" s="227"/>
    </row>
    <row r="1272" spans="27:47" ht="12.95" customHeight="1">
      <c r="AA1272" s="227"/>
      <c r="AB1272" s="227"/>
      <c r="AC1272" s="227"/>
      <c r="AD1272" s="227"/>
      <c r="AE1272" s="227"/>
      <c r="AG1272" s="19"/>
      <c r="AN1272" s="227"/>
      <c r="AO1272" s="227"/>
      <c r="AP1272" s="227"/>
      <c r="AQ1272" s="227"/>
      <c r="AR1272" s="227"/>
      <c r="AS1272" s="227"/>
      <c r="AT1272" s="227"/>
      <c r="AU1272" s="227"/>
    </row>
    <row r="1273" spans="27:47" ht="12.95" customHeight="1">
      <c r="AA1273" s="227"/>
      <c r="AB1273" s="227"/>
      <c r="AC1273" s="227"/>
      <c r="AD1273" s="227"/>
      <c r="AE1273" s="227"/>
      <c r="AG1273" s="19"/>
      <c r="AN1273" s="227"/>
      <c r="AO1273" s="227"/>
      <c r="AP1273" s="227"/>
      <c r="AQ1273" s="227"/>
      <c r="AR1273" s="227"/>
      <c r="AS1273" s="227"/>
      <c r="AT1273" s="227"/>
      <c r="AU1273" s="227"/>
    </row>
    <row r="1274" spans="27:47" ht="12.95" customHeight="1">
      <c r="AA1274" s="227"/>
      <c r="AB1274" s="227"/>
      <c r="AC1274" s="227"/>
      <c r="AD1274" s="227"/>
      <c r="AE1274" s="227"/>
      <c r="AG1274" s="19"/>
      <c r="AN1274" s="227"/>
      <c r="AO1274" s="227"/>
      <c r="AP1274" s="227"/>
      <c r="AQ1274" s="227"/>
      <c r="AR1274" s="227"/>
      <c r="AS1274" s="227"/>
      <c r="AT1274" s="227"/>
      <c r="AU1274" s="227"/>
    </row>
    <row r="1275" spans="27:47" ht="12.95" customHeight="1">
      <c r="AA1275" s="227"/>
      <c r="AB1275" s="227"/>
      <c r="AC1275" s="227"/>
      <c r="AD1275" s="227"/>
      <c r="AE1275" s="227"/>
      <c r="AG1275" s="19"/>
      <c r="AN1275" s="227"/>
      <c r="AO1275" s="227"/>
      <c r="AP1275" s="227"/>
      <c r="AQ1275" s="227"/>
      <c r="AR1275" s="227"/>
      <c r="AS1275" s="227"/>
      <c r="AT1275" s="227"/>
      <c r="AU1275" s="227"/>
    </row>
    <row r="1276" spans="27:47" ht="12.95" customHeight="1">
      <c r="AA1276" s="227"/>
      <c r="AB1276" s="227"/>
      <c r="AC1276" s="227"/>
      <c r="AD1276" s="227"/>
      <c r="AE1276" s="227"/>
      <c r="AG1276" s="19"/>
      <c r="AN1276" s="227"/>
      <c r="AO1276" s="227"/>
      <c r="AP1276" s="227"/>
      <c r="AQ1276" s="227"/>
      <c r="AR1276" s="227"/>
      <c r="AS1276" s="227"/>
      <c r="AT1276" s="227"/>
      <c r="AU1276" s="227"/>
    </row>
    <row r="1277" spans="27:47" ht="12.95" customHeight="1">
      <c r="AA1277" s="227"/>
      <c r="AB1277" s="227"/>
      <c r="AC1277" s="227"/>
      <c r="AD1277" s="227"/>
      <c r="AE1277" s="227"/>
      <c r="AG1277" s="19"/>
      <c r="AN1277" s="227"/>
      <c r="AO1277" s="227"/>
      <c r="AP1277" s="227"/>
      <c r="AQ1277" s="227"/>
      <c r="AR1277" s="227"/>
      <c r="AS1277" s="227"/>
      <c r="AT1277" s="227"/>
      <c r="AU1277" s="227"/>
    </row>
    <row r="1278" spans="27:47" ht="12.95" customHeight="1">
      <c r="AA1278" s="227"/>
      <c r="AB1278" s="227"/>
      <c r="AC1278" s="227"/>
      <c r="AD1278" s="227"/>
      <c r="AE1278" s="227"/>
      <c r="AG1278" s="19"/>
      <c r="AN1278" s="227"/>
      <c r="AO1278" s="227"/>
      <c r="AP1278" s="227"/>
      <c r="AQ1278" s="227"/>
      <c r="AR1278" s="227"/>
      <c r="AS1278" s="227"/>
      <c r="AT1278" s="227"/>
      <c r="AU1278" s="227"/>
    </row>
    <row r="1279" spans="27:47" ht="12.95" customHeight="1">
      <c r="AA1279" s="227"/>
      <c r="AB1279" s="227"/>
      <c r="AC1279" s="227"/>
      <c r="AD1279" s="227"/>
      <c r="AE1279" s="227"/>
      <c r="AG1279" s="19"/>
      <c r="AN1279" s="227"/>
      <c r="AO1279" s="227"/>
      <c r="AP1279" s="227"/>
      <c r="AQ1279" s="227"/>
      <c r="AR1279" s="227"/>
      <c r="AS1279" s="227"/>
      <c r="AT1279" s="227"/>
      <c r="AU1279" s="227"/>
    </row>
    <row r="1280" spans="27:47" ht="12.95" customHeight="1">
      <c r="AA1280" s="227"/>
      <c r="AB1280" s="227"/>
      <c r="AC1280" s="227"/>
      <c r="AD1280" s="227"/>
      <c r="AE1280" s="227"/>
      <c r="AG1280" s="19"/>
      <c r="AN1280" s="227"/>
      <c r="AO1280" s="227"/>
      <c r="AP1280" s="227"/>
      <c r="AQ1280" s="227"/>
      <c r="AR1280" s="227"/>
      <c r="AS1280" s="227"/>
      <c r="AT1280" s="227"/>
      <c r="AU1280" s="227"/>
    </row>
    <row r="1281" spans="27:64" ht="12.95" customHeight="1">
      <c r="AA1281" s="227"/>
      <c r="AB1281" s="227"/>
      <c r="AC1281" s="227"/>
      <c r="AD1281" s="227"/>
      <c r="AE1281" s="227"/>
      <c r="AG1281" s="19"/>
      <c r="AN1281" s="227"/>
      <c r="AO1281" s="227"/>
      <c r="AP1281" s="227"/>
      <c r="AQ1281" s="227"/>
      <c r="AR1281" s="227"/>
      <c r="AS1281" s="227"/>
      <c r="AT1281" s="227"/>
      <c r="AU1281" s="227"/>
    </row>
    <row r="1282" spans="27:64" ht="12.95" customHeight="1">
      <c r="AA1282" s="227"/>
      <c r="AB1282" s="227"/>
      <c r="AC1282" s="227"/>
      <c r="AD1282" s="227"/>
      <c r="AE1282" s="227"/>
      <c r="AG1282" s="19"/>
      <c r="AN1282" s="227"/>
      <c r="AO1282" s="227"/>
      <c r="AP1282" s="227"/>
      <c r="AQ1282" s="227"/>
      <c r="AR1282" s="227"/>
      <c r="AS1282" s="227"/>
      <c r="AT1282" s="227"/>
      <c r="AU1282" s="227"/>
    </row>
    <row r="1283" spans="27:64" ht="12.95" customHeight="1">
      <c r="AA1283" s="227"/>
      <c r="AB1283" s="227"/>
      <c r="AC1283" s="227"/>
      <c r="AD1283" s="227"/>
      <c r="AE1283" s="227"/>
      <c r="AG1283" s="19"/>
      <c r="AN1283" s="227"/>
      <c r="AO1283" s="227"/>
      <c r="AP1283" s="227"/>
      <c r="AQ1283" s="227"/>
      <c r="AR1283" s="227"/>
      <c r="AS1283" s="227"/>
      <c r="AT1283" s="227"/>
      <c r="AU1283" s="227"/>
    </row>
    <row r="1284" spans="27:64" ht="12.95" customHeight="1">
      <c r="AA1284" s="227"/>
      <c r="AB1284" s="227"/>
      <c r="AC1284" s="227"/>
      <c r="AD1284" s="227"/>
      <c r="AE1284" s="227"/>
      <c r="AG1284" s="19"/>
      <c r="AN1284" s="227"/>
      <c r="AO1284" s="227"/>
      <c r="AP1284" s="227"/>
      <c r="AQ1284" s="227"/>
      <c r="AR1284" s="227"/>
      <c r="AS1284" s="227"/>
      <c r="AT1284" s="227"/>
      <c r="AU1284" s="227"/>
    </row>
    <row r="1285" spans="27:64" ht="12.95" customHeight="1">
      <c r="AA1285" s="227"/>
      <c r="AB1285" s="227"/>
      <c r="AC1285" s="227"/>
      <c r="AD1285" s="227"/>
      <c r="AE1285" s="227"/>
      <c r="AG1285" s="19"/>
      <c r="AN1285" s="227"/>
      <c r="AO1285" s="227"/>
      <c r="AP1285" s="227"/>
      <c r="AQ1285" s="227"/>
      <c r="AR1285" s="227"/>
      <c r="AS1285" s="227"/>
      <c r="AT1285" s="227"/>
      <c r="AU1285" s="227"/>
      <c r="AV1285" s="227"/>
      <c r="AW1285" s="227"/>
      <c r="AX1285" s="227"/>
      <c r="AY1285" s="227"/>
      <c r="AZ1285" s="227"/>
      <c r="BA1285" s="227"/>
      <c r="BB1285" s="227"/>
      <c r="BC1285" s="227"/>
      <c r="BD1285" s="227"/>
      <c r="BE1285" s="227"/>
      <c r="BF1285" s="227"/>
      <c r="BG1285" s="227"/>
      <c r="BH1285" s="227"/>
      <c r="BI1285" s="227"/>
      <c r="BJ1285" s="227"/>
      <c r="BK1285" s="227"/>
      <c r="BL1285" s="227"/>
    </row>
    <row r="1286" spans="27:64" ht="12.95" customHeight="1">
      <c r="AA1286" s="227"/>
      <c r="AB1286" s="227"/>
      <c r="AC1286" s="227"/>
      <c r="AD1286" s="227"/>
      <c r="AE1286" s="227"/>
      <c r="AG1286" s="19"/>
      <c r="AN1286" s="227"/>
      <c r="AO1286" s="227"/>
      <c r="AP1286" s="227"/>
      <c r="AQ1286" s="227"/>
      <c r="AR1286" s="227"/>
      <c r="AS1286" s="227"/>
      <c r="AT1286" s="227"/>
      <c r="AU1286" s="227"/>
    </row>
    <row r="1287" spans="27:64" ht="12.95" customHeight="1">
      <c r="AA1287" s="227"/>
      <c r="AB1287" s="227"/>
      <c r="AC1287" s="227"/>
      <c r="AD1287" s="227"/>
      <c r="AE1287" s="227"/>
      <c r="AG1287" s="19"/>
      <c r="AN1287" s="227"/>
      <c r="AO1287" s="227"/>
      <c r="AP1287" s="227"/>
      <c r="AQ1287" s="227"/>
      <c r="AR1287" s="227"/>
      <c r="AS1287" s="227"/>
      <c r="AT1287" s="227"/>
      <c r="AU1287" s="227"/>
      <c r="AV1287" s="227"/>
      <c r="AW1287" s="227"/>
      <c r="AX1287" s="227"/>
      <c r="AY1287" s="227"/>
      <c r="AZ1287" s="227"/>
      <c r="BA1287" s="227"/>
      <c r="BB1287" s="227"/>
      <c r="BC1287" s="227"/>
      <c r="BD1287" s="227"/>
      <c r="BE1287" s="227"/>
      <c r="BF1287" s="227"/>
      <c r="BG1287" s="227"/>
      <c r="BH1287" s="227"/>
      <c r="BI1287" s="227"/>
      <c r="BJ1287" s="227"/>
      <c r="BK1287" s="227"/>
      <c r="BL1287" s="227"/>
    </row>
    <row r="1288" spans="27:64" ht="12.95" customHeight="1">
      <c r="AA1288" s="227"/>
      <c r="AB1288" s="227"/>
      <c r="AC1288" s="227"/>
      <c r="AD1288" s="227"/>
      <c r="AE1288" s="227"/>
      <c r="AG1288" s="19"/>
      <c r="AN1288" s="227"/>
      <c r="AO1288" s="227"/>
      <c r="AP1288" s="227"/>
      <c r="AQ1288" s="227"/>
      <c r="AR1288" s="227"/>
      <c r="AS1288" s="227"/>
      <c r="AT1288" s="227"/>
      <c r="AU1288" s="227"/>
    </row>
    <row r="1289" spans="27:64" ht="12.95" customHeight="1">
      <c r="AA1289" s="227"/>
      <c r="AB1289" s="227"/>
      <c r="AC1289" s="227"/>
      <c r="AD1289" s="227"/>
      <c r="AE1289" s="227"/>
      <c r="AG1289" s="19"/>
      <c r="AN1289" s="227"/>
      <c r="AO1289" s="227"/>
      <c r="AP1289" s="227"/>
      <c r="AQ1289" s="227"/>
      <c r="AR1289" s="227"/>
      <c r="AS1289" s="227"/>
      <c r="AT1289" s="227"/>
      <c r="AU1289" s="227"/>
      <c r="AV1289" s="227"/>
    </row>
    <row r="1290" spans="27:64" ht="12.95" customHeight="1">
      <c r="AA1290" s="227"/>
      <c r="AB1290" s="227"/>
      <c r="AC1290" s="227"/>
      <c r="AD1290" s="227"/>
      <c r="AE1290" s="227"/>
      <c r="AG1290" s="19"/>
      <c r="AN1290" s="227"/>
      <c r="AO1290" s="227"/>
      <c r="AP1290" s="227"/>
      <c r="AQ1290" s="227"/>
      <c r="AR1290" s="227"/>
      <c r="AS1290" s="227"/>
      <c r="AT1290" s="227"/>
      <c r="AU1290" s="227"/>
    </row>
    <row r="1291" spans="27:64" ht="12.95" customHeight="1">
      <c r="AA1291" s="227"/>
      <c r="AB1291" s="227"/>
      <c r="AC1291" s="227"/>
      <c r="AD1291" s="227"/>
      <c r="AE1291" s="227"/>
      <c r="AG1291" s="19"/>
      <c r="AN1291" s="227"/>
      <c r="AO1291" s="227"/>
      <c r="AP1291" s="227"/>
      <c r="AQ1291" s="227"/>
      <c r="AR1291" s="227"/>
      <c r="AS1291" s="227"/>
      <c r="AT1291" s="227"/>
      <c r="AU1291" s="227"/>
      <c r="AV1291" s="227"/>
      <c r="AW1291" s="227"/>
      <c r="AX1291" s="227"/>
      <c r="AY1291" s="227"/>
      <c r="AZ1291" s="227"/>
      <c r="BA1291" s="227"/>
      <c r="BB1291" s="227"/>
      <c r="BC1291" s="227"/>
      <c r="BD1291" s="227"/>
      <c r="BE1291" s="227"/>
      <c r="BF1291" s="227"/>
      <c r="BG1291" s="227"/>
      <c r="BH1291" s="227"/>
      <c r="BI1291" s="227"/>
      <c r="BJ1291" s="227"/>
      <c r="BK1291" s="227"/>
      <c r="BL1291" s="227"/>
    </row>
    <row r="1292" spans="27:64" ht="12.95" customHeight="1">
      <c r="AA1292" s="227"/>
      <c r="AB1292" s="227"/>
      <c r="AC1292" s="227"/>
      <c r="AD1292" s="227"/>
      <c r="AE1292" s="227"/>
      <c r="AG1292" s="19"/>
      <c r="AN1292" s="227"/>
      <c r="AO1292" s="227"/>
      <c r="AP1292" s="227"/>
      <c r="AQ1292" s="227"/>
      <c r="AR1292" s="227"/>
      <c r="AS1292" s="227"/>
      <c r="AT1292" s="227"/>
      <c r="AU1292" s="227"/>
    </row>
    <row r="1293" spans="27:64" ht="12.95" customHeight="1">
      <c r="AA1293" s="227"/>
      <c r="AB1293" s="227"/>
      <c r="AC1293" s="227"/>
      <c r="AD1293" s="227"/>
      <c r="AE1293" s="227"/>
      <c r="AG1293" s="19"/>
      <c r="AN1293" s="227"/>
      <c r="AO1293" s="227"/>
      <c r="AP1293" s="227"/>
      <c r="AQ1293" s="227"/>
      <c r="AR1293" s="227"/>
      <c r="AS1293" s="227"/>
      <c r="AT1293" s="227"/>
      <c r="AU1293" s="227"/>
    </row>
    <row r="1294" spans="27:64" ht="12.95" customHeight="1">
      <c r="AA1294" s="227"/>
      <c r="AB1294" s="227"/>
      <c r="AC1294" s="227"/>
      <c r="AD1294" s="227"/>
      <c r="AE1294" s="227"/>
      <c r="AG1294" s="19"/>
      <c r="AN1294" s="227"/>
      <c r="AO1294" s="227"/>
      <c r="AP1294" s="227"/>
      <c r="AQ1294" s="227"/>
      <c r="AR1294" s="227"/>
      <c r="AS1294" s="227"/>
      <c r="AT1294" s="227"/>
      <c r="AU1294" s="227"/>
    </row>
    <row r="1295" spans="27:64" ht="12.95" customHeight="1">
      <c r="AA1295" s="227"/>
      <c r="AB1295" s="227"/>
      <c r="AC1295" s="227"/>
      <c r="AD1295" s="227"/>
      <c r="AE1295" s="227"/>
      <c r="AG1295" s="19"/>
      <c r="AN1295" s="227"/>
      <c r="AO1295" s="227"/>
      <c r="AP1295" s="227"/>
      <c r="AQ1295" s="227"/>
      <c r="AR1295" s="227"/>
      <c r="AS1295" s="227"/>
      <c r="AT1295" s="227"/>
      <c r="AU1295" s="227"/>
      <c r="AV1295" s="227"/>
    </row>
    <row r="1296" spans="27:64" ht="12.95" customHeight="1">
      <c r="AA1296" s="227"/>
      <c r="AB1296" s="227"/>
      <c r="AC1296" s="227"/>
      <c r="AD1296" s="227"/>
      <c r="AE1296" s="227"/>
      <c r="AG1296" s="19"/>
      <c r="AN1296" s="227"/>
      <c r="AO1296" s="227"/>
      <c r="AP1296" s="227"/>
      <c r="AQ1296" s="227"/>
      <c r="AR1296" s="227"/>
      <c r="AS1296" s="227"/>
      <c r="AT1296" s="227"/>
      <c r="AU1296" s="227"/>
    </row>
    <row r="1297" spans="27:47" ht="12.95" customHeight="1">
      <c r="AA1297" s="227"/>
      <c r="AB1297" s="227"/>
      <c r="AC1297" s="227"/>
      <c r="AD1297" s="227"/>
      <c r="AE1297" s="227"/>
      <c r="AG1297" s="19"/>
      <c r="AN1297" s="227"/>
      <c r="AO1297" s="227"/>
      <c r="AP1297" s="227"/>
      <c r="AQ1297" s="227"/>
      <c r="AR1297" s="227"/>
      <c r="AS1297" s="227"/>
      <c r="AT1297" s="227"/>
      <c r="AU1297" s="227"/>
    </row>
    <row r="1298" spans="27:47" ht="12.95" customHeight="1">
      <c r="AA1298" s="227"/>
      <c r="AB1298" s="227"/>
      <c r="AC1298" s="227"/>
      <c r="AD1298" s="227"/>
      <c r="AE1298" s="227"/>
      <c r="AG1298" s="19"/>
      <c r="AN1298" s="227"/>
      <c r="AO1298" s="227"/>
      <c r="AP1298" s="227"/>
      <c r="AQ1298" s="227"/>
      <c r="AR1298" s="227"/>
      <c r="AS1298" s="227"/>
      <c r="AT1298" s="227"/>
      <c r="AU1298" s="227"/>
    </row>
    <row r="1299" spans="27:47" ht="12.95" customHeight="1">
      <c r="AA1299" s="227"/>
      <c r="AB1299" s="227"/>
      <c r="AC1299" s="227"/>
      <c r="AD1299" s="227"/>
      <c r="AE1299" s="227"/>
      <c r="AG1299" s="19"/>
      <c r="AN1299" s="227"/>
      <c r="AO1299" s="227"/>
      <c r="AP1299" s="227"/>
      <c r="AQ1299" s="227"/>
      <c r="AR1299" s="227"/>
      <c r="AS1299" s="227"/>
      <c r="AT1299" s="227"/>
      <c r="AU1299" s="227"/>
    </row>
    <row r="1300" spans="27:47" ht="12.95" customHeight="1">
      <c r="AA1300" s="227"/>
      <c r="AB1300" s="227"/>
      <c r="AC1300" s="227"/>
      <c r="AD1300" s="227"/>
      <c r="AE1300" s="227"/>
      <c r="AG1300" s="19"/>
      <c r="AN1300" s="227"/>
      <c r="AO1300" s="227"/>
      <c r="AP1300" s="227"/>
      <c r="AQ1300" s="227"/>
      <c r="AR1300" s="227"/>
      <c r="AS1300" s="227"/>
      <c r="AT1300" s="227"/>
      <c r="AU1300" s="227"/>
    </row>
    <row r="1301" spans="27:47" ht="12.95" customHeight="1">
      <c r="AA1301" s="227"/>
      <c r="AB1301" s="227"/>
      <c r="AC1301" s="227"/>
      <c r="AD1301" s="227"/>
      <c r="AE1301" s="227"/>
      <c r="AG1301" s="19"/>
      <c r="AN1301" s="227"/>
      <c r="AO1301" s="227"/>
      <c r="AP1301" s="227"/>
      <c r="AQ1301" s="227"/>
      <c r="AR1301" s="227"/>
      <c r="AS1301" s="227"/>
      <c r="AT1301" s="227"/>
      <c r="AU1301" s="227"/>
    </row>
    <row r="1302" spans="27:47" ht="12.95" customHeight="1">
      <c r="AA1302" s="227"/>
      <c r="AB1302" s="227"/>
      <c r="AC1302" s="227"/>
      <c r="AD1302" s="227"/>
      <c r="AE1302" s="227"/>
      <c r="AG1302" s="19"/>
      <c r="AN1302" s="227"/>
      <c r="AO1302" s="227"/>
      <c r="AP1302" s="227"/>
      <c r="AQ1302" s="227"/>
      <c r="AR1302" s="227"/>
      <c r="AS1302" s="227"/>
      <c r="AT1302" s="227"/>
      <c r="AU1302" s="227"/>
    </row>
    <row r="1303" spans="27:47" ht="12.95" customHeight="1">
      <c r="AA1303" s="227"/>
      <c r="AB1303" s="227"/>
      <c r="AC1303" s="227"/>
      <c r="AD1303" s="227"/>
      <c r="AE1303" s="227"/>
      <c r="AG1303" s="19"/>
      <c r="AN1303" s="227"/>
      <c r="AO1303" s="227"/>
      <c r="AP1303" s="227"/>
      <c r="AQ1303" s="227"/>
      <c r="AR1303" s="227"/>
      <c r="AS1303" s="227"/>
      <c r="AT1303" s="227"/>
      <c r="AU1303" s="227"/>
    </row>
    <row r="1304" spans="27:47" ht="12.95" customHeight="1">
      <c r="AA1304" s="227"/>
      <c r="AB1304" s="227"/>
      <c r="AC1304" s="227"/>
      <c r="AD1304" s="227"/>
      <c r="AE1304" s="227"/>
      <c r="AG1304" s="19"/>
      <c r="AN1304" s="227"/>
      <c r="AO1304" s="227"/>
      <c r="AP1304" s="227"/>
      <c r="AQ1304" s="227"/>
      <c r="AR1304" s="227"/>
      <c r="AS1304" s="227"/>
      <c r="AT1304" s="227"/>
      <c r="AU1304" s="227"/>
    </row>
    <row r="1305" spans="27:47" ht="12.95" customHeight="1">
      <c r="AA1305" s="227"/>
      <c r="AB1305" s="227"/>
      <c r="AC1305" s="227"/>
      <c r="AD1305" s="227"/>
      <c r="AE1305" s="227"/>
      <c r="AG1305" s="19"/>
      <c r="AN1305" s="227"/>
      <c r="AO1305" s="227"/>
      <c r="AP1305" s="227"/>
      <c r="AQ1305" s="227"/>
      <c r="AR1305" s="227"/>
      <c r="AS1305" s="227"/>
      <c r="AT1305" s="227"/>
      <c r="AU1305" s="227"/>
    </row>
    <row r="1306" spans="27:47" ht="12.95" customHeight="1">
      <c r="AA1306" s="227"/>
      <c r="AB1306" s="227"/>
      <c r="AC1306" s="227"/>
      <c r="AD1306" s="227"/>
      <c r="AE1306" s="227"/>
      <c r="AG1306" s="19"/>
      <c r="AN1306" s="227"/>
      <c r="AO1306" s="227"/>
      <c r="AP1306" s="227"/>
      <c r="AQ1306" s="227"/>
      <c r="AR1306" s="227"/>
      <c r="AS1306" s="227"/>
      <c r="AT1306" s="227"/>
      <c r="AU1306" s="227"/>
    </row>
    <row r="1307" spans="27:47" ht="12.95" customHeight="1">
      <c r="AA1307" s="227"/>
      <c r="AB1307" s="227"/>
      <c r="AC1307" s="227"/>
      <c r="AD1307" s="227"/>
      <c r="AE1307" s="227"/>
      <c r="AG1307" s="19"/>
      <c r="AN1307" s="227"/>
      <c r="AO1307" s="227"/>
      <c r="AP1307" s="227"/>
      <c r="AQ1307" s="227"/>
      <c r="AR1307" s="227"/>
      <c r="AS1307" s="227"/>
      <c r="AT1307" s="227"/>
      <c r="AU1307" s="227"/>
    </row>
    <row r="1308" spans="27:47" ht="12.95" customHeight="1">
      <c r="AA1308" s="227"/>
      <c r="AB1308" s="227"/>
      <c r="AC1308" s="227"/>
      <c r="AD1308" s="227"/>
      <c r="AE1308" s="227"/>
      <c r="AG1308" s="19"/>
      <c r="AN1308" s="227"/>
      <c r="AO1308" s="227"/>
      <c r="AP1308" s="227"/>
      <c r="AQ1308" s="227"/>
      <c r="AR1308" s="227"/>
      <c r="AS1308" s="227"/>
      <c r="AT1308" s="227"/>
      <c r="AU1308" s="227"/>
    </row>
    <row r="1309" spans="27:47" ht="12.95" customHeight="1">
      <c r="AA1309" s="227"/>
      <c r="AB1309" s="227"/>
      <c r="AC1309" s="227"/>
      <c r="AD1309" s="227"/>
      <c r="AE1309" s="227"/>
      <c r="AG1309" s="19"/>
      <c r="AN1309" s="227"/>
      <c r="AO1309" s="227"/>
      <c r="AP1309" s="227"/>
      <c r="AQ1309" s="227"/>
      <c r="AR1309" s="227"/>
      <c r="AS1309" s="227"/>
      <c r="AT1309" s="227"/>
      <c r="AU1309" s="227"/>
    </row>
    <row r="1310" spans="27:47" ht="12.95" customHeight="1">
      <c r="AA1310" s="227"/>
      <c r="AB1310" s="227"/>
      <c r="AC1310" s="227"/>
      <c r="AD1310" s="227"/>
      <c r="AE1310" s="227"/>
      <c r="AG1310" s="19"/>
      <c r="AN1310" s="227"/>
      <c r="AO1310" s="227"/>
      <c r="AP1310" s="227"/>
      <c r="AQ1310" s="227"/>
      <c r="AR1310" s="227"/>
      <c r="AS1310" s="227"/>
      <c r="AT1310" s="227"/>
      <c r="AU1310" s="227"/>
    </row>
    <row r="1311" spans="27:47" ht="12.95" customHeight="1">
      <c r="AA1311" s="227"/>
      <c r="AB1311" s="227"/>
      <c r="AC1311" s="227"/>
      <c r="AD1311" s="227"/>
      <c r="AE1311" s="227"/>
      <c r="AG1311" s="19"/>
      <c r="AN1311" s="227"/>
      <c r="AO1311" s="227"/>
      <c r="AP1311" s="227"/>
      <c r="AQ1311" s="227"/>
      <c r="AR1311" s="227"/>
      <c r="AS1311" s="227"/>
      <c r="AT1311" s="227"/>
      <c r="AU1311" s="227"/>
    </row>
    <row r="1312" spans="27:47" ht="12.95" customHeight="1">
      <c r="AA1312" s="227"/>
      <c r="AB1312" s="227"/>
      <c r="AC1312" s="227"/>
      <c r="AD1312" s="227"/>
      <c r="AE1312" s="227"/>
      <c r="AG1312" s="19"/>
      <c r="AN1312" s="227"/>
      <c r="AO1312" s="227"/>
      <c r="AP1312" s="227"/>
      <c r="AQ1312" s="227"/>
      <c r="AR1312" s="227"/>
      <c r="AS1312" s="227"/>
      <c r="AT1312" s="227"/>
      <c r="AU1312" s="227"/>
    </row>
    <row r="1313" spans="27:64" ht="12.95" customHeight="1">
      <c r="AA1313" s="227"/>
      <c r="AB1313" s="227"/>
      <c r="AC1313" s="227"/>
      <c r="AD1313" s="227"/>
      <c r="AE1313" s="227"/>
      <c r="AG1313" s="19"/>
      <c r="AN1313" s="227"/>
      <c r="AO1313" s="227"/>
      <c r="AP1313" s="227"/>
      <c r="AQ1313" s="227"/>
      <c r="AR1313" s="227"/>
      <c r="AS1313" s="227"/>
      <c r="AT1313" s="227"/>
      <c r="AU1313" s="227"/>
    </row>
    <row r="1314" spans="27:64" ht="12.95" customHeight="1">
      <c r="AA1314" s="227"/>
      <c r="AB1314" s="227"/>
      <c r="AC1314" s="227"/>
      <c r="AD1314" s="227"/>
      <c r="AE1314" s="227"/>
      <c r="AG1314" s="19"/>
      <c r="AN1314" s="227"/>
      <c r="AO1314" s="227"/>
      <c r="AP1314" s="227"/>
      <c r="AQ1314" s="227"/>
      <c r="AR1314" s="227"/>
      <c r="AS1314" s="227"/>
      <c r="AT1314" s="227"/>
      <c r="AU1314" s="227"/>
    </row>
    <row r="1315" spans="27:64" ht="12.95" customHeight="1">
      <c r="AA1315" s="227"/>
      <c r="AB1315" s="227"/>
      <c r="AC1315" s="227"/>
      <c r="AD1315" s="227"/>
      <c r="AE1315" s="227"/>
      <c r="AG1315" s="19"/>
      <c r="AN1315" s="227"/>
      <c r="AO1315" s="227"/>
      <c r="AP1315" s="227"/>
      <c r="AQ1315" s="227"/>
      <c r="AR1315" s="227"/>
      <c r="AS1315" s="227"/>
      <c r="AT1315" s="227"/>
      <c r="AU1315" s="227"/>
    </row>
    <row r="1316" spans="27:64" ht="12.95" customHeight="1">
      <c r="AA1316" s="227"/>
      <c r="AB1316" s="227"/>
      <c r="AC1316" s="227"/>
      <c r="AD1316" s="227"/>
      <c r="AE1316" s="227"/>
      <c r="AG1316" s="19"/>
      <c r="AN1316" s="227"/>
      <c r="AO1316" s="227"/>
      <c r="AP1316" s="227"/>
      <c r="AQ1316" s="227"/>
      <c r="AR1316" s="227"/>
      <c r="AS1316" s="227"/>
      <c r="AT1316" s="227"/>
      <c r="AU1316" s="227"/>
    </row>
    <row r="1317" spans="27:64" ht="12.95" customHeight="1">
      <c r="AA1317" s="227"/>
      <c r="AB1317" s="227"/>
      <c r="AC1317" s="227"/>
      <c r="AD1317" s="227"/>
      <c r="AE1317" s="227"/>
      <c r="AG1317" s="19"/>
      <c r="AN1317" s="227"/>
      <c r="AO1317" s="227"/>
      <c r="AP1317" s="227"/>
      <c r="AQ1317" s="227"/>
      <c r="AR1317" s="227"/>
      <c r="AS1317" s="227"/>
      <c r="AT1317" s="227"/>
      <c r="AU1317" s="227"/>
    </row>
    <row r="1318" spans="27:64" ht="12.95" customHeight="1">
      <c r="AA1318" s="227"/>
      <c r="AB1318" s="227"/>
      <c r="AC1318" s="227"/>
      <c r="AD1318" s="227"/>
      <c r="AE1318" s="227"/>
      <c r="AG1318" s="19"/>
      <c r="AN1318" s="227"/>
      <c r="AO1318" s="227"/>
      <c r="AP1318" s="227"/>
      <c r="AQ1318" s="227"/>
      <c r="AR1318" s="227"/>
      <c r="AS1318" s="227"/>
      <c r="AT1318" s="227"/>
      <c r="AU1318" s="227"/>
    </row>
    <row r="1319" spans="27:64" ht="12.95" customHeight="1">
      <c r="AA1319" s="227"/>
      <c r="AB1319" s="227"/>
      <c r="AC1319" s="227"/>
      <c r="AD1319" s="227"/>
      <c r="AE1319" s="227"/>
      <c r="AG1319" s="19"/>
      <c r="AN1319" s="227"/>
      <c r="AO1319" s="227"/>
      <c r="AP1319" s="227"/>
      <c r="AQ1319" s="227"/>
      <c r="AR1319" s="227"/>
      <c r="AS1319" s="227"/>
      <c r="AT1319" s="227"/>
      <c r="AU1319" s="227"/>
      <c r="AV1319" s="227"/>
      <c r="AW1319" s="227"/>
      <c r="AX1319" s="227"/>
      <c r="AY1319" s="227"/>
      <c r="AZ1319" s="227"/>
      <c r="BA1319" s="227"/>
      <c r="BB1319" s="227"/>
      <c r="BC1319" s="227"/>
      <c r="BD1319" s="227"/>
      <c r="BE1319" s="227"/>
      <c r="BF1319" s="227"/>
      <c r="BG1319" s="227"/>
      <c r="BH1319" s="227"/>
      <c r="BI1319" s="227"/>
      <c r="BJ1319" s="227"/>
      <c r="BK1319" s="227"/>
      <c r="BL1319" s="227"/>
    </row>
    <row r="1320" spans="27:64" ht="12.95" customHeight="1">
      <c r="AA1320" s="227"/>
      <c r="AB1320" s="227"/>
      <c r="AC1320" s="227"/>
      <c r="AD1320" s="227"/>
      <c r="AE1320" s="227"/>
      <c r="AG1320" s="19"/>
      <c r="AN1320" s="227"/>
      <c r="AO1320" s="227"/>
      <c r="AP1320" s="227"/>
      <c r="AQ1320" s="227"/>
      <c r="AR1320" s="227"/>
      <c r="AS1320" s="227"/>
      <c r="AT1320" s="227"/>
      <c r="AU1320" s="227"/>
    </row>
    <row r="1321" spans="27:64" ht="12.95" customHeight="1">
      <c r="AA1321" s="227"/>
      <c r="AB1321" s="227"/>
      <c r="AC1321" s="227"/>
      <c r="AD1321" s="227"/>
      <c r="AE1321" s="227"/>
      <c r="AG1321" s="19"/>
      <c r="AN1321" s="227"/>
      <c r="AO1321" s="227"/>
      <c r="AP1321" s="227"/>
      <c r="AQ1321" s="227"/>
      <c r="AR1321" s="227"/>
      <c r="AS1321" s="227"/>
      <c r="AT1321" s="227"/>
      <c r="AU1321" s="227"/>
      <c r="AV1321" s="227"/>
      <c r="AW1321" s="227"/>
      <c r="AX1321" s="227"/>
      <c r="AY1321" s="227"/>
      <c r="AZ1321" s="227"/>
      <c r="BA1321" s="227"/>
      <c r="BB1321" s="227"/>
      <c r="BC1321" s="227"/>
      <c r="BD1321" s="227"/>
      <c r="BE1321" s="227"/>
      <c r="BF1321" s="227"/>
      <c r="BG1321" s="227"/>
      <c r="BH1321" s="227"/>
      <c r="BI1321" s="227"/>
      <c r="BJ1321" s="227"/>
      <c r="BK1321" s="227"/>
      <c r="BL1321" s="227"/>
    </row>
    <row r="1322" spans="27:64" ht="12.95" customHeight="1">
      <c r="AA1322" s="227"/>
      <c r="AB1322" s="227"/>
      <c r="AC1322" s="227"/>
      <c r="AD1322" s="227"/>
      <c r="AE1322" s="227"/>
      <c r="AG1322" s="19"/>
      <c r="AN1322" s="227"/>
      <c r="AO1322" s="227"/>
      <c r="AP1322" s="227"/>
      <c r="AQ1322" s="227"/>
      <c r="AR1322" s="227"/>
      <c r="AS1322" s="227"/>
      <c r="AT1322" s="227"/>
      <c r="AU1322" s="227"/>
    </row>
    <row r="1323" spans="27:64" ht="12.95" customHeight="1">
      <c r="AA1323" s="227"/>
      <c r="AB1323" s="227"/>
      <c r="AC1323" s="227"/>
      <c r="AD1323" s="227"/>
      <c r="AE1323" s="227"/>
      <c r="AG1323" s="19"/>
      <c r="AN1323" s="227"/>
      <c r="AO1323" s="227"/>
      <c r="AP1323" s="227"/>
      <c r="AQ1323" s="227"/>
      <c r="AR1323" s="227"/>
      <c r="AS1323" s="227"/>
      <c r="AT1323" s="227"/>
      <c r="AU1323" s="227"/>
      <c r="AV1323" s="227"/>
      <c r="AW1323" s="227"/>
      <c r="AX1323" s="227"/>
      <c r="AY1323" s="227"/>
      <c r="AZ1323" s="227"/>
      <c r="BA1323" s="227"/>
      <c r="BB1323" s="227"/>
      <c r="BC1323" s="227"/>
      <c r="BD1323" s="227"/>
      <c r="BE1323" s="227"/>
      <c r="BF1323" s="227"/>
      <c r="BG1323" s="227"/>
      <c r="BH1323" s="227"/>
      <c r="BI1323" s="227"/>
      <c r="BJ1323" s="227"/>
      <c r="BK1323" s="227"/>
      <c r="BL1323" s="227"/>
    </row>
    <row r="1324" spans="27:64" ht="12.95" customHeight="1">
      <c r="AA1324" s="227"/>
      <c r="AB1324" s="227"/>
      <c r="AC1324" s="227"/>
      <c r="AD1324" s="227"/>
      <c r="AE1324" s="227"/>
      <c r="AG1324" s="19"/>
      <c r="AN1324" s="227"/>
      <c r="AO1324" s="227"/>
      <c r="AP1324" s="227"/>
      <c r="AQ1324" s="227"/>
      <c r="AR1324" s="227"/>
      <c r="AS1324" s="227"/>
      <c r="AT1324" s="227"/>
      <c r="AU1324" s="227"/>
    </row>
    <row r="1325" spans="27:64" ht="12.95" customHeight="1">
      <c r="AA1325" s="227"/>
      <c r="AB1325" s="227"/>
      <c r="AC1325" s="227"/>
      <c r="AD1325" s="227"/>
      <c r="AE1325" s="227"/>
      <c r="AG1325" s="19"/>
      <c r="AN1325" s="227"/>
      <c r="AO1325" s="227"/>
      <c r="AP1325" s="227"/>
      <c r="AQ1325" s="227"/>
      <c r="AR1325" s="227"/>
      <c r="AS1325" s="227"/>
      <c r="AT1325" s="227"/>
      <c r="AU1325" s="227"/>
    </row>
    <row r="1326" spans="27:64" ht="12.95" customHeight="1">
      <c r="AA1326" s="227"/>
      <c r="AB1326" s="227"/>
      <c r="AC1326" s="227"/>
      <c r="AD1326" s="227"/>
      <c r="AE1326" s="227"/>
      <c r="AG1326" s="19"/>
      <c r="AN1326" s="227"/>
      <c r="AO1326" s="227"/>
      <c r="AP1326" s="227"/>
      <c r="AQ1326" s="227"/>
      <c r="AR1326" s="227"/>
      <c r="AS1326" s="227"/>
      <c r="AT1326" s="227"/>
      <c r="AU1326" s="227"/>
    </row>
    <row r="1327" spans="27:64" ht="12.95" customHeight="1">
      <c r="AA1327" s="227"/>
      <c r="AB1327" s="227"/>
      <c r="AC1327" s="227"/>
      <c r="AD1327" s="227"/>
      <c r="AE1327" s="227"/>
      <c r="AG1327" s="19"/>
      <c r="AN1327" s="227"/>
      <c r="AO1327" s="227"/>
      <c r="AP1327" s="227"/>
      <c r="AQ1327" s="227"/>
      <c r="AR1327" s="227"/>
      <c r="AS1327" s="227"/>
      <c r="AT1327" s="227"/>
      <c r="AU1327" s="227"/>
    </row>
    <row r="1328" spans="27:64" ht="12.95" customHeight="1">
      <c r="AA1328" s="227"/>
      <c r="AB1328" s="227"/>
      <c r="AC1328" s="227"/>
      <c r="AD1328" s="227"/>
      <c r="AE1328" s="227"/>
      <c r="AG1328" s="19"/>
      <c r="AN1328" s="227"/>
      <c r="AO1328" s="227"/>
      <c r="AP1328" s="227"/>
      <c r="AQ1328" s="227"/>
      <c r="AR1328" s="227"/>
      <c r="AS1328" s="227"/>
      <c r="AT1328" s="227"/>
      <c r="AU1328" s="227"/>
    </row>
    <row r="1329" spans="27:64" ht="12.95" customHeight="1">
      <c r="AA1329" s="227"/>
      <c r="AB1329" s="227"/>
      <c r="AC1329" s="227"/>
      <c r="AD1329" s="227"/>
      <c r="AE1329" s="227"/>
      <c r="AG1329" s="19"/>
      <c r="AN1329" s="227"/>
      <c r="AO1329" s="227"/>
      <c r="AP1329" s="227"/>
      <c r="AQ1329" s="227"/>
      <c r="AR1329" s="227"/>
      <c r="AS1329" s="227"/>
      <c r="AT1329" s="227"/>
      <c r="AU1329" s="227"/>
    </row>
    <row r="1330" spans="27:64" ht="12.95" customHeight="1">
      <c r="AA1330" s="227"/>
      <c r="AB1330" s="227"/>
      <c r="AC1330" s="227"/>
      <c r="AD1330" s="227"/>
      <c r="AE1330" s="227"/>
      <c r="AG1330" s="19"/>
      <c r="AN1330" s="227"/>
      <c r="AO1330" s="227"/>
      <c r="AP1330" s="227"/>
      <c r="AQ1330" s="227"/>
      <c r="AR1330" s="227"/>
      <c r="AS1330" s="227"/>
      <c r="AT1330" s="227"/>
      <c r="AU1330" s="227"/>
    </row>
    <row r="1331" spans="27:64" ht="12.95" customHeight="1">
      <c r="AA1331" s="227"/>
      <c r="AB1331" s="227"/>
      <c r="AC1331" s="227"/>
      <c r="AD1331" s="227"/>
      <c r="AE1331" s="227"/>
      <c r="AG1331" s="19"/>
      <c r="AN1331" s="227"/>
      <c r="AO1331" s="227"/>
      <c r="AP1331" s="227"/>
      <c r="AQ1331" s="227"/>
      <c r="AR1331" s="227"/>
      <c r="AS1331" s="227"/>
      <c r="AT1331" s="227"/>
      <c r="AU1331" s="227"/>
    </row>
    <row r="1332" spans="27:64" ht="12.95" customHeight="1">
      <c r="AA1332" s="227"/>
      <c r="AB1332" s="227"/>
      <c r="AC1332" s="227"/>
      <c r="AD1332" s="227"/>
      <c r="AE1332" s="227"/>
      <c r="AG1332" s="19"/>
      <c r="AN1332" s="227"/>
      <c r="AO1332" s="227"/>
      <c r="AP1332" s="227"/>
      <c r="AQ1332" s="227"/>
      <c r="AR1332" s="227"/>
      <c r="AS1332" s="227"/>
      <c r="AT1332" s="227"/>
      <c r="AU1332" s="227"/>
      <c r="AV1332" s="227"/>
    </row>
    <row r="1333" spans="27:64" ht="12.95" customHeight="1">
      <c r="AA1333" s="227"/>
      <c r="AB1333" s="227"/>
      <c r="AC1333" s="227"/>
      <c r="AD1333" s="227"/>
      <c r="AE1333" s="227"/>
      <c r="AG1333" s="19"/>
      <c r="AN1333" s="227"/>
      <c r="AO1333" s="227"/>
      <c r="AP1333" s="227"/>
      <c r="AQ1333" s="227"/>
      <c r="AR1333" s="227"/>
      <c r="AS1333" s="227"/>
      <c r="AT1333" s="227"/>
      <c r="AU1333" s="227"/>
    </row>
    <row r="1334" spans="27:64" ht="12.95" customHeight="1">
      <c r="AA1334" s="227"/>
      <c r="AB1334" s="227"/>
      <c r="AC1334" s="227"/>
      <c r="AD1334" s="227"/>
      <c r="AE1334" s="227"/>
      <c r="AG1334" s="19"/>
      <c r="AN1334" s="227"/>
      <c r="AO1334" s="227"/>
      <c r="AP1334" s="227"/>
      <c r="AQ1334" s="227"/>
      <c r="AR1334" s="227"/>
      <c r="AS1334" s="227"/>
      <c r="AT1334" s="227"/>
      <c r="AU1334" s="227"/>
      <c r="AV1334" s="227"/>
    </row>
    <row r="1335" spans="27:64" ht="12.95" customHeight="1">
      <c r="AA1335" s="227"/>
      <c r="AB1335" s="227"/>
      <c r="AC1335" s="227"/>
      <c r="AD1335" s="227"/>
      <c r="AE1335" s="227"/>
      <c r="AG1335" s="19"/>
      <c r="AN1335" s="227"/>
      <c r="AO1335" s="227"/>
      <c r="AP1335" s="227"/>
      <c r="AQ1335" s="227"/>
      <c r="AR1335" s="227"/>
      <c r="AS1335" s="227"/>
      <c r="AT1335" s="227"/>
      <c r="AU1335" s="227"/>
      <c r="AV1335" s="227"/>
      <c r="AW1335" s="227"/>
      <c r="AX1335" s="227"/>
      <c r="AY1335" s="227"/>
      <c r="AZ1335" s="227"/>
      <c r="BA1335" s="227"/>
      <c r="BB1335" s="227"/>
      <c r="BC1335" s="227"/>
      <c r="BD1335" s="227"/>
      <c r="BE1335" s="227"/>
      <c r="BF1335" s="227"/>
      <c r="BG1335" s="227"/>
      <c r="BH1335" s="227"/>
      <c r="BI1335" s="227"/>
      <c r="BJ1335" s="227"/>
      <c r="BK1335" s="227"/>
      <c r="BL1335" s="227"/>
    </row>
    <row r="1336" spans="27:64" ht="12.95" customHeight="1">
      <c r="AA1336" s="227"/>
      <c r="AB1336" s="227"/>
      <c r="AC1336" s="227"/>
      <c r="AD1336" s="227"/>
      <c r="AE1336" s="227"/>
      <c r="AG1336" s="19"/>
      <c r="AN1336" s="227"/>
      <c r="AO1336" s="227"/>
      <c r="AP1336" s="227"/>
      <c r="AQ1336" s="227"/>
      <c r="AR1336" s="227"/>
      <c r="AS1336" s="227"/>
      <c r="AT1336" s="227"/>
      <c r="AU1336" s="227"/>
    </row>
    <row r="1337" spans="27:64" ht="12.95" customHeight="1">
      <c r="AA1337" s="227"/>
      <c r="AB1337" s="227"/>
      <c r="AC1337" s="227"/>
      <c r="AD1337" s="227"/>
      <c r="AE1337" s="227"/>
      <c r="AG1337" s="19"/>
      <c r="AN1337" s="227"/>
      <c r="AO1337" s="227"/>
      <c r="AP1337" s="227"/>
      <c r="AQ1337" s="227"/>
      <c r="AR1337" s="227"/>
      <c r="AS1337" s="227"/>
      <c r="AT1337" s="227"/>
      <c r="AU1337" s="227"/>
    </row>
    <row r="1338" spans="27:64" ht="12.95" customHeight="1">
      <c r="AA1338" s="227"/>
      <c r="AB1338" s="227"/>
      <c r="AC1338" s="227"/>
      <c r="AD1338" s="227"/>
      <c r="AE1338" s="227"/>
      <c r="AG1338" s="19"/>
      <c r="AN1338" s="227"/>
      <c r="AO1338" s="227"/>
      <c r="AP1338" s="227"/>
      <c r="AQ1338" s="227"/>
      <c r="AR1338" s="227"/>
      <c r="AS1338" s="227"/>
      <c r="AT1338" s="227"/>
      <c r="AU1338" s="227"/>
    </row>
    <row r="1339" spans="27:64" ht="12.95" customHeight="1">
      <c r="AA1339" s="227"/>
      <c r="AB1339" s="227"/>
      <c r="AC1339" s="227"/>
      <c r="AD1339" s="227"/>
      <c r="AE1339" s="227"/>
      <c r="AG1339" s="19"/>
      <c r="AN1339" s="227"/>
      <c r="AO1339" s="227"/>
      <c r="AP1339" s="227"/>
      <c r="AQ1339" s="227"/>
      <c r="AR1339" s="227"/>
      <c r="AS1339" s="227"/>
      <c r="AT1339" s="227"/>
      <c r="AU1339" s="227"/>
    </row>
    <row r="1340" spans="27:64" ht="12.95" customHeight="1">
      <c r="AA1340" s="227"/>
      <c r="AB1340" s="227"/>
      <c r="AC1340" s="227"/>
      <c r="AD1340" s="227"/>
      <c r="AE1340" s="227"/>
      <c r="AG1340" s="19"/>
      <c r="AN1340" s="227"/>
      <c r="AO1340" s="227"/>
      <c r="AP1340" s="227"/>
      <c r="AQ1340" s="227"/>
      <c r="AR1340" s="227"/>
      <c r="AS1340" s="227"/>
      <c r="AT1340" s="227"/>
      <c r="AU1340" s="227"/>
    </row>
    <row r="1341" spans="27:64" ht="12.95" customHeight="1">
      <c r="AA1341" s="227"/>
      <c r="AB1341" s="227"/>
      <c r="AC1341" s="227"/>
      <c r="AD1341" s="227"/>
      <c r="AE1341" s="227"/>
      <c r="AG1341" s="19"/>
      <c r="AN1341" s="227"/>
      <c r="AO1341" s="227"/>
      <c r="AP1341" s="227"/>
      <c r="AQ1341" s="227"/>
      <c r="AR1341" s="227"/>
      <c r="AS1341" s="227"/>
      <c r="AT1341" s="227"/>
      <c r="AU1341" s="227"/>
    </row>
    <row r="1342" spans="27:64" ht="12.95" customHeight="1">
      <c r="AA1342" s="227"/>
      <c r="AB1342" s="227"/>
      <c r="AC1342" s="227"/>
      <c r="AD1342" s="227"/>
      <c r="AE1342" s="227"/>
      <c r="AG1342" s="19"/>
      <c r="AN1342" s="227"/>
      <c r="AO1342" s="227"/>
      <c r="AP1342" s="227"/>
      <c r="AQ1342" s="227"/>
      <c r="AR1342" s="227"/>
      <c r="AS1342" s="227"/>
      <c r="AT1342" s="227"/>
      <c r="AU1342" s="227"/>
      <c r="AV1342" s="227"/>
      <c r="AW1342" s="227"/>
      <c r="AX1342" s="227"/>
      <c r="AY1342" s="227"/>
      <c r="AZ1342" s="227"/>
      <c r="BA1342" s="227"/>
      <c r="BB1342" s="227"/>
      <c r="BC1342" s="227"/>
      <c r="BD1342" s="227"/>
      <c r="BE1342" s="227"/>
      <c r="BF1342" s="227"/>
      <c r="BG1342" s="227"/>
      <c r="BH1342" s="227"/>
      <c r="BI1342" s="227"/>
      <c r="BJ1342" s="227"/>
      <c r="BK1342" s="227"/>
      <c r="BL1342" s="227"/>
    </row>
    <row r="1343" spans="27:64" ht="12.95" customHeight="1">
      <c r="AA1343" s="227"/>
      <c r="AB1343" s="227"/>
      <c r="AC1343" s="227"/>
      <c r="AD1343" s="227"/>
      <c r="AE1343" s="227"/>
      <c r="AG1343" s="19"/>
      <c r="AN1343" s="227"/>
      <c r="AO1343" s="227"/>
      <c r="AP1343" s="227"/>
      <c r="AQ1343" s="227"/>
      <c r="AR1343" s="227"/>
      <c r="AS1343" s="227"/>
      <c r="AT1343" s="227"/>
      <c r="AU1343" s="227"/>
      <c r="AV1343" s="227"/>
      <c r="AX1343" s="227"/>
    </row>
    <row r="1344" spans="27:64" ht="12.95" customHeight="1">
      <c r="AA1344" s="227"/>
      <c r="AB1344" s="227"/>
      <c r="AC1344" s="227"/>
      <c r="AD1344" s="227"/>
      <c r="AE1344" s="227"/>
      <c r="AG1344" s="19"/>
      <c r="AN1344" s="227"/>
      <c r="AO1344" s="227"/>
      <c r="AP1344" s="227"/>
      <c r="AQ1344" s="227"/>
      <c r="AR1344" s="227"/>
      <c r="AS1344" s="227"/>
      <c r="AT1344" s="227"/>
      <c r="AU1344" s="227"/>
      <c r="AV1344" s="227"/>
      <c r="AW1344" s="227"/>
      <c r="AX1344" s="227"/>
      <c r="AY1344" s="227"/>
      <c r="AZ1344" s="227"/>
      <c r="BA1344" s="227"/>
      <c r="BB1344" s="227"/>
      <c r="BC1344" s="227"/>
      <c r="BD1344" s="227"/>
      <c r="BE1344" s="227"/>
      <c r="BF1344" s="227"/>
      <c r="BG1344" s="227"/>
      <c r="BH1344" s="227"/>
      <c r="BI1344" s="227"/>
      <c r="BJ1344" s="227"/>
      <c r="BK1344" s="227"/>
      <c r="BL1344" s="227"/>
    </row>
    <row r="1345" spans="27:64" ht="12.95" customHeight="1">
      <c r="AA1345" s="227"/>
      <c r="AB1345" s="227"/>
      <c r="AC1345" s="227"/>
      <c r="AD1345" s="227"/>
      <c r="AE1345" s="227"/>
      <c r="AG1345" s="19"/>
      <c r="AN1345" s="227"/>
      <c r="AO1345" s="227"/>
      <c r="AP1345" s="227"/>
      <c r="AQ1345" s="227"/>
      <c r="AR1345" s="227"/>
      <c r="AS1345" s="227"/>
      <c r="AT1345" s="227"/>
      <c r="AU1345" s="227"/>
      <c r="AV1345" s="227"/>
      <c r="AW1345" s="227"/>
      <c r="AX1345" s="227"/>
      <c r="AY1345" s="227"/>
      <c r="AZ1345" s="227"/>
      <c r="BA1345" s="227"/>
      <c r="BB1345" s="227"/>
      <c r="BC1345" s="227"/>
      <c r="BD1345" s="227"/>
      <c r="BE1345" s="227"/>
      <c r="BF1345" s="227"/>
      <c r="BG1345" s="227"/>
      <c r="BH1345" s="227"/>
      <c r="BI1345" s="227"/>
      <c r="BJ1345" s="227"/>
      <c r="BK1345" s="227"/>
      <c r="BL1345" s="227"/>
    </row>
    <row r="1346" spans="27:64" ht="12.95" customHeight="1">
      <c r="AA1346" s="227"/>
      <c r="AB1346" s="227"/>
      <c r="AC1346" s="227"/>
      <c r="AD1346" s="227"/>
      <c r="AE1346" s="227"/>
      <c r="AG1346" s="19"/>
      <c r="AN1346" s="227"/>
      <c r="AO1346" s="227"/>
      <c r="AP1346" s="227"/>
      <c r="AQ1346" s="227"/>
      <c r="AR1346" s="227"/>
      <c r="AS1346" s="227"/>
      <c r="AT1346" s="227"/>
      <c r="AU1346" s="227"/>
    </row>
    <row r="1347" spans="27:64" ht="12.95" customHeight="1">
      <c r="AA1347" s="227"/>
      <c r="AB1347" s="227"/>
      <c r="AC1347" s="227"/>
      <c r="AD1347" s="227"/>
      <c r="AE1347" s="227"/>
      <c r="AG1347" s="19"/>
      <c r="AN1347" s="227"/>
      <c r="AO1347" s="227"/>
      <c r="AP1347" s="227"/>
      <c r="AQ1347" s="227"/>
      <c r="AR1347" s="227"/>
      <c r="AS1347" s="227"/>
      <c r="AT1347" s="227"/>
      <c r="AU1347" s="227"/>
    </row>
    <row r="1348" spans="27:64" ht="12.95" customHeight="1">
      <c r="AA1348" s="227"/>
      <c r="AB1348" s="227"/>
      <c r="AC1348" s="227"/>
      <c r="AD1348" s="227"/>
      <c r="AE1348" s="227"/>
      <c r="AG1348" s="19"/>
      <c r="AN1348" s="227"/>
      <c r="AO1348" s="227"/>
      <c r="AP1348" s="227"/>
      <c r="AQ1348" s="227"/>
      <c r="AR1348" s="227"/>
      <c r="AS1348" s="227"/>
      <c r="AT1348" s="227"/>
      <c r="AU1348" s="227"/>
    </row>
    <row r="1349" spans="27:64" ht="12.95" customHeight="1">
      <c r="AA1349" s="227"/>
      <c r="AB1349" s="227"/>
      <c r="AC1349" s="227"/>
      <c r="AD1349" s="227"/>
      <c r="AE1349" s="227"/>
      <c r="AG1349" s="19"/>
      <c r="AN1349" s="227"/>
      <c r="AO1349" s="227"/>
      <c r="AP1349" s="227"/>
      <c r="AQ1349" s="227"/>
      <c r="AR1349" s="227"/>
      <c r="AS1349" s="227"/>
      <c r="AT1349" s="227"/>
      <c r="AU1349" s="227"/>
    </row>
    <row r="1350" spans="27:64" ht="12.95" customHeight="1">
      <c r="AA1350" s="227"/>
      <c r="AB1350" s="227"/>
      <c r="AC1350" s="227"/>
      <c r="AD1350" s="227"/>
      <c r="AE1350" s="227"/>
      <c r="AG1350" s="19"/>
      <c r="AN1350" s="227"/>
      <c r="AO1350" s="227"/>
      <c r="AP1350" s="227"/>
      <c r="AQ1350" s="227"/>
      <c r="AR1350" s="227"/>
      <c r="AS1350" s="227"/>
      <c r="AT1350" s="227"/>
      <c r="AU1350" s="227"/>
    </row>
    <row r="1351" spans="27:64" ht="12.95" customHeight="1">
      <c r="AA1351" s="227"/>
      <c r="AB1351" s="227"/>
      <c r="AC1351" s="227"/>
      <c r="AD1351" s="227"/>
      <c r="AE1351" s="227"/>
      <c r="AG1351" s="19"/>
      <c r="AN1351" s="227"/>
      <c r="AO1351" s="227"/>
      <c r="AP1351" s="227"/>
      <c r="AQ1351" s="227"/>
      <c r="AR1351" s="227"/>
      <c r="AS1351" s="227"/>
      <c r="AT1351" s="227"/>
      <c r="AU1351" s="227"/>
    </row>
    <row r="1352" spans="27:64" ht="12.95" customHeight="1">
      <c r="AA1352" s="227"/>
      <c r="AB1352" s="227"/>
      <c r="AC1352" s="227"/>
      <c r="AD1352" s="227"/>
      <c r="AE1352" s="227"/>
      <c r="AG1352" s="19"/>
      <c r="AN1352" s="227"/>
      <c r="AO1352" s="227"/>
      <c r="AP1352" s="227"/>
      <c r="AQ1352" s="227"/>
      <c r="AR1352" s="227"/>
      <c r="AS1352" s="227"/>
      <c r="AT1352" s="227"/>
      <c r="AU1352" s="227"/>
    </row>
    <row r="1353" spans="27:64" ht="12.95" customHeight="1">
      <c r="AA1353" s="227"/>
      <c r="AB1353" s="227"/>
      <c r="AC1353" s="227"/>
      <c r="AD1353" s="227"/>
      <c r="AE1353" s="227"/>
      <c r="AG1353" s="19"/>
      <c r="AN1353" s="227"/>
      <c r="AO1353" s="227"/>
      <c r="AP1353" s="227"/>
      <c r="AQ1353" s="227"/>
      <c r="AR1353" s="227"/>
      <c r="AS1353" s="227"/>
      <c r="AT1353" s="227"/>
      <c r="AU1353" s="227"/>
    </row>
    <row r="1354" spans="27:64" ht="12.95" customHeight="1">
      <c r="AA1354" s="227"/>
      <c r="AB1354" s="227"/>
      <c r="AC1354" s="227"/>
      <c r="AD1354" s="227"/>
      <c r="AE1354" s="227"/>
      <c r="AG1354" s="19"/>
      <c r="AN1354" s="227"/>
      <c r="AO1354" s="227"/>
      <c r="AP1354" s="227"/>
      <c r="AQ1354" s="227"/>
      <c r="AR1354" s="227"/>
      <c r="AS1354" s="227"/>
      <c r="AT1354" s="227"/>
      <c r="AU1354" s="227"/>
    </row>
    <row r="1355" spans="27:64" ht="12.95" customHeight="1">
      <c r="AA1355" s="227"/>
      <c r="AB1355" s="227"/>
      <c r="AC1355" s="227"/>
      <c r="AD1355" s="227"/>
      <c r="AE1355" s="227"/>
      <c r="AG1355" s="19"/>
      <c r="AN1355" s="227"/>
      <c r="AO1355" s="227"/>
      <c r="AP1355" s="227"/>
      <c r="AQ1355" s="227"/>
      <c r="AR1355" s="227"/>
      <c r="AS1355" s="227"/>
      <c r="AT1355" s="227"/>
      <c r="AU1355" s="227"/>
    </row>
    <row r="1356" spans="27:64" ht="12.95" customHeight="1">
      <c r="AA1356" s="227"/>
      <c r="AB1356" s="227"/>
      <c r="AC1356" s="227"/>
      <c r="AD1356" s="227"/>
      <c r="AE1356" s="227"/>
      <c r="AG1356" s="19"/>
      <c r="AN1356" s="227"/>
      <c r="AO1356" s="227"/>
      <c r="AP1356" s="227"/>
      <c r="AQ1356" s="227"/>
      <c r="AR1356" s="227"/>
      <c r="AS1356" s="227"/>
      <c r="AT1356" s="227"/>
      <c r="AU1356" s="227"/>
    </row>
    <row r="1357" spans="27:64" ht="12.95" customHeight="1">
      <c r="AA1357" s="227"/>
      <c r="AB1357" s="227"/>
      <c r="AC1357" s="227"/>
      <c r="AD1357" s="227"/>
      <c r="AE1357" s="227"/>
      <c r="AG1357" s="19"/>
      <c r="AN1357" s="227"/>
      <c r="AO1357" s="227"/>
      <c r="AP1357" s="227"/>
      <c r="AQ1357" s="227"/>
      <c r="AR1357" s="227"/>
      <c r="AS1357" s="227"/>
      <c r="AT1357" s="227"/>
      <c r="AU1357" s="227"/>
    </row>
    <row r="1358" spans="27:64" ht="12.95" customHeight="1">
      <c r="AA1358" s="227"/>
      <c r="AB1358" s="227"/>
      <c r="AC1358" s="227"/>
      <c r="AD1358" s="227"/>
      <c r="AE1358" s="227"/>
      <c r="AG1358" s="19"/>
      <c r="AN1358" s="227"/>
      <c r="AO1358" s="227"/>
      <c r="AP1358" s="227"/>
      <c r="AQ1358" s="227"/>
      <c r="AR1358" s="227"/>
      <c r="AS1358" s="227"/>
      <c r="AT1358" s="227"/>
      <c r="AU1358" s="227"/>
    </row>
    <row r="1359" spans="27:64" ht="12.95" customHeight="1">
      <c r="AA1359" s="227"/>
      <c r="AB1359" s="227"/>
      <c r="AC1359" s="227"/>
      <c r="AD1359" s="227"/>
      <c r="AE1359" s="227"/>
      <c r="AG1359" s="19"/>
      <c r="AN1359" s="227"/>
      <c r="AO1359" s="227"/>
      <c r="AP1359" s="227"/>
      <c r="AQ1359" s="227"/>
      <c r="AR1359" s="227"/>
      <c r="AS1359" s="227"/>
      <c r="AT1359" s="227"/>
      <c r="AU1359" s="227"/>
    </row>
    <row r="1360" spans="27:64" ht="12.95" customHeight="1">
      <c r="AA1360" s="227"/>
      <c r="AB1360" s="227"/>
      <c r="AC1360" s="227"/>
      <c r="AD1360" s="227"/>
      <c r="AE1360" s="227"/>
      <c r="AG1360" s="19"/>
      <c r="AN1360" s="227"/>
      <c r="AO1360" s="227"/>
      <c r="AP1360" s="227"/>
      <c r="AQ1360" s="227"/>
      <c r="AR1360" s="227"/>
      <c r="AS1360" s="227"/>
      <c r="AT1360" s="227"/>
      <c r="AU1360" s="227"/>
    </row>
    <row r="1361" spans="27:64" ht="12.95" customHeight="1">
      <c r="AA1361" s="227"/>
      <c r="AB1361" s="227"/>
      <c r="AC1361" s="227"/>
      <c r="AD1361" s="227"/>
      <c r="AE1361" s="227"/>
      <c r="AG1361" s="19"/>
      <c r="AN1361" s="227"/>
      <c r="AO1361" s="227"/>
      <c r="AP1361" s="227"/>
      <c r="AQ1361" s="227"/>
      <c r="AR1361" s="227"/>
      <c r="AS1361" s="227"/>
      <c r="AT1361" s="227"/>
      <c r="AU1361" s="227"/>
    </row>
    <row r="1362" spans="27:64" ht="12.95" customHeight="1">
      <c r="AA1362" s="227"/>
      <c r="AB1362" s="227"/>
      <c r="AC1362" s="227"/>
      <c r="AD1362" s="227"/>
      <c r="AE1362" s="227"/>
      <c r="AG1362" s="19"/>
      <c r="AN1362" s="227"/>
      <c r="AO1362" s="227"/>
      <c r="AP1362" s="227"/>
      <c r="AQ1362" s="227"/>
      <c r="AR1362" s="227"/>
      <c r="AS1362" s="227"/>
      <c r="AT1362" s="227"/>
      <c r="AU1362" s="227"/>
    </row>
    <row r="1363" spans="27:64" ht="12.95" customHeight="1">
      <c r="AA1363" s="227"/>
      <c r="AB1363" s="227"/>
      <c r="AC1363" s="227"/>
      <c r="AD1363" s="227"/>
      <c r="AE1363" s="227"/>
      <c r="AG1363" s="19"/>
      <c r="AN1363" s="227"/>
      <c r="AO1363" s="227"/>
      <c r="AP1363" s="227"/>
      <c r="AQ1363" s="227"/>
      <c r="AR1363" s="227"/>
      <c r="AS1363" s="227"/>
      <c r="AT1363" s="227"/>
      <c r="AU1363" s="227"/>
      <c r="AV1363" s="227"/>
      <c r="AX1363" s="227"/>
      <c r="AY1363" s="227"/>
      <c r="AZ1363" s="227"/>
      <c r="BA1363" s="227"/>
      <c r="BB1363" s="227"/>
      <c r="BC1363" s="227"/>
      <c r="BD1363" s="227"/>
      <c r="BE1363" s="227"/>
      <c r="BF1363" s="227"/>
      <c r="BG1363" s="227"/>
      <c r="BH1363" s="227"/>
      <c r="BI1363" s="227"/>
      <c r="BJ1363" s="227"/>
      <c r="BK1363" s="227"/>
      <c r="BL1363" s="227"/>
    </row>
    <row r="1364" spans="27:64" ht="12.95" customHeight="1">
      <c r="AA1364" s="227"/>
      <c r="AB1364" s="227"/>
      <c r="AC1364" s="227"/>
      <c r="AD1364" s="227"/>
      <c r="AE1364" s="227"/>
      <c r="AG1364" s="19"/>
      <c r="AN1364" s="227"/>
      <c r="AO1364" s="227"/>
      <c r="AP1364" s="227"/>
      <c r="AQ1364" s="227"/>
      <c r="AR1364" s="227"/>
      <c r="AS1364" s="227"/>
      <c r="AT1364" s="227"/>
      <c r="AU1364" s="227"/>
    </row>
    <row r="1365" spans="27:64" ht="12.95" customHeight="1">
      <c r="AA1365" s="227"/>
      <c r="AB1365" s="227"/>
      <c r="AC1365" s="227"/>
      <c r="AD1365" s="227"/>
      <c r="AE1365" s="227"/>
      <c r="AG1365" s="19"/>
      <c r="AN1365" s="227"/>
      <c r="AO1365" s="227"/>
      <c r="AP1365" s="227"/>
      <c r="AQ1365" s="227"/>
      <c r="AR1365" s="227"/>
      <c r="AS1365" s="227"/>
      <c r="AT1365" s="227"/>
      <c r="AU1365" s="227"/>
    </row>
    <row r="1366" spans="27:64" ht="12.95" customHeight="1">
      <c r="AA1366" s="227"/>
      <c r="AB1366" s="227"/>
      <c r="AC1366" s="227"/>
      <c r="AD1366" s="227"/>
      <c r="AE1366" s="227"/>
      <c r="AG1366" s="19"/>
      <c r="AN1366" s="227"/>
      <c r="AO1366" s="227"/>
      <c r="AP1366" s="227"/>
      <c r="AQ1366" s="227"/>
      <c r="AR1366" s="227"/>
      <c r="AS1366" s="227"/>
      <c r="AT1366" s="227"/>
      <c r="AU1366" s="227"/>
    </row>
    <row r="1367" spans="27:64" ht="12.95" customHeight="1">
      <c r="AA1367" s="227"/>
      <c r="AB1367" s="227"/>
      <c r="AC1367" s="227"/>
      <c r="AD1367" s="227"/>
      <c r="AE1367" s="227"/>
      <c r="AG1367" s="19"/>
      <c r="AN1367" s="227"/>
      <c r="AO1367" s="227"/>
      <c r="AP1367" s="227"/>
      <c r="AQ1367" s="227"/>
      <c r="AR1367" s="227"/>
      <c r="AS1367" s="227"/>
      <c r="AT1367" s="227"/>
      <c r="AU1367" s="227"/>
      <c r="AV1367" s="227"/>
      <c r="AX1367" s="227"/>
    </row>
    <row r="1368" spans="27:64" ht="12.95" customHeight="1">
      <c r="AA1368" s="227"/>
      <c r="AB1368" s="227"/>
      <c r="AC1368" s="227"/>
      <c r="AD1368" s="227"/>
      <c r="AE1368" s="227"/>
      <c r="AG1368" s="19"/>
      <c r="AN1368" s="227"/>
      <c r="AO1368" s="227"/>
      <c r="AP1368" s="227"/>
      <c r="AQ1368" s="227"/>
      <c r="AR1368" s="227"/>
      <c r="AS1368" s="227"/>
      <c r="AT1368" s="227"/>
      <c r="AU1368" s="227"/>
    </row>
    <row r="1369" spans="27:64" ht="12.95" customHeight="1">
      <c r="AA1369" s="227"/>
      <c r="AB1369" s="227"/>
      <c r="AC1369" s="227"/>
      <c r="AD1369" s="227"/>
      <c r="AE1369" s="227"/>
      <c r="AG1369" s="19"/>
      <c r="AN1369" s="227"/>
      <c r="AO1369" s="227"/>
      <c r="AP1369" s="227"/>
      <c r="AQ1369" s="227"/>
      <c r="AR1369" s="227"/>
      <c r="AS1369" s="227"/>
      <c r="AT1369" s="227"/>
      <c r="AU1369" s="227"/>
      <c r="AV1369" s="227"/>
      <c r="AX1369" s="227"/>
      <c r="AY1369" s="227"/>
      <c r="AZ1369" s="227"/>
      <c r="BA1369" s="227"/>
      <c r="BB1369" s="227"/>
      <c r="BC1369" s="227"/>
      <c r="BD1369" s="227"/>
      <c r="BE1369" s="227"/>
      <c r="BF1369" s="227"/>
      <c r="BG1369" s="227"/>
      <c r="BH1369" s="227"/>
      <c r="BI1369" s="227"/>
      <c r="BJ1369" s="227"/>
      <c r="BK1369" s="227"/>
      <c r="BL1369" s="227"/>
    </row>
    <row r="1370" spans="27:64" ht="12.95" customHeight="1">
      <c r="AA1370" s="227"/>
      <c r="AB1370" s="227"/>
      <c r="AC1370" s="227"/>
      <c r="AD1370" s="227"/>
      <c r="AE1370" s="227"/>
      <c r="AG1370" s="19"/>
      <c r="AN1370" s="227"/>
      <c r="AO1370" s="227"/>
      <c r="AP1370" s="227"/>
      <c r="AQ1370" s="227"/>
      <c r="AR1370" s="227"/>
      <c r="AS1370" s="227"/>
      <c r="AT1370" s="227"/>
      <c r="AU1370" s="227"/>
    </row>
    <row r="1371" spans="27:64" ht="12.95" customHeight="1">
      <c r="AA1371" s="227"/>
      <c r="AB1371" s="227"/>
      <c r="AC1371" s="227"/>
      <c r="AD1371" s="227"/>
      <c r="AE1371" s="227"/>
      <c r="AG1371" s="19"/>
      <c r="AN1371" s="227"/>
      <c r="AO1371" s="227"/>
      <c r="AP1371" s="227"/>
      <c r="AQ1371" s="227"/>
      <c r="AR1371" s="227"/>
      <c r="AS1371" s="227"/>
      <c r="AT1371" s="227"/>
      <c r="AU1371" s="227"/>
    </row>
    <row r="1372" spans="27:64" ht="12.95" customHeight="1">
      <c r="AA1372" s="227"/>
      <c r="AB1372" s="227"/>
      <c r="AC1372" s="227"/>
      <c r="AD1372" s="227"/>
      <c r="AE1372" s="227"/>
      <c r="AG1372" s="19"/>
      <c r="AN1372" s="227"/>
      <c r="AO1372" s="227"/>
      <c r="AP1372" s="227"/>
      <c r="AQ1372" s="227"/>
      <c r="AR1372" s="227"/>
      <c r="AS1372" s="227"/>
      <c r="AT1372" s="227"/>
      <c r="AU1372" s="227"/>
      <c r="AV1372" s="227"/>
    </row>
    <row r="1373" spans="27:64" ht="12.95" customHeight="1">
      <c r="AA1373" s="227"/>
      <c r="AB1373" s="227"/>
      <c r="AC1373" s="227"/>
      <c r="AD1373" s="227"/>
      <c r="AE1373" s="227"/>
      <c r="AG1373" s="19"/>
      <c r="AN1373" s="227"/>
      <c r="AO1373" s="227"/>
      <c r="AP1373" s="227"/>
      <c r="AQ1373" s="227"/>
      <c r="AR1373" s="227"/>
      <c r="AS1373" s="227"/>
      <c r="AT1373" s="227"/>
      <c r="AU1373" s="227"/>
      <c r="AV1373" s="227"/>
    </row>
    <row r="1374" spans="27:64" ht="12.95" customHeight="1">
      <c r="AA1374" s="227"/>
      <c r="AB1374" s="227"/>
      <c r="AC1374" s="227"/>
      <c r="AD1374" s="227"/>
      <c r="AE1374" s="227"/>
      <c r="AG1374" s="19"/>
      <c r="AN1374" s="227"/>
      <c r="AO1374" s="227"/>
      <c r="AP1374" s="227"/>
      <c r="AQ1374" s="227"/>
      <c r="AR1374" s="227"/>
      <c r="AS1374" s="227"/>
      <c r="AT1374" s="227"/>
      <c r="AU1374" s="227"/>
      <c r="AV1374" s="227"/>
      <c r="AW1374" s="227"/>
      <c r="AX1374" s="227"/>
      <c r="AY1374" s="227"/>
      <c r="AZ1374" s="227"/>
      <c r="BA1374" s="227"/>
      <c r="BB1374" s="227"/>
      <c r="BC1374" s="227"/>
      <c r="BD1374" s="227"/>
      <c r="BE1374" s="227"/>
      <c r="BF1374" s="227"/>
      <c r="BG1374" s="227"/>
      <c r="BH1374" s="227"/>
      <c r="BI1374" s="227"/>
      <c r="BJ1374" s="227"/>
      <c r="BK1374" s="227"/>
      <c r="BL1374" s="227"/>
    </row>
    <row r="1375" spans="27:64" ht="12.95" customHeight="1">
      <c r="AA1375" s="227"/>
      <c r="AB1375" s="227"/>
      <c r="AC1375" s="227"/>
      <c r="AD1375" s="227"/>
      <c r="AE1375" s="227"/>
      <c r="AG1375" s="19"/>
      <c r="AN1375" s="227"/>
      <c r="AO1375" s="227"/>
      <c r="AP1375" s="227"/>
      <c r="AQ1375" s="227"/>
      <c r="AR1375" s="227"/>
      <c r="AS1375" s="227"/>
      <c r="AT1375" s="227"/>
      <c r="AU1375" s="227"/>
    </row>
    <row r="1376" spans="27:64" ht="12.95" customHeight="1">
      <c r="AA1376" s="227"/>
      <c r="AB1376" s="227"/>
      <c r="AC1376" s="227"/>
      <c r="AD1376" s="227"/>
      <c r="AE1376" s="227"/>
      <c r="AG1376" s="19"/>
      <c r="AN1376" s="227"/>
      <c r="AO1376" s="227"/>
      <c r="AP1376" s="227"/>
      <c r="AQ1376" s="227"/>
      <c r="AR1376" s="227"/>
      <c r="AS1376" s="227"/>
      <c r="AT1376" s="227"/>
      <c r="AU1376" s="227"/>
    </row>
    <row r="1377" spans="27:64" ht="12.95" customHeight="1">
      <c r="AA1377" s="227"/>
      <c r="AB1377" s="227"/>
      <c r="AC1377" s="227"/>
      <c r="AD1377" s="227"/>
      <c r="AE1377" s="227"/>
      <c r="AG1377" s="19"/>
      <c r="AN1377" s="227"/>
      <c r="AO1377" s="227"/>
      <c r="AP1377" s="227"/>
      <c r="AQ1377" s="227"/>
      <c r="AR1377" s="227"/>
      <c r="AS1377" s="227"/>
      <c r="AT1377" s="227"/>
      <c r="AU1377" s="227"/>
      <c r="AV1377" s="227"/>
      <c r="AX1377" s="227"/>
      <c r="AY1377" s="227"/>
      <c r="AZ1377" s="227"/>
      <c r="BA1377" s="227"/>
      <c r="BB1377" s="227"/>
      <c r="BC1377" s="227"/>
      <c r="BD1377" s="227"/>
      <c r="BE1377" s="227"/>
      <c r="BF1377" s="227"/>
      <c r="BG1377" s="227"/>
      <c r="BH1377" s="227"/>
      <c r="BI1377" s="227"/>
      <c r="BJ1377" s="227"/>
      <c r="BK1377" s="227"/>
      <c r="BL1377" s="227"/>
    </row>
    <row r="1378" spans="27:64" ht="12.95" customHeight="1">
      <c r="AA1378" s="227"/>
      <c r="AB1378" s="227"/>
      <c r="AC1378" s="227"/>
      <c r="AD1378" s="227"/>
      <c r="AE1378" s="227"/>
      <c r="AG1378" s="19"/>
      <c r="AN1378" s="227"/>
      <c r="AO1378" s="227"/>
      <c r="AP1378" s="227"/>
      <c r="AQ1378" s="227"/>
      <c r="AR1378" s="227"/>
      <c r="AS1378" s="227"/>
      <c r="AT1378" s="227"/>
      <c r="AU1378" s="227"/>
      <c r="AV1378" s="227"/>
      <c r="AW1378" s="227"/>
      <c r="AX1378" s="227"/>
      <c r="AY1378" s="227"/>
      <c r="AZ1378" s="227"/>
      <c r="BA1378" s="227"/>
      <c r="BB1378" s="227"/>
      <c r="BC1378" s="227"/>
      <c r="BD1378" s="227"/>
      <c r="BE1378" s="227"/>
      <c r="BF1378" s="227"/>
      <c r="BG1378" s="227"/>
      <c r="BH1378" s="227"/>
      <c r="BI1378" s="227"/>
      <c r="BJ1378" s="227"/>
      <c r="BK1378" s="227"/>
      <c r="BL1378" s="227"/>
    </row>
    <row r="1379" spans="27:64" ht="12.95" customHeight="1">
      <c r="AA1379" s="227"/>
      <c r="AB1379" s="227"/>
      <c r="AC1379" s="227"/>
      <c r="AD1379" s="227"/>
      <c r="AE1379" s="227"/>
      <c r="AG1379" s="19"/>
      <c r="AN1379" s="227"/>
      <c r="AO1379" s="227"/>
      <c r="AP1379" s="227"/>
      <c r="AQ1379" s="227"/>
      <c r="AR1379" s="227"/>
      <c r="AS1379" s="227"/>
      <c r="AT1379" s="227"/>
      <c r="AU1379" s="227"/>
    </row>
    <row r="1380" spans="27:64" ht="12.95" customHeight="1">
      <c r="AA1380" s="227"/>
      <c r="AB1380" s="227"/>
      <c r="AC1380" s="227"/>
      <c r="AD1380" s="227"/>
      <c r="AE1380" s="227"/>
      <c r="AG1380" s="19"/>
      <c r="AN1380" s="227"/>
      <c r="AO1380" s="227"/>
      <c r="AP1380" s="227"/>
      <c r="AQ1380" s="227"/>
      <c r="AR1380" s="227"/>
      <c r="AS1380" s="227"/>
      <c r="AT1380" s="227"/>
      <c r="AU1380" s="227"/>
    </row>
    <row r="1381" spans="27:64" ht="12.95" customHeight="1">
      <c r="AA1381" s="227"/>
      <c r="AB1381" s="227"/>
      <c r="AC1381" s="227"/>
      <c r="AD1381" s="227"/>
      <c r="AE1381" s="227"/>
      <c r="AG1381" s="19"/>
      <c r="AN1381" s="227"/>
      <c r="AO1381" s="227"/>
      <c r="AP1381" s="227"/>
      <c r="AQ1381" s="227"/>
      <c r="AR1381" s="227"/>
      <c r="AS1381" s="227"/>
      <c r="AT1381" s="227"/>
      <c r="AU1381" s="227"/>
    </row>
    <row r="1382" spans="27:64" ht="12.95" customHeight="1">
      <c r="AA1382" s="227"/>
      <c r="AB1382" s="227"/>
      <c r="AC1382" s="227"/>
      <c r="AD1382" s="227"/>
      <c r="AE1382" s="227"/>
      <c r="AG1382" s="19"/>
      <c r="AN1382" s="227"/>
      <c r="AO1382" s="227"/>
      <c r="AP1382" s="227"/>
      <c r="AQ1382" s="227"/>
      <c r="AR1382" s="227"/>
      <c r="AS1382" s="227"/>
      <c r="AT1382" s="227"/>
      <c r="AU1382" s="227"/>
    </row>
    <row r="1383" spans="27:64" ht="12.95" customHeight="1">
      <c r="AA1383" s="227"/>
      <c r="AB1383" s="227"/>
      <c r="AC1383" s="227"/>
      <c r="AD1383" s="227"/>
      <c r="AE1383" s="227"/>
      <c r="AG1383" s="19"/>
      <c r="AN1383" s="227"/>
      <c r="AO1383" s="227"/>
      <c r="AP1383" s="227"/>
      <c r="AQ1383" s="227"/>
      <c r="AR1383" s="227"/>
      <c r="AS1383" s="227"/>
      <c r="AT1383" s="227"/>
      <c r="AU1383" s="227"/>
      <c r="AV1383" s="227"/>
      <c r="AX1383" s="227"/>
      <c r="AY1383" s="227"/>
      <c r="AZ1383" s="227"/>
      <c r="BA1383" s="227"/>
      <c r="BB1383" s="227"/>
      <c r="BC1383" s="227"/>
      <c r="BD1383" s="227"/>
      <c r="BE1383" s="227"/>
      <c r="BF1383" s="227"/>
      <c r="BG1383" s="227"/>
      <c r="BH1383" s="227"/>
      <c r="BI1383" s="227"/>
      <c r="BJ1383" s="227"/>
      <c r="BK1383" s="227"/>
      <c r="BL1383" s="227"/>
    </row>
    <row r="1384" spans="27:64" ht="12.95" customHeight="1">
      <c r="AA1384" s="227"/>
      <c r="AB1384" s="227"/>
      <c r="AC1384" s="227"/>
      <c r="AD1384" s="227"/>
      <c r="AE1384" s="227"/>
      <c r="AG1384" s="19"/>
      <c r="AN1384" s="227"/>
      <c r="AO1384" s="227"/>
      <c r="AP1384" s="227"/>
      <c r="AQ1384" s="227"/>
      <c r="AR1384" s="227"/>
      <c r="AS1384" s="227"/>
      <c r="AT1384" s="227"/>
      <c r="AU1384" s="227"/>
      <c r="AV1384" s="227"/>
      <c r="AX1384" s="227"/>
      <c r="AY1384" s="227"/>
      <c r="AZ1384" s="227"/>
      <c r="BA1384" s="227"/>
      <c r="BB1384" s="227"/>
      <c r="BC1384" s="227"/>
      <c r="BD1384" s="227"/>
      <c r="BE1384" s="227"/>
      <c r="BF1384" s="227"/>
      <c r="BG1384" s="227"/>
      <c r="BH1384" s="227"/>
      <c r="BI1384" s="227"/>
      <c r="BJ1384" s="227"/>
      <c r="BK1384" s="227"/>
      <c r="BL1384" s="227"/>
    </row>
    <row r="1385" spans="27:64" ht="12.95" customHeight="1">
      <c r="AA1385" s="227"/>
      <c r="AB1385" s="227"/>
      <c r="AC1385" s="227"/>
      <c r="AD1385" s="227"/>
      <c r="AE1385" s="227"/>
      <c r="AG1385" s="19"/>
      <c r="AN1385" s="227"/>
      <c r="AO1385" s="227"/>
      <c r="AP1385" s="227"/>
      <c r="AQ1385" s="227"/>
      <c r="AR1385" s="227"/>
      <c r="AS1385" s="227"/>
      <c r="AT1385" s="227"/>
      <c r="AU1385" s="227"/>
    </row>
    <row r="1386" spans="27:64" ht="12.95" customHeight="1">
      <c r="AA1386" s="227"/>
      <c r="AB1386" s="227"/>
      <c r="AC1386" s="227"/>
      <c r="AD1386" s="227"/>
      <c r="AE1386" s="227"/>
      <c r="AG1386" s="19"/>
      <c r="AN1386" s="227"/>
      <c r="AO1386" s="227"/>
      <c r="AP1386" s="227"/>
      <c r="AQ1386" s="227"/>
      <c r="AR1386" s="227"/>
      <c r="AS1386" s="227"/>
      <c r="AT1386" s="227"/>
      <c r="AU1386" s="227"/>
    </row>
    <row r="1387" spans="27:64" ht="12.95" customHeight="1">
      <c r="AA1387" s="227"/>
      <c r="AB1387" s="227"/>
      <c r="AC1387" s="227"/>
      <c r="AD1387" s="227"/>
      <c r="AE1387" s="227"/>
      <c r="AG1387" s="19"/>
      <c r="AN1387" s="227"/>
      <c r="AO1387" s="227"/>
      <c r="AP1387" s="227"/>
      <c r="AQ1387" s="227"/>
      <c r="AR1387" s="227"/>
      <c r="AS1387" s="227"/>
      <c r="AT1387" s="227"/>
      <c r="AU1387" s="227"/>
    </row>
    <row r="1388" spans="27:64" ht="12.95" customHeight="1">
      <c r="AA1388" s="227"/>
      <c r="AB1388" s="227"/>
      <c r="AC1388" s="227"/>
      <c r="AD1388" s="227"/>
      <c r="AE1388" s="227"/>
      <c r="AG1388" s="19"/>
      <c r="AN1388" s="227"/>
      <c r="AO1388" s="227"/>
      <c r="AP1388" s="227"/>
      <c r="AQ1388" s="227"/>
      <c r="AR1388" s="227"/>
      <c r="AS1388" s="227"/>
      <c r="AT1388" s="227"/>
      <c r="AU1388" s="227"/>
    </row>
    <row r="1389" spans="27:64" ht="12.95" customHeight="1">
      <c r="AA1389" s="227"/>
      <c r="AB1389" s="227"/>
      <c r="AC1389" s="227"/>
      <c r="AD1389" s="227"/>
      <c r="AE1389" s="227"/>
      <c r="AG1389" s="19"/>
      <c r="AN1389" s="227"/>
      <c r="AO1389" s="227"/>
      <c r="AP1389" s="227"/>
      <c r="AQ1389" s="227"/>
      <c r="AR1389" s="227"/>
      <c r="AS1389" s="227"/>
      <c r="AT1389" s="227"/>
      <c r="AU1389" s="227"/>
    </row>
    <row r="1390" spans="27:64" ht="12.95" customHeight="1">
      <c r="AA1390" s="227"/>
      <c r="AB1390" s="227"/>
      <c r="AC1390" s="227"/>
      <c r="AD1390" s="227"/>
      <c r="AE1390" s="227"/>
      <c r="AG1390" s="19"/>
      <c r="AN1390" s="227"/>
      <c r="AO1390" s="227"/>
      <c r="AP1390" s="227"/>
      <c r="AQ1390" s="227"/>
      <c r="AR1390" s="227"/>
      <c r="AS1390" s="227"/>
      <c r="AT1390" s="227"/>
      <c r="AU1390" s="227"/>
    </row>
    <row r="1391" spans="27:64" ht="12.95" customHeight="1">
      <c r="AA1391" s="227"/>
      <c r="AB1391" s="227"/>
      <c r="AC1391" s="227"/>
      <c r="AD1391" s="227"/>
      <c r="AE1391" s="227"/>
      <c r="AG1391" s="19"/>
      <c r="AN1391" s="227"/>
      <c r="AO1391" s="227"/>
      <c r="AP1391" s="227"/>
      <c r="AQ1391" s="227"/>
      <c r="AR1391" s="227"/>
      <c r="AS1391" s="227"/>
      <c r="AT1391" s="227"/>
      <c r="AU1391" s="227"/>
    </row>
    <row r="1392" spans="27:64" ht="12.95" customHeight="1">
      <c r="AA1392" s="227"/>
      <c r="AB1392" s="227"/>
      <c r="AC1392" s="227"/>
      <c r="AD1392" s="227"/>
      <c r="AE1392" s="227"/>
      <c r="AG1392" s="19"/>
      <c r="AN1392" s="227"/>
      <c r="AO1392" s="227"/>
      <c r="AP1392" s="227"/>
      <c r="AQ1392" s="227"/>
      <c r="AR1392" s="227"/>
      <c r="AS1392" s="227"/>
      <c r="AT1392" s="227"/>
      <c r="AU1392" s="227"/>
      <c r="AV1392" s="227"/>
      <c r="AX1392" s="227"/>
      <c r="AY1392" s="227"/>
      <c r="AZ1392" s="227"/>
      <c r="BA1392" s="227"/>
      <c r="BB1392" s="227"/>
      <c r="BC1392" s="227"/>
      <c r="BD1392" s="227"/>
      <c r="BE1392" s="227"/>
      <c r="BF1392" s="227"/>
      <c r="BG1392" s="227"/>
      <c r="BH1392" s="227"/>
      <c r="BI1392" s="227"/>
      <c r="BJ1392" s="227"/>
      <c r="BK1392" s="227"/>
      <c r="BL1392" s="227"/>
    </row>
    <row r="1393" spans="27:64" ht="12.95" customHeight="1">
      <c r="AA1393" s="227"/>
      <c r="AB1393" s="227"/>
      <c r="AC1393" s="227"/>
      <c r="AD1393" s="227"/>
      <c r="AE1393" s="227"/>
      <c r="AG1393" s="19"/>
      <c r="AN1393" s="227"/>
      <c r="AO1393" s="227"/>
      <c r="AP1393" s="227"/>
      <c r="AQ1393" s="227"/>
      <c r="AR1393" s="227"/>
      <c r="AS1393" s="227"/>
      <c r="AT1393" s="227"/>
      <c r="AU1393" s="227"/>
    </row>
    <row r="1394" spans="27:64" ht="12.95" customHeight="1">
      <c r="AA1394" s="227"/>
      <c r="AB1394" s="227"/>
      <c r="AC1394" s="227"/>
      <c r="AD1394" s="227"/>
      <c r="AE1394" s="227"/>
      <c r="AG1394" s="19"/>
      <c r="AN1394" s="227"/>
      <c r="AO1394" s="227"/>
      <c r="AP1394" s="227"/>
      <c r="AQ1394" s="227"/>
      <c r="AR1394" s="227"/>
      <c r="AS1394" s="227"/>
      <c r="AT1394" s="227"/>
      <c r="AU1394" s="227"/>
    </row>
    <row r="1395" spans="27:64" ht="12.95" customHeight="1">
      <c r="AA1395" s="227"/>
      <c r="AB1395" s="227"/>
      <c r="AC1395" s="227"/>
      <c r="AD1395" s="227"/>
      <c r="AE1395" s="227"/>
      <c r="AG1395" s="19"/>
      <c r="AN1395" s="227"/>
      <c r="AO1395" s="227"/>
      <c r="AP1395" s="227"/>
      <c r="AQ1395" s="227"/>
      <c r="AR1395" s="227"/>
      <c r="AS1395" s="227"/>
      <c r="AT1395" s="227"/>
      <c r="AU1395" s="227"/>
    </row>
    <row r="1396" spans="27:64" ht="12.95" customHeight="1">
      <c r="AA1396" s="227"/>
      <c r="AB1396" s="227"/>
      <c r="AC1396" s="227"/>
      <c r="AD1396" s="227"/>
      <c r="AE1396" s="227"/>
      <c r="AG1396" s="19"/>
      <c r="AN1396" s="227"/>
      <c r="AO1396" s="227"/>
      <c r="AP1396" s="227"/>
      <c r="AQ1396" s="227"/>
      <c r="AR1396" s="227"/>
      <c r="AS1396" s="227"/>
      <c r="AT1396" s="227"/>
      <c r="AU1396" s="227"/>
    </row>
    <row r="1397" spans="27:64" ht="12.95" customHeight="1">
      <c r="AA1397" s="227"/>
      <c r="AB1397" s="227"/>
      <c r="AC1397" s="227"/>
      <c r="AD1397" s="227"/>
      <c r="AE1397" s="227"/>
      <c r="AG1397" s="19"/>
      <c r="AN1397" s="227"/>
      <c r="AO1397" s="227"/>
      <c r="AP1397" s="227"/>
      <c r="AQ1397" s="227"/>
      <c r="AR1397" s="227"/>
      <c r="AS1397" s="227"/>
      <c r="AT1397" s="227"/>
      <c r="AU1397" s="227"/>
    </row>
    <row r="1398" spans="27:64" ht="12.95" customHeight="1">
      <c r="AA1398" s="227"/>
      <c r="AB1398" s="227"/>
      <c r="AC1398" s="227"/>
      <c r="AD1398" s="227"/>
      <c r="AE1398" s="227"/>
      <c r="AG1398" s="19"/>
      <c r="AN1398" s="227"/>
      <c r="AO1398" s="227"/>
      <c r="AP1398" s="227"/>
      <c r="AQ1398" s="227"/>
      <c r="AR1398" s="227"/>
      <c r="AS1398" s="227"/>
      <c r="AT1398" s="227"/>
      <c r="AU1398" s="227"/>
      <c r="AV1398" s="227"/>
      <c r="AW1398" s="227"/>
      <c r="AX1398" s="227"/>
      <c r="AY1398" s="227"/>
      <c r="AZ1398" s="227"/>
      <c r="BA1398" s="227"/>
      <c r="BB1398" s="227"/>
      <c r="BC1398" s="227"/>
      <c r="BD1398" s="227"/>
      <c r="BE1398" s="227"/>
      <c r="BF1398" s="227"/>
      <c r="BG1398" s="227"/>
      <c r="BH1398" s="227"/>
      <c r="BI1398" s="227"/>
      <c r="BJ1398" s="227"/>
      <c r="BK1398" s="227"/>
      <c r="BL1398" s="227"/>
    </row>
    <row r="1399" spans="27:64" ht="12.95" customHeight="1">
      <c r="AA1399" s="227"/>
      <c r="AB1399" s="227"/>
      <c r="AC1399" s="227"/>
      <c r="AD1399" s="227"/>
      <c r="AE1399" s="227"/>
      <c r="AG1399" s="19"/>
      <c r="AN1399" s="227"/>
      <c r="AO1399" s="227"/>
      <c r="AP1399" s="227"/>
      <c r="AQ1399" s="227"/>
      <c r="AR1399" s="227"/>
      <c r="AS1399" s="227"/>
      <c r="AT1399" s="227"/>
      <c r="AU1399" s="227"/>
    </row>
    <row r="1400" spans="27:64" ht="12.95" customHeight="1">
      <c r="AA1400" s="227"/>
      <c r="AB1400" s="227"/>
      <c r="AC1400" s="227"/>
      <c r="AD1400" s="227"/>
      <c r="AE1400" s="227"/>
      <c r="AG1400" s="19"/>
      <c r="AN1400" s="227"/>
      <c r="AO1400" s="227"/>
      <c r="AP1400" s="227"/>
      <c r="AQ1400" s="227"/>
      <c r="AR1400" s="227"/>
      <c r="AS1400" s="227"/>
      <c r="AT1400" s="227"/>
      <c r="AU1400" s="227"/>
    </row>
    <row r="1401" spans="27:64" ht="12.95" customHeight="1">
      <c r="AA1401" s="227"/>
      <c r="AB1401" s="227"/>
      <c r="AC1401" s="227"/>
      <c r="AD1401" s="227"/>
      <c r="AE1401" s="227"/>
      <c r="AG1401" s="19"/>
      <c r="AN1401" s="227"/>
      <c r="AO1401" s="227"/>
      <c r="AP1401" s="227"/>
      <c r="AQ1401" s="227"/>
      <c r="AR1401" s="227"/>
      <c r="AS1401" s="227"/>
      <c r="AT1401" s="227"/>
      <c r="AU1401" s="227"/>
    </row>
    <row r="1402" spans="27:64" ht="12.95" customHeight="1">
      <c r="AA1402" s="227"/>
      <c r="AB1402" s="227"/>
      <c r="AC1402" s="227"/>
      <c r="AD1402" s="227"/>
      <c r="AE1402" s="227"/>
      <c r="AG1402" s="19"/>
      <c r="AN1402" s="227"/>
      <c r="AO1402" s="227"/>
      <c r="AP1402" s="227"/>
      <c r="AQ1402" s="227"/>
      <c r="AR1402" s="227"/>
      <c r="AS1402" s="227"/>
      <c r="AT1402" s="227"/>
      <c r="AU1402" s="227"/>
    </row>
    <row r="1403" spans="27:64" ht="12.95" customHeight="1">
      <c r="AA1403" s="227"/>
      <c r="AB1403" s="227"/>
      <c r="AC1403" s="227"/>
      <c r="AD1403" s="227"/>
      <c r="AE1403" s="227"/>
      <c r="AG1403" s="19"/>
      <c r="AN1403" s="227"/>
      <c r="AO1403" s="227"/>
      <c r="AP1403" s="227"/>
      <c r="AQ1403" s="227"/>
      <c r="AR1403" s="227"/>
      <c r="AS1403" s="227"/>
      <c r="AT1403" s="227"/>
      <c r="AU1403" s="227"/>
    </row>
    <row r="1404" spans="27:64" ht="12.95" customHeight="1">
      <c r="AA1404" s="227"/>
      <c r="AB1404" s="227"/>
      <c r="AC1404" s="227"/>
      <c r="AD1404" s="227"/>
      <c r="AE1404" s="227"/>
      <c r="AG1404" s="19"/>
      <c r="AN1404" s="227"/>
      <c r="AO1404" s="227"/>
      <c r="AP1404" s="227"/>
      <c r="AQ1404" s="227"/>
      <c r="AR1404" s="227"/>
      <c r="AS1404" s="227"/>
      <c r="AT1404" s="227"/>
      <c r="AU1404" s="227"/>
    </row>
    <row r="1405" spans="27:64" ht="12.95" customHeight="1">
      <c r="AA1405" s="227"/>
      <c r="AB1405" s="227"/>
      <c r="AC1405" s="227"/>
      <c r="AD1405" s="227"/>
      <c r="AE1405" s="227"/>
      <c r="AG1405" s="19"/>
      <c r="AN1405" s="227"/>
      <c r="AO1405" s="227"/>
      <c r="AP1405" s="227"/>
      <c r="AQ1405" s="227"/>
      <c r="AR1405" s="227"/>
      <c r="AS1405" s="227"/>
      <c r="AT1405" s="227"/>
      <c r="AU1405" s="227"/>
    </row>
    <row r="1406" spans="27:64" ht="12.95" customHeight="1">
      <c r="AA1406" s="227"/>
      <c r="AB1406" s="227"/>
      <c r="AC1406" s="227"/>
      <c r="AD1406" s="227"/>
      <c r="AE1406" s="227"/>
      <c r="AG1406" s="19"/>
      <c r="AN1406" s="227"/>
      <c r="AO1406" s="227"/>
      <c r="AP1406" s="227"/>
      <c r="AQ1406" s="227"/>
      <c r="AR1406" s="227"/>
      <c r="AS1406" s="227"/>
      <c r="AT1406" s="227"/>
      <c r="AU1406" s="227"/>
    </row>
    <row r="1407" spans="27:64" ht="12.95" customHeight="1">
      <c r="AA1407" s="227"/>
      <c r="AB1407" s="227"/>
      <c r="AC1407" s="227"/>
      <c r="AD1407" s="227"/>
      <c r="AE1407" s="227"/>
      <c r="AG1407" s="19"/>
      <c r="AN1407" s="227"/>
      <c r="AO1407" s="227"/>
      <c r="AP1407" s="227"/>
      <c r="AQ1407" s="227"/>
      <c r="AR1407" s="227"/>
      <c r="AS1407" s="227"/>
      <c r="AT1407" s="227"/>
      <c r="AU1407" s="227"/>
    </row>
    <row r="1408" spans="27:64" ht="12.95" customHeight="1">
      <c r="AA1408" s="227"/>
      <c r="AB1408" s="227"/>
      <c r="AC1408" s="227"/>
      <c r="AD1408" s="227"/>
      <c r="AE1408" s="227"/>
      <c r="AG1408" s="19"/>
      <c r="AN1408" s="227"/>
      <c r="AO1408" s="227"/>
      <c r="AP1408" s="227"/>
      <c r="AQ1408" s="227"/>
      <c r="AR1408" s="227"/>
      <c r="AS1408" s="227"/>
      <c r="AT1408" s="227"/>
      <c r="AU1408" s="227"/>
    </row>
    <row r="1409" spans="27:64" ht="12.95" customHeight="1">
      <c r="AA1409" s="227"/>
      <c r="AB1409" s="227"/>
      <c r="AC1409" s="227"/>
      <c r="AD1409" s="227"/>
      <c r="AE1409" s="227"/>
      <c r="AG1409" s="19"/>
      <c r="AN1409" s="227"/>
      <c r="AO1409" s="227"/>
      <c r="AP1409" s="227"/>
      <c r="AQ1409" s="227"/>
      <c r="AR1409" s="227"/>
      <c r="AS1409" s="227"/>
      <c r="AT1409" s="227"/>
      <c r="AU1409" s="227"/>
    </row>
    <row r="1410" spans="27:64" ht="12.95" customHeight="1">
      <c r="AA1410" s="227"/>
      <c r="AB1410" s="227"/>
      <c r="AC1410" s="227"/>
      <c r="AD1410" s="227"/>
      <c r="AE1410" s="227"/>
      <c r="AG1410" s="19"/>
      <c r="AN1410" s="227"/>
      <c r="AO1410" s="227"/>
      <c r="AP1410" s="227"/>
      <c r="AQ1410" s="227"/>
      <c r="AR1410" s="227"/>
      <c r="AS1410" s="227"/>
      <c r="AT1410" s="227"/>
      <c r="AU1410" s="227"/>
    </row>
    <row r="1411" spans="27:64" ht="12.95" customHeight="1">
      <c r="AA1411" s="227"/>
      <c r="AB1411" s="227"/>
      <c r="AC1411" s="227"/>
      <c r="AD1411" s="227"/>
      <c r="AE1411" s="227"/>
      <c r="AG1411" s="19"/>
      <c r="AN1411" s="227"/>
      <c r="AO1411" s="227"/>
      <c r="AP1411" s="227"/>
      <c r="AQ1411" s="227"/>
      <c r="AR1411" s="227"/>
      <c r="AS1411" s="227"/>
      <c r="AT1411" s="227"/>
      <c r="AU1411" s="227"/>
    </row>
    <row r="1412" spans="27:64" ht="12.95" customHeight="1">
      <c r="AA1412" s="227"/>
      <c r="AB1412" s="227"/>
      <c r="AC1412" s="227"/>
      <c r="AD1412" s="227"/>
      <c r="AE1412" s="227"/>
      <c r="AG1412" s="19"/>
      <c r="AN1412" s="227"/>
      <c r="AO1412" s="227"/>
      <c r="AP1412" s="227"/>
      <c r="AQ1412" s="227"/>
      <c r="AR1412" s="227"/>
      <c r="AS1412" s="227"/>
      <c r="AT1412" s="227"/>
      <c r="AU1412" s="227"/>
      <c r="AV1412" s="227"/>
      <c r="AW1412" s="227"/>
      <c r="AX1412" s="227"/>
      <c r="AY1412" s="227"/>
      <c r="AZ1412" s="227"/>
      <c r="BA1412" s="227"/>
      <c r="BB1412" s="227"/>
      <c r="BC1412" s="227"/>
      <c r="BD1412" s="227"/>
      <c r="BE1412" s="227"/>
      <c r="BF1412" s="227"/>
      <c r="BG1412" s="227"/>
      <c r="BH1412" s="227"/>
      <c r="BI1412" s="227"/>
      <c r="BJ1412" s="227"/>
      <c r="BK1412" s="227"/>
      <c r="BL1412" s="227"/>
    </row>
    <row r="1413" spans="27:64" ht="12.95" customHeight="1">
      <c r="AA1413" s="227"/>
      <c r="AB1413" s="227"/>
      <c r="AC1413" s="227"/>
      <c r="AD1413" s="227"/>
      <c r="AE1413" s="227"/>
      <c r="AG1413" s="19"/>
      <c r="AN1413" s="227"/>
      <c r="AO1413" s="227"/>
      <c r="AP1413" s="227"/>
      <c r="AQ1413" s="227"/>
      <c r="AR1413" s="227"/>
      <c r="AS1413" s="227"/>
      <c r="AT1413" s="227"/>
      <c r="AU1413" s="227"/>
    </row>
    <row r="1414" spans="27:64" ht="12.95" customHeight="1">
      <c r="AA1414" s="227"/>
      <c r="AB1414" s="227"/>
      <c r="AC1414" s="227"/>
      <c r="AD1414" s="227"/>
      <c r="AE1414" s="227"/>
      <c r="AG1414" s="19"/>
      <c r="AN1414" s="227"/>
      <c r="AO1414" s="227"/>
      <c r="AP1414" s="227"/>
      <c r="AQ1414" s="227"/>
      <c r="AR1414" s="227"/>
      <c r="AS1414" s="227"/>
      <c r="AT1414" s="227"/>
      <c r="AU1414" s="227"/>
    </row>
    <row r="1415" spans="27:64" ht="12.95" customHeight="1">
      <c r="AA1415" s="227"/>
      <c r="AB1415" s="227"/>
      <c r="AC1415" s="227"/>
      <c r="AD1415" s="227"/>
      <c r="AE1415" s="227"/>
      <c r="AG1415" s="19"/>
      <c r="AN1415" s="227"/>
      <c r="AO1415" s="227"/>
      <c r="AP1415" s="227"/>
      <c r="AQ1415" s="227"/>
      <c r="AR1415" s="227"/>
      <c r="AS1415" s="227"/>
      <c r="AT1415" s="227"/>
      <c r="AU1415" s="227"/>
    </row>
    <row r="1416" spans="27:64" ht="12.95" customHeight="1">
      <c r="AA1416" s="227"/>
      <c r="AB1416" s="227"/>
      <c r="AC1416" s="227"/>
      <c r="AD1416" s="227"/>
      <c r="AE1416" s="227"/>
      <c r="AG1416" s="19"/>
      <c r="AN1416" s="227"/>
      <c r="AO1416" s="227"/>
      <c r="AP1416" s="227"/>
      <c r="AQ1416" s="227"/>
      <c r="AR1416" s="227"/>
      <c r="AS1416" s="227"/>
      <c r="AT1416" s="227"/>
      <c r="AU1416" s="227"/>
    </row>
    <row r="1417" spans="27:64" ht="12.95" customHeight="1">
      <c r="AA1417" s="227"/>
      <c r="AB1417" s="227"/>
      <c r="AC1417" s="227"/>
      <c r="AD1417" s="227"/>
      <c r="AE1417" s="227"/>
      <c r="AG1417" s="19"/>
      <c r="AN1417" s="227"/>
      <c r="AO1417" s="227"/>
      <c r="AP1417" s="227"/>
      <c r="AQ1417" s="227"/>
      <c r="AR1417" s="227"/>
      <c r="AS1417" s="227"/>
      <c r="AT1417" s="227"/>
      <c r="AU1417" s="227"/>
    </row>
    <row r="1418" spans="27:64" ht="12.95" customHeight="1">
      <c r="AA1418" s="227"/>
      <c r="AB1418" s="227"/>
      <c r="AC1418" s="227"/>
      <c r="AD1418" s="227"/>
      <c r="AE1418" s="227"/>
      <c r="AG1418" s="19"/>
      <c r="AN1418" s="227"/>
      <c r="AO1418" s="227"/>
      <c r="AP1418" s="227"/>
      <c r="AQ1418" s="227"/>
      <c r="AR1418" s="227"/>
      <c r="AS1418" s="227"/>
      <c r="AT1418" s="227"/>
      <c r="AU1418" s="227"/>
    </row>
    <row r="1419" spans="27:64" ht="12.95" customHeight="1">
      <c r="AA1419" s="227"/>
      <c r="AB1419" s="227"/>
      <c r="AC1419" s="227"/>
      <c r="AD1419" s="227"/>
      <c r="AE1419" s="227"/>
      <c r="AG1419" s="19"/>
      <c r="AN1419" s="227"/>
      <c r="AO1419" s="227"/>
      <c r="AP1419" s="227"/>
      <c r="AQ1419" s="227"/>
      <c r="AR1419" s="227"/>
      <c r="AS1419" s="227"/>
      <c r="AT1419" s="227"/>
      <c r="AU1419" s="227"/>
    </row>
    <row r="1420" spans="27:64" ht="12.95" customHeight="1">
      <c r="AA1420" s="227"/>
      <c r="AB1420" s="227"/>
      <c r="AC1420" s="227"/>
      <c r="AD1420" s="227"/>
      <c r="AE1420" s="227"/>
      <c r="AG1420" s="19"/>
      <c r="AN1420" s="227"/>
      <c r="AO1420" s="227"/>
      <c r="AP1420" s="227"/>
      <c r="AQ1420" s="227"/>
      <c r="AR1420" s="227"/>
      <c r="AS1420" s="227"/>
      <c r="AT1420" s="227"/>
      <c r="AU1420" s="227"/>
    </row>
    <row r="1421" spans="27:64" ht="12.95" customHeight="1">
      <c r="AA1421" s="227"/>
      <c r="AB1421" s="227"/>
      <c r="AC1421" s="227"/>
      <c r="AD1421" s="227"/>
      <c r="AE1421" s="227"/>
      <c r="AG1421" s="19"/>
      <c r="AN1421" s="227"/>
      <c r="AO1421" s="227"/>
      <c r="AP1421" s="227"/>
      <c r="AQ1421" s="227"/>
      <c r="AR1421" s="227"/>
      <c r="AS1421" s="227"/>
      <c r="AT1421" s="227"/>
      <c r="AU1421" s="227"/>
    </row>
    <row r="1422" spans="27:64" ht="12.95" customHeight="1">
      <c r="AA1422" s="227"/>
      <c r="AB1422" s="227"/>
      <c r="AC1422" s="227"/>
      <c r="AD1422" s="227"/>
      <c r="AE1422" s="227"/>
      <c r="AG1422" s="19"/>
      <c r="AN1422" s="227"/>
      <c r="AO1422" s="227"/>
      <c r="AP1422" s="227"/>
      <c r="AQ1422" s="227"/>
      <c r="AR1422" s="227"/>
      <c r="AS1422" s="227"/>
      <c r="AT1422" s="227"/>
      <c r="AU1422" s="227"/>
    </row>
    <row r="1423" spans="27:64" ht="12.95" customHeight="1">
      <c r="AA1423" s="227"/>
      <c r="AB1423" s="227"/>
      <c r="AC1423" s="227"/>
      <c r="AD1423" s="227"/>
      <c r="AE1423" s="227"/>
      <c r="AG1423" s="19"/>
      <c r="AN1423" s="227"/>
      <c r="AO1423" s="227"/>
      <c r="AP1423" s="227"/>
      <c r="AQ1423" s="227"/>
      <c r="AR1423" s="227"/>
      <c r="AS1423" s="227"/>
      <c r="AT1423" s="227"/>
      <c r="AU1423" s="227"/>
    </row>
    <row r="1424" spans="27:64" ht="12.95" customHeight="1">
      <c r="AA1424" s="227"/>
      <c r="AB1424" s="227"/>
      <c r="AC1424" s="227"/>
      <c r="AD1424" s="227"/>
      <c r="AE1424" s="227"/>
      <c r="AG1424" s="19"/>
      <c r="AN1424" s="227"/>
      <c r="AO1424" s="227"/>
      <c r="AP1424" s="227"/>
      <c r="AQ1424" s="227"/>
      <c r="AR1424" s="227"/>
      <c r="AS1424" s="227"/>
      <c r="AT1424" s="227"/>
      <c r="AU1424" s="227"/>
    </row>
    <row r="1425" spans="27:64" ht="12.95" customHeight="1">
      <c r="AA1425" s="227"/>
      <c r="AB1425" s="227"/>
      <c r="AC1425" s="227"/>
      <c r="AD1425" s="227"/>
      <c r="AE1425" s="227"/>
      <c r="AG1425" s="19"/>
      <c r="AN1425" s="227"/>
      <c r="AO1425" s="227"/>
      <c r="AP1425" s="227"/>
      <c r="AQ1425" s="227"/>
      <c r="AR1425" s="227"/>
      <c r="AS1425" s="227"/>
      <c r="AT1425" s="227"/>
      <c r="AU1425" s="227"/>
    </row>
    <row r="1426" spans="27:64" ht="12.95" customHeight="1">
      <c r="AA1426" s="227"/>
      <c r="AB1426" s="227"/>
      <c r="AC1426" s="227"/>
      <c r="AD1426" s="227"/>
      <c r="AE1426" s="227"/>
      <c r="AG1426" s="19"/>
      <c r="AN1426" s="227"/>
      <c r="AO1426" s="227"/>
      <c r="AP1426" s="227"/>
      <c r="AQ1426" s="227"/>
      <c r="AR1426" s="227"/>
      <c r="AS1426" s="227"/>
      <c r="AT1426" s="227"/>
      <c r="AU1426" s="227"/>
    </row>
    <row r="1427" spans="27:64" ht="12.95" customHeight="1">
      <c r="AA1427" s="227"/>
      <c r="AB1427" s="227"/>
      <c r="AC1427" s="227"/>
      <c r="AD1427" s="227"/>
      <c r="AE1427" s="227"/>
      <c r="AG1427" s="19"/>
      <c r="AN1427" s="227"/>
      <c r="AO1427" s="227"/>
      <c r="AP1427" s="227"/>
      <c r="AQ1427" s="227"/>
      <c r="AR1427" s="227"/>
      <c r="AS1427" s="227"/>
      <c r="AT1427" s="227"/>
      <c r="AU1427" s="227"/>
    </row>
    <row r="1428" spans="27:64" ht="12.95" customHeight="1">
      <c r="AA1428" s="227"/>
      <c r="AB1428" s="227"/>
      <c r="AC1428" s="227"/>
      <c r="AD1428" s="227"/>
      <c r="AE1428" s="227"/>
      <c r="AG1428" s="19"/>
      <c r="AN1428" s="227"/>
      <c r="AO1428" s="227"/>
      <c r="AP1428" s="227"/>
      <c r="AQ1428" s="227"/>
      <c r="AR1428" s="227"/>
      <c r="AS1428" s="227"/>
      <c r="AT1428" s="227"/>
      <c r="AU1428" s="227"/>
    </row>
    <row r="1429" spans="27:64" ht="12.95" customHeight="1">
      <c r="AA1429" s="227"/>
      <c r="AB1429" s="227"/>
      <c r="AC1429" s="227"/>
      <c r="AD1429" s="227"/>
      <c r="AE1429" s="227"/>
      <c r="AG1429" s="19"/>
      <c r="AN1429" s="227"/>
      <c r="AO1429" s="227"/>
      <c r="AP1429" s="227"/>
      <c r="AQ1429" s="227"/>
      <c r="AR1429" s="227"/>
      <c r="AS1429" s="227"/>
      <c r="AT1429" s="227"/>
      <c r="AU1429" s="227"/>
      <c r="AV1429" s="227"/>
      <c r="AW1429" s="227"/>
      <c r="AX1429" s="227"/>
      <c r="AY1429" s="227"/>
      <c r="AZ1429" s="227"/>
      <c r="BA1429" s="227"/>
      <c r="BB1429" s="227"/>
      <c r="BC1429" s="227"/>
      <c r="BD1429" s="227"/>
      <c r="BE1429" s="227"/>
      <c r="BF1429" s="227"/>
      <c r="BG1429" s="227"/>
      <c r="BH1429" s="227"/>
      <c r="BI1429" s="227"/>
      <c r="BJ1429" s="227"/>
      <c r="BK1429" s="227"/>
      <c r="BL1429" s="227"/>
    </row>
    <row r="1430" spans="27:64" ht="12.95" customHeight="1">
      <c r="AA1430" s="227"/>
      <c r="AB1430" s="227"/>
      <c r="AC1430" s="227"/>
      <c r="AD1430" s="227"/>
      <c r="AE1430" s="227"/>
      <c r="AG1430" s="19"/>
      <c r="AN1430" s="227"/>
      <c r="AO1430" s="227"/>
      <c r="AP1430" s="227"/>
      <c r="AQ1430" s="227"/>
      <c r="AR1430" s="227"/>
      <c r="AS1430" s="227"/>
      <c r="AT1430" s="227"/>
      <c r="AU1430" s="227"/>
    </row>
    <row r="1431" spans="27:64" ht="12.95" customHeight="1">
      <c r="AA1431" s="227"/>
      <c r="AB1431" s="227"/>
      <c r="AC1431" s="227"/>
      <c r="AD1431" s="227"/>
      <c r="AE1431" s="227"/>
      <c r="AG1431" s="19"/>
      <c r="AN1431" s="227"/>
      <c r="AO1431" s="227"/>
      <c r="AP1431" s="227"/>
      <c r="AQ1431" s="227"/>
      <c r="AR1431" s="227"/>
      <c r="AS1431" s="227"/>
      <c r="AT1431" s="227"/>
      <c r="AU1431" s="227"/>
      <c r="AV1431" s="227"/>
    </row>
    <row r="1432" spans="27:64" ht="12.95" customHeight="1">
      <c r="AA1432" s="227"/>
      <c r="AB1432" s="227"/>
      <c r="AC1432" s="227"/>
      <c r="AD1432" s="227"/>
      <c r="AE1432" s="227"/>
      <c r="AG1432" s="19"/>
      <c r="AN1432" s="227"/>
      <c r="AO1432" s="227"/>
      <c r="AP1432" s="227"/>
      <c r="AQ1432" s="227"/>
      <c r="AR1432" s="227"/>
      <c r="AS1432" s="227"/>
      <c r="AT1432" s="227"/>
      <c r="AU1432" s="227"/>
      <c r="AV1432" s="227"/>
    </row>
    <row r="1433" spans="27:64" ht="12.95" customHeight="1">
      <c r="AA1433" s="227"/>
      <c r="AB1433" s="227"/>
      <c r="AC1433" s="227"/>
      <c r="AD1433" s="227"/>
      <c r="AE1433" s="227"/>
      <c r="AG1433" s="19"/>
      <c r="AN1433" s="227"/>
      <c r="AO1433" s="227"/>
      <c r="AP1433" s="227"/>
      <c r="AQ1433" s="227"/>
      <c r="AR1433" s="227"/>
      <c r="AS1433" s="227"/>
      <c r="AT1433" s="227"/>
      <c r="AU1433" s="227"/>
      <c r="AV1433" s="227"/>
    </row>
    <row r="1434" spans="27:64" ht="12.95" customHeight="1">
      <c r="AA1434" s="227"/>
      <c r="AB1434" s="227"/>
      <c r="AC1434" s="227"/>
      <c r="AD1434" s="227"/>
      <c r="AE1434" s="227"/>
      <c r="AG1434" s="19"/>
      <c r="AN1434" s="227"/>
      <c r="AO1434" s="227"/>
      <c r="AP1434" s="227"/>
      <c r="AQ1434" s="227"/>
      <c r="AR1434" s="227"/>
      <c r="AS1434" s="227"/>
      <c r="AT1434" s="227"/>
      <c r="AU1434" s="227"/>
      <c r="AV1434" s="227"/>
      <c r="AX1434" s="227"/>
    </row>
    <row r="1435" spans="27:64" ht="12.95" customHeight="1">
      <c r="AA1435" s="227"/>
      <c r="AB1435" s="227"/>
      <c r="AC1435" s="227"/>
      <c r="AD1435" s="227"/>
      <c r="AE1435" s="227"/>
      <c r="AG1435" s="19"/>
      <c r="AN1435" s="227"/>
      <c r="AO1435" s="227"/>
      <c r="AP1435" s="227"/>
      <c r="AQ1435" s="227"/>
      <c r="AR1435" s="227"/>
      <c r="AS1435" s="227"/>
      <c r="AT1435" s="227"/>
      <c r="AU1435" s="227"/>
      <c r="AV1435" s="227"/>
      <c r="AX1435" s="227"/>
    </row>
    <row r="1436" spans="27:64" ht="12.95" customHeight="1">
      <c r="AA1436" s="227"/>
      <c r="AB1436" s="227"/>
      <c r="AC1436" s="227"/>
      <c r="AD1436" s="227"/>
      <c r="AE1436" s="227"/>
      <c r="AG1436" s="19"/>
      <c r="AN1436" s="227"/>
      <c r="AO1436" s="227"/>
      <c r="AP1436" s="227"/>
      <c r="AQ1436" s="227"/>
      <c r="AR1436" s="227"/>
      <c r="AS1436" s="227"/>
      <c r="AT1436" s="227"/>
      <c r="AU1436" s="227"/>
      <c r="AV1436" s="227"/>
      <c r="AW1436" s="227"/>
      <c r="AX1436" s="227"/>
      <c r="AY1436" s="227"/>
      <c r="AZ1436" s="227"/>
      <c r="BA1436" s="227"/>
      <c r="BB1436" s="227"/>
      <c r="BC1436" s="227"/>
      <c r="BD1436" s="227"/>
      <c r="BE1436" s="227"/>
      <c r="BF1436" s="227"/>
      <c r="BG1436" s="227"/>
      <c r="BH1436" s="227"/>
      <c r="BI1436" s="227"/>
      <c r="BJ1436" s="227"/>
      <c r="BK1436" s="227"/>
      <c r="BL1436" s="227"/>
    </row>
    <row r="1437" spans="27:64" ht="12.95" customHeight="1">
      <c r="AA1437" s="227"/>
      <c r="AB1437" s="227"/>
      <c r="AC1437" s="227"/>
      <c r="AD1437" s="227"/>
      <c r="AE1437" s="227"/>
      <c r="AG1437" s="19"/>
      <c r="AN1437" s="227"/>
      <c r="AO1437" s="227"/>
      <c r="AP1437" s="227"/>
      <c r="AQ1437" s="227"/>
      <c r="AR1437" s="227"/>
      <c r="AS1437" s="227"/>
      <c r="AT1437" s="227"/>
      <c r="AU1437" s="227"/>
    </row>
    <row r="1438" spans="27:64" ht="12.95" customHeight="1">
      <c r="AA1438" s="227"/>
      <c r="AB1438" s="227"/>
      <c r="AC1438" s="227"/>
      <c r="AD1438" s="227"/>
      <c r="AE1438" s="227"/>
      <c r="AG1438" s="19"/>
      <c r="AN1438" s="227"/>
      <c r="AO1438" s="227"/>
      <c r="AP1438" s="227"/>
      <c r="AQ1438" s="227"/>
      <c r="AR1438" s="227"/>
      <c r="AS1438" s="227"/>
      <c r="AT1438" s="227"/>
      <c r="AU1438" s="227"/>
    </row>
    <row r="1439" spans="27:64" ht="12.95" customHeight="1">
      <c r="AA1439" s="227"/>
      <c r="AB1439" s="227"/>
      <c r="AC1439" s="227"/>
      <c r="AD1439" s="227"/>
      <c r="AE1439" s="227"/>
      <c r="AG1439" s="19"/>
      <c r="AN1439" s="227"/>
      <c r="AO1439" s="227"/>
      <c r="AP1439" s="227"/>
      <c r="AQ1439" s="227"/>
      <c r="AR1439" s="227"/>
      <c r="AS1439" s="227"/>
      <c r="AT1439" s="227"/>
      <c r="AU1439" s="227"/>
    </row>
    <row r="1440" spans="27:64" ht="12.95" customHeight="1">
      <c r="AA1440" s="227"/>
      <c r="AB1440" s="227"/>
      <c r="AC1440" s="227"/>
      <c r="AD1440" s="227"/>
      <c r="AE1440" s="227"/>
      <c r="AG1440" s="19"/>
      <c r="AN1440" s="227"/>
      <c r="AO1440" s="227"/>
      <c r="AP1440" s="227"/>
      <c r="AQ1440" s="227"/>
      <c r="AR1440" s="227"/>
      <c r="AS1440" s="227"/>
      <c r="AT1440" s="227"/>
      <c r="AU1440" s="227"/>
      <c r="AV1440" s="227"/>
      <c r="AW1440" s="227"/>
      <c r="AX1440" s="227"/>
      <c r="AY1440" s="227"/>
      <c r="AZ1440" s="227"/>
      <c r="BA1440" s="227"/>
      <c r="BB1440" s="227"/>
      <c r="BC1440" s="227"/>
      <c r="BD1440" s="227"/>
      <c r="BE1440" s="227"/>
      <c r="BF1440" s="227"/>
      <c r="BG1440" s="227"/>
      <c r="BH1440" s="227"/>
      <c r="BI1440" s="227"/>
      <c r="BJ1440" s="227"/>
      <c r="BK1440" s="227"/>
      <c r="BL1440" s="227"/>
    </row>
    <row r="1441" spans="27:64" ht="12.95" customHeight="1">
      <c r="AA1441" s="227"/>
      <c r="AB1441" s="227"/>
      <c r="AC1441" s="227"/>
      <c r="AD1441" s="227"/>
      <c r="AE1441" s="227"/>
      <c r="AG1441" s="19"/>
      <c r="AN1441" s="227"/>
      <c r="AO1441" s="227"/>
      <c r="AP1441" s="227"/>
      <c r="AQ1441" s="227"/>
      <c r="AR1441" s="227"/>
      <c r="AS1441" s="227"/>
      <c r="AT1441" s="227"/>
      <c r="AU1441" s="227"/>
      <c r="AV1441" s="227"/>
      <c r="AX1441" s="227"/>
    </row>
    <row r="1442" spans="27:64" ht="12.95" customHeight="1">
      <c r="AA1442" s="227"/>
      <c r="AB1442" s="227"/>
      <c r="AC1442" s="227"/>
      <c r="AD1442" s="227"/>
      <c r="AE1442" s="227"/>
      <c r="AG1442" s="19"/>
      <c r="AN1442" s="227"/>
      <c r="AO1442" s="227"/>
      <c r="AP1442" s="227"/>
      <c r="AQ1442" s="227"/>
      <c r="AR1442" s="227"/>
      <c r="AS1442" s="227"/>
      <c r="AT1442" s="227"/>
      <c r="AU1442" s="227"/>
      <c r="AV1442" s="227"/>
      <c r="AX1442" s="227"/>
      <c r="AY1442" s="227"/>
      <c r="AZ1442" s="227"/>
      <c r="BA1442" s="227"/>
      <c r="BB1442" s="227"/>
      <c r="BC1442" s="227"/>
      <c r="BD1442" s="227"/>
      <c r="BE1442" s="227"/>
      <c r="BF1442" s="227"/>
      <c r="BG1442" s="227"/>
      <c r="BH1442" s="227"/>
      <c r="BI1442" s="227"/>
      <c r="BJ1442" s="227"/>
      <c r="BK1442" s="227"/>
      <c r="BL1442" s="227"/>
    </row>
    <row r="1443" spans="27:64" ht="12.95" customHeight="1">
      <c r="AA1443" s="227"/>
      <c r="AB1443" s="227"/>
      <c r="AC1443" s="227"/>
      <c r="AD1443" s="227"/>
      <c r="AE1443" s="227"/>
      <c r="AG1443" s="19"/>
      <c r="AN1443" s="227"/>
      <c r="AO1443" s="227"/>
      <c r="AP1443" s="227"/>
      <c r="AQ1443" s="227"/>
      <c r="AR1443" s="227"/>
      <c r="AS1443" s="227"/>
      <c r="AT1443" s="227"/>
      <c r="AU1443" s="227"/>
      <c r="AV1443" s="227"/>
      <c r="AW1443" s="227"/>
      <c r="AX1443" s="227"/>
      <c r="AY1443" s="227"/>
      <c r="AZ1443" s="227"/>
      <c r="BA1443" s="227"/>
      <c r="BB1443" s="227"/>
      <c r="BC1443" s="227"/>
      <c r="BD1443" s="227"/>
      <c r="BE1443" s="227"/>
      <c r="BF1443" s="227"/>
      <c r="BG1443" s="227"/>
      <c r="BH1443" s="227"/>
      <c r="BI1443" s="227"/>
      <c r="BJ1443" s="227"/>
      <c r="BK1443" s="227"/>
      <c r="BL1443" s="227"/>
    </row>
    <row r="1444" spans="27:64" ht="12.95" customHeight="1">
      <c r="AA1444" s="227"/>
      <c r="AB1444" s="227"/>
      <c r="AC1444" s="227"/>
      <c r="AD1444" s="227"/>
      <c r="AE1444" s="227"/>
      <c r="AG1444" s="19"/>
      <c r="AN1444" s="227"/>
      <c r="AO1444" s="227"/>
      <c r="AP1444" s="227"/>
      <c r="AQ1444" s="227"/>
      <c r="AR1444" s="227"/>
      <c r="AS1444" s="227"/>
      <c r="AT1444" s="227"/>
      <c r="AU1444" s="227"/>
      <c r="AV1444" s="227"/>
      <c r="AW1444" s="227"/>
      <c r="AX1444" s="227"/>
      <c r="AY1444" s="227"/>
      <c r="AZ1444" s="227"/>
      <c r="BA1444" s="227"/>
      <c r="BB1444" s="227"/>
      <c r="BC1444" s="227"/>
      <c r="BD1444" s="227"/>
      <c r="BE1444" s="227"/>
      <c r="BF1444" s="227"/>
      <c r="BG1444" s="227"/>
      <c r="BH1444" s="227"/>
      <c r="BI1444" s="227"/>
      <c r="BJ1444" s="227"/>
      <c r="BK1444" s="227"/>
      <c r="BL1444" s="227"/>
    </row>
    <row r="1445" spans="27:64" ht="12.95" customHeight="1">
      <c r="AA1445" s="227"/>
      <c r="AB1445" s="227"/>
      <c r="AC1445" s="227"/>
      <c r="AD1445" s="227"/>
      <c r="AE1445" s="227"/>
      <c r="AG1445" s="19"/>
      <c r="AN1445" s="227"/>
      <c r="AO1445" s="227"/>
      <c r="AP1445" s="227"/>
      <c r="AQ1445" s="227"/>
      <c r="AR1445" s="227"/>
      <c r="AS1445" s="227"/>
      <c r="AT1445" s="227"/>
      <c r="AU1445" s="227"/>
      <c r="AV1445" s="227"/>
    </row>
    <row r="1446" spans="27:64" ht="12.95" customHeight="1">
      <c r="AA1446" s="227"/>
      <c r="AB1446" s="227"/>
      <c r="AC1446" s="227"/>
      <c r="AD1446" s="227"/>
      <c r="AE1446" s="227"/>
      <c r="AG1446" s="19"/>
      <c r="AN1446" s="227"/>
      <c r="AO1446" s="227"/>
      <c r="AP1446" s="227"/>
      <c r="AQ1446" s="227"/>
      <c r="AR1446" s="227"/>
      <c r="AS1446" s="227"/>
      <c r="AT1446" s="227"/>
      <c r="AU1446" s="227"/>
    </row>
    <row r="1447" spans="27:64" ht="12.95" customHeight="1">
      <c r="AA1447" s="227"/>
      <c r="AB1447" s="227"/>
      <c r="AC1447" s="227"/>
      <c r="AD1447" s="227"/>
      <c r="AE1447" s="227"/>
      <c r="AG1447" s="19"/>
      <c r="AN1447" s="227"/>
      <c r="AO1447" s="227"/>
      <c r="AP1447" s="227"/>
      <c r="AQ1447" s="227"/>
      <c r="AR1447" s="227"/>
      <c r="AS1447" s="227"/>
      <c r="AT1447" s="227"/>
      <c r="AU1447" s="227"/>
      <c r="AV1447" s="227"/>
      <c r="AX1447" s="227"/>
    </row>
    <row r="1448" spans="27:64" ht="12.95" customHeight="1">
      <c r="AA1448" s="227"/>
      <c r="AB1448" s="227"/>
      <c r="AC1448" s="227"/>
      <c r="AD1448" s="227"/>
      <c r="AE1448" s="227"/>
      <c r="AG1448" s="19"/>
      <c r="AN1448" s="227"/>
      <c r="AO1448" s="227"/>
      <c r="AP1448" s="227"/>
      <c r="AQ1448" s="227"/>
      <c r="AR1448" s="227"/>
      <c r="AS1448" s="227"/>
      <c r="AT1448" s="227"/>
      <c r="AU1448" s="227"/>
      <c r="AV1448" s="227"/>
      <c r="AX1448" s="227"/>
      <c r="AY1448" s="227"/>
      <c r="AZ1448" s="227"/>
      <c r="BA1448" s="227"/>
      <c r="BB1448" s="227"/>
      <c r="BC1448" s="227"/>
      <c r="BD1448" s="227"/>
      <c r="BE1448" s="227"/>
      <c r="BF1448" s="227"/>
      <c r="BG1448" s="227"/>
      <c r="BH1448" s="227"/>
      <c r="BI1448" s="227"/>
      <c r="BJ1448" s="227"/>
      <c r="BK1448" s="227"/>
      <c r="BL1448" s="227"/>
    </row>
    <row r="1449" spans="27:64" ht="12.95" customHeight="1">
      <c r="AA1449" s="227"/>
      <c r="AB1449" s="227"/>
      <c r="AC1449" s="227"/>
      <c r="AD1449" s="227"/>
      <c r="AE1449" s="227"/>
      <c r="AG1449" s="19"/>
      <c r="AN1449" s="227"/>
      <c r="AO1449" s="227"/>
      <c r="AP1449" s="227"/>
      <c r="AQ1449" s="227"/>
      <c r="AR1449" s="227"/>
      <c r="AS1449" s="227"/>
      <c r="AT1449" s="227"/>
      <c r="AU1449" s="227"/>
      <c r="AV1449" s="227"/>
      <c r="AW1449" s="227"/>
      <c r="AX1449" s="227"/>
      <c r="AY1449" s="227"/>
      <c r="AZ1449" s="227"/>
      <c r="BA1449" s="227"/>
      <c r="BB1449" s="227"/>
      <c r="BC1449" s="227"/>
      <c r="BD1449" s="227"/>
      <c r="BE1449" s="227"/>
      <c r="BF1449" s="227"/>
      <c r="BG1449" s="227"/>
      <c r="BH1449" s="227"/>
      <c r="BI1449" s="227"/>
      <c r="BJ1449" s="227"/>
      <c r="BK1449" s="227"/>
      <c r="BL1449" s="227"/>
    </row>
    <row r="1450" spans="27:64" ht="12.95" customHeight="1">
      <c r="AA1450" s="227"/>
      <c r="AB1450" s="227"/>
      <c r="AC1450" s="227"/>
      <c r="AD1450" s="227"/>
      <c r="AE1450" s="227"/>
      <c r="AG1450" s="19"/>
      <c r="AN1450" s="227"/>
      <c r="AO1450" s="227"/>
      <c r="AP1450" s="227"/>
      <c r="AQ1450" s="227"/>
      <c r="AR1450" s="227"/>
      <c r="AS1450" s="227"/>
      <c r="AT1450" s="227"/>
      <c r="AU1450" s="227"/>
      <c r="AV1450" s="227"/>
      <c r="AW1450" s="227"/>
      <c r="AX1450" s="227"/>
      <c r="AY1450" s="227"/>
      <c r="AZ1450" s="227"/>
      <c r="BA1450" s="227"/>
      <c r="BB1450" s="227"/>
      <c r="BC1450" s="227"/>
      <c r="BD1450" s="227"/>
      <c r="BE1450" s="227"/>
      <c r="BF1450" s="227"/>
      <c r="BG1450" s="227"/>
      <c r="BH1450" s="227"/>
      <c r="BI1450" s="227"/>
      <c r="BJ1450" s="227"/>
      <c r="BK1450" s="227"/>
      <c r="BL1450" s="227"/>
    </row>
    <row r="1451" spans="27:64" ht="12.95" customHeight="1">
      <c r="AA1451" s="227"/>
      <c r="AB1451" s="227"/>
      <c r="AC1451" s="227"/>
      <c r="AD1451" s="227"/>
      <c r="AE1451" s="227"/>
      <c r="AG1451" s="19"/>
      <c r="AN1451" s="227"/>
      <c r="AO1451" s="227"/>
      <c r="AP1451" s="227"/>
      <c r="AQ1451" s="227"/>
      <c r="AR1451" s="227"/>
      <c r="AS1451" s="227"/>
      <c r="AT1451" s="227"/>
      <c r="AU1451" s="227"/>
    </row>
    <row r="1452" spans="27:64" ht="12.95" customHeight="1">
      <c r="AA1452" s="227"/>
      <c r="AB1452" s="227"/>
      <c r="AC1452" s="227"/>
      <c r="AD1452" s="227"/>
      <c r="AE1452" s="227"/>
      <c r="AG1452" s="19"/>
      <c r="AN1452" s="227"/>
      <c r="AO1452" s="227"/>
      <c r="AP1452" s="227"/>
      <c r="AQ1452" s="227"/>
      <c r="AR1452" s="227"/>
      <c r="AS1452" s="227"/>
      <c r="AT1452" s="227"/>
      <c r="AU1452" s="227"/>
    </row>
    <row r="1453" spans="27:64" ht="12.95" customHeight="1">
      <c r="AA1453" s="227"/>
      <c r="AB1453" s="227"/>
      <c r="AC1453" s="227"/>
      <c r="AD1453" s="227"/>
      <c r="AE1453" s="227"/>
      <c r="AG1453" s="19"/>
      <c r="AN1453" s="227"/>
      <c r="AO1453" s="227"/>
      <c r="AP1453" s="227"/>
      <c r="AQ1453" s="227"/>
      <c r="AR1453" s="227"/>
      <c r="AS1453" s="227"/>
      <c r="AT1453" s="227"/>
      <c r="AU1453" s="227"/>
      <c r="AV1453" s="227"/>
      <c r="AX1453" s="227"/>
      <c r="AY1453" s="227"/>
      <c r="AZ1453" s="227"/>
      <c r="BA1453" s="227"/>
      <c r="BB1453" s="227"/>
      <c r="BC1453" s="227"/>
      <c r="BD1453" s="227"/>
      <c r="BE1453" s="227"/>
      <c r="BF1453" s="227"/>
      <c r="BG1453" s="227"/>
      <c r="BH1453" s="227"/>
      <c r="BI1453" s="227"/>
      <c r="BJ1453" s="227"/>
      <c r="BK1453" s="227"/>
      <c r="BL1453" s="227"/>
    </row>
    <row r="1454" spans="27:64" ht="12.95" customHeight="1">
      <c r="AA1454" s="227"/>
      <c r="AB1454" s="227"/>
      <c r="AC1454" s="227"/>
      <c r="AD1454" s="227"/>
      <c r="AE1454" s="227"/>
      <c r="AG1454" s="19"/>
      <c r="AN1454" s="227"/>
      <c r="AO1454" s="227"/>
      <c r="AP1454" s="227"/>
      <c r="AQ1454" s="227"/>
      <c r="AR1454" s="227"/>
      <c r="AS1454" s="227"/>
      <c r="AT1454" s="227"/>
      <c r="AU1454" s="227"/>
      <c r="AV1454" s="227"/>
      <c r="AW1454" s="227"/>
      <c r="AX1454" s="227"/>
      <c r="AY1454" s="227"/>
      <c r="AZ1454" s="227"/>
      <c r="BA1454" s="227"/>
      <c r="BB1454" s="227"/>
      <c r="BC1454" s="227"/>
      <c r="BD1454" s="227"/>
      <c r="BE1454" s="227"/>
      <c r="BF1454" s="227"/>
      <c r="BG1454" s="227"/>
      <c r="BH1454" s="227"/>
      <c r="BI1454" s="227"/>
      <c r="BJ1454" s="227"/>
      <c r="BK1454" s="227"/>
      <c r="BL1454" s="227"/>
    </row>
    <row r="1455" spans="27:64" ht="12.95" customHeight="1">
      <c r="AA1455" s="227"/>
      <c r="AB1455" s="227"/>
      <c r="AC1455" s="227"/>
      <c r="AD1455" s="227"/>
      <c r="AE1455" s="227"/>
      <c r="AG1455" s="19"/>
      <c r="AN1455" s="227"/>
      <c r="AO1455" s="227"/>
      <c r="AP1455" s="227"/>
      <c r="AQ1455" s="227"/>
      <c r="AR1455" s="227"/>
      <c r="AS1455" s="227"/>
      <c r="AT1455" s="227"/>
      <c r="AU1455" s="227"/>
      <c r="AV1455" s="227"/>
      <c r="AW1455" s="227"/>
      <c r="AX1455" s="227"/>
      <c r="AY1455" s="227"/>
      <c r="AZ1455" s="227"/>
      <c r="BA1455" s="227"/>
      <c r="BB1455" s="227"/>
      <c r="BC1455" s="227"/>
      <c r="BD1455" s="227"/>
      <c r="BE1455" s="227"/>
      <c r="BF1455" s="227"/>
      <c r="BG1455" s="227"/>
      <c r="BH1455" s="227"/>
      <c r="BI1455" s="227"/>
      <c r="BJ1455" s="227"/>
      <c r="BK1455" s="227"/>
      <c r="BL1455" s="227"/>
    </row>
    <row r="1456" spans="27:64" ht="12.95" customHeight="1">
      <c r="AA1456" s="227"/>
      <c r="AB1456" s="227"/>
      <c r="AC1456" s="227"/>
      <c r="AD1456" s="227"/>
      <c r="AE1456" s="227"/>
      <c r="AG1456" s="19"/>
      <c r="AN1456" s="227"/>
      <c r="AO1456" s="227"/>
      <c r="AP1456" s="227"/>
      <c r="AQ1456" s="227"/>
      <c r="AR1456" s="227"/>
      <c r="AS1456" s="227"/>
      <c r="AT1456" s="227"/>
      <c r="AU1456" s="227"/>
    </row>
    <row r="1457" spans="27:64" ht="12.95" customHeight="1">
      <c r="AA1457" s="227"/>
      <c r="AB1457" s="227"/>
      <c r="AC1457" s="227"/>
      <c r="AD1457" s="227"/>
      <c r="AE1457" s="227"/>
      <c r="AG1457" s="19"/>
      <c r="AN1457" s="227"/>
      <c r="AO1457" s="227"/>
      <c r="AP1457" s="227"/>
      <c r="AQ1457" s="227"/>
      <c r="AR1457" s="227"/>
      <c r="AS1457" s="227"/>
      <c r="AT1457" s="227"/>
      <c r="AU1457" s="227"/>
      <c r="AV1457" s="227"/>
      <c r="AW1457" s="227"/>
      <c r="AX1457" s="227"/>
      <c r="AY1457" s="227"/>
      <c r="AZ1457" s="227"/>
      <c r="BA1457" s="227"/>
      <c r="BB1457" s="227"/>
      <c r="BC1457" s="227"/>
      <c r="BD1457" s="227"/>
      <c r="BE1457" s="227"/>
      <c r="BF1457" s="227"/>
      <c r="BG1457" s="227"/>
      <c r="BH1457" s="227"/>
      <c r="BI1457" s="227"/>
      <c r="BJ1457" s="227"/>
      <c r="BK1457" s="227"/>
      <c r="BL1457" s="227"/>
    </row>
    <row r="1458" spans="27:64" ht="12.95" customHeight="1">
      <c r="AA1458" s="227"/>
      <c r="AB1458" s="227"/>
      <c r="AC1458" s="227"/>
      <c r="AD1458" s="227"/>
      <c r="AE1458" s="227"/>
      <c r="AG1458" s="19"/>
      <c r="AN1458" s="227"/>
      <c r="AO1458" s="227"/>
      <c r="AP1458" s="227"/>
      <c r="AQ1458" s="227"/>
      <c r="AR1458" s="227"/>
      <c r="AS1458" s="227"/>
      <c r="AT1458" s="227"/>
      <c r="AU1458" s="227"/>
      <c r="AV1458" s="227"/>
    </row>
    <row r="1459" spans="27:64" ht="12.95" customHeight="1">
      <c r="AA1459" s="227"/>
      <c r="AB1459" s="227"/>
      <c r="AC1459" s="227"/>
      <c r="AD1459" s="227"/>
      <c r="AE1459" s="227"/>
      <c r="AG1459" s="19"/>
      <c r="AN1459" s="227"/>
      <c r="AO1459" s="227"/>
      <c r="AP1459" s="227"/>
      <c r="AQ1459" s="227"/>
      <c r="AR1459" s="227"/>
      <c r="AS1459" s="227"/>
      <c r="AT1459" s="227"/>
      <c r="AU1459" s="227"/>
      <c r="AV1459" s="227"/>
    </row>
    <row r="1460" spans="27:64" ht="12.95" customHeight="1">
      <c r="AA1460" s="227"/>
      <c r="AB1460" s="227"/>
      <c r="AC1460" s="227"/>
      <c r="AD1460" s="227"/>
      <c r="AE1460" s="227"/>
      <c r="AG1460" s="19"/>
      <c r="AN1460" s="227"/>
      <c r="AO1460" s="227"/>
      <c r="AP1460" s="227"/>
      <c r="AQ1460" s="227"/>
      <c r="AR1460" s="227"/>
      <c r="AS1460" s="227"/>
      <c r="AT1460" s="227"/>
      <c r="AU1460" s="227"/>
      <c r="AV1460" s="227"/>
    </row>
    <row r="1461" spans="27:64" ht="12.95" customHeight="1">
      <c r="AA1461" s="227"/>
      <c r="AB1461" s="227"/>
      <c r="AC1461" s="227"/>
      <c r="AD1461" s="227"/>
      <c r="AE1461" s="227"/>
      <c r="AG1461" s="19"/>
      <c r="AN1461" s="227"/>
      <c r="AO1461" s="227"/>
      <c r="AP1461" s="227"/>
      <c r="AQ1461" s="227"/>
      <c r="AR1461" s="227"/>
      <c r="AS1461" s="227"/>
      <c r="AT1461" s="227"/>
      <c r="AU1461" s="227"/>
      <c r="AV1461" s="227"/>
      <c r="AW1461" s="227"/>
      <c r="AX1461" s="227"/>
      <c r="AY1461" s="227"/>
      <c r="AZ1461" s="227"/>
      <c r="BA1461" s="227"/>
      <c r="BB1461" s="227"/>
      <c r="BC1461" s="227"/>
      <c r="BD1461" s="227"/>
      <c r="BE1461" s="227"/>
      <c r="BF1461" s="227"/>
      <c r="BG1461" s="227"/>
      <c r="BH1461" s="227"/>
      <c r="BI1461" s="227"/>
      <c r="BJ1461" s="227"/>
      <c r="BK1461" s="227"/>
      <c r="BL1461" s="227"/>
    </row>
    <row r="1462" spans="27:64" ht="12.95" customHeight="1">
      <c r="AA1462" s="227"/>
      <c r="AB1462" s="227"/>
      <c r="AC1462" s="227"/>
      <c r="AD1462" s="227"/>
      <c r="AE1462" s="227"/>
      <c r="AG1462" s="19"/>
      <c r="AN1462" s="227"/>
      <c r="AO1462" s="227"/>
      <c r="AP1462" s="227"/>
      <c r="AQ1462" s="227"/>
      <c r="AR1462" s="227"/>
      <c r="AS1462" s="227"/>
      <c r="AT1462" s="227"/>
      <c r="AU1462" s="227"/>
      <c r="AV1462" s="227"/>
      <c r="AW1462" s="227"/>
      <c r="AX1462" s="227"/>
      <c r="AY1462" s="227"/>
      <c r="AZ1462" s="227"/>
      <c r="BA1462" s="227"/>
      <c r="BB1462" s="227"/>
      <c r="BC1462" s="227"/>
      <c r="BD1462" s="227"/>
      <c r="BE1462" s="227"/>
      <c r="BF1462" s="227"/>
      <c r="BG1462" s="227"/>
      <c r="BH1462" s="227"/>
      <c r="BI1462" s="227"/>
      <c r="BJ1462" s="227"/>
      <c r="BK1462" s="227"/>
      <c r="BL1462" s="227"/>
    </row>
    <row r="1463" spans="27:64" ht="12.95" customHeight="1">
      <c r="AA1463" s="227"/>
      <c r="AB1463" s="227"/>
      <c r="AC1463" s="227"/>
      <c r="AD1463" s="227"/>
      <c r="AE1463" s="227"/>
      <c r="AG1463" s="19"/>
      <c r="AN1463" s="227"/>
      <c r="AO1463" s="227"/>
      <c r="AP1463" s="227"/>
      <c r="AQ1463" s="227"/>
      <c r="AR1463" s="227"/>
      <c r="AS1463" s="227"/>
      <c r="AT1463" s="227"/>
      <c r="AU1463" s="227"/>
    </row>
    <row r="1464" spans="27:64" ht="12.95" customHeight="1">
      <c r="AA1464" s="227"/>
      <c r="AB1464" s="227"/>
      <c r="AC1464" s="227"/>
      <c r="AD1464" s="227"/>
      <c r="AE1464" s="227"/>
      <c r="AG1464" s="19"/>
      <c r="AN1464" s="227"/>
      <c r="AO1464" s="227"/>
      <c r="AP1464" s="227"/>
      <c r="AQ1464" s="227"/>
      <c r="AR1464" s="227"/>
      <c r="AS1464" s="227"/>
      <c r="AT1464" s="227"/>
      <c r="AU1464" s="227"/>
      <c r="AV1464" s="227"/>
      <c r="AW1464" s="227"/>
      <c r="AX1464" s="227"/>
      <c r="AY1464" s="227"/>
      <c r="AZ1464" s="227"/>
      <c r="BA1464" s="227"/>
      <c r="BB1464" s="227"/>
      <c r="BC1464" s="227"/>
      <c r="BD1464" s="227"/>
      <c r="BE1464" s="227"/>
      <c r="BF1464" s="227"/>
      <c r="BG1464" s="227"/>
      <c r="BH1464" s="227"/>
      <c r="BI1464" s="227"/>
      <c r="BJ1464" s="227"/>
      <c r="BK1464" s="227"/>
      <c r="BL1464" s="227"/>
    </row>
    <row r="1465" spans="27:64" ht="12.95" customHeight="1">
      <c r="AA1465" s="227"/>
      <c r="AB1465" s="227"/>
      <c r="AC1465" s="227"/>
      <c r="AD1465" s="227"/>
      <c r="AE1465" s="227"/>
      <c r="AG1465" s="19"/>
      <c r="AN1465" s="227"/>
      <c r="AO1465" s="227"/>
      <c r="AP1465" s="227"/>
      <c r="AQ1465" s="227"/>
      <c r="AR1465" s="227"/>
      <c r="AS1465" s="227"/>
      <c r="AT1465" s="227"/>
      <c r="AU1465" s="227"/>
      <c r="AV1465" s="227"/>
    </row>
    <row r="1466" spans="27:64" ht="12.95" customHeight="1">
      <c r="AA1466" s="227"/>
      <c r="AB1466" s="227"/>
      <c r="AC1466" s="227"/>
      <c r="AD1466" s="227"/>
      <c r="AE1466" s="227"/>
      <c r="AG1466" s="19"/>
      <c r="AN1466" s="227"/>
      <c r="AO1466" s="227"/>
      <c r="AP1466" s="227"/>
      <c r="AQ1466" s="227"/>
      <c r="AR1466" s="227"/>
      <c r="AS1466" s="227"/>
      <c r="AT1466" s="227"/>
      <c r="AU1466" s="227"/>
      <c r="AV1466" s="227"/>
    </row>
    <row r="1467" spans="27:64" ht="12.95" customHeight="1">
      <c r="AA1467" s="227"/>
      <c r="AB1467" s="227"/>
      <c r="AC1467" s="227"/>
      <c r="AD1467" s="227"/>
      <c r="AE1467" s="227"/>
      <c r="AG1467" s="19"/>
      <c r="AN1467" s="227"/>
      <c r="AO1467" s="227"/>
      <c r="AP1467" s="227"/>
      <c r="AQ1467" s="227"/>
      <c r="AR1467" s="227"/>
      <c r="AS1467" s="227"/>
      <c r="AT1467" s="227"/>
      <c r="AU1467" s="227"/>
    </row>
    <row r="1468" spans="27:64" ht="12.95" customHeight="1">
      <c r="AA1468" s="227"/>
      <c r="AB1468" s="227"/>
      <c r="AC1468" s="227"/>
      <c r="AD1468" s="227"/>
      <c r="AE1468" s="227"/>
      <c r="AG1468" s="19"/>
      <c r="AN1468" s="227"/>
      <c r="AO1468" s="227"/>
      <c r="AP1468" s="227"/>
      <c r="AQ1468" s="227"/>
      <c r="AR1468" s="227"/>
      <c r="AS1468" s="227"/>
      <c r="AT1468" s="227"/>
      <c r="AU1468" s="227"/>
      <c r="AV1468" s="227"/>
      <c r="AX1468" s="227"/>
      <c r="AY1468" s="227"/>
      <c r="AZ1468" s="227"/>
      <c r="BA1468" s="227"/>
      <c r="BB1468" s="227"/>
      <c r="BC1468" s="227"/>
      <c r="BD1468" s="227"/>
      <c r="BE1468" s="227"/>
      <c r="BF1468" s="227"/>
      <c r="BG1468" s="227"/>
      <c r="BH1468" s="227"/>
      <c r="BI1468" s="227"/>
      <c r="BJ1468" s="227"/>
      <c r="BK1468" s="227"/>
      <c r="BL1468" s="227"/>
    </row>
    <row r="1469" spans="27:64" ht="12.95" customHeight="1">
      <c r="AA1469" s="227"/>
      <c r="AB1469" s="227"/>
      <c r="AC1469" s="227"/>
      <c r="AD1469" s="227"/>
      <c r="AE1469" s="227"/>
      <c r="AG1469" s="19"/>
      <c r="AN1469" s="227"/>
      <c r="AO1469" s="227"/>
      <c r="AP1469" s="227"/>
      <c r="AQ1469" s="227"/>
      <c r="AR1469" s="227"/>
      <c r="AS1469" s="227"/>
      <c r="AT1469" s="227"/>
      <c r="AU1469" s="227"/>
      <c r="AV1469" s="227"/>
      <c r="AX1469" s="227"/>
    </row>
    <row r="1470" spans="27:64" ht="12.95" customHeight="1">
      <c r="AA1470" s="227"/>
      <c r="AB1470" s="227"/>
      <c r="AC1470" s="227"/>
      <c r="AD1470" s="227"/>
      <c r="AE1470" s="227"/>
      <c r="AG1470" s="19"/>
      <c r="AN1470" s="227"/>
      <c r="AO1470" s="227"/>
      <c r="AP1470" s="227"/>
      <c r="AQ1470" s="227"/>
      <c r="AR1470" s="227"/>
      <c r="AS1470" s="227"/>
      <c r="AT1470" s="227"/>
      <c r="AU1470" s="227"/>
      <c r="AV1470" s="227"/>
      <c r="AX1470" s="227"/>
    </row>
    <row r="1471" spans="27:64" ht="12.95" customHeight="1">
      <c r="AA1471" s="227"/>
      <c r="AB1471" s="227"/>
      <c r="AC1471" s="227"/>
      <c r="AD1471" s="227"/>
      <c r="AE1471" s="227"/>
      <c r="AG1471" s="19"/>
      <c r="AN1471" s="227"/>
      <c r="AO1471" s="227"/>
      <c r="AP1471" s="227"/>
      <c r="AQ1471" s="227"/>
      <c r="AR1471" s="227"/>
      <c r="AS1471" s="227"/>
      <c r="AT1471" s="227"/>
      <c r="AU1471" s="227"/>
      <c r="AV1471" s="227"/>
      <c r="AW1471" s="227"/>
      <c r="AX1471" s="227"/>
      <c r="AY1471" s="227"/>
      <c r="AZ1471" s="227"/>
      <c r="BA1471" s="227"/>
      <c r="BB1471" s="227"/>
      <c r="BC1471" s="227"/>
      <c r="BD1471" s="227"/>
      <c r="BE1471" s="227"/>
      <c r="BF1471" s="227"/>
      <c r="BG1471" s="227"/>
      <c r="BH1471" s="227"/>
      <c r="BI1471" s="227"/>
      <c r="BJ1471" s="227"/>
      <c r="BK1471" s="227"/>
      <c r="BL1471" s="227"/>
    </row>
    <row r="1472" spans="27:64" ht="12.95" customHeight="1">
      <c r="AA1472" s="227"/>
      <c r="AB1472" s="227"/>
      <c r="AC1472" s="227"/>
      <c r="AD1472" s="227"/>
      <c r="AE1472" s="227"/>
      <c r="AG1472" s="19"/>
      <c r="AN1472" s="227"/>
      <c r="AO1472" s="227"/>
      <c r="AP1472" s="227"/>
      <c r="AQ1472" s="227"/>
      <c r="AR1472" s="227"/>
      <c r="AS1472" s="227"/>
      <c r="AT1472" s="227"/>
      <c r="AU1472" s="227"/>
      <c r="AV1472" s="227"/>
      <c r="AW1472" s="227"/>
      <c r="AX1472" s="227"/>
      <c r="AY1472" s="227"/>
      <c r="AZ1472" s="227"/>
      <c r="BA1472" s="227"/>
      <c r="BB1472" s="227"/>
      <c r="BC1472" s="227"/>
      <c r="BD1472" s="227"/>
      <c r="BE1472" s="227"/>
      <c r="BF1472" s="227"/>
      <c r="BG1472" s="227"/>
      <c r="BH1472" s="227"/>
      <c r="BI1472" s="227"/>
      <c r="BJ1472" s="227"/>
      <c r="BK1472" s="227"/>
      <c r="BL1472" s="227"/>
    </row>
    <row r="1473" spans="27:64" ht="12.95" customHeight="1">
      <c r="AA1473" s="227"/>
      <c r="AB1473" s="227"/>
      <c r="AC1473" s="227"/>
      <c r="AD1473" s="227"/>
      <c r="AE1473" s="227"/>
      <c r="AG1473" s="19"/>
      <c r="AN1473" s="227"/>
      <c r="AO1473" s="227"/>
      <c r="AP1473" s="227"/>
      <c r="AQ1473" s="227"/>
      <c r="AR1473" s="227"/>
      <c r="AS1473" s="227"/>
      <c r="AT1473" s="227"/>
      <c r="AU1473" s="227"/>
      <c r="AV1473" s="227"/>
      <c r="AW1473" s="227"/>
      <c r="AX1473" s="227"/>
      <c r="AY1473" s="227"/>
      <c r="AZ1473" s="227"/>
      <c r="BA1473" s="227"/>
      <c r="BB1473" s="227"/>
      <c r="BC1473" s="227"/>
      <c r="BD1473" s="227"/>
      <c r="BE1473" s="227"/>
      <c r="BF1473" s="227"/>
      <c r="BG1473" s="227"/>
      <c r="BH1473" s="227"/>
      <c r="BI1473" s="227"/>
      <c r="BJ1473" s="227"/>
      <c r="BK1473" s="227"/>
      <c r="BL1473" s="227"/>
    </row>
    <row r="1474" spans="27:64" ht="12.95" customHeight="1">
      <c r="AA1474" s="227"/>
      <c r="AB1474" s="227"/>
      <c r="AC1474" s="227"/>
      <c r="AD1474" s="227"/>
      <c r="AE1474" s="227"/>
      <c r="AG1474" s="19"/>
      <c r="AN1474" s="227"/>
      <c r="AO1474" s="227"/>
      <c r="AP1474" s="227"/>
      <c r="AQ1474" s="227"/>
      <c r="AR1474" s="227"/>
      <c r="AS1474" s="227"/>
      <c r="AT1474" s="227"/>
      <c r="AU1474" s="227"/>
      <c r="AV1474" s="227"/>
      <c r="AW1474" s="227"/>
      <c r="AX1474" s="227"/>
      <c r="AY1474" s="227"/>
      <c r="AZ1474" s="227"/>
      <c r="BA1474" s="227"/>
      <c r="BB1474" s="227"/>
      <c r="BC1474" s="227"/>
      <c r="BD1474" s="227"/>
      <c r="BE1474" s="227"/>
      <c r="BF1474" s="227"/>
      <c r="BG1474" s="227"/>
      <c r="BH1474" s="227"/>
      <c r="BI1474" s="227"/>
      <c r="BJ1474" s="227"/>
      <c r="BK1474" s="227"/>
      <c r="BL1474" s="227"/>
    </row>
    <row r="1475" spans="27:64" ht="12.95" customHeight="1">
      <c r="AA1475" s="227"/>
      <c r="AB1475" s="227"/>
      <c r="AC1475" s="227"/>
      <c r="AD1475" s="227"/>
      <c r="AE1475" s="227"/>
      <c r="AG1475" s="19"/>
      <c r="AN1475" s="227"/>
      <c r="AO1475" s="227"/>
      <c r="AP1475" s="227"/>
      <c r="AQ1475" s="227"/>
      <c r="AR1475" s="227"/>
      <c r="AS1475" s="227"/>
      <c r="AT1475" s="227"/>
      <c r="AU1475" s="227"/>
      <c r="AV1475" s="227"/>
    </row>
    <row r="1476" spans="27:64" ht="12.95" customHeight="1">
      <c r="AA1476" s="227"/>
      <c r="AB1476" s="227"/>
      <c r="AC1476" s="227"/>
      <c r="AD1476" s="227"/>
      <c r="AE1476" s="227"/>
      <c r="AG1476" s="19"/>
      <c r="AN1476" s="227"/>
      <c r="AO1476" s="227"/>
      <c r="AP1476" s="227"/>
      <c r="AQ1476" s="227"/>
      <c r="AR1476" s="227"/>
      <c r="AS1476" s="227"/>
      <c r="AT1476" s="227"/>
      <c r="AU1476" s="227"/>
    </row>
    <row r="1477" spans="27:64" ht="12.95" customHeight="1">
      <c r="AA1477" s="227"/>
      <c r="AB1477" s="227"/>
      <c r="AC1477" s="227"/>
      <c r="AD1477" s="227"/>
      <c r="AE1477" s="227"/>
      <c r="AG1477" s="19"/>
      <c r="AN1477" s="227"/>
      <c r="AO1477" s="227"/>
      <c r="AP1477" s="227"/>
      <c r="AQ1477" s="227"/>
      <c r="AR1477" s="227"/>
      <c r="AS1477" s="227"/>
      <c r="AT1477" s="227"/>
      <c r="AU1477" s="227"/>
    </row>
    <row r="1478" spans="27:64" ht="12.95" customHeight="1">
      <c r="AA1478" s="227"/>
      <c r="AB1478" s="227"/>
      <c r="AC1478" s="227"/>
      <c r="AD1478" s="227"/>
      <c r="AE1478" s="227"/>
      <c r="AG1478" s="19"/>
      <c r="AN1478" s="227"/>
      <c r="AO1478" s="227"/>
      <c r="AP1478" s="227"/>
      <c r="AQ1478" s="227"/>
      <c r="AR1478" s="227"/>
      <c r="AS1478" s="227"/>
      <c r="AT1478" s="227"/>
      <c r="AU1478" s="227"/>
      <c r="AV1478" s="227"/>
    </row>
    <row r="1479" spans="27:64" ht="12.95" customHeight="1">
      <c r="AA1479" s="227"/>
      <c r="AB1479" s="227"/>
      <c r="AC1479" s="227"/>
      <c r="AD1479" s="227"/>
      <c r="AE1479" s="227"/>
      <c r="AG1479" s="19"/>
      <c r="AN1479" s="227"/>
      <c r="AO1479" s="227"/>
      <c r="AP1479" s="227"/>
      <c r="AQ1479" s="227"/>
      <c r="AR1479" s="227"/>
      <c r="AS1479" s="227"/>
      <c r="AT1479" s="227"/>
      <c r="AU1479" s="227"/>
      <c r="AV1479" s="227"/>
      <c r="AW1479" s="227"/>
      <c r="AX1479" s="227"/>
      <c r="AY1479" s="227"/>
      <c r="AZ1479" s="227"/>
      <c r="BA1479" s="227"/>
      <c r="BB1479" s="227"/>
      <c r="BC1479" s="227"/>
      <c r="BD1479" s="227"/>
      <c r="BE1479" s="227"/>
      <c r="BF1479" s="227"/>
      <c r="BG1479" s="227"/>
      <c r="BH1479" s="227"/>
      <c r="BI1479" s="227"/>
      <c r="BJ1479" s="227"/>
      <c r="BK1479" s="227"/>
      <c r="BL1479" s="227"/>
    </row>
    <row r="1480" spans="27:64" ht="12.95" customHeight="1">
      <c r="AA1480" s="227"/>
      <c r="AB1480" s="227"/>
      <c r="AC1480" s="227"/>
      <c r="AD1480" s="227"/>
      <c r="AE1480" s="227"/>
      <c r="AG1480" s="19"/>
      <c r="AN1480" s="227"/>
      <c r="AO1480" s="227"/>
      <c r="AP1480" s="227"/>
      <c r="AQ1480" s="227"/>
      <c r="AR1480" s="227"/>
      <c r="AS1480" s="227"/>
      <c r="AT1480" s="227"/>
      <c r="AU1480" s="227"/>
      <c r="AV1480" s="227"/>
      <c r="AW1480" s="227"/>
      <c r="AX1480" s="227"/>
      <c r="AY1480" s="227"/>
      <c r="AZ1480" s="227"/>
      <c r="BA1480" s="227"/>
      <c r="BB1480" s="227"/>
      <c r="BC1480" s="227"/>
      <c r="BD1480" s="227"/>
      <c r="BE1480" s="227"/>
      <c r="BF1480" s="227"/>
      <c r="BG1480" s="227"/>
      <c r="BH1480" s="227"/>
      <c r="BI1480" s="227"/>
      <c r="BJ1480" s="227"/>
      <c r="BK1480" s="227"/>
      <c r="BL1480" s="227"/>
    </row>
    <row r="1481" spans="27:64" ht="12.95" customHeight="1">
      <c r="AA1481" s="227"/>
      <c r="AB1481" s="227"/>
      <c r="AC1481" s="227"/>
      <c r="AD1481" s="227"/>
      <c r="AE1481" s="227"/>
      <c r="AG1481" s="19"/>
      <c r="AN1481" s="227"/>
      <c r="AO1481" s="227"/>
      <c r="AP1481" s="227"/>
      <c r="AQ1481" s="227"/>
      <c r="AR1481" s="227"/>
      <c r="AS1481" s="227"/>
      <c r="AT1481" s="227"/>
      <c r="AU1481" s="227"/>
    </row>
    <row r="1482" spans="27:64" ht="12.95" customHeight="1">
      <c r="AA1482" s="227"/>
      <c r="AB1482" s="227"/>
      <c r="AC1482" s="227"/>
      <c r="AD1482" s="227"/>
      <c r="AE1482" s="227"/>
      <c r="AG1482" s="19"/>
      <c r="AN1482" s="227"/>
      <c r="AO1482" s="227"/>
      <c r="AP1482" s="227"/>
      <c r="AQ1482" s="227"/>
      <c r="AR1482" s="227"/>
      <c r="AS1482" s="227"/>
      <c r="AT1482" s="227"/>
      <c r="AU1482" s="227"/>
      <c r="AV1482" s="227"/>
      <c r="AX1482" s="227"/>
    </row>
    <row r="1483" spans="27:64" ht="12.95" customHeight="1">
      <c r="AA1483" s="227"/>
      <c r="AB1483" s="227"/>
      <c r="AC1483" s="227"/>
      <c r="AD1483" s="227"/>
      <c r="AE1483" s="227"/>
      <c r="AG1483" s="19"/>
      <c r="AN1483" s="227"/>
      <c r="AO1483" s="227"/>
      <c r="AP1483" s="227"/>
      <c r="AQ1483" s="227"/>
      <c r="AR1483" s="227"/>
      <c r="AS1483" s="227"/>
      <c r="AT1483" s="227"/>
      <c r="AU1483" s="227"/>
      <c r="AV1483" s="227"/>
    </row>
    <row r="1484" spans="27:64" ht="12.95" customHeight="1">
      <c r="AA1484" s="227"/>
      <c r="AB1484" s="227"/>
      <c r="AC1484" s="227"/>
      <c r="AD1484" s="227"/>
      <c r="AE1484" s="227"/>
      <c r="AG1484" s="19"/>
      <c r="AN1484" s="227"/>
      <c r="AO1484" s="227"/>
      <c r="AP1484" s="227"/>
      <c r="AQ1484" s="227"/>
      <c r="AR1484" s="227"/>
      <c r="AS1484" s="227"/>
      <c r="AT1484" s="227"/>
      <c r="AU1484" s="227"/>
    </row>
    <row r="1485" spans="27:64" ht="12.95" customHeight="1">
      <c r="AA1485" s="227"/>
      <c r="AB1485" s="227"/>
      <c r="AC1485" s="227"/>
      <c r="AD1485" s="227"/>
      <c r="AE1485" s="227"/>
      <c r="AG1485" s="19"/>
      <c r="AN1485" s="227"/>
      <c r="AO1485" s="227"/>
      <c r="AP1485" s="227"/>
      <c r="AQ1485" s="227"/>
      <c r="AR1485" s="227"/>
      <c r="AS1485" s="227"/>
      <c r="AT1485" s="227"/>
      <c r="AU1485" s="227"/>
    </row>
    <row r="1486" spans="27:64" ht="12.95" customHeight="1">
      <c r="AA1486" s="227"/>
      <c r="AB1486" s="227"/>
      <c r="AC1486" s="227"/>
      <c r="AD1486" s="227"/>
      <c r="AE1486" s="227"/>
      <c r="AG1486" s="19"/>
      <c r="AN1486" s="227"/>
      <c r="AO1486" s="227"/>
      <c r="AP1486" s="227"/>
      <c r="AQ1486" s="227"/>
      <c r="AR1486" s="227"/>
      <c r="AS1486" s="227"/>
      <c r="AT1486" s="227"/>
      <c r="AU1486" s="227"/>
    </row>
    <row r="1487" spans="27:64" ht="12.95" customHeight="1">
      <c r="AA1487" s="227"/>
      <c r="AB1487" s="227"/>
      <c r="AC1487" s="227"/>
      <c r="AD1487" s="227"/>
      <c r="AE1487" s="227"/>
      <c r="AG1487" s="19"/>
      <c r="AN1487" s="227"/>
      <c r="AO1487" s="227"/>
      <c r="AP1487" s="227"/>
      <c r="AQ1487" s="227"/>
      <c r="AR1487" s="227"/>
      <c r="AS1487" s="227"/>
      <c r="AT1487" s="227"/>
      <c r="AU1487" s="227"/>
    </row>
    <row r="1488" spans="27:64" ht="12.95" customHeight="1">
      <c r="AA1488" s="227"/>
      <c r="AB1488" s="227"/>
      <c r="AC1488" s="227"/>
      <c r="AD1488" s="227"/>
      <c r="AE1488" s="227"/>
      <c r="AG1488" s="19"/>
      <c r="AN1488" s="227"/>
      <c r="AO1488" s="227"/>
      <c r="AP1488" s="227"/>
      <c r="AQ1488" s="227"/>
      <c r="AR1488" s="227"/>
      <c r="AS1488" s="227"/>
      <c r="AT1488" s="227"/>
      <c r="AU1488" s="227"/>
      <c r="AV1488" s="227"/>
      <c r="AW1488" s="227"/>
      <c r="AX1488" s="227"/>
      <c r="AY1488" s="227"/>
      <c r="AZ1488" s="227"/>
      <c r="BA1488" s="227"/>
      <c r="BB1488" s="227"/>
      <c r="BC1488" s="227"/>
      <c r="BD1488" s="227"/>
      <c r="BE1488" s="227"/>
      <c r="BF1488" s="227"/>
      <c r="BG1488" s="227"/>
      <c r="BH1488" s="227"/>
      <c r="BI1488" s="227"/>
      <c r="BJ1488" s="227"/>
      <c r="BK1488" s="227"/>
      <c r="BL1488" s="227"/>
    </row>
    <row r="1489" spans="27:64" ht="12.95" customHeight="1">
      <c r="AA1489" s="227"/>
      <c r="AB1489" s="227"/>
      <c r="AC1489" s="227"/>
      <c r="AD1489" s="227"/>
      <c r="AE1489" s="227"/>
      <c r="AG1489" s="19"/>
      <c r="AN1489" s="227"/>
      <c r="AO1489" s="227"/>
      <c r="AP1489" s="227"/>
      <c r="AQ1489" s="227"/>
      <c r="AR1489" s="227"/>
      <c r="AS1489" s="227"/>
      <c r="AT1489" s="227"/>
      <c r="AU1489" s="227"/>
    </row>
    <row r="1490" spans="27:64" ht="12.95" customHeight="1">
      <c r="AA1490" s="227"/>
      <c r="AB1490" s="227"/>
      <c r="AC1490" s="227"/>
      <c r="AD1490" s="227"/>
      <c r="AE1490" s="227"/>
      <c r="AG1490" s="19"/>
      <c r="AN1490" s="227"/>
      <c r="AO1490" s="227"/>
      <c r="AP1490" s="227"/>
      <c r="AQ1490" s="227"/>
      <c r="AR1490" s="227"/>
      <c r="AS1490" s="227"/>
      <c r="AT1490" s="227"/>
      <c r="AU1490" s="227"/>
      <c r="AV1490" s="227"/>
      <c r="AW1490" s="227"/>
      <c r="AX1490" s="227"/>
      <c r="AY1490" s="227"/>
      <c r="AZ1490" s="227"/>
      <c r="BA1490" s="227"/>
      <c r="BB1490" s="227"/>
      <c r="BC1490" s="227"/>
      <c r="BD1490" s="227"/>
      <c r="BE1490" s="227"/>
      <c r="BF1490" s="227"/>
      <c r="BG1490" s="227"/>
      <c r="BH1490" s="227"/>
      <c r="BI1490" s="227"/>
      <c r="BJ1490" s="227"/>
      <c r="BK1490" s="227"/>
      <c r="BL1490" s="227"/>
    </row>
    <row r="1491" spans="27:64" ht="12.95" customHeight="1">
      <c r="AA1491" s="227"/>
      <c r="AB1491" s="227"/>
      <c r="AC1491" s="227"/>
      <c r="AD1491" s="227"/>
      <c r="AE1491" s="227"/>
      <c r="AG1491" s="19"/>
      <c r="AN1491" s="227"/>
      <c r="AO1491" s="227"/>
      <c r="AP1491" s="227"/>
      <c r="AQ1491" s="227"/>
      <c r="AR1491" s="227"/>
      <c r="AS1491" s="227"/>
      <c r="AT1491" s="227"/>
      <c r="AU1491" s="227"/>
      <c r="AV1491" s="227"/>
      <c r="AX1491" s="227"/>
    </row>
    <row r="1492" spans="27:64" ht="12.95" customHeight="1">
      <c r="AA1492" s="227"/>
      <c r="AB1492" s="227"/>
      <c r="AC1492" s="227"/>
      <c r="AD1492" s="227"/>
      <c r="AE1492" s="227"/>
      <c r="AG1492" s="19"/>
      <c r="AN1492" s="227"/>
      <c r="AO1492" s="227"/>
      <c r="AP1492" s="227"/>
      <c r="AQ1492" s="227"/>
      <c r="AR1492" s="227"/>
      <c r="AS1492" s="227"/>
      <c r="AT1492" s="227"/>
      <c r="AU1492" s="227"/>
      <c r="AV1492" s="227"/>
    </row>
    <row r="1493" spans="27:64" ht="12.95" customHeight="1">
      <c r="AA1493" s="227"/>
      <c r="AB1493" s="227"/>
      <c r="AC1493" s="227"/>
      <c r="AD1493" s="227"/>
      <c r="AE1493" s="227"/>
      <c r="AG1493" s="19"/>
      <c r="AN1493" s="227"/>
      <c r="AO1493" s="227"/>
      <c r="AP1493" s="227"/>
      <c r="AQ1493" s="227"/>
      <c r="AR1493" s="227"/>
      <c r="AS1493" s="227"/>
      <c r="AT1493" s="227"/>
      <c r="AU1493" s="227"/>
      <c r="AV1493" s="227"/>
    </row>
    <row r="1494" spans="27:64" ht="12.95" customHeight="1">
      <c r="AA1494" s="227"/>
      <c r="AB1494" s="227"/>
      <c r="AC1494" s="227"/>
      <c r="AD1494" s="227"/>
      <c r="AE1494" s="227"/>
      <c r="AG1494" s="19"/>
      <c r="AN1494" s="227"/>
      <c r="AO1494" s="227"/>
      <c r="AP1494" s="227"/>
      <c r="AQ1494" s="227"/>
      <c r="AR1494" s="227"/>
      <c r="AS1494" s="227"/>
      <c r="AT1494" s="227"/>
      <c r="AU1494" s="227"/>
      <c r="AV1494" s="227"/>
      <c r="AX1494" s="227"/>
    </row>
    <row r="1495" spans="27:64" ht="12.95" customHeight="1">
      <c r="AA1495" s="227"/>
      <c r="AB1495" s="227"/>
      <c r="AC1495" s="227"/>
      <c r="AD1495" s="227"/>
      <c r="AE1495" s="227"/>
      <c r="AG1495" s="19"/>
      <c r="AN1495" s="227"/>
      <c r="AO1495" s="227"/>
      <c r="AP1495" s="227"/>
      <c r="AQ1495" s="227"/>
      <c r="AR1495" s="227"/>
      <c r="AS1495" s="227"/>
      <c r="AT1495" s="227"/>
      <c r="AU1495" s="227"/>
      <c r="AV1495" s="227"/>
      <c r="AW1495" s="227"/>
      <c r="AX1495" s="227"/>
      <c r="AY1495" s="227"/>
      <c r="AZ1495" s="227"/>
      <c r="BA1495" s="227"/>
      <c r="BB1495" s="227"/>
      <c r="BC1495" s="227"/>
      <c r="BD1495" s="227"/>
      <c r="BE1495" s="227"/>
      <c r="BF1495" s="227"/>
      <c r="BG1495" s="227"/>
      <c r="BH1495" s="227"/>
      <c r="BI1495" s="227"/>
      <c r="BJ1495" s="227"/>
      <c r="BK1495" s="227"/>
      <c r="BL1495" s="227"/>
    </row>
    <row r="1496" spans="27:64" ht="12.95" customHeight="1">
      <c r="AA1496" s="227"/>
      <c r="AB1496" s="227"/>
      <c r="AC1496" s="227"/>
      <c r="AD1496" s="227"/>
      <c r="AE1496" s="227"/>
      <c r="AG1496" s="19"/>
      <c r="AN1496" s="227"/>
      <c r="AO1496" s="227"/>
      <c r="AP1496" s="227"/>
      <c r="AQ1496" s="227"/>
      <c r="AR1496" s="227"/>
      <c r="AS1496" s="227"/>
      <c r="AT1496" s="227"/>
      <c r="AU1496" s="227"/>
      <c r="AV1496" s="227"/>
    </row>
    <row r="1497" spans="27:64" ht="12.95" customHeight="1">
      <c r="AA1497" s="227"/>
      <c r="AB1497" s="227"/>
      <c r="AC1497" s="227"/>
      <c r="AD1497" s="227"/>
      <c r="AE1497" s="227"/>
      <c r="AG1497" s="19"/>
      <c r="AN1497" s="227"/>
      <c r="AO1497" s="227"/>
      <c r="AP1497" s="227"/>
      <c r="AQ1497" s="227"/>
      <c r="AR1497" s="227"/>
      <c r="AS1497" s="227"/>
      <c r="AT1497" s="227"/>
      <c r="AU1497" s="227"/>
      <c r="AV1497" s="227"/>
      <c r="AX1497" s="227"/>
    </row>
    <row r="1498" spans="27:64" ht="12.95" customHeight="1">
      <c r="AA1498" s="227"/>
      <c r="AB1498" s="227"/>
      <c r="AC1498" s="227"/>
      <c r="AD1498" s="227"/>
      <c r="AE1498" s="227"/>
      <c r="AG1498" s="19"/>
      <c r="AN1498" s="227"/>
      <c r="AO1498" s="227"/>
      <c r="AP1498" s="227"/>
      <c r="AQ1498" s="227"/>
      <c r="AR1498" s="227"/>
      <c r="AS1498" s="227"/>
      <c r="AT1498" s="227"/>
      <c r="AU1498" s="227"/>
      <c r="AV1498" s="227"/>
      <c r="AW1498" s="227"/>
      <c r="AX1498" s="227"/>
      <c r="AY1498" s="227"/>
      <c r="AZ1498" s="227"/>
      <c r="BA1498" s="227"/>
      <c r="BB1498" s="227"/>
      <c r="BC1498" s="227"/>
      <c r="BD1498" s="227"/>
      <c r="BE1498" s="227"/>
      <c r="BF1498" s="227"/>
      <c r="BG1498" s="227"/>
      <c r="BH1498" s="227"/>
      <c r="BI1498" s="227"/>
      <c r="BJ1498" s="227"/>
      <c r="BK1498" s="227"/>
      <c r="BL1498" s="227"/>
    </row>
    <row r="1499" spans="27:64" ht="12.95" customHeight="1">
      <c r="AA1499" s="227"/>
      <c r="AB1499" s="227"/>
      <c r="AC1499" s="227"/>
      <c r="AD1499" s="227"/>
      <c r="AE1499" s="227"/>
      <c r="AG1499" s="19"/>
      <c r="AN1499" s="227"/>
      <c r="AO1499" s="227"/>
      <c r="AP1499" s="227"/>
      <c r="AQ1499" s="227"/>
      <c r="AR1499" s="227"/>
      <c r="AS1499" s="227"/>
      <c r="AT1499" s="227"/>
      <c r="AU1499" s="227"/>
      <c r="AV1499" s="227"/>
    </row>
    <row r="1500" spans="27:64" ht="12.95" customHeight="1">
      <c r="AA1500" s="227"/>
      <c r="AB1500" s="227"/>
      <c r="AC1500" s="227"/>
      <c r="AD1500" s="227"/>
      <c r="AE1500" s="227"/>
      <c r="AG1500" s="19"/>
      <c r="AN1500" s="227"/>
      <c r="AO1500" s="227"/>
      <c r="AP1500" s="227"/>
      <c r="AQ1500" s="227"/>
      <c r="AR1500" s="227"/>
      <c r="AS1500" s="227"/>
      <c r="AT1500" s="227"/>
      <c r="AU1500" s="227"/>
      <c r="AV1500" s="227"/>
    </row>
    <row r="1501" spans="27:64" ht="12.95" customHeight="1">
      <c r="AA1501" s="227"/>
      <c r="AB1501" s="227"/>
      <c r="AC1501" s="227"/>
      <c r="AD1501" s="227"/>
      <c r="AE1501" s="227"/>
      <c r="AG1501" s="19"/>
      <c r="AN1501" s="227"/>
      <c r="AO1501" s="227"/>
      <c r="AP1501" s="227"/>
      <c r="AQ1501" s="227"/>
      <c r="AR1501" s="227"/>
      <c r="AS1501" s="227"/>
      <c r="AT1501" s="227"/>
      <c r="AU1501" s="227"/>
      <c r="AV1501" s="227"/>
      <c r="AX1501" s="227"/>
      <c r="AY1501" s="227"/>
      <c r="AZ1501" s="227"/>
      <c r="BA1501" s="227"/>
      <c r="BB1501" s="227"/>
      <c r="BC1501" s="227"/>
      <c r="BD1501" s="227"/>
      <c r="BE1501" s="227"/>
      <c r="BF1501" s="227"/>
      <c r="BG1501" s="227"/>
      <c r="BH1501" s="227"/>
      <c r="BI1501" s="227"/>
      <c r="BJ1501" s="227"/>
      <c r="BK1501" s="227"/>
      <c r="BL1501" s="227"/>
    </row>
    <row r="1502" spans="27:64" ht="12.95" customHeight="1">
      <c r="AA1502" s="227"/>
      <c r="AB1502" s="227"/>
      <c r="AC1502" s="227"/>
      <c r="AD1502" s="227"/>
      <c r="AE1502" s="227"/>
      <c r="AG1502" s="19"/>
      <c r="AN1502" s="227"/>
      <c r="AO1502" s="227"/>
      <c r="AP1502" s="227"/>
      <c r="AQ1502" s="227"/>
      <c r="AR1502" s="227"/>
      <c r="AS1502" s="227"/>
      <c r="AT1502" s="227"/>
      <c r="AU1502" s="227"/>
      <c r="AV1502" s="227"/>
    </row>
    <row r="1503" spans="27:64" ht="12.95" customHeight="1">
      <c r="AA1503" s="227"/>
      <c r="AB1503" s="227"/>
      <c r="AC1503" s="227"/>
      <c r="AD1503" s="227"/>
      <c r="AE1503" s="227"/>
      <c r="AG1503" s="19"/>
      <c r="AN1503" s="227"/>
      <c r="AO1503" s="227"/>
      <c r="AP1503" s="227"/>
      <c r="AQ1503" s="227"/>
      <c r="AR1503" s="227"/>
      <c r="AS1503" s="227"/>
      <c r="AT1503" s="227"/>
      <c r="AU1503" s="227"/>
      <c r="AV1503" s="227"/>
      <c r="AX1503" s="227"/>
      <c r="AY1503" s="227"/>
      <c r="AZ1503" s="227"/>
      <c r="BA1503" s="227"/>
      <c r="BB1503" s="227"/>
      <c r="BC1503" s="227"/>
      <c r="BD1503" s="227"/>
      <c r="BE1503" s="227"/>
      <c r="BF1503" s="227"/>
      <c r="BG1503" s="227"/>
      <c r="BH1503" s="227"/>
      <c r="BI1503" s="227"/>
      <c r="BJ1503" s="227"/>
      <c r="BK1503" s="227"/>
      <c r="BL1503" s="227"/>
    </row>
    <row r="1504" spans="27:64" ht="12.95" customHeight="1">
      <c r="AA1504" s="227"/>
      <c r="AB1504" s="227"/>
      <c r="AC1504" s="227"/>
      <c r="AD1504" s="227"/>
      <c r="AE1504" s="227"/>
      <c r="AG1504" s="19"/>
      <c r="AN1504" s="227"/>
      <c r="AO1504" s="227"/>
      <c r="AP1504" s="227"/>
      <c r="AQ1504" s="227"/>
      <c r="AR1504" s="227"/>
      <c r="AS1504" s="227"/>
      <c r="AT1504" s="227"/>
      <c r="AU1504" s="227"/>
    </row>
    <row r="1505" spans="27:64" ht="12.95" customHeight="1">
      <c r="AA1505" s="227"/>
      <c r="AB1505" s="227"/>
      <c r="AC1505" s="227"/>
      <c r="AD1505" s="227"/>
      <c r="AE1505" s="227"/>
      <c r="AG1505" s="19"/>
      <c r="AN1505" s="227"/>
      <c r="AO1505" s="227"/>
      <c r="AP1505" s="227"/>
      <c r="AQ1505" s="227"/>
      <c r="AR1505" s="227"/>
      <c r="AS1505" s="227"/>
      <c r="AT1505" s="227"/>
      <c r="AU1505" s="227"/>
      <c r="AV1505" s="227"/>
      <c r="AX1505" s="227"/>
    </row>
    <row r="1506" spans="27:64" ht="12.95" customHeight="1">
      <c r="AA1506" s="227"/>
      <c r="AB1506" s="227"/>
      <c r="AC1506" s="227"/>
      <c r="AD1506" s="227"/>
      <c r="AE1506" s="227"/>
      <c r="AG1506" s="19"/>
      <c r="AN1506" s="227"/>
      <c r="AO1506" s="227"/>
      <c r="AP1506" s="227"/>
      <c r="AQ1506" s="227"/>
      <c r="AR1506" s="227"/>
      <c r="AS1506" s="227"/>
      <c r="AT1506" s="227"/>
      <c r="AU1506" s="227"/>
    </row>
    <row r="1507" spans="27:64" ht="12.95" customHeight="1">
      <c r="AA1507" s="227"/>
      <c r="AB1507" s="227"/>
      <c r="AC1507" s="227"/>
      <c r="AD1507" s="227"/>
      <c r="AE1507" s="227"/>
      <c r="AG1507" s="19"/>
      <c r="AN1507" s="227"/>
      <c r="AO1507" s="227"/>
      <c r="AP1507" s="227"/>
      <c r="AQ1507" s="227"/>
      <c r="AR1507" s="227"/>
      <c r="AS1507" s="227"/>
      <c r="AT1507" s="227"/>
      <c r="AU1507" s="227"/>
      <c r="AV1507" s="227"/>
    </row>
    <row r="1508" spans="27:64" ht="12.95" customHeight="1">
      <c r="AA1508" s="227"/>
      <c r="AB1508" s="227"/>
      <c r="AC1508" s="227"/>
      <c r="AD1508" s="227"/>
      <c r="AE1508" s="227"/>
      <c r="AG1508" s="19"/>
      <c r="AN1508" s="227"/>
      <c r="AO1508" s="227"/>
      <c r="AP1508" s="227"/>
      <c r="AQ1508" s="227"/>
      <c r="AR1508" s="227"/>
      <c r="AS1508" s="227"/>
      <c r="AT1508" s="227"/>
      <c r="AU1508" s="227"/>
      <c r="AV1508" s="227"/>
      <c r="AW1508" s="227"/>
      <c r="AX1508" s="227"/>
      <c r="AY1508" s="227"/>
      <c r="AZ1508" s="227"/>
      <c r="BA1508" s="227"/>
      <c r="BB1508" s="227"/>
      <c r="BC1508" s="227"/>
      <c r="BD1508" s="227"/>
      <c r="BE1508" s="227"/>
      <c r="BF1508" s="227"/>
      <c r="BG1508" s="227"/>
      <c r="BH1508" s="227"/>
      <c r="BI1508" s="227"/>
      <c r="BJ1508" s="227"/>
      <c r="BK1508" s="227"/>
      <c r="BL1508" s="227"/>
    </row>
    <row r="1509" spans="27:64" ht="12.95" customHeight="1">
      <c r="AA1509" s="227"/>
      <c r="AB1509" s="227"/>
      <c r="AC1509" s="227"/>
      <c r="AD1509" s="227"/>
      <c r="AE1509" s="227"/>
      <c r="AG1509" s="19"/>
      <c r="AN1509" s="227"/>
      <c r="AO1509" s="227"/>
      <c r="AP1509" s="227"/>
      <c r="AQ1509" s="227"/>
      <c r="AR1509" s="227"/>
      <c r="AS1509" s="227"/>
      <c r="AT1509" s="227"/>
      <c r="AU1509" s="227"/>
    </row>
    <row r="1510" spans="27:64" ht="12.95" customHeight="1">
      <c r="AA1510" s="227"/>
      <c r="AB1510" s="227"/>
      <c r="AC1510" s="227"/>
      <c r="AD1510" s="227"/>
      <c r="AE1510" s="227"/>
      <c r="AG1510" s="19"/>
      <c r="AN1510" s="227"/>
      <c r="AO1510" s="227"/>
      <c r="AP1510" s="227"/>
      <c r="AQ1510" s="227"/>
      <c r="AR1510" s="227"/>
      <c r="AS1510" s="227"/>
      <c r="AT1510" s="227"/>
      <c r="AU1510" s="227"/>
      <c r="AV1510" s="227"/>
      <c r="AX1510" s="227"/>
    </row>
    <row r="1511" spans="27:64" ht="12.95" customHeight="1">
      <c r="AA1511" s="227"/>
      <c r="AB1511" s="227"/>
      <c r="AC1511" s="227"/>
      <c r="AD1511" s="227"/>
      <c r="AE1511" s="227"/>
      <c r="AG1511" s="19"/>
      <c r="AN1511" s="227"/>
      <c r="AO1511" s="227"/>
      <c r="AP1511" s="227"/>
      <c r="AQ1511" s="227"/>
      <c r="AR1511" s="227"/>
      <c r="AS1511" s="227"/>
      <c r="AT1511" s="227"/>
      <c r="AU1511" s="227"/>
      <c r="AV1511" s="227"/>
      <c r="AW1511" s="227"/>
      <c r="AX1511" s="227"/>
      <c r="AY1511" s="227"/>
      <c r="AZ1511" s="227"/>
      <c r="BA1511" s="227"/>
      <c r="BB1511" s="227"/>
      <c r="BC1511" s="227"/>
      <c r="BD1511" s="227"/>
      <c r="BE1511" s="227"/>
      <c r="BF1511" s="227"/>
      <c r="BG1511" s="227"/>
      <c r="BH1511" s="227"/>
      <c r="BI1511" s="227"/>
      <c r="BJ1511" s="227"/>
      <c r="BK1511" s="227"/>
      <c r="BL1511" s="227"/>
    </row>
    <row r="1512" spans="27:64" ht="12.95" customHeight="1">
      <c r="AA1512" s="227"/>
      <c r="AB1512" s="227"/>
      <c r="AC1512" s="227"/>
      <c r="AD1512" s="227"/>
      <c r="AE1512" s="227"/>
      <c r="AG1512" s="19"/>
      <c r="AN1512" s="227"/>
      <c r="AO1512" s="227"/>
      <c r="AP1512" s="227"/>
      <c r="AQ1512" s="227"/>
      <c r="AR1512" s="227"/>
      <c r="AS1512" s="227"/>
      <c r="AT1512" s="227"/>
      <c r="AU1512" s="227"/>
      <c r="AV1512" s="227"/>
      <c r="AW1512" s="227"/>
      <c r="AX1512" s="227"/>
      <c r="AY1512" s="227"/>
      <c r="AZ1512" s="227"/>
      <c r="BA1512" s="227"/>
      <c r="BB1512" s="227"/>
      <c r="BC1512" s="227"/>
      <c r="BD1512" s="227"/>
      <c r="BE1512" s="227"/>
      <c r="BF1512" s="227"/>
      <c r="BG1512" s="227"/>
      <c r="BH1512" s="227"/>
      <c r="BI1512" s="227"/>
      <c r="BJ1512" s="227"/>
      <c r="BK1512" s="227"/>
      <c r="BL1512" s="227"/>
    </row>
    <row r="1513" spans="27:64" ht="12.95" customHeight="1">
      <c r="AA1513" s="227"/>
      <c r="AB1513" s="227"/>
      <c r="AC1513" s="227"/>
      <c r="AD1513" s="227"/>
      <c r="AE1513" s="227"/>
      <c r="AG1513" s="19"/>
      <c r="AN1513" s="227"/>
      <c r="AO1513" s="227"/>
      <c r="AP1513" s="227"/>
      <c r="AQ1513" s="227"/>
      <c r="AR1513" s="227"/>
      <c r="AS1513" s="227"/>
      <c r="AT1513" s="227"/>
      <c r="AU1513" s="227"/>
      <c r="AV1513" s="227"/>
      <c r="AW1513" s="227"/>
      <c r="AX1513" s="227"/>
      <c r="AY1513" s="227"/>
      <c r="AZ1513" s="227"/>
      <c r="BA1513" s="227"/>
      <c r="BB1513" s="227"/>
      <c r="BC1513" s="227"/>
      <c r="BD1513" s="227"/>
      <c r="BE1513" s="227"/>
      <c r="BF1513" s="227"/>
      <c r="BG1513" s="227"/>
      <c r="BH1513" s="227"/>
      <c r="BI1513" s="227"/>
      <c r="BJ1513" s="227"/>
      <c r="BK1513" s="227"/>
      <c r="BL1513" s="227"/>
    </row>
    <row r="1514" spans="27:64" ht="12.95" customHeight="1">
      <c r="AA1514" s="227"/>
      <c r="AB1514" s="227"/>
      <c r="AC1514" s="227"/>
      <c r="AD1514" s="227"/>
      <c r="AE1514" s="227"/>
      <c r="AG1514" s="19"/>
      <c r="AN1514" s="227"/>
      <c r="AO1514" s="227"/>
      <c r="AP1514" s="227"/>
      <c r="AQ1514" s="227"/>
      <c r="AR1514" s="227"/>
      <c r="AS1514" s="227"/>
      <c r="AT1514" s="227"/>
      <c r="AU1514" s="227"/>
      <c r="AV1514" s="227"/>
    </row>
    <row r="1515" spans="27:64" ht="12.95" customHeight="1">
      <c r="AA1515" s="227"/>
      <c r="AB1515" s="227"/>
      <c r="AC1515" s="227"/>
      <c r="AD1515" s="227"/>
      <c r="AE1515" s="227"/>
      <c r="AG1515" s="19"/>
      <c r="AN1515" s="227"/>
      <c r="AO1515" s="227"/>
      <c r="AP1515" s="227"/>
      <c r="AQ1515" s="227"/>
      <c r="AR1515" s="227"/>
      <c r="AS1515" s="227"/>
      <c r="AT1515" s="227"/>
      <c r="AU1515" s="227"/>
      <c r="AV1515" s="227"/>
    </row>
    <row r="1516" spans="27:64" ht="12.95" customHeight="1">
      <c r="AA1516" s="227"/>
      <c r="AB1516" s="227"/>
      <c r="AC1516" s="227"/>
      <c r="AD1516" s="227"/>
      <c r="AE1516" s="227"/>
      <c r="AG1516" s="19"/>
      <c r="AN1516" s="227"/>
      <c r="AO1516" s="227"/>
      <c r="AP1516" s="227"/>
      <c r="AQ1516" s="227"/>
      <c r="AR1516" s="227"/>
      <c r="AS1516" s="227"/>
      <c r="AT1516" s="227"/>
      <c r="AU1516" s="227"/>
      <c r="AV1516" s="227"/>
      <c r="AX1516" s="227"/>
      <c r="AY1516" s="227"/>
      <c r="AZ1516" s="227"/>
      <c r="BA1516" s="227"/>
      <c r="BB1516" s="227"/>
      <c r="BC1516" s="227"/>
      <c r="BD1516" s="227"/>
      <c r="BE1516" s="227"/>
      <c r="BF1516" s="227"/>
      <c r="BG1516" s="227"/>
      <c r="BH1516" s="227"/>
      <c r="BI1516" s="227"/>
      <c r="BJ1516" s="227"/>
      <c r="BK1516" s="227"/>
      <c r="BL1516" s="227"/>
    </row>
    <row r="1517" spans="27:64" ht="12.95" customHeight="1">
      <c r="AA1517" s="227"/>
      <c r="AB1517" s="227"/>
      <c r="AC1517" s="227"/>
      <c r="AD1517" s="227"/>
      <c r="AE1517" s="227"/>
      <c r="AG1517" s="19"/>
      <c r="AN1517" s="227"/>
      <c r="AO1517" s="227"/>
      <c r="AP1517" s="227"/>
      <c r="AQ1517" s="227"/>
      <c r="AR1517" s="227"/>
      <c r="AS1517" s="227"/>
      <c r="AT1517" s="227"/>
      <c r="AU1517" s="227"/>
      <c r="AV1517" s="227"/>
    </row>
    <row r="1518" spans="27:64" ht="12.95" customHeight="1">
      <c r="AA1518" s="227"/>
      <c r="AB1518" s="227"/>
      <c r="AC1518" s="227"/>
      <c r="AD1518" s="227"/>
      <c r="AE1518" s="227"/>
      <c r="AG1518" s="19"/>
      <c r="AN1518" s="227"/>
      <c r="AO1518" s="227"/>
      <c r="AP1518" s="227"/>
      <c r="AQ1518" s="227"/>
      <c r="AR1518" s="227"/>
      <c r="AS1518" s="227"/>
      <c r="AT1518" s="227"/>
      <c r="AU1518" s="227"/>
      <c r="AV1518" s="227"/>
      <c r="AX1518" s="227"/>
      <c r="AY1518" s="227"/>
      <c r="AZ1518" s="227"/>
      <c r="BA1518" s="227"/>
      <c r="BB1518" s="227"/>
      <c r="BC1518" s="227"/>
      <c r="BD1518" s="227"/>
      <c r="BE1518" s="227"/>
      <c r="BF1518" s="227"/>
      <c r="BG1518" s="227"/>
      <c r="BH1518" s="227"/>
      <c r="BI1518" s="227"/>
      <c r="BJ1518" s="227"/>
      <c r="BK1518" s="227"/>
      <c r="BL1518" s="227"/>
    </row>
    <row r="1519" spans="27:64" ht="12.95" customHeight="1">
      <c r="AA1519" s="227"/>
      <c r="AB1519" s="227"/>
      <c r="AC1519" s="227"/>
      <c r="AD1519" s="227"/>
      <c r="AE1519" s="227"/>
      <c r="AG1519" s="19"/>
      <c r="AN1519" s="227"/>
      <c r="AO1519" s="227"/>
      <c r="AP1519" s="227"/>
      <c r="AQ1519" s="227"/>
      <c r="AR1519" s="227"/>
      <c r="AS1519" s="227"/>
      <c r="AT1519" s="227"/>
      <c r="AU1519" s="227"/>
      <c r="AV1519" s="227"/>
    </row>
    <row r="1520" spans="27:64" ht="12.95" customHeight="1">
      <c r="AA1520" s="227"/>
      <c r="AB1520" s="227"/>
      <c r="AC1520" s="227"/>
      <c r="AD1520" s="227"/>
      <c r="AE1520" s="227"/>
      <c r="AG1520" s="19"/>
      <c r="AN1520" s="227"/>
      <c r="AO1520" s="227"/>
      <c r="AP1520" s="227"/>
      <c r="AQ1520" s="227"/>
      <c r="AR1520" s="227"/>
      <c r="AS1520" s="227"/>
      <c r="AT1520" s="227"/>
      <c r="AU1520" s="227"/>
      <c r="AV1520" s="227"/>
    </row>
    <row r="1521" spans="27:64" ht="12.95" customHeight="1">
      <c r="AA1521" s="227"/>
      <c r="AB1521" s="227"/>
      <c r="AC1521" s="227"/>
      <c r="AD1521" s="227"/>
      <c r="AE1521" s="227"/>
      <c r="AG1521" s="19"/>
      <c r="AN1521" s="227"/>
      <c r="AO1521" s="227"/>
      <c r="AP1521" s="227"/>
      <c r="AQ1521" s="227"/>
      <c r="AR1521" s="227"/>
      <c r="AS1521" s="227"/>
      <c r="AT1521" s="227"/>
      <c r="AU1521" s="227"/>
      <c r="AV1521" s="227"/>
      <c r="AX1521" s="227"/>
    </row>
    <row r="1522" spans="27:64" ht="12.95" customHeight="1">
      <c r="AA1522" s="227"/>
      <c r="AB1522" s="227"/>
      <c r="AC1522" s="227"/>
      <c r="AD1522" s="227"/>
      <c r="AE1522" s="227"/>
      <c r="AG1522" s="19"/>
      <c r="AN1522" s="227"/>
      <c r="AO1522" s="227"/>
      <c r="AP1522" s="227"/>
      <c r="AQ1522" s="227"/>
      <c r="AR1522" s="227"/>
      <c r="AS1522" s="227"/>
      <c r="AT1522" s="227"/>
      <c r="AU1522" s="227"/>
      <c r="AV1522" s="227"/>
    </row>
    <row r="1523" spans="27:64" ht="12.95" customHeight="1">
      <c r="AA1523" s="227"/>
      <c r="AB1523" s="227"/>
      <c r="AC1523" s="227"/>
      <c r="AD1523" s="227"/>
      <c r="AE1523" s="227"/>
      <c r="AG1523" s="19"/>
      <c r="AN1523" s="227"/>
      <c r="AO1523" s="227"/>
      <c r="AP1523" s="227"/>
      <c r="AQ1523" s="227"/>
      <c r="AR1523" s="227"/>
      <c r="AS1523" s="227"/>
      <c r="AT1523" s="227"/>
      <c r="AU1523" s="227"/>
      <c r="AV1523" s="227"/>
      <c r="AX1523" s="227"/>
    </row>
    <row r="1524" spans="27:64" ht="12.95" customHeight="1">
      <c r="AA1524" s="227"/>
      <c r="AB1524" s="227"/>
      <c r="AC1524" s="227"/>
      <c r="AD1524" s="227"/>
      <c r="AE1524" s="227"/>
      <c r="AG1524" s="19"/>
      <c r="AN1524" s="227"/>
      <c r="AO1524" s="227"/>
      <c r="AP1524" s="227"/>
      <c r="AQ1524" s="227"/>
      <c r="AR1524" s="227"/>
      <c r="AS1524" s="227"/>
      <c r="AT1524" s="227"/>
      <c r="AU1524" s="227"/>
      <c r="AV1524" s="227"/>
    </row>
    <row r="1525" spans="27:64" ht="12.95" customHeight="1">
      <c r="AA1525" s="227"/>
      <c r="AB1525" s="227"/>
      <c r="AC1525" s="227"/>
      <c r="AD1525" s="227"/>
      <c r="AE1525" s="227"/>
      <c r="AG1525" s="19"/>
      <c r="AN1525" s="227"/>
      <c r="AO1525" s="227"/>
      <c r="AP1525" s="227"/>
      <c r="AQ1525" s="227"/>
      <c r="AR1525" s="227"/>
      <c r="AS1525" s="227"/>
      <c r="AT1525" s="227"/>
      <c r="AU1525" s="227"/>
      <c r="AV1525" s="227"/>
    </row>
    <row r="1526" spans="27:64" ht="12.95" customHeight="1">
      <c r="AA1526" s="227"/>
      <c r="AB1526" s="227"/>
      <c r="AC1526" s="227"/>
      <c r="AD1526" s="227"/>
      <c r="AE1526" s="227"/>
      <c r="AG1526" s="19"/>
      <c r="AN1526" s="227"/>
      <c r="AO1526" s="227"/>
      <c r="AP1526" s="227"/>
      <c r="AQ1526" s="227"/>
      <c r="AR1526" s="227"/>
      <c r="AS1526" s="227"/>
      <c r="AT1526" s="227"/>
      <c r="AU1526" s="227"/>
      <c r="AV1526" s="227"/>
    </row>
    <row r="1527" spans="27:64" ht="12.95" customHeight="1">
      <c r="AA1527" s="227"/>
      <c r="AB1527" s="227"/>
      <c r="AC1527" s="227"/>
      <c r="AD1527" s="227"/>
      <c r="AE1527" s="227"/>
      <c r="AG1527" s="19"/>
      <c r="AN1527" s="227"/>
      <c r="AO1527" s="227"/>
      <c r="AP1527" s="227"/>
      <c r="AQ1527" s="227"/>
      <c r="AR1527" s="227"/>
      <c r="AS1527" s="227"/>
      <c r="AT1527" s="227"/>
      <c r="AU1527" s="227"/>
    </row>
    <row r="1528" spans="27:64" ht="12.95" customHeight="1">
      <c r="AA1528" s="227"/>
      <c r="AB1528" s="227"/>
      <c r="AC1528" s="227"/>
      <c r="AD1528" s="227"/>
      <c r="AE1528" s="227"/>
      <c r="AG1528" s="19"/>
      <c r="AN1528" s="227"/>
      <c r="AO1528" s="227"/>
      <c r="AP1528" s="227"/>
      <c r="AQ1528" s="227"/>
      <c r="AR1528" s="227"/>
      <c r="AS1528" s="227"/>
      <c r="AT1528" s="227"/>
      <c r="AU1528" s="227"/>
      <c r="AV1528" s="227"/>
    </row>
    <row r="1529" spans="27:64" ht="12.95" customHeight="1">
      <c r="AA1529" s="227"/>
      <c r="AB1529" s="227"/>
      <c r="AC1529" s="227"/>
      <c r="AD1529" s="227"/>
      <c r="AE1529" s="227"/>
      <c r="AG1529" s="19"/>
      <c r="AN1529" s="227"/>
      <c r="AO1529" s="227"/>
      <c r="AP1529" s="227"/>
      <c r="AQ1529" s="227"/>
      <c r="AR1529" s="227"/>
      <c r="AS1529" s="227"/>
      <c r="AT1529" s="227"/>
      <c r="AU1529" s="227"/>
      <c r="AV1529" s="227"/>
      <c r="AW1529" s="227"/>
      <c r="AX1529" s="227"/>
      <c r="AY1529" s="227"/>
      <c r="AZ1529" s="227"/>
      <c r="BA1529" s="227"/>
      <c r="BB1529" s="227"/>
      <c r="BC1529" s="227"/>
      <c r="BD1529" s="227"/>
      <c r="BE1529" s="227"/>
      <c r="BF1529" s="227"/>
      <c r="BG1529" s="227"/>
      <c r="BH1529" s="227"/>
      <c r="BI1529" s="227"/>
      <c r="BJ1529" s="227"/>
      <c r="BK1529" s="227"/>
      <c r="BL1529" s="227"/>
    </row>
    <row r="1530" spans="27:64" ht="12.95" customHeight="1">
      <c r="AA1530" s="227"/>
      <c r="AB1530" s="227"/>
      <c r="AC1530" s="227"/>
      <c r="AD1530" s="227"/>
      <c r="AE1530" s="227"/>
      <c r="AG1530" s="19"/>
      <c r="AN1530" s="227"/>
      <c r="AO1530" s="227"/>
      <c r="AP1530" s="227"/>
      <c r="AQ1530" s="227"/>
      <c r="AR1530" s="227"/>
      <c r="AS1530" s="227"/>
      <c r="AT1530" s="227"/>
      <c r="AU1530" s="227"/>
    </row>
    <row r="1531" spans="27:64" ht="12.95" customHeight="1">
      <c r="AA1531" s="227"/>
      <c r="AB1531" s="227"/>
      <c r="AC1531" s="227"/>
      <c r="AD1531" s="227"/>
      <c r="AE1531" s="227"/>
      <c r="AG1531" s="19"/>
      <c r="AN1531" s="227"/>
      <c r="AO1531" s="227"/>
      <c r="AP1531" s="227"/>
      <c r="AQ1531" s="227"/>
      <c r="AR1531" s="227"/>
      <c r="AS1531" s="227"/>
      <c r="AT1531" s="227"/>
      <c r="AU1531" s="227"/>
    </row>
    <row r="1532" spans="27:64" ht="12.95" customHeight="1">
      <c r="AA1532" s="227"/>
      <c r="AB1532" s="227"/>
      <c r="AC1532" s="227"/>
      <c r="AD1532" s="227"/>
      <c r="AE1532" s="227"/>
      <c r="AG1532" s="19"/>
      <c r="AN1532" s="227"/>
      <c r="AO1532" s="227"/>
      <c r="AP1532" s="227"/>
      <c r="AQ1532" s="227"/>
      <c r="AR1532" s="227"/>
      <c r="AS1532" s="227"/>
      <c r="AT1532" s="227"/>
      <c r="AU1532" s="227"/>
    </row>
    <row r="1533" spans="27:64" ht="12.95" customHeight="1">
      <c r="AA1533" s="227"/>
      <c r="AB1533" s="227"/>
      <c r="AC1533" s="227"/>
      <c r="AD1533" s="227"/>
      <c r="AE1533" s="227"/>
      <c r="AG1533" s="19"/>
      <c r="AN1533" s="227"/>
      <c r="AO1533" s="227"/>
      <c r="AP1533" s="227"/>
      <c r="AQ1533" s="227"/>
      <c r="AR1533" s="227"/>
      <c r="AS1533" s="227"/>
      <c r="AT1533" s="227"/>
      <c r="AU1533" s="227"/>
      <c r="AV1533" s="227"/>
    </row>
    <row r="1534" spans="27:64" ht="12.95" customHeight="1">
      <c r="AA1534" s="227"/>
      <c r="AB1534" s="227"/>
      <c r="AC1534" s="227"/>
      <c r="AD1534" s="227"/>
      <c r="AE1534" s="227"/>
      <c r="AG1534" s="19"/>
      <c r="AN1534" s="227"/>
      <c r="AO1534" s="227"/>
      <c r="AP1534" s="227"/>
      <c r="AQ1534" s="227"/>
      <c r="AR1534" s="227"/>
      <c r="AS1534" s="227"/>
      <c r="AT1534" s="227"/>
      <c r="AU1534" s="227"/>
      <c r="AV1534" s="227"/>
    </row>
    <row r="1535" spans="27:64" ht="12.95" customHeight="1">
      <c r="AA1535" s="227"/>
      <c r="AB1535" s="227"/>
      <c r="AC1535" s="227"/>
      <c r="AD1535" s="227"/>
      <c r="AE1535" s="227"/>
      <c r="AG1535" s="19"/>
      <c r="AN1535" s="227"/>
      <c r="AO1535" s="227"/>
      <c r="AP1535" s="227"/>
      <c r="AQ1535" s="227"/>
      <c r="AR1535" s="227"/>
      <c r="AS1535" s="227"/>
      <c r="AT1535" s="227"/>
      <c r="AU1535" s="227"/>
      <c r="AV1535" s="227"/>
    </row>
    <row r="1536" spans="27:64" ht="12.95" customHeight="1">
      <c r="AA1536" s="227"/>
      <c r="AB1536" s="227"/>
      <c r="AC1536" s="227"/>
      <c r="AD1536" s="227"/>
      <c r="AE1536" s="227"/>
      <c r="AG1536" s="19"/>
      <c r="AN1536" s="227"/>
      <c r="AO1536" s="227"/>
      <c r="AP1536" s="227"/>
      <c r="AQ1536" s="227"/>
      <c r="AR1536" s="227"/>
      <c r="AS1536" s="227"/>
      <c r="AT1536" s="227"/>
      <c r="AU1536" s="227"/>
    </row>
    <row r="1537" spans="27:64" ht="12.95" customHeight="1">
      <c r="AA1537" s="227"/>
      <c r="AB1537" s="227"/>
      <c r="AC1537" s="227"/>
      <c r="AD1537" s="227"/>
      <c r="AE1537" s="227"/>
      <c r="AG1537" s="19"/>
      <c r="AN1537" s="227"/>
      <c r="AO1537" s="227"/>
      <c r="AP1537" s="227"/>
      <c r="AQ1537" s="227"/>
      <c r="AR1537" s="227"/>
      <c r="AS1537" s="227"/>
      <c r="AT1537" s="227"/>
      <c r="AU1537" s="227"/>
      <c r="AV1537" s="227"/>
      <c r="AW1537" s="227"/>
      <c r="AX1537" s="227"/>
      <c r="AY1537" s="227"/>
      <c r="AZ1537" s="227"/>
      <c r="BA1537" s="227"/>
      <c r="BB1537" s="227"/>
      <c r="BC1537" s="227"/>
      <c r="BD1537" s="227"/>
      <c r="BE1537" s="227"/>
      <c r="BF1537" s="227"/>
      <c r="BG1537" s="227"/>
      <c r="BH1537" s="227"/>
      <c r="BI1537" s="227"/>
      <c r="BJ1537" s="227"/>
      <c r="BK1537" s="227"/>
      <c r="BL1537" s="227"/>
    </row>
    <row r="1538" spans="27:64" ht="12.95" customHeight="1">
      <c r="AA1538" s="227"/>
      <c r="AB1538" s="227"/>
      <c r="AC1538" s="227"/>
      <c r="AD1538" s="227"/>
      <c r="AE1538" s="227"/>
      <c r="AG1538" s="19"/>
      <c r="AN1538" s="227"/>
      <c r="AO1538" s="227"/>
      <c r="AP1538" s="227"/>
      <c r="AQ1538" s="227"/>
      <c r="AR1538" s="227"/>
      <c r="AS1538" s="227"/>
      <c r="AT1538" s="227"/>
      <c r="AU1538" s="227"/>
      <c r="AV1538" s="227"/>
      <c r="AX1538" s="227"/>
      <c r="AY1538" s="227"/>
      <c r="AZ1538" s="227"/>
      <c r="BA1538" s="227"/>
      <c r="BB1538" s="227"/>
      <c r="BC1538" s="227"/>
      <c r="BD1538" s="227"/>
      <c r="BE1538" s="227"/>
      <c r="BF1538" s="227"/>
      <c r="BG1538" s="227"/>
      <c r="BH1538" s="227"/>
      <c r="BI1538" s="227"/>
      <c r="BJ1538" s="227"/>
      <c r="BK1538" s="227"/>
      <c r="BL1538" s="227"/>
    </row>
    <row r="1539" spans="27:64" ht="12.95" customHeight="1">
      <c r="AA1539" s="227"/>
      <c r="AB1539" s="227"/>
      <c r="AC1539" s="227"/>
      <c r="AD1539" s="227"/>
      <c r="AE1539" s="227"/>
      <c r="AG1539" s="19"/>
      <c r="AN1539" s="227"/>
      <c r="AO1539" s="227"/>
      <c r="AP1539" s="227"/>
      <c r="AQ1539" s="227"/>
      <c r="AR1539" s="227"/>
      <c r="AS1539" s="227"/>
      <c r="AT1539" s="227"/>
      <c r="AU1539" s="227"/>
    </row>
    <row r="1540" spans="27:64" ht="12.95" customHeight="1">
      <c r="AA1540" s="227"/>
      <c r="AB1540" s="227"/>
      <c r="AC1540" s="227"/>
      <c r="AD1540" s="227"/>
      <c r="AE1540" s="227"/>
      <c r="AG1540" s="19"/>
      <c r="AN1540" s="227"/>
      <c r="AO1540" s="227"/>
      <c r="AP1540" s="227"/>
      <c r="AQ1540" s="227"/>
      <c r="AR1540" s="227"/>
      <c r="AS1540" s="227"/>
      <c r="AT1540" s="227"/>
      <c r="AU1540" s="227"/>
      <c r="AV1540" s="227"/>
    </row>
    <row r="1541" spans="27:64" ht="12.95" customHeight="1">
      <c r="AA1541" s="227"/>
      <c r="AB1541" s="227"/>
      <c r="AC1541" s="227"/>
      <c r="AD1541" s="227"/>
      <c r="AE1541" s="227"/>
      <c r="AG1541" s="19"/>
      <c r="AN1541" s="227"/>
      <c r="AO1541" s="227"/>
      <c r="AP1541" s="227"/>
      <c r="AQ1541" s="227"/>
      <c r="AR1541" s="227"/>
      <c r="AS1541" s="227"/>
      <c r="AT1541" s="227"/>
      <c r="AU1541" s="227"/>
    </row>
    <row r="1542" spans="27:64" ht="12.95" customHeight="1">
      <c r="AA1542" s="227"/>
      <c r="AB1542" s="227"/>
      <c r="AC1542" s="227"/>
      <c r="AD1542" s="227"/>
      <c r="AE1542" s="227"/>
      <c r="AG1542" s="19"/>
      <c r="AN1542" s="227"/>
      <c r="AO1542" s="227"/>
      <c r="AP1542" s="227"/>
      <c r="AQ1542" s="227"/>
      <c r="AR1542" s="227"/>
      <c r="AS1542" s="227"/>
      <c r="AT1542" s="227"/>
      <c r="AU1542" s="227"/>
      <c r="AV1542" s="227"/>
      <c r="AW1542" s="227"/>
      <c r="AX1542" s="227"/>
      <c r="AY1542" s="227"/>
      <c r="AZ1542" s="227"/>
      <c r="BA1542" s="227"/>
      <c r="BB1542" s="227"/>
      <c r="BC1542" s="227"/>
      <c r="BD1542" s="227"/>
      <c r="BE1542" s="227"/>
      <c r="BF1542" s="227"/>
      <c r="BG1542" s="227"/>
      <c r="BH1542" s="227"/>
      <c r="BI1542" s="227"/>
      <c r="BJ1542" s="227"/>
      <c r="BK1542" s="227"/>
      <c r="BL1542" s="227"/>
    </row>
    <row r="1543" spans="27:64" ht="12.95" customHeight="1">
      <c r="AA1543" s="227"/>
      <c r="AB1543" s="227"/>
      <c r="AC1543" s="227"/>
      <c r="AD1543" s="227"/>
      <c r="AE1543" s="227"/>
      <c r="AG1543" s="19"/>
      <c r="AN1543" s="227"/>
      <c r="AO1543" s="227"/>
      <c r="AP1543" s="227"/>
      <c r="AQ1543" s="227"/>
      <c r="AR1543" s="227"/>
      <c r="AS1543" s="227"/>
      <c r="AT1543" s="227"/>
      <c r="AU1543" s="227"/>
    </row>
    <row r="1544" spans="27:64" ht="12.95" customHeight="1">
      <c r="AA1544" s="227"/>
      <c r="AB1544" s="227"/>
      <c r="AC1544" s="227"/>
      <c r="AD1544" s="227"/>
      <c r="AE1544" s="227"/>
      <c r="AG1544" s="19"/>
      <c r="AN1544" s="227"/>
      <c r="AO1544" s="227"/>
      <c r="AP1544" s="227"/>
      <c r="AQ1544" s="227"/>
      <c r="AR1544" s="227"/>
      <c r="AS1544" s="227"/>
      <c r="AT1544" s="227"/>
      <c r="AU1544" s="227"/>
      <c r="AV1544" s="227"/>
      <c r="AX1544" s="227"/>
    </row>
    <row r="1545" spans="27:64" ht="12.95" customHeight="1">
      <c r="AA1545" s="227"/>
      <c r="AB1545" s="227"/>
      <c r="AC1545" s="227"/>
      <c r="AD1545" s="227"/>
      <c r="AE1545" s="227"/>
      <c r="AG1545" s="19"/>
      <c r="AN1545" s="227"/>
      <c r="AO1545" s="227"/>
      <c r="AP1545" s="227"/>
      <c r="AQ1545" s="227"/>
      <c r="AR1545" s="227"/>
      <c r="AS1545" s="227"/>
      <c r="AT1545" s="227"/>
      <c r="AU1545" s="227"/>
      <c r="AV1545" s="227"/>
      <c r="AX1545" s="227"/>
    </row>
    <row r="1546" spans="27:64" ht="12.95" customHeight="1">
      <c r="AA1546" s="227"/>
      <c r="AB1546" s="227"/>
      <c r="AC1546" s="227"/>
      <c r="AD1546" s="227"/>
      <c r="AE1546" s="227"/>
      <c r="AG1546" s="19"/>
      <c r="AN1546" s="227"/>
      <c r="AO1546" s="227"/>
      <c r="AP1546" s="227"/>
      <c r="AQ1546" s="227"/>
      <c r="AR1546" s="227"/>
      <c r="AS1546" s="227"/>
      <c r="AT1546" s="227"/>
      <c r="AU1546" s="227"/>
      <c r="AV1546" s="227"/>
      <c r="AX1546" s="227"/>
    </row>
    <row r="1547" spans="27:64" ht="12.95" customHeight="1">
      <c r="AA1547" s="227"/>
      <c r="AB1547" s="227"/>
      <c r="AC1547" s="227"/>
      <c r="AD1547" s="227"/>
      <c r="AE1547" s="227"/>
      <c r="AG1547" s="19"/>
      <c r="AN1547" s="227"/>
      <c r="AO1547" s="227"/>
      <c r="AP1547" s="227"/>
      <c r="AQ1547" s="227"/>
      <c r="AR1547" s="227"/>
      <c r="AS1547" s="227"/>
      <c r="AT1547" s="227"/>
      <c r="AU1547" s="227"/>
      <c r="AV1547" s="227"/>
    </row>
    <row r="1548" spans="27:64" ht="12.95" customHeight="1">
      <c r="AA1548" s="227"/>
      <c r="AB1548" s="227"/>
      <c r="AC1548" s="227"/>
      <c r="AD1548" s="227"/>
      <c r="AE1548" s="227"/>
      <c r="AG1548" s="19"/>
      <c r="AN1548" s="227"/>
      <c r="AO1548" s="227"/>
      <c r="AP1548" s="227"/>
      <c r="AQ1548" s="227"/>
      <c r="AR1548" s="227"/>
      <c r="AS1548" s="227"/>
      <c r="AT1548" s="227"/>
      <c r="AU1548" s="227"/>
    </row>
    <row r="1549" spans="27:64" ht="12.95" customHeight="1">
      <c r="AA1549" s="227"/>
      <c r="AB1549" s="227"/>
      <c r="AC1549" s="227"/>
      <c r="AD1549" s="227"/>
      <c r="AE1549" s="227"/>
      <c r="AG1549" s="19"/>
      <c r="AN1549" s="227"/>
      <c r="AO1549" s="227"/>
      <c r="AP1549" s="227"/>
      <c r="AQ1549" s="227"/>
      <c r="AR1549" s="227"/>
      <c r="AS1549" s="227"/>
      <c r="AT1549" s="227"/>
      <c r="AU1549" s="227"/>
      <c r="AV1549" s="227"/>
    </row>
    <row r="1550" spans="27:64" ht="12.95" customHeight="1">
      <c r="AA1550" s="227"/>
      <c r="AB1550" s="227"/>
      <c r="AC1550" s="227"/>
      <c r="AD1550" s="227"/>
      <c r="AE1550" s="227"/>
      <c r="AG1550" s="19"/>
      <c r="AN1550" s="227"/>
      <c r="AO1550" s="227"/>
      <c r="AP1550" s="227"/>
      <c r="AQ1550" s="227"/>
      <c r="AR1550" s="227"/>
      <c r="AS1550" s="227"/>
      <c r="AT1550" s="227"/>
      <c r="AU1550" s="227"/>
      <c r="AV1550" s="227"/>
    </row>
    <row r="1551" spans="27:64" ht="12.95" customHeight="1">
      <c r="AA1551" s="227"/>
      <c r="AB1551" s="227"/>
      <c r="AC1551" s="227"/>
      <c r="AD1551" s="227"/>
      <c r="AE1551" s="227"/>
      <c r="AG1551" s="19"/>
      <c r="AN1551" s="227"/>
      <c r="AO1551" s="227"/>
      <c r="AP1551" s="227"/>
      <c r="AQ1551" s="227"/>
      <c r="AR1551" s="227"/>
      <c r="AS1551" s="227"/>
      <c r="AT1551" s="227"/>
      <c r="AU1551" s="227"/>
      <c r="AV1551" s="227"/>
      <c r="AW1551" s="227"/>
      <c r="AX1551" s="227"/>
      <c r="AY1551" s="227"/>
      <c r="AZ1551" s="227"/>
      <c r="BA1551" s="227"/>
      <c r="BB1551" s="227"/>
      <c r="BC1551" s="227"/>
      <c r="BD1551" s="227"/>
      <c r="BE1551" s="227"/>
      <c r="BF1551" s="227"/>
      <c r="BG1551" s="227"/>
      <c r="BH1551" s="227"/>
      <c r="BI1551" s="227"/>
      <c r="BJ1551" s="227"/>
      <c r="BK1551" s="227"/>
      <c r="BL1551" s="227"/>
    </row>
    <row r="1552" spans="27:64" ht="12.95" customHeight="1">
      <c r="AA1552" s="227"/>
      <c r="AB1552" s="227"/>
      <c r="AC1552" s="227"/>
      <c r="AD1552" s="227"/>
      <c r="AE1552" s="227"/>
      <c r="AG1552" s="19"/>
      <c r="AN1552" s="227"/>
      <c r="AO1552" s="227"/>
      <c r="AP1552" s="227"/>
      <c r="AQ1552" s="227"/>
      <c r="AR1552" s="227"/>
      <c r="AS1552" s="227"/>
      <c r="AT1552" s="227"/>
      <c r="AU1552" s="227"/>
    </row>
    <row r="1553" spans="27:64" ht="12.95" customHeight="1">
      <c r="AA1553" s="227"/>
      <c r="AB1553" s="227"/>
      <c r="AC1553" s="227"/>
      <c r="AD1553" s="227"/>
      <c r="AE1553" s="227"/>
      <c r="AG1553" s="19"/>
      <c r="AN1553" s="227"/>
      <c r="AO1553" s="227"/>
      <c r="AP1553" s="227"/>
      <c r="AQ1553" s="227"/>
      <c r="AR1553" s="227"/>
      <c r="AS1553" s="227"/>
      <c r="AT1553" s="227"/>
      <c r="AU1553" s="227"/>
    </row>
    <row r="1554" spans="27:64" ht="12.95" customHeight="1">
      <c r="AA1554" s="227"/>
      <c r="AB1554" s="227"/>
      <c r="AC1554" s="227"/>
      <c r="AD1554" s="227"/>
      <c r="AE1554" s="227"/>
      <c r="AG1554" s="19"/>
      <c r="AN1554" s="227"/>
      <c r="AO1554" s="227"/>
      <c r="AP1554" s="227"/>
      <c r="AQ1554" s="227"/>
      <c r="AR1554" s="227"/>
      <c r="AS1554" s="227"/>
      <c r="AT1554" s="227"/>
      <c r="AU1554" s="227"/>
      <c r="AV1554" s="227"/>
      <c r="AW1554" s="227"/>
      <c r="AX1554" s="227"/>
      <c r="AY1554" s="227"/>
      <c r="AZ1554" s="227"/>
      <c r="BA1554" s="227"/>
      <c r="BB1554" s="227"/>
      <c r="BC1554" s="227"/>
      <c r="BD1554" s="227"/>
      <c r="BE1554" s="227"/>
      <c r="BF1554" s="227"/>
      <c r="BG1554" s="227"/>
      <c r="BH1554" s="227"/>
      <c r="BI1554" s="227"/>
      <c r="BJ1554" s="227"/>
      <c r="BK1554" s="227"/>
      <c r="BL1554" s="227"/>
    </row>
    <row r="1555" spans="27:64" ht="12.95" customHeight="1">
      <c r="AA1555" s="227"/>
      <c r="AB1555" s="227"/>
      <c r="AC1555" s="227"/>
      <c r="AD1555" s="227"/>
      <c r="AE1555" s="227"/>
      <c r="AG1555" s="19"/>
      <c r="AN1555" s="227"/>
      <c r="AO1555" s="227"/>
      <c r="AP1555" s="227"/>
      <c r="AQ1555" s="227"/>
      <c r="AR1555" s="227"/>
      <c r="AS1555" s="227"/>
      <c r="AT1555" s="227"/>
      <c r="AU1555" s="227"/>
      <c r="AV1555" s="227"/>
      <c r="AX1555" s="227"/>
      <c r="AY1555" s="227"/>
      <c r="AZ1555" s="227"/>
      <c r="BA1555" s="227"/>
      <c r="BB1555" s="227"/>
      <c r="BC1555" s="227"/>
      <c r="BD1555" s="227"/>
      <c r="BE1555" s="227"/>
      <c r="BF1555" s="227"/>
      <c r="BG1555" s="227"/>
      <c r="BH1555" s="227"/>
      <c r="BI1555" s="227"/>
      <c r="BJ1555" s="227"/>
      <c r="BK1555" s="227"/>
      <c r="BL1555" s="227"/>
    </row>
    <row r="1556" spans="27:64" ht="12.95" customHeight="1">
      <c r="AA1556" s="227"/>
      <c r="AB1556" s="227"/>
      <c r="AC1556" s="227"/>
      <c r="AD1556" s="227"/>
      <c r="AE1556" s="227"/>
      <c r="AG1556" s="19"/>
      <c r="AN1556" s="227"/>
      <c r="AO1556" s="227"/>
      <c r="AP1556" s="227"/>
      <c r="AQ1556" s="227"/>
      <c r="AR1556" s="227"/>
      <c r="AS1556" s="227"/>
      <c r="AT1556" s="227"/>
      <c r="AU1556" s="227"/>
      <c r="AV1556" s="227"/>
      <c r="AX1556" s="227"/>
    </row>
    <row r="1557" spans="27:64" ht="12.95" customHeight="1">
      <c r="AA1557" s="227"/>
      <c r="AB1557" s="227"/>
      <c r="AC1557" s="227"/>
      <c r="AD1557" s="227"/>
      <c r="AE1557" s="227"/>
      <c r="AG1557" s="19"/>
      <c r="AN1557" s="227"/>
      <c r="AO1557" s="227"/>
      <c r="AP1557" s="227"/>
      <c r="AQ1557" s="227"/>
      <c r="AR1557" s="227"/>
      <c r="AS1557" s="227"/>
      <c r="AT1557" s="227"/>
      <c r="AU1557" s="227"/>
    </row>
    <row r="1558" spans="27:64" ht="12.95" customHeight="1">
      <c r="AA1558" s="227"/>
      <c r="AB1558" s="227"/>
      <c r="AC1558" s="227"/>
      <c r="AD1558" s="227"/>
      <c r="AE1558" s="227"/>
      <c r="AG1558" s="19"/>
      <c r="AN1558" s="227"/>
      <c r="AO1558" s="227"/>
      <c r="AP1558" s="227"/>
      <c r="AQ1558" s="227"/>
      <c r="AR1558" s="227"/>
      <c r="AS1558" s="227"/>
      <c r="AT1558" s="227"/>
      <c r="AU1558" s="227"/>
      <c r="AV1558" s="227"/>
    </row>
    <row r="1559" spans="27:64" ht="12.95" customHeight="1">
      <c r="AA1559" s="227"/>
      <c r="AB1559" s="227"/>
      <c r="AC1559" s="227"/>
      <c r="AD1559" s="227"/>
      <c r="AE1559" s="227"/>
      <c r="AG1559" s="19"/>
      <c r="AN1559" s="227"/>
      <c r="AO1559" s="227"/>
      <c r="AP1559" s="227"/>
      <c r="AQ1559" s="227"/>
      <c r="AR1559" s="227"/>
      <c r="AS1559" s="227"/>
      <c r="AT1559" s="227"/>
      <c r="AU1559" s="227"/>
      <c r="AV1559" s="227"/>
    </row>
    <row r="1560" spans="27:64" ht="12.95" customHeight="1">
      <c r="AA1560" s="227"/>
      <c r="AB1560" s="227"/>
      <c r="AC1560" s="227"/>
      <c r="AD1560" s="227"/>
      <c r="AE1560" s="227"/>
      <c r="AG1560" s="19"/>
      <c r="AN1560" s="227"/>
      <c r="AO1560" s="227"/>
      <c r="AP1560" s="227"/>
      <c r="AQ1560" s="227"/>
      <c r="AR1560" s="227"/>
      <c r="AS1560" s="227"/>
      <c r="AT1560" s="227"/>
      <c r="AU1560" s="227"/>
      <c r="AV1560" s="227"/>
      <c r="AX1560" s="227"/>
    </row>
    <row r="1561" spans="27:64" ht="12.95" customHeight="1">
      <c r="AA1561" s="227"/>
      <c r="AB1561" s="227"/>
      <c r="AC1561" s="227"/>
      <c r="AD1561" s="227"/>
      <c r="AE1561" s="227"/>
      <c r="AG1561" s="19"/>
      <c r="AN1561" s="227"/>
      <c r="AO1561" s="227"/>
      <c r="AP1561" s="227"/>
      <c r="AQ1561" s="227"/>
      <c r="AR1561" s="227"/>
      <c r="AS1561" s="227"/>
      <c r="AT1561" s="227"/>
      <c r="AU1561" s="227"/>
      <c r="AV1561" s="227"/>
      <c r="AX1561" s="227"/>
      <c r="AY1561" s="227"/>
      <c r="AZ1561" s="227"/>
      <c r="BA1561" s="227"/>
      <c r="BB1561" s="227"/>
      <c r="BC1561" s="227"/>
      <c r="BD1561" s="227"/>
      <c r="BE1561" s="227"/>
      <c r="BF1561" s="227"/>
      <c r="BG1561" s="227"/>
      <c r="BH1561" s="227"/>
      <c r="BI1561" s="227"/>
      <c r="BJ1561" s="227"/>
      <c r="BK1561" s="227"/>
      <c r="BL1561" s="227"/>
    </row>
    <row r="1562" spans="27:64" ht="12.95" customHeight="1">
      <c r="AA1562" s="227"/>
      <c r="AB1562" s="227"/>
      <c r="AC1562" s="227"/>
      <c r="AD1562" s="227"/>
      <c r="AE1562" s="227"/>
      <c r="AG1562" s="19"/>
      <c r="AN1562" s="227"/>
      <c r="AO1562" s="227"/>
      <c r="AP1562" s="227"/>
      <c r="AQ1562" s="227"/>
      <c r="AR1562" s="227"/>
      <c r="AS1562" s="227"/>
      <c r="AT1562" s="227"/>
      <c r="AU1562" s="227"/>
      <c r="AV1562" s="227"/>
    </row>
    <row r="1563" spans="27:64" ht="12.95" customHeight="1">
      <c r="AA1563" s="227"/>
      <c r="AB1563" s="227"/>
      <c r="AC1563" s="227"/>
      <c r="AD1563" s="227"/>
      <c r="AE1563" s="227"/>
      <c r="AG1563" s="19"/>
      <c r="AN1563" s="227"/>
      <c r="AO1563" s="227"/>
      <c r="AP1563" s="227"/>
      <c r="AQ1563" s="227"/>
      <c r="AR1563" s="227"/>
      <c r="AS1563" s="227"/>
      <c r="AT1563" s="227"/>
      <c r="AU1563" s="227"/>
      <c r="AV1563" s="227"/>
    </row>
    <row r="1564" spans="27:64" ht="12.95" customHeight="1">
      <c r="AA1564" s="227"/>
      <c r="AB1564" s="227"/>
      <c r="AC1564" s="227"/>
      <c r="AD1564" s="227"/>
      <c r="AE1564" s="227"/>
      <c r="AG1564" s="19"/>
      <c r="AN1564" s="227"/>
      <c r="AO1564" s="227"/>
      <c r="AP1564" s="227"/>
      <c r="AQ1564" s="227"/>
      <c r="AR1564" s="227"/>
      <c r="AS1564" s="227"/>
      <c r="AT1564" s="227"/>
      <c r="AU1564" s="227"/>
      <c r="AV1564" s="227"/>
    </row>
    <row r="1565" spans="27:64" ht="12.95" customHeight="1">
      <c r="AA1565" s="227"/>
      <c r="AB1565" s="227"/>
      <c r="AC1565" s="227"/>
      <c r="AD1565" s="227"/>
      <c r="AE1565" s="227"/>
      <c r="AG1565" s="19"/>
      <c r="AN1565" s="227"/>
      <c r="AO1565" s="227"/>
      <c r="AP1565" s="227"/>
      <c r="AQ1565" s="227"/>
      <c r="AR1565" s="227"/>
      <c r="AS1565" s="227"/>
      <c r="AT1565" s="227"/>
      <c r="AU1565" s="227"/>
      <c r="AV1565" s="227"/>
      <c r="AX1565" s="227"/>
    </row>
    <row r="1566" spans="27:64" ht="12.95" customHeight="1">
      <c r="AA1566" s="227"/>
      <c r="AB1566" s="227"/>
      <c r="AC1566" s="227"/>
      <c r="AD1566" s="227"/>
      <c r="AE1566" s="227"/>
      <c r="AG1566" s="19"/>
      <c r="AN1566" s="227"/>
      <c r="AO1566" s="227"/>
      <c r="AP1566" s="227"/>
      <c r="AQ1566" s="227"/>
      <c r="AR1566" s="227"/>
      <c r="AS1566" s="227"/>
      <c r="AT1566" s="227"/>
      <c r="AU1566" s="227"/>
      <c r="AV1566" s="227"/>
      <c r="AX1566" s="227"/>
      <c r="AY1566" s="227"/>
      <c r="AZ1566" s="227"/>
      <c r="BA1566" s="227"/>
      <c r="BB1566" s="227"/>
      <c r="BC1566" s="227"/>
      <c r="BD1566" s="227"/>
      <c r="BE1566" s="227"/>
      <c r="BF1566" s="227"/>
      <c r="BG1566" s="227"/>
      <c r="BH1566" s="227"/>
      <c r="BI1566" s="227"/>
      <c r="BJ1566" s="227"/>
      <c r="BK1566" s="227"/>
      <c r="BL1566" s="227"/>
    </row>
    <row r="1567" spans="27:64" ht="12.95" customHeight="1">
      <c r="AA1567" s="227"/>
      <c r="AB1567" s="227"/>
      <c r="AC1567" s="227"/>
      <c r="AD1567" s="227"/>
      <c r="AE1567" s="227"/>
      <c r="AG1567" s="19"/>
      <c r="AN1567" s="227"/>
      <c r="AO1567" s="227"/>
      <c r="AP1567" s="227"/>
      <c r="AQ1567" s="227"/>
      <c r="AR1567" s="227"/>
      <c r="AS1567" s="227"/>
      <c r="AT1567" s="227"/>
      <c r="AU1567" s="227"/>
    </row>
    <row r="1568" spans="27:64" ht="12.95" customHeight="1">
      <c r="AA1568" s="227"/>
      <c r="AB1568" s="227"/>
      <c r="AC1568" s="227"/>
      <c r="AD1568" s="227"/>
      <c r="AE1568" s="227"/>
      <c r="AG1568" s="19"/>
      <c r="AN1568" s="227"/>
      <c r="AO1568" s="227"/>
      <c r="AP1568" s="227"/>
      <c r="AQ1568" s="227"/>
      <c r="AR1568" s="227"/>
      <c r="AS1568" s="227"/>
      <c r="AT1568" s="227"/>
      <c r="AU1568" s="227"/>
      <c r="AV1568" s="227"/>
    </row>
    <row r="1569" spans="27:64" ht="12.95" customHeight="1">
      <c r="AA1569" s="227"/>
      <c r="AB1569" s="227"/>
      <c r="AC1569" s="227"/>
      <c r="AD1569" s="227"/>
      <c r="AE1569" s="227"/>
      <c r="AG1569" s="19"/>
      <c r="AN1569" s="227"/>
      <c r="AO1569" s="227"/>
      <c r="AP1569" s="227"/>
      <c r="AQ1569" s="227"/>
      <c r="AR1569" s="227"/>
      <c r="AS1569" s="227"/>
      <c r="AT1569" s="227"/>
      <c r="AU1569" s="227"/>
      <c r="AV1569" s="227"/>
    </row>
    <row r="1570" spans="27:64" ht="12.95" customHeight="1">
      <c r="AA1570" s="227"/>
      <c r="AB1570" s="227"/>
      <c r="AC1570" s="227"/>
      <c r="AD1570" s="227"/>
      <c r="AE1570" s="227"/>
      <c r="AG1570" s="19"/>
      <c r="AN1570" s="227"/>
      <c r="AO1570" s="227"/>
      <c r="AP1570" s="227"/>
      <c r="AQ1570" s="227"/>
      <c r="AR1570" s="227"/>
      <c r="AS1570" s="227"/>
      <c r="AT1570" s="227"/>
      <c r="AU1570" s="227"/>
      <c r="AV1570" s="227"/>
      <c r="AX1570" s="227"/>
    </row>
    <row r="1571" spans="27:64" ht="12.95" customHeight="1">
      <c r="AA1571" s="227"/>
      <c r="AB1571" s="227"/>
      <c r="AC1571" s="227"/>
      <c r="AD1571" s="227"/>
      <c r="AE1571" s="227"/>
      <c r="AG1571" s="19"/>
      <c r="AN1571" s="227"/>
      <c r="AO1571" s="227"/>
      <c r="AP1571" s="227"/>
      <c r="AQ1571" s="227"/>
      <c r="AR1571" s="227"/>
      <c r="AS1571" s="227"/>
      <c r="AT1571" s="227"/>
      <c r="AU1571" s="227"/>
      <c r="AV1571" s="227"/>
    </row>
    <row r="1572" spans="27:64" ht="12.95" customHeight="1">
      <c r="AA1572" s="227"/>
      <c r="AB1572" s="227"/>
      <c r="AC1572" s="227"/>
      <c r="AD1572" s="227"/>
      <c r="AE1572" s="227"/>
      <c r="AG1572" s="19"/>
      <c r="AN1572" s="227"/>
      <c r="AO1572" s="227"/>
      <c r="AP1572" s="227"/>
      <c r="AQ1572" s="227"/>
      <c r="AR1572" s="227"/>
      <c r="AS1572" s="227"/>
      <c r="AT1572" s="227"/>
      <c r="AU1572" s="227"/>
    </row>
    <row r="1573" spans="27:64" ht="12.95" customHeight="1">
      <c r="AA1573" s="227"/>
      <c r="AB1573" s="227"/>
      <c r="AC1573" s="227"/>
      <c r="AD1573" s="227"/>
      <c r="AE1573" s="227"/>
      <c r="AG1573" s="19"/>
      <c r="AN1573" s="227"/>
      <c r="AO1573" s="227"/>
      <c r="AP1573" s="227"/>
      <c r="AQ1573" s="227"/>
      <c r="AR1573" s="227"/>
      <c r="AS1573" s="227"/>
      <c r="AT1573" s="227"/>
      <c r="AU1573" s="227"/>
    </row>
    <row r="1574" spans="27:64" ht="12.95" customHeight="1">
      <c r="AA1574" s="227"/>
      <c r="AB1574" s="227"/>
      <c r="AC1574" s="227"/>
      <c r="AD1574" s="227"/>
      <c r="AE1574" s="227"/>
      <c r="AG1574" s="19"/>
      <c r="AN1574" s="227"/>
      <c r="AO1574" s="227"/>
      <c r="AP1574" s="227"/>
      <c r="AQ1574" s="227"/>
      <c r="AR1574" s="227"/>
      <c r="AS1574" s="227"/>
      <c r="AT1574" s="227"/>
      <c r="AU1574" s="227"/>
      <c r="AV1574" s="227"/>
      <c r="AW1574" s="227"/>
      <c r="AX1574" s="227"/>
      <c r="AY1574" s="227"/>
      <c r="AZ1574" s="227"/>
      <c r="BA1574" s="227"/>
      <c r="BB1574" s="227"/>
      <c r="BC1574" s="227"/>
      <c r="BD1574" s="227"/>
      <c r="BE1574" s="227"/>
      <c r="BF1574" s="227"/>
      <c r="BG1574" s="227"/>
      <c r="BH1574" s="227"/>
      <c r="BI1574" s="227"/>
      <c r="BJ1574" s="227"/>
      <c r="BK1574" s="227"/>
      <c r="BL1574" s="227"/>
    </row>
    <row r="1575" spans="27:64" ht="12.95" customHeight="1">
      <c r="AA1575" s="227"/>
      <c r="AB1575" s="227"/>
      <c r="AC1575" s="227"/>
      <c r="AD1575" s="227"/>
      <c r="AE1575" s="227"/>
      <c r="AG1575" s="19"/>
      <c r="AN1575" s="227"/>
      <c r="AO1575" s="227"/>
      <c r="AP1575" s="227"/>
      <c r="AQ1575" s="227"/>
      <c r="AR1575" s="227"/>
      <c r="AS1575" s="227"/>
      <c r="AT1575" s="227"/>
      <c r="AU1575" s="227"/>
    </row>
    <row r="1576" spans="27:64" ht="12.95" customHeight="1">
      <c r="AA1576" s="227"/>
      <c r="AB1576" s="227"/>
      <c r="AC1576" s="227"/>
      <c r="AD1576" s="227"/>
      <c r="AE1576" s="227"/>
      <c r="AG1576" s="19"/>
      <c r="AN1576" s="227"/>
      <c r="AO1576" s="227"/>
      <c r="AP1576" s="227"/>
      <c r="AQ1576" s="227"/>
      <c r="AR1576" s="227"/>
      <c r="AS1576" s="227"/>
      <c r="AT1576" s="227"/>
      <c r="AU1576" s="227"/>
      <c r="AV1576" s="227"/>
      <c r="AW1576" s="227"/>
      <c r="AX1576" s="227"/>
      <c r="AY1576" s="227"/>
      <c r="AZ1576" s="227"/>
      <c r="BA1576" s="227"/>
      <c r="BB1576" s="227"/>
      <c r="BC1576" s="227"/>
      <c r="BD1576" s="227"/>
      <c r="BE1576" s="227"/>
      <c r="BF1576" s="227"/>
      <c r="BG1576" s="227"/>
      <c r="BH1576" s="227"/>
      <c r="BI1576" s="227"/>
      <c r="BJ1576" s="227"/>
      <c r="BK1576" s="227"/>
      <c r="BL1576" s="227"/>
    </row>
    <row r="1577" spans="27:64" ht="12.95" customHeight="1">
      <c r="AA1577" s="227"/>
      <c r="AB1577" s="227"/>
      <c r="AC1577" s="227"/>
      <c r="AD1577" s="227"/>
      <c r="AE1577" s="227"/>
      <c r="AG1577" s="19"/>
      <c r="AN1577" s="227"/>
      <c r="AO1577" s="227"/>
      <c r="AP1577" s="227"/>
      <c r="AQ1577" s="227"/>
      <c r="AR1577" s="227"/>
      <c r="AS1577" s="227"/>
      <c r="AT1577" s="227"/>
      <c r="AU1577" s="227"/>
      <c r="AV1577" s="227"/>
      <c r="AX1577" s="227"/>
      <c r="AY1577" s="227"/>
      <c r="AZ1577" s="227"/>
      <c r="BA1577" s="227"/>
      <c r="BB1577" s="227"/>
      <c r="BC1577" s="227"/>
      <c r="BD1577" s="227"/>
      <c r="BE1577" s="227"/>
      <c r="BF1577" s="227"/>
      <c r="BG1577" s="227"/>
      <c r="BH1577" s="227"/>
      <c r="BI1577" s="227"/>
      <c r="BJ1577" s="227"/>
      <c r="BK1577" s="227"/>
      <c r="BL1577" s="227"/>
    </row>
    <row r="1578" spans="27:64" ht="12.95" customHeight="1">
      <c r="AA1578" s="227"/>
      <c r="AB1578" s="227"/>
      <c r="AC1578" s="227"/>
      <c r="AD1578" s="227"/>
      <c r="AE1578" s="227"/>
      <c r="AG1578" s="19"/>
      <c r="AN1578" s="227"/>
      <c r="AO1578" s="227"/>
      <c r="AP1578" s="227"/>
      <c r="AQ1578" s="227"/>
      <c r="AR1578" s="227"/>
      <c r="AS1578" s="227"/>
      <c r="AT1578" s="227"/>
      <c r="AU1578" s="227"/>
      <c r="AV1578" s="227"/>
      <c r="AW1578" s="227"/>
      <c r="AX1578" s="227"/>
      <c r="AY1578" s="227"/>
      <c r="AZ1578" s="227"/>
      <c r="BA1578" s="227"/>
      <c r="BB1578" s="227"/>
      <c r="BC1578" s="227"/>
      <c r="BD1578" s="227"/>
      <c r="BE1578" s="227"/>
      <c r="BF1578" s="227"/>
      <c r="BG1578" s="227"/>
      <c r="BH1578" s="227"/>
      <c r="BI1578" s="227"/>
      <c r="BJ1578" s="227"/>
      <c r="BK1578" s="227"/>
      <c r="BL1578" s="227"/>
    </row>
    <row r="1579" spans="27:64" ht="12.95" customHeight="1">
      <c r="AA1579" s="227"/>
      <c r="AB1579" s="227"/>
      <c r="AC1579" s="227"/>
      <c r="AD1579" s="227"/>
      <c r="AE1579" s="227"/>
      <c r="AG1579" s="19"/>
      <c r="AN1579" s="227"/>
      <c r="AO1579" s="227"/>
      <c r="AP1579" s="227"/>
      <c r="AQ1579" s="227"/>
      <c r="AR1579" s="227"/>
      <c r="AS1579" s="227"/>
      <c r="AT1579" s="227"/>
      <c r="AU1579" s="227"/>
      <c r="AV1579" s="227"/>
      <c r="AX1579" s="227"/>
      <c r="AY1579" s="227"/>
      <c r="AZ1579" s="227"/>
      <c r="BA1579" s="227"/>
      <c r="BB1579" s="227"/>
      <c r="BC1579" s="227"/>
      <c r="BD1579" s="227"/>
      <c r="BE1579" s="227"/>
      <c r="BF1579" s="227"/>
      <c r="BG1579" s="227"/>
      <c r="BH1579" s="227"/>
      <c r="BI1579" s="227"/>
      <c r="BJ1579" s="227"/>
      <c r="BK1579" s="227"/>
      <c r="BL1579" s="227"/>
    </row>
    <row r="1580" spans="27:64" ht="12.95" customHeight="1">
      <c r="AA1580" s="227"/>
      <c r="AB1580" s="227"/>
      <c r="AC1580" s="227"/>
      <c r="AD1580" s="227"/>
      <c r="AE1580" s="227"/>
      <c r="AG1580" s="19"/>
      <c r="AN1580" s="227"/>
      <c r="AO1580" s="227"/>
      <c r="AP1580" s="227"/>
      <c r="AQ1580" s="227"/>
      <c r="AR1580" s="227"/>
      <c r="AS1580" s="227"/>
      <c r="AT1580" s="227"/>
      <c r="AU1580" s="227"/>
      <c r="AV1580" s="227"/>
      <c r="AW1580" s="227"/>
      <c r="AX1580" s="227"/>
      <c r="AY1580" s="227"/>
      <c r="AZ1580" s="227"/>
      <c r="BA1580" s="227"/>
      <c r="BB1580" s="227"/>
      <c r="BC1580" s="227"/>
      <c r="BD1580" s="227"/>
      <c r="BE1580" s="227"/>
      <c r="BF1580" s="227"/>
      <c r="BG1580" s="227"/>
      <c r="BH1580" s="227"/>
      <c r="BI1580" s="227"/>
      <c r="BJ1580" s="227"/>
      <c r="BK1580" s="227"/>
      <c r="BL1580" s="227"/>
    </row>
    <row r="1581" spans="27:64" ht="12.95" customHeight="1">
      <c r="AA1581" s="227"/>
      <c r="AB1581" s="227"/>
      <c r="AC1581" s="227"/>
      <c r="AD1581" s="227"/>
      <c r="AE1581" s="227"/>
      <c r="AG1581" s="19"/>
      <c r="AN1581" s="227"/>
      <c r="AO1581" s="227"/>
      <c r="AP1581" s="227"/>
      <c r="AQ1581" s="227"/>
      <c r="AR1581" s="227"/>
      <c r="AS1581" s="227"/>
      <c r="AT1581" s="227"/>
      <c r="AU1581" s="227"/>
      <c r="AV1581" s="227"/>
      <c r="AX1581" s="227"/>
    </row>
    <row r="1582" spans="27:64" ht="12.95" customHeight="1">
      <c r="AA1582" s="227"/>
      <c r="AB1582" s="227"/>
      <c r="AC1582" s="227"/>
      <c r="AD1582" s="227"/>
      <c r="AE1582" s="227"/>
      <c r="AG1582" s="19"/>
      <c r="AN1582" s="227"/>
      <c r="AO1582" s="227"/>
      <c r="AP1582" s="227"/>
      <c r="AQ1582" s="227"/>
      <c r="AR1582" s="227"/>
      <c r="AS1582" s="227"/>
      <c r="AT1582" s="227"/>
      <c r="AU1582" s="227"/>
      <c r="AV1582" s="227"/>
      <c r="AW1582" s="227"/>
      <c r="AX1582" s="227"/>
      <c r="AY1582" s="227"/>
      <c r="AZ1582" s="227"/>
      <c r="BA1582" s="227"/>
      <c r="BB1582" s="227"/>
      <c r="BC1582" s="227"/>
      <c r="BD1582" s="227"/>
      <c r="BE1582" s="227"/>
      <c r="BF1582" s="227"/>
      <c r="BG1582" s="227"/>
      <c r="BH1582" s="227"/>
      <c r="BI1582" s="227"/>
      <c r="BJ1582" s="227"/>
      <c r="BK1582" s="227"/>
      <c r="BL1582" s="227"/>
    </row>
    <row r="1583" spans="27:64" ht="12.95" customHeight="1">
      <c r="AA1583" s="227"/>
      <c r="AB1583" s="227"/>
      <c r="AC1583" s="227"/>
      <c r="AD1583" s="227"/>
      <c r="AE1583" s="227"/>
      <c r="AG1583" s="19"/>
      <c r="AN1583" s="227"/>
      <c r="AO1583" s="227"/>
      <c r="AP1583" s="227"/>
      <c r="AQ1583" s="227"/>
      <c r="AR1583" s="227"/>
      <c r="AS1583" s="227"/>
      <c r="AT1583" s="227"/>
      <c r="AU1583" s="227"/>
      <c r="AV1583" s="227"/>
      <c r="AX1583" s="227"/>
    </row>
    <row r="1584" spans="27:64" ht="12.95" customHeight="1">
      <c r="AA1584" s="227"/>
      <c r="AB1584" s="227"/>
      <c r="AC1584" s="227"/>
      <c r="AD1584" s="227"/>
      <c r="AE1584" s="227"/>
      <c r="AG1584" s="19"/>
      <c r="AN1584" s="227"/>
      <c r="AO1584" s="227"/>
      <c r="AP1584" s="227"/>
      <c r="AQ1584" s="227"/>
      <c r="AR1584" s="227"/>
      <c r="AS1584" s="227"/>
      <c r="AT1584" s="227"/>
      <c r="AU1584" s="227"/>
      <c r="AV1584" s="227"/>
      <c r="AW1584" s="227"/>
      <c r="AX1584" s="227"/>
      <c r="AY1584" s="227"/>
      <c r="AZ1584" s="227"/>
      <c r="BA1584" s="227"/>
      <c r="BB1584" s="227"/>
      <c r="BC1584" s="227"/>
      <c r="BD1584" s="227"/>
      <c r="BE1584" s="227"/>
      <c r="BF1584" s="227"/>
      <c r="BG1584" s="227"/>
      <c r="BH1584" s="227"/>
      <c r="BI1584" s="227"/>
      <c r="BJ1584" s="227"/>
      <c r="BK1584" s="227"/>
      <c r="BL1584" s="227"/>
    </row>
    <row r="1585" spans="27:64" ht="12.95" customHeight="1">
      <c r="AA1585" s="227"/>
      <c r="AB1585" s="227"/>
      <c r="AC1585" s="227"/>
      <c r="AD1585" s="227"/>
      <c r="AE1585" s="227"/>
      <c r="AG1585" s="19"/>
      <c r="AN1585" s="227"/>
      <c r="AO1585" s="227"/>
      <c r="AP1585" s="227"/>
      <c r="AQ1585" s="227"/>
      <c r="AR1585" s="227"/>
      <c r="AS1585" s="227"/>
      <c r="AT1585" s="227"/>
      <c r="AU1585" s="227"/>
      <c r="AV1585" s="227"/>
      <c r="AW1585" s="227"/>
      <c r="AX1585" s="227"/>
      <c r="AY1585" s="227"/>
      <c r="AZ1585" s="227"/>
      <c r="BA1585" s="227"/>
      <c r="BB1585" s="227"/>
      <c r="BC1585" s="227"/>
      <c r="BD1585" s="227"/>
      <c r="BE1585" s="227"/>
      <c r="BF1585" s="227"/>
      <c r="BG1585" s="227"/>
      <c r="BH1585" s="227"/>
      <c r="BI1585" s="227"/>
      <c r="BJ1585" s="227"/>
      <c r="BK1585" s="227"/>
      <c r="BL1585" s="227"/>
    </row>
    <row r="1586" spans="27:64" ht="12.95" customHeight="1">
      <c r="AA1586" s="227"/>
      <c r="AB1586" s="227"/>
      <c r="AC1586" s="227"/>
      <c r="AD1586" s="227"/>
      <c r="AE1586" s="227"/>
      <c r="AG1586" s="19"/>
      <c r="AN1586" s="227"/>
      <c r="AO1586" s="227"/>
      <c r="AP1586" s="227"/>
      <c r="AQ1586" s="227"/>
      <c r="AR1586" s="227"/>
      <c r="AS1586" s="227"/>
      <c r="AT1586" s="227"/>
      <c r="AU1586" s="227"/>
      <c r="AV1586" s="227"/>
      <c r="AW1586" s="227"/>
      <c r="AX1586" s="227"/>
      <c r="AY1586" s="227"/>
      <c r="AZ1586" s="227"/>
      <c r="BA1586" s="227"/>
      <c r="BB1586" s="227"/>
      <c r="BC1586" s="227"/>
      <c r="BD1586" s="227"/>
      <c r="BE1586" s="227"/>
      <c r="BF1586" s="227"/>
      <c r="BG1586" s="227"/>
      <c r="BH1586" s="227"/>
      <c r="BI1586" s="227"/>
      <c r="BJ1586" s="227"/>
      <c r="BK1586" s="227"/>
      <c r="BL1586" s="227"/>
    </row>
    <row r="1587" spans="27:64" ht="12.95" customHeight="1">
      <c r="AA1587" s="227"/>
      <c r="AB1587" s="227"/>
      <c r="AC1587" s="227"/>
      <c r="AD1587" s="227"/>
      <c r="AE1587" s="227"/>
      <c r="AG1587" s="19"/>
      <c r="AN1587" s="227"/>
      <c r="AO1587" s="227"/>
      <c r="AP1587" s="227"/>
      <c r="AQ1587" s="227"/>
      <c r="AR1587" s="227"/>
      <c r="AS1587" s="227"/>
      <c r="AT1587" s="227"/>
      <c r="AU1587" s="227"/>
      <c r="AV1587" s="227"/>
      <c r="AW1587" s="227"/>
      <c r="AX1587" s="227"/>
      <c r="AY1587" s="227"/>
      <c r="AZ1587" s="227"/>
      <c r="BA1587" s="227"/>
      <c r="BB1587" s="227"/>
      <c r="BC1587" s="227"/>
      <c r="BD1587" s="227"/>
      <c r="BE1587" s="227"/>
      <c r="BF1587" s="227"/>
      <c r="BG1587" s="227"/>
      <c r="BH1587" s="227"/>
      <c r="BI1587" s="227"/>
      <c r="BJ1587" s="227"/>
      <c r="BK1587" s="227"/>
      <c r="BL1587" s="227"/>
    </row>
    <row r="1588" spans="27:64" ht="12.95" customHeight="1">
      <c r="AA1588" s="227"/>
      <c r="AB1588" s="227"/>
      <c r="AC1588" s="227"/>
      <c r="AD1588" s="227"/>
      <c r="AE1588" s="227"/>
      <c r="AG1588" s="19"/>
      <c r="AN1588" s="227"/>
      <c r="AO1588" s="227"/>
      <c r="AP1588" s="227"/>
      <c r="AQ1588" s="227"/>
      <c r="AR1588" s="227"/>
      <c r="AS1588" s="227"/>
      <c r="AT1588" s="227"/>
      <c r="AU1588" s="227"/>
      <c r="AV1588" s="227"/>
      <c r="AX1588" s="227"/>
    </row>
    <row r="1589" spans="27:64" ht="12.95" customHeight="1">
      <c r="AA1589" s="227"/>
      <c r="AB1589" s="227"/>
      <c r="AC1589" s="227"/>
      <c r="AD1589" s="227"/>
      <c r="AE1589" s="227"/>
      <c r="AG1589" s="19"/>
      <c r="AN1589" s="227"/>
      <c r="AO1589" s="227"/>
      <c r="AP1589" s="227"/>
      <c r="AQ1589" s="227"/>
      <c r="AR1589" s="227"/>
      <c r="AS1589" s="227"/>
      <c r="AT1589" s="227"/>
      <c r="AU1589" s="227"/>
    </row>
    <row r="1590" spans="27:64" ht="12.95" customHeight="1">
      <c r="AA1590" s="227"/>
      <c r="AB1590" s="227"/>
      <c r="AC1590" s="227"/>
      <c r="AD1590" s="227"/>
      <c r="AE1590" s="227"/>
      <c r="AG1590" s="19"/>
      <c r="AN1590" s="227"/>
      <c r="AO1590" s="227"/>
      <c r="AP1590" s="227"/>
      <c r="AQ1590" s="227"/>
      <c r="AR1590" s="227"/>
      <c r="AS1590" s="227"/>
      <c r="AT1590" s="227"/>
      <c r="AU1590" s="227"/>
    </row>
    <row r="1591" spans="27:64" ht="12.95" customHeight="1">
      <c r="AA1591" s="227"/>
      <c r="AB1591" s="227"/>
      <c r="AC1591" s="227"/>
      <c r="AD1591" s="227"/>
      <c r="AE1591" s="227"/>
      <c r="AG1591" s="19"/>
      <c r="AN1591" s="227"/>
      <c r="AO1591" s="227"/>
      <c r="AP1591" s="227"/>
      <c r="AQ1591" s="227"/>
      <c r="AR1591" s="227"/>
      <c r="AS1591" s="227"/>
      <c r="AT1591" s="227"/>
      <c r="AU1591" s="227"/>
    </row>
    <row r="1592" spans="27:64" ht="12.95" customHeight="1">
      <c r="AA1592" s="227"/>
      <c r="AB1592" s="227"/>
      <c r="AC1592" s="227"/>
      <c r="AD1592" s="227"/>
      <c r="AE1592" s="227"/>
      <c r="AG1592" s="19"/>
      <c r="AN1592" s="227"/>
      <c r="AO1592" s="227"/>
      <c r="AP1592" s="227"/>
      <c r="AQ1592" s="227"/>
      <c r="AR1592" s="227"/>
      <c r="AS1592" s="227"/>
      <c r="AT1592" s="227"/>
      <c r="AU1592" s="227"/>
      <c r="AV1592" s="227"/>
    </row>
    <row r="1593" spans="27:64" ht="12.95" customHeight="1">
      <c r="AA1593" s="227"/>
      <c r="AB1593" s="227"/>
      <c r="AC1593" s="227"/>
      <c r="AD1593" s="227"/>
      <c r="AE1593" s="227"/>
      <c r="AG1593" s="19"/>
      <c r="AN1593" s="227"/>
      <c r="AO1593" s="227"/>
      <c r="AP1593" s="227"/>
      <c r="AQ1593" s="227"/>
      <c r="AR1593" s="227"/>
      <c r="AS1593" s="227"/>
      <c r="AT1593" s="227"/>
      <c r="AU1593" s="227"/>
      <c r="AV1593" s="227"/>
      <c r="AX1593" s="227"/>
    </row>
    <row r="1594" spans="27:64" ht="12.95" customHeight="1">
      <c r="AA1594" s="227"/>
      <c r="AB1594" s="227"/>
      <c r="AC1594" s="227"/>
      <c r="AD1594" s="227"/>
      <c r="AE1594" s="227"/>
      <c r="AG1594" s="19"/>
      <c r="AN1594" s="227"/>
      <c r="AO1594" s="227"/>
      <c r="AP1594" s="227"/>
      <c r="AQ1594" s="227"/>
      <c r="AR1594" s="227"/>
      <c r="AS1594" s="227"/>
      <c r="AT1594" s="227"/>
      <c r="AU1594" s="227"/>
      <c r="AV1594" s="227"/>
      <c r="AW1594" s="227"/>
      <c r="AX1594" s="227"/>
      <c r="AY1594" s="227"/>
      <c r="AZ1594" s="227"/>
      <c r="BA1594" s="227"/>
      <c r="BB1594" s="227"/>
      <c r="BC1594" s="227"/>
      <c r="BD1594" s="227"/>
      <c r="BE1594" s="227"/>
      <c r="BF1594" s="227"/>
      <c r="BG1594" s="227"/>
      <c r="BH1594" s="227"/>
      <c r="BI1594" s="227"/>
      <c r="BJ1594" s="227"/>
      <c r="BK1594" s="227"/>
      <c r="BL1594" s="227"/>
    </row>
    <row r="1595" spans="27:64" ht="12.95" customHeight="1">
      <c r="AA1595" s="227"/>
      <c r="AB1595" s="227"/>
      <c r="AC1595" s="227"/>
      <c r="AD1595" s="227"/>
      <c r="AE1595" s="227"/>
      <c r="AG1595" s="19"/>
      <c r="AN1595" s="227"/>
      <c r="AO1595" s="227"/>
      <c r="AP1595" s="227"/>
      <c r="AQ1595" s="227"/>
      <c r="AR1595" s="227"/>
      <c r="AS1595" s="227"/>
      <c r="AT1595" s="227"/>
      <c r="AU1595" s="227"/>
      <c r="AV1595" s="227"/>
    </row>
    <row r="1596" spans="27:64" ht="12.95" customHeight="1">
      <c r="AA1596" s="227"/>
      <c r="AB1596" s="227"/>
      <c r="AC1596" s="227"/>
      <c r="AD1596" s="227"/>
      <c r="AE1596" s="227"/>
      <c r="AG1596" s="19"/>
      <c r="AN1596" s="227"/>
      <c r="AO1596" s="227"/>
      <c r="AP1596" s="227"/>
      <c r="AQ1596" s="227"/>
      <c r="AR1596" s="227"/>
      <c r="AS1596" s="227"/>
      <c r="AT1596" s="227"/>
      <c r="AU1596" s="227"/>
      <c r="AV1596" s="227"/>
      <c r="AX1596" s="227"/>
    </row>
    <row r="1597" spans="27:64" ht="12.95" customHeight="1">
      <c r="AA1597" s="227"/>
      <c r="AB1597" s="227"/>
      <c r="AC1597" s="227"/>
      <c r="AD1597" s="227"/>
      <c r="AE1597" s="227"/>
      <c r="AG1597" s="19"/>
      <c r="AN1597" s="227"/>
      <c r="AO1597" s="227"/>
      <c r="AP1597" s="227"/>
      <c r="AQ1597" s="227"/>
      <c r="AR1597" s="227"/>
      <c r="AS1597" s="227"/>
      <c r="AT1597" s="227"/>
      <c r="AU1597" s="227"/>
    </row>
    <row r="1598" spans="27:64" ht="12.95" customHeight="1">
      <c r="AA1598" s="227"/>
      <c r="AB1598" s="227"/>
      <c r="AC1598" s="227"/>
      <c r="AD1598" s="227"/>
      <c r="AE1598" s="227"/>
      <c r="AG1598" s="19"/>
      <c r="AN1598" s="227"/>
      <c r="AO1598" s="227"/>
      <c r="AP1598" s="227"/>
      <c r="AQ1598" s="227"/>
      <c r="AR1598" s="227"/>
      <c r="AS1598" s="227"/>
      <c r="AT1598" s="227"/>
      <c r="AU1598" s="227"/>
      <c r="AV1598" s="227"/>
      <c r="AX1598" s="227"/>
    </row>
    <row r="1599" spans="27:64" ht="12.95" customHeight="1">
      <c r="AA1599" s="227"/>
      <c r="AB1599" s="227"/>
      <c r="AC1599" s="227"/>
      <c r="AD1599" s="227"/>
      <c r="AE1599" s="227"/>
      <c r="AG1599" s="19"/>
      <c r="AN1599" s="227"/>
      <c r="AO1599" s="227"/>
      <c r="AP1599" s="227"/>
      <c r="AQ1599" s="227"/>
      <c r="AR1599" s="227"/>
      <c r="AS1599" s="227"/>
      <c r="AT1599" s="227"/>
      <c r="AU1599" s="227"/>
    </row>
    <row r="1600" spans="27:64" ht="12.95" customHeight="1">
      <c r="AA1600" s="227"/>
      <c r="AB1600" s="227"/>
      <c r="AC1600" s="227"/>
      <c r="AD1600" s="227"/>
      <c r="AE1600" s="227"/>
      <c r="AG1600" s="19"/>
      <c r="AN1600" s="227"/>
      <c r="AO1600" s="227"/>
      <c r="AP1600" s="227"/>
      <c r="AQ1600" s="227"/>
      <c r="AR1600" s="227"/>
      <c r="AS1600" s="227"/>
      <c r="AT1600" s="227"/>
      <c r="AU1600" s="227"/>
      <c r="AV1600" s="227"/>
    </row>
    <row r="1601" spans="27:64" ht="12.95" customHeight="1">
      <c r="AA1601" s="227"/>
      <c r="AB1601" s="227"/>
      <c r="AC1601" s="227"/>
      <c r="AD1601" s="227"/>
      <c r="AE1601" s="227"/>
      <c r="AG1601" s="19"/>
      <c r="AN1601" s="227"/>
      <c r="AO1601" s="227"/>
      <c r="AP1601" s="227"/>
      <c r="AQ1601" s="227"/>
      <c r="AR1601" s="227"/>
      <c r="AS1601" s="227"/>
      <c r="AT1601" s="227"/>
      <c r="AU1601" s="227"/>
      <c r="AV1601" s="227"/>
      <c r="AW1601" s="227"/>
      <c r="AX1601" s="227"/>
      <c r="AY1601" s="227"/>
      <c r="AZ1601" s="227"/>
      <c r="BA1601" s="227"/>
      <c r="BB1601" s="227"/>
      <c r="BC1601" s="227"/>
      <c r="BD1601" s="227"/>
      <c r="BE1601" s="227"/>
      <c r="BF1601" s="227"/>
      <c r="BG1601" s="227"/>
      <c r="BH1601" s="227"/>
      <c r="BI1601" s="227"/>
      <c r="BJ1601" s="227"/>
      <c r="BK1601" s="227"/>
      <c r="BL1601" s="227"/>
    </row>
    <row r="1602" spans="27:64" ht="12.95" customHeight="1">
      <c r="AA1602" s="227"/>
      <c r="AB1602" s="227"/>
      <c r="AC1602" s="227"/>
      <c r="AD1602" s="227"/>
      <c r="AE1602" s="227"/>
      <c r="AG1602" s="19"/>
      <c r="AN1602" s="227"/>
      <c r="AO1602" s="227"/>
      <c r="AP1602" s="227"/>
      <c r="AQ1602" s="227"/>
      <c r="AR1602" s="227"/>
      <c r="AS1602" s="227"/>
      <c r="AT1602" s="227"/>
      <c r="AU1602" s="227"/>
    </row>
    <row r="1603" spans="27:64" ht="12.95" customHeight="1">
      <c r="AA1603" s="227"/>
      <c r="AB1603" s="227"/>
      <c r="AC1603" s="227"/>
      <c r="AD1603" s="227"/>
      <c r="AE1603" s="227"/>
      <c r="AG1603" s="19"/>
      <c r="AN1603" s="227"/>
      <c r="AO1603" s="227"/>
      <c r="AP1603" s="227"/>
      <c r="AQ1603" s="227"/>
      <c r="AR1603" s="227"/>
      <c r="AS1603" s="227"/>
      <c r="AT1603" s="227"/>
      <c r="AU1603" s="227"/>
      <c r="AV1603" s="227"/>
    </row>
    <row r="1604" spans="27:64" ht="12.95" customHeight="1">
      <c r="AA1604" s="227"/>
      <c r="AB1604" s="227"/>
      <c r="AC1604" s="227"/>
      <c r="AD1604" s="227"/>
      <c r="AE1604" s="227"/>
      <c r="AG1604" s="19"/>
      <c r="AN1604" s="227"/>
      <c r="AO1604" s="227"/>
      <c r="AP1604" s="227"/>
      <c r="AQ1604" s="227"/>
      <c r="AR1604" s="227"/>
      <c r="AS1604" s="227"/>
      <c r="AT1604" s="227"/>
      <c r="AU1604" s="227"/>
    </row>
    <row r="1605" spans="27:64" ht="12.95" customHeight="1">
      <c r="AA1605" s="227"/>
      <c r="AB1605" s="227"/>
      <c r="AC1605" s="227"/>
      <c r="AD1605" s="227"/>
      <c r="AE1605" s="227"/>
      <c r="AG1605" s="19"/>
      <c r="AN1605" s="227"/>
      <c r="AO1605" s="227"/>
      <c r="AP1605" s="227"/>
      <c r="AQ1605" s="227"/>
      <c r="AR1605" s="227"/>
      <c r="AS1605" s="227"/>
      <c r="AT1605" s="227"/>
      <c r="AU1605" s="227"/>
      <c r="AV1605" s="227"/>
      <c r="AX1605" s="227"/>
    </row>
    <row r="1606" spans="27:64" ht="12.95" customHeight="1">
      <c r="AA1606" s="227"/>
      <c r="AB1606" s="227"/>
      <c r="AC1606" s="227"/>
      <c r="AD1606" s="227"/>
      <c r="AE1606" s="227"/>
      <c r="AG1606" s="19"/>
      <c r="AN1606" s="227"/>
      <c r="AO1606" s="227"/>
      <c r="AP1606" s="227"/>
      <c r="AQ1606" s="227"/>
      <c r="AR1606" s="227"/>
      <c r="AS1606" s="227"/>
      <c r="AT1606" s="227"/>
      <c r="AU1606" s="227"/>
      <c r="AV1606" s="227"/>
    </row>
    <row r="1607" spans="27:64" ht="12.95" customHeight="1">
      <c r="AA1607" s="227"/>
      <c r="AB1607" s="227"/>
      <c r="AC1607" s="227"/>
      <c r="AD1607" s="227"/>
      <c r="AE1607" s="227"/>
      <c r="AG1607" s="19"/>
      <c r="AN1607" s="227"/>
      <c r="AO1607" s="227"/>
      <c r="AP1607" s="227"/>
      <c r="AQ1607" s="227"/>
      <c r="AR1607" s="227"/>
      <c r="AS1607" s="227"/>
      <c r="AT1607" s="227"/>
      <c r="AU1607" s="227"/>
    </row>
    <row r="1608" spans="27:64" ht="12.95" customHeight="1">
      <c r="AA1608" s="227"/>
      <c r="AB1608" s="227"/>
      <c r="AC1608" s="227"/>
      <c r="AD1608" s="227"/>
      <c r="AE1608" s="227"/>
      <c r="AG1608" s="19"/>
      <c r="AN1608" s="227"/>
      <c r="AO1608" s="227"/>
      <c r="AP1608" s="227"/>
      <c r="AQ1608" s="227"/>
      <c r="AR1608" s="227"/>
      <c r="AS1608" s="227"/>
      <c r="AT1608" s="227"/>
      <c r="AU1608" s="227"/>
    </row>
    <row r="1609" spans="27:64" ht="12.95" customHeight="1">
      <c r="AA1609" s="227"/>
      <c r="AB1609" s="227"/>
      <c r="AC1609" s="227"/>
      <c r="AD1609" s="227"/>
      <c r="AE1609" s="227"/>
      <c r="AG1609" s="19"/>
      <c r="AN1609" s="227"/>
      <c r="AO1609" s="227"/>
      <c r="AP1609" s="227"/>
      <c r="AQ1609" s="227"/>
      <c r="AR1609" s="227"/>
      <c r="AS1609" s="227"/>
      <c r="AT1609" s="227"/>
      <c r="AU1609" s="227"/>
      <c r="AV1609" s="227"/>
      <c r="AX1609" s="227"/>
      <c r="AY1609" s="227"/>
      <c r="AZ1609" s="227"/>
      <c r="BA1609" s="227"/>
      <c r="BB1609" s="227"/>
      <c r="BC1609" s="227"/>
      <c r="BD1609" s="227"/>
      <c r="BE1609" s="227"/>
      <c r="BF1609" s="227"/>
      <c r="BG1609" s="227"/>
      <c r="BH1609" s="227"/>
      <c r="BI1609" s="227"/>
      <c r="BJ1609" s="227"/>
      <c r="BK1609" s="227"/>
      <c r="BL1609" s="227"/>
    </row>
    <row r="1610" spans="27:64" ht="12.95" customHeight="1">
      <c r="AA1610" s="227"/>
      <c r="AB1610" s="227"/>
      <c r="AC1610" s="227"/>
      <c r="AD1610" s="227"/>
      <c r="AE1610" s="227"/>
      <c r="AG1610" s="19"/>
      <c r="AN1610" s="227"/>
      <c r="AO1610" s="227"/>
      <c r="AP1610" s="227"/>
      <c r="AQ1610" s="227"/>
      <c r="AR1610" s="227"/>
      <c r="AS1610" s="227"/>
      <c r="AT1610" s="227"/>
      <c r="AU1610" s="227"/>
      <c r="AV1610" s="227"/>
    </row>
    <row r="1611" spans="27:64" ht="12.95" customHeight="1">
      <c r="AA1611" s="227"/>
      <c r="AB1611" s="227"/>
      <c r="AC1611" s="227"/>
      <c r="AD1611" s="227"/>
      <c r="AE1611" s="227"/>
      <c r="AG1611" s="19"/>
      <c r="AN1611" s="227"/>
      <c r="AO1611" s="227"/>
      <c r="AP1611" s="227"/>
      <c r="AQ1611" s="227"/>
      <c r="AR1611" s="227"/>
      <c r="AS1611" s="227"/>
      <c r="AT1611" s="227"/>
      <c r="AU1611" s="227"/>
      <c r="AV1611" s="227"/>
    </row>
    <row r="1612" spans="27:64" ht="12.95" customHeight="1">
      <c r="AA1612" s="227"/>
      <c r="AB1612" s="227"/>
      <c r="AC1612" s="227"/>
      <c r="AD1612" s="227"/>
      <c r="AE1612" s="227"/>
      <c r="AG1612" s="19"/>
      <c r="AN1612" s="227"/>
      <c r="AO1612" s="227"/>
      <c r="AP1612" s="227"/>
      <c r="AQ1612" s="227"/>
      <c r="AR1612" s="227"/>
      <c r="AS1612" s="227"/>
      <c r="AT1612" s="227"/>
      <c r="AU1612" s="227"/>
      <c r="AV1612" s="227"/>
    </row>
    <row r="1613" spans="27:64" ht="12.95" customHeight="1">
      <c r="AA1613" s="227"/>
      <c r="AB1613" s="227"/>
      <c r="AC1613" s="227"/>
      <c r="AD1613" s="227"/>
      <c r="AE1613" s="227"/>
      <c r="AG1613" s="19"/>
      <c r="AN1613" s="227"/>
      <c r="AO1613" s="227"/>
      <c r="AP1613" s="227"/>
      <c r="AQ1613" s="227"/>
      <c r="AR1613" s="227"/>
      <c r="AS1613" s="227"/>
      <c r="AT1613" s="227"/>
      <c r="AU1613" s="227"/>
      <c r="AV1613" s="227"/>
      <c r="AX1613" s="227"/>
    </row>
    <row r="1614" spans="27:64" ht="12.95" customHeight="1">
      <c r="AA1614" s="227"/>
      <c r="AB1614" s="227"/>
      <c r="AC1614" s="227"/>
      <c r="AD1614" s="227"/>
      <c r="AE1614" s="227"/>
      <c r="AG1614" s="19"/>
      <c r="AN1614" s="227"/>
      <c r="AO1614" s="227"/>
      <c r="AP1614" s="227"/>
      <c r="AQ1614" s="227"/>
      <c r="AR1614" s="227"/>
      <c r="AS1614" s="227"/>
      <c r="AT1614" s="227"/>
      <c r="AU1614" s="227"/>
      <c r="AV1614" s="227"/>
    </row>
    <row r="1615" spans="27:64" ht="12.95" customHeight="1">
      <c r="AA1615" s="227"/>
      <c r="AB1615" s="227"/>
      <c r="AC1615" s="227"/>
      <c r="AD1615" s="227"/>
      <c r="AE1615" s="227"/>
      <c r="AG1615" s="19"/>
      <c r="AN1615" s="227"/>
      <c r="AO1615" s="227"/>
      <c r="AP1615" s="227"/>
      <c r="AQ1615" s="227"/>
      <c r="AR1615" s="227"/>
      <c r="AS1615" s="227"/>
      <c r="AT1615" s="227"/>
      <c r="AU1615" s="227"/>
      <c r="AV1615" s="227"/>
    </row>
    <row r="1616" spans="27:64" ht="12.95" customHeight="1">
      <c r="AA1616" s="227"/>
      <c r="AB1616" s="227"/>
      <c r="AC1616" s="227"/>
      <c r="AD1616" s="227"/>
      <c r="AE1616" s="227"/>
      <c r="AG1616" s="19"/>
      <c r="AN1616" s="227"/>
      <c r="AO1616" s="227"/>
      <c r="AP1616" s="227"/>
      <c r="AQ1616" s="227"/>
      <c r="AR1616" s="227"/>
      <c r="AS1616" s="227"/>
      <c r="AT1616" s="227"/>
      <c r="AU1616" s="227"/>
      <c r="AV1616" s="227"/>
      <c r="AW1616" s="227"/>
      <c r="AX1616" s="227"/>
      <c r="AY1616" s="227"/>
      <c r="AZ1616" s="227"/>
      <c r="BA1616" s="227"/>
      <c r="BB1616" s="227"/>
      <c r="BC1616" s="227"/>
      <c r="BD1616" s="227"/>
      <c r="BE1616" s="227"/>
      <c r="BF1616" s="227"/>
      <c r="BG1616" s="227"/>
      <c r="BH1616" s="227"/>
      <c r="BI1616" s="227"/>
      <c r="BJ1616" s="227"/>
      <c r="BK1616" s="227"/>
      <c r="BL1616" s="227"/>
    </row>
    <row r="1617" spans="27:64" ht="12.95" customHeight="1">
      <c r="AA1617" s="227"/>
      <c r="AB1617" s="227"/>
      <c r="AC1617" s="227"/>
      <c r="AD1617" s="227"/>
      <c r="AE1617" s="227"/>
      <c r="AG1617" s="19"/>
      <c r="AN1617" s="227"/>
      <c r="AO1617" s="227"/>
      <c r="AP1617" s="227"/>
      <c r="AQ1617" s="227"/>
      <c r="AR1617" s="227"/>
      <c r="AS1617" s="227"/>
      <c r="AT1617" s="227"/>
      <c r="AU1617" s="227"/>
      <c r="AV1617" s="227"/>
      <c r="AX1617" s="227"/>
      <c r="AY1617" s="227"/>
      <c r="AZ1617" s="227"/>
      <c r="BA1617" s="227"/>
      <c r="BB1617" s="227"/>
      <c r="BC1617" s="227"/>
      <c r="BD1617" s="227"/>
      <c r="BE1617" s="227"/>
      <c r="BF1617" s="227"/>
      <c r="BG1617" s="227"/>
      <c r="BH1617" s="227"/>
      <c r="BI1617" s="227"/>
      <c r="BJ1617" s="227"/>
      <c r="BK1617" s="227"/>
      <c r="BL1617" s="227"/>
    </row>
    <row r="1618" spans="27:64" ht="12.95" customHeight="1">
      <c r="AA1618" s="227"/>
      <c r="AB1618" s="227"/>
      <c r="AC1618" s="227"/>
      <c r="AD1618" s="227"/>
      <c r="AE1618" s="227"/>
      <c r="AG1618" s="19"/>
      <c r="AN1618" s="227"/>
      <c r="AO1618" s="227"/>
      <c r="AP1618" s="227"/>
      <c r="AQ1618" s="227"/>
      <c r="AR1618" s="227"/>
      <c r="AS1618" s="227"/>
      <c r="AT1618" s="227"/>
      <c r="AU1618" s="227"/>
      <c r="AV1618" s="227"/>
      <c r="AX1618" s="227"/>
    </row>
    <row r="1619" spans="27:64" ht="12.95" customHeight="1">
      <c r="AA1619" s="227"/>
      <c r="AB1619" s="227"/>
      <c r="AC1619" s="227"/>
      <c r="AD1619" s="227"/>
      <c r="AE1619" s="227"/>
      <c r="AG1619" s="19"/>
      <c r="AN1619" s="227"/>
      <c r="AO1619" s="227"/>
      <c r="AP1619" s="227"/>
      <c r="AQ1619" s="227"/>
      <c r="AR1619" s="227"/>
      <c r="AS1619" s="227"/>
      <c r="AT1619" s="227"/>
      <c r="AU1619" s="227"/>
      <c r="AV1619" s="227"/>
      <c r="AW1619" s="227"/>
      <c r="AX1619" s="227"/>
      <c r="AY1619" s="227"/>
      <c r="AZ1619" s="227"/>
      <c r="BA1619" s="227"/>
      <c r="BB1619" s="227"/>
      <c r="BC1619" s="227"/>
      <c r="BD1619" s="227"/>
      <c r="BE1619" s="227"/>
      <c r="BF1619" s="227"/>
      <c r="BG1619" s="227"/>
      <c r="BH1619" s="227"/>
      <c r="BI1619" s="227"/>
      <c r="BJ1619" s="227"/>
      <c r="BK1619" s="227"/>
      <c r="BL1619" s="227"/>
    </row>
    <row r="1620" spans="27:64" ht="12.95" customHeight="1">
      <c r="AA1620" s="227"/>
      <c r="AB1620" s="227"/>
      <c r="AC1620" s="227"/>
      <c r="AD1620" s="227"/>
      <c r="AE1620" s="227"/>
      <c r="AG1620" s="19"/>
      <c r="AN1620" s="227"/>
      <c r="AO1620" s="227"/>
      <c r="AP1620" s="227"/>
      <c r="AQ1620" s="227"/>
      <c r="AR1620" s="227"/>
      <c r="AS1620" s="227"/>
      <c r="AT1620" s="227"/>
      <c r="AU1620" s="227"/>
    </row>
    <row r="1621" spans="27:64" ht="12.95" customHeight="1">
      <c r="AA1621" s="227"/>
      <c r="AB1621" s="227"/>
      <c r="AC1621" s="227"/>
      <c r="AD1621" s="227"/>
      <c r="AE1621" s="227"/>
      <c r="AG1621" s="19"/>
      <c r="AN1621" s="227"/>
      <c r="AO1621" s="227"/>
      <c r="AP1621" s="227"/>
      <c r="AQ1621" s="227"/>
      <c r="AR1621" s="227"/>
      <c r="AS1621" s="227"/>
      <c r="AT1621" s="227"/>
      <c r="AU1621" s="227"/>
    </row>
    <row r="1622" spans="27:64" ht="12.95" customHeight="1">
      <c r="AA1622" s="227"/>
      <c r="AB1622" s="227"/>
      <c r="AC1622" s="227"/>
      <c r="AD1622" s="227"/>
      <c r="AE1622" s="227"/>
      <c r="AG1622" s="19"/>
      <c r="AN1622" s="227"/>
      <c r="AO1622" s="227"/>
      <c r="AP1622" s="227"/>
      <c r="AQ1622" s="227"/>
      <c r="AR1622" s="227"/>
      <c r="AS1622" s="227"/>
      <c r="AT1622" s="227"/>
      <c r="AU1622" s="227"/>
      <c r="AV1622" s="227"/>
      <c r="AX1622" s="227"/>
      <c r="AY1622" s="227"/>
      <c r="AZ1622" s="227"/>
      <c r="BA1622" s="227"/>
      <c r="BB1622" s="227"/>
      <c r="BC1622" s="227"/>
      <c r="BD1622" s="227"/>
      <c r="BE1622" s="227"/>
      <c r="BF1622" s="227"/>
      <c r="BG1622" s="227"/>
      <c r="BH1622" s="227"/>
      <c r="BI1622" s="227"/>
      <c r="BJ1622" s="227"/>
      <c r="BK1622" s="227"/>
      <c r="BL1622" s="227"/>
    </row>
    <row r="1623" spans="27:64" ht="12.95" customHeight="1">
      <c r="AA1623" s="227"/>
      <c r="AB1623" s="227"/>
      <c r="AC1623" s="227"/>
      <c r="AD1623" s="227"/>
      <c r="AE1623" s="227"/>
      <c r="AG1623" s="19"/>
      <c r="AN1623" s="227"/>
      <c r="AO1623" s="227"/>
      <c r="AP1623" s="227"/>
      <c r="AQ1623" s="227"/>
      <c r="AR1623" s="227"/>
      <c r="AS1623" s="227"/>
      <c r="AT1623" s="227"/>
      <c r="AU1623" s="227"/>
      <c r="AV1623" s="227"/>
    </row>
    <row r="1624" spans="27:64" ht="12.95" customHeight="1">
      <c r="AA1624" s="227"/>
      <c r="AB1624" s="227"/>
      <c r="AC1624" s="227"/>
      <c r="AD1624" s="227"/>
      <c r="AE1624" s="227"/>
      <c r="AG1624" s="19"/>
      <c r="AN1624" s="227"/>
      <c r="AO1624" s="227"/>
      <c r="AP1624" s="227"/>
      <c r="AQ1624" s="227"/>
      <c r="AR1624" s="227"/>
      <c r="AS1624" s="227"/>
      <c r="AT1624" s="227"/>
      <c r="AU1624" s="227"/>
      <c r="AV1624" s="227"/>
      <c r="AW1624" s="227"/>
      <c r="AX1624" s="227"/>
      <c r="AY1624" s="227"/>
      <c r="AZ1624" s="227"/>
      <c r="BA1624" s="227"/>
      <c r="BB1624" s="227"/>
      <c r="BC1624" s="227"/>
      <c r="BD1624" s="227"/>
      <c r="BE1624" s="227"/>
      <c r="BF1624" s="227"/>
      <c r="BG1624" s="227"/>
      <c r="BH1624" s="227"/>
      <c r="BI1624" s="227"/>
      <c r="BJ1624" s="227"/>
      <c r="BK1624" s="227"/>
      <c r="BL1624" s="227"/>
    </row>
    <row r="1625" spans="27:64" ht="12.95" customHeight="1">
      <c r="AA1625" s="227"/>
      <c r="AB1625" s="227"/>
      <c r="AC1625" s="227"/>
      <c r="AD1625" s="227"/>
      <c r="AE1625" s="227"/>
      <c r="AG1625" s="19"/>
      <c r="AN1625" s="227"/>
      <c r="AO1625" s="227"/>
      <c r="AP1625" s="227"/>
      <c r="AQ1625" s="227"/>
      <c r="AR1625" s="227"/>
      <c r="AS1625" s="227"/>
      <c r="AT1625" s="227"/>
      <c r="AU1625" s="227"/>
    </row>
    <row r="1626" spans="27:64" ht="12.95" customHeight="1">
      <c r="AA1626" s="227"/>
      <c r="AB1626" s="227"/>
      <c r="AC1626" s="227"/>
      <c r="AD1626" s="227"/>
      <c r="AE1626" s="227"/>
      <c r="AG1626" s="19"/>
      <c r="AN1626" s="227"/>
      <c r="AO1626" s="227"/>
      <c r="AP1626" s="227"/>
      <c r="AQ1626" s="227"/>
      <c r="AR1626" s="227"/>
      <c r="AS1626" s="227"/>
      <c r="AT1626" s="227"/>
      <c r="AU1626" s="227"/>
      <c r="AV1626" s="227"/>
      <c r="AW1626" s="227"/>
      <c r="AX1626" s="227"/>
      <c r="AY1626" s="227"/>
      <c r="AZ1626" s="227"/>
      <c r="BA1626" s="227"/>
      <c r="BB1626" s="227"/>
      <c r="BC1626" s="227"/>
      <c r="BD1626" s="227"/>
      <c r="BE1626" s="227"/>
      <c r="BF1626" s="227"/>
      <c r="BG1626" s="227"/>
      <c r="BH1626" s="227"/>
      <c r="BI1626" s="227"/>
      <c r="BJ1626" s="227"/>
      <c r="BK1626" s="227"/>
      <c r="BL1626" s="227"/>
    </row>
    <row r="1627" spans="27:64" ht="12.95" customHeight="1">
      <c r="AA1627" s="227"/>
      <c r="AB1627" s="227"/>
      <c r="AC1627" s="227"/>
      <c r="AD1627" s="227"/>
      <c r="AE1627" s="227"/>
      <c r="AG1627" s="19"/>
      <c r="AN1627" s="227"/>
      <c r="AO1627" s="227"/>
      <c r="AP1627" s="227"/>
      <c r="AQ1627" s="227"/>
      <c r="AR1627" s="227"/>
      <c r="AS1627" s="227"/>
      <c r="AT1627" s="227"/>
      <c r="AU1627" s="227"/>
    </row>
    <row r="1628" spans="27:64" ht="12.95" customHeight="1">
      <c r="AA1628" s="227"/>
      <c r="AB1628" s="227"/>
      <c r="AC1628" s="227"/>
      <c r="AD1628" s="227"/>
      <c r="AE1628" s="227"/>
      <c r="AG1628" s="19"/>
      <c r="AN1628" s="227"/>
      <c r="AO1628" s="227"/>
      <c r="AP1628" s="227"/>
      <c r="AQ1628" s="227"/>
      <c r="AR1628" s="227"/>
      <c r="AS1628" s="227"/>
      <c r="AT1628" s="227"/>
      <c r="AU1628" s="227"/>
    </row>
    <row r="1629" spans="27:64" ht="12.95" customHeight="1">
      <c r="AA1629" s="227"/>
      <c r="AB1629" s="227"/>
      <c r="AC1629" s="227"/>
      <c r="AD1629" s="227"/>
      <c r="AE1629" s="227"/>
      <c r="AG1629" s="19"/>
      <c r="AN1629" s="227"/>
      <c r="AO1629" s="227"/>
      <c r="AP1629" s="227"/>
      <c r="AQ1629" s="227"/>
      <c r="AR1629" s="227"/>
      <c r="AS1629" s="227"/>
      <c r="AT1629" s="227"/>
      <c r="AU1629" s="227"/>
    </row>
    <row r="1630" spans="27:64" ht="12.95" customHeight="1">
      <c r="AA1630" s="227"/>
      <c r="AB1630" s="227"/>
      <c r="AC1630" s="227"/>
      <c r="AD1630" s="227"/>
      <c r="AE1630" s="227"/>
      <c r="AG1630" s="19"/>
      <c r="AN1630" s="227"/>
      <c r="AO1630" s="227"/>
      <c r="AP1630" s="227"/>
      <c r="AQ1630" s="227"/>
      <c r="AR1630" s="227"/>
      <c r="AS1630" s="227"/>
      <c r="AT1630" s="227"/>
      <c r="AU1630" s="227"/>
    </row>
    <row r="1631" spans="27:64" ht="12.95" customHeight="1">
      <c r="AA1631" s="227"/>
      <c r="AB1631" s="227"/>
      <c r="AC1631" s="227"/>
      <c r="AD1631" s="227"/>
      <c r="AE1631" s="227"/>
      <c r="AG1631" s="19"/>
      <c r="AN1631" s="227"/>
      <c r="AO1631" s="227"/>
      <c r="AP1631" s="227"/>
      <c r="AQ1631" s="227"/>
      <c r="AR1631" s="227"/>
      <c r="AS1631" s="227"/>
      <c r="AT1631" s="227"/>
      <c r="AU1631" s="227"/>
    </row>
    <row r="1632" spans="27:64" ht="12.95" customHeight="1">
      <c r="AA1632" s="227"/>
      <c r="AB1632" s="227"/>
      <c r="AC1632" s="227"/>
      <c r="AD1632" s="227"/>
      <c r="AE1632" s="227"/>
      <c r="AG1632" s="19"/>
      <c r="AN1632" s="227"/>
      <c r="AO1632" s="227"/>
      <c r="AP1632" s="227"/>
      <c r="AQ1632" s="227"/>
      <c r="AR1632" s="227"/>
      <c r="AS1632" s="227"/>
      <c r="AT1632" s="227"/>
      <c r="AU1632" s="227"/>
      <c r="AV1632" s="227"/>
      <c r="AX1632" s="227"/>
    </row>
    <row r="1633" spans="27:64" ht="12.95" customHeight="1">
      <c r="AA1633" s="227"/>
      <c r="AB1633" s="227"/>
      <c r="AC1633" s="227"/>
      <c r="AD1633" s="227"/>
      <c r="AE1633" s="227"/>
      <c r="AG1633" s="19"/>
      <c r="AN1633" s="227"/>
      <c r="AO1633" s="227"/>
      <c r="AP1633" s="227"/>
      <c r="AQ1633" s="227"/>
      <c r="AR1633" s="227"/>
      <c r="AS1633" s="227"/>
      <c r="AT1633" s="227"/>
      <c r="AU1633" s="227"/>
      <c r="AV1633" s="227"/>
      <c r="AX1633" s="227"/>
    </row>
    <row r="1634" spans="27:64" ht="12.95" customHeight="1">
      <c r="AA1634" s="227"/>
      <c r="AB1634" s="227"/>
      <c r="AC1634" s="227"/>
      <c r="AD1634" s="227"/>
      <c r="AE1634" s="227"/>
      <c r="AG1634" s="19"/>
      <c r="AN1634" s="227"/>
      <c r="AO1634" s="227"/>
      <c r="AP1634" s="227"/>
      <c r="AQ1634" s="227"/>
      <c r="AR1634" s="227"/>
      <c r="AS1634" s="227"/>
      <c r="AT1634" s="227"/>
      <c r="AU1634" s="227"/>
      <c r="AV1634" s="227"/>
      <c r="AW1634" s="227"/>
      <c r="AX1634" s="227"/>
      <c r="AY1634" s="227"/>
      <c r="AZ1634" s="227"/>
      <c r="BA1634" s="227"/>
      <c r="BB1634" s="227"/>
      <c r="BC1634" s="227"/>
      <c r="BD1634" s="227"/>
      <c r="BE1634" s="227"/>
      <c r="BF1634" s="227"/>
      <c r="BG1634" s="227"/>
      <c r="BH1634" s="227"/>
      <c r="BI1634" s="227"/>
      <c r="BJ1634" s="227"/>
      <c r="BK1634" s="227"/>
      <c r="BL1634" s="227"/>
    </row>
    <row r="1635" spans="27:64" ht="12.95" customHeight="1">
      <c r="AA1635" s="227"/>
      <c r="AB1635" s="227"/>
      <c r="AC1635" s="227"/>
      <c r="AD1635" s="227"/>
      <c r="AE1635" s="227"/>
      <c r="AG1635" s="19"/>
      <c r="AN1635" s="227"/>
      <c r="AO1635" s="227"/>
      <c r="AP1635" s="227"/>
      <c r="AQ1635" s="227"/>
      <c r="AR1635" s="227"/>
      <c r="AS1635" s="227"/>
      <c r="AT1635" s="227"/>
      <c r="AU1635" s="227"/>
    </row>
    <row r="1636" spans="27:64" ht="12.95" customHeight="1">
      <c r="AA1636" s="227"/>
      <c r="AB1636" s="227"/>
      <c r="AC1636" s="227"/>
      <c r="AD1636" s="227"/>
      <c r="AE1636" s="227"/>
      <c r="AG1636" s="19"/>
      <c r="AN1636" s="227"/>
      <c r="AO1636" s="227"/>
      <c r="AP1636" s="227"/>
      <c r="AQ1636" s="227"/>
      <c r="AR1636" s="227"/>
      <c r="AS1636" s="227"/>
      <c r="AT1636" s="227"/>
      <c r="AU1636" s="227"/>
      <c r="AV1636" s="227"/>
      <c r="AX1636" s="227"/>
      <c r="AY1636" s="227"/>
      <c r="AZ1636" s="227"/>
      <c r="BA1636" s="227"/>
      <c r="BB1636" s="227"/>
      <c r="BC1636" s="227"/>
      <c r="BD1636" s="227"/>
      <c r="BE1636" s="227"/>
      <c r="BF1636" s="227"/>
      <c r="BG1636" s="227"/>
      <c r="BH1636" s="227"/>
      <c r="BI1636" s="227"/>
      <c r="BJ1636" s="227"/>
      <c r="BK1636" s="227"/>
      <c r="BL1636" s="227"/>
    </row>
    <row r="1637" spans="27:64" ht="12.95" customHeight="1">
      <c r="AA1637" s="227"/>
      <c r="AB1637" s="227"/>
      <c r="AC1637" s="227"/>
      <c r="AD1637" s="227"/>
      <c r="AE1637" s="227"/>
      <c r="AG1637" s="19"/>
      <c r="AN1637" s="227"/>
      <c r="AO1637" s="227"/>
      <c r="AP1637" s="227"/>
      <c r="AQ1637" s="227"/>
      <c r="AR1637" s="227"/>
      <c r="AS1637" s="227"/>
      <c r="AT1637" s="227"/>
      <c r="AU1637" s="227"/>
      <c r="AV1637" s="238"/>
    </row>
    <row r="1638" spans="27:64" ht="12.95" customHeight="1">
      <c r="AA1638" s="227"/>
      <c r="AB1638" s="227"/>
      <c r="AC1638" s="227"/>
      <c r="AD1638" s="227"/>
      <c r="AE1638" s="227"/>
      <c r="AG1638" s="19"/>
      <c r="AN1638" s="227"/>
      <c r="AO1638" s="227"/>
      <c r="AP1638" s="227"/>
      <c r="AQ1638" s="227"/>
      <c r="AR1638" s="227"/>
      <c r="AS1638" s="227"/>
      <c r="AT1638" s="227"/>
      <c r="AU1638" s="227"/>
      <c r="AV1638" s="227"/>
    </row>
    <row r="1639" spans="27:64" ht="12.95" customHeight="1">
      <c r="AA1639" s="227"/>
      <c r="AB1639" s="227"/>
      <c r="AC1639" s="227"/>
      <c r="AD1639" s="227"/>
      <c r="AE1639" s="227"/>
      <c r="AG1639" s="19"/>
      <c r="AN1639" s="227"/>
      <c r="AO1639" s="227"/>
      <c r="AP1639" s="227"/>
      <c r="AQ1639" s="227"/>
      <c r="AR1639" s="227"/>
      <c r="AS1639" s="227"/>
      <c r="AT1639" s="227"/>
      <c r="AU1639" s="227"/>
      <c r="AV1639" s="227"/>
      <c r="AX1639" s="227"/>
      <c r="AY1639" s="227"/>
      <c r="AZ1639" s="227"/>
      <c r="BA1639" s="227"/>
      <c r="BB1639" s="227"/>
      <c r="BC1639" s="227"/>
      <c r="BD1639" s="227"/>
      <c r="BE1639" s="227"/>
      <c r="BF1639" s="227"/>
      <c r="BG1639" s="227"/>
      <c r="BH1639" s="227"/>
      <c r="BI1639" s="227"/>
      <c r="BJ1639" s="227"/>
      <c r="BK1639" s="227"/>
      <c r="BL1639" s="227"/>
    </row>
    <row r="1640" spans="27:64" ht="12.95" customHeight="1">
      <c r="AA1640" s="227"/>
      <c r="AB1640" s="227"/>
      <c r="AC1640" s="227"/>
      <c r="AD1640" s="227"/>
      <c r="AE1640" s="227"/>
      <c r="AG1640" s="19"/>
      <c r="AN1640" s="227"/>
      <c r="AO1640" s="227"/>
      <c r="AP1640" s="227"/>
      <c r="AQ1640" s="227"/>
      <c r="AR1640" s="227"/>
      <c r="AS1640" s="227"/>
      <c r="AT1640" s="227"/>
      <c r="AU1640" s="227"/>
      <c r="AV1640" s="227"/>
    </row>
    <row r="1641" spans="27:64" ht="12.95" customHeight="1">
      <c r="AA1641" s="227"/>
      <c r="AB1641" s="227"/>
      <c r="AC1641" s="227"/>
      <c r="AD1641" s="227"/>
      <c r="AE1641" s="227"/>
      <c r="AG1641" s="19"/>
      <c r="AN1641" s="227"/>
      <c r="AO1641" s="227"/>
      <c r="AP1641" s="227"/>
      <c r="AQ1641" s="227"/>
      <c r="AR1641" s="227"/>
      <c r="AS1641" s="227"/>
      <c r="AT1641" s="227"/>
      <c r="AU1641" s="227"/>
      <c r="AV1641" s="227"/>
    </row>
    <row r="1642" spans="27:64" ht="12.95" customHeight="1">
      <c r="AA1642" s="227"/>
      <c r="AB1642" s="227"/>
      <c r="AC1642" s="227"/>
      <c r="AD1642" s="227"/>
      <c r="AE1642" s="227"/>
      <c r="AG1642" s="19"/>
      <c r="AN1642" s="227"/>
      <c r="AO1642" s="227"/>
      <c r="AP1642" s="227"/>
      <c r="AQ1642" s="227"/>
      <c r="AR1642" s="227"/>
      <c r="AS1642" s="227"/>
      <c r="AT1642" s="227"/>
      <c r="AU1642" s="227"/>
    </row>
    <row r="1643" spans="27:64" ht="12.95" customHeight="1">
      <c r="AA1643" s="227"/>
      <c r="AB1643" s="227"/>
      <c r="AC1643" s="227"/>
      <c r="AD1643" s="227"/>
      <c r="AE1643" s="227"/>
      <c r="AG1643" s="19"/>
      <c r="AN1643" s="227"/>
      <c r="AO1643" s="227"/>
      <c r="AP1643" s="227"/>
      <c r="AQ1643" s="227"/>
      <c r="AR1643" s="227"/>
      <c r="AS1643" s="227"/>
      <c r="AT1643" s="227"/>
      <c r="AU1643" s="227"/>
    </row>
    <row r="1644" spans="27:64" ht="12.95" customHeight="1">
      <c r="AA1644" s="227"/>
      <c r="AB1644" s="227"/>
      <c r="AC1644" s="227"/>
      <c r="AD1644" s="227"/>
      <c r="AE1644" s="227"/>
      <c r="AG1644" s="19"/>
      <c r="AN1644" s="227"/>
      <c r="AO1644" s="227"/>
      <c r="AP1644" s="227"/>
      <c r="AQ1644" s="227"/>
      <c r="AR1644" s="227"/>
      <c r="AS1644" s="227"/>
      <c r="AT1644" s="227"/>
      <c r="AU1644" s="227"/>
    </row>
    <row r="1645" spans="27:64" ht="12.95" customHeight="1">
      <c r="AA1645" s="227"/>
      <c r="AB1645" s="227"/>
      <c r="AC1645" s="227"/>
      <c r="AD1645" s="227"/>
      <c r="AE1645" s="227"/>
      <c r="AG1645" s="19"/>
      <c r="AN1645" s="227"/>
      <c r="AO1645" s="227"/>
      <c r="AP1645" s="227"/>
      <c r="AQ1645" s="227"/>
      <c r="AR1645" s="227"/>
      <c r="AS1645" s="227"/>
      <c r="AT1645" s="227"/>
      <c r="AU1645" s="227"/>
    </row>
    <row r="1646" spans="27:64" ht="12.95" customHeight="1">
      <c r="AA1646" s="227"/>
      <c r="AB1646" s="227"/>
      <c r="AC1646" s="227"/>
      <c r="AD1646" s="227"/>
      <c r="AE1646" s="227"/>
      <c r="AG1646" s="19"/>
      <c r="AN1646" s="227"/>
      <c r="AO1646" s="227"/>
      <c r="AP1646" s="227"/>
      <c r="AQ1646" s="227"/>
      <c r="AR1646" s="227"/>
      <c r="AS1646" s="227"/>
      <c r="AT1646" s="227"/>
      <c r="AU1646" s="227"/>
    </row>
    <row r="1647" spans="27:64" ht="12.95" customHeight="1">
      <c r="AA1647" s="227"/>
      <c r="AB1647" s="227"/>
      <c r="AC1647" s="227"/>
      <c r="AD1647" s="227"/>
      <c r="AE1647" s="227"/>
      <c r="AG1647" s="19"/>
      <c r="AN1647" s="227"/>
      <c r="AO1647" s="227"/>
      <c r="AP1647" s="227"/>
      <c r="AQ1647" s="227"/>
      <c r="AR1647" s="227"/>
      <c r="AS1647" s="227"/>
      <c r="AT1647" s="227"/>
      <c r="AU1647" s="227"/>
    </row>
    <row r="1648" spans="27:64" ht="12.95" customHeight="1">
      <c r="AA1648" s="227"/>
      <c r="AB1648" s="227"/>
      <c r="AC1648" s="227"/>
      <c r="AD1648" s="227"/>
      <c r="AE1648" s="227"/>
      <c r="AG1648" s="19"/>
      <c r="AN1648" s="227"/>
      <c r="AO1648" s="227"/>
      <c r="AP1648" s="227"/>
      <c r="AQ1648" s="227"/>
      <c r="AR1648" s="227"/>
      <c r="AS1648" s="227"/>
      <c r="AT1648" s="227"/>
      <c r="AU1648" s="227"/>
    </row>
    <row r="1649" spans="27:64" ht="12.95" customHeight="1">
      <c r="AA1649" s="227"/>
      <c r="AB1649" s="227"/>
      <c r="AC1649" s="227"/>
      <c r="AD1649" s="227"/>
      <c r="AE1649" s="227"/>
      <c r="AG1649" s="19"/>
      <c r="AN1649" s="227"/>
      <c r="AO1649" s="227"/>
      <c r="AP1649" s="227"/>
      <c r="AQ1649" s="227"/>
      <c r="AR1649" s="227"/>
      <c r="AS1649" s="227"/>
      <c r="AT1649" s="227"/>
      <c r="AU1649" s="227"/>
      <c r="AV1649" s="227"/>
    </row>
    <row r="1650" spans="27:64" ht="12.95" customHeight="1">
      <c r="AA1650" s="227"/>
      <c r="AB1650" s="227"/>
      <c r="AC1650" s="227"/>
      <c r="AD1650" s="227"/>
      <c r="AE1650" s="227"/>
      <c r="AG1650" s="19"/>
      <c r="AN1650" s="227"/>
      <c r="AO1650" s="227"/>
      <c r="AP1650" s="227"/>
      <c r="AQ1650" s="227"/>
      <c r="AR1650" s="227"/>
      <c r="AS1650" s="227"/>
      <c r="AT1650" s="227"/>
      <c r="AU1650" s="227"/>
      <c r="AV1650" s="227"/>
      <c r="AW1650" s="227"/>
      <c r="AX1650" s="227"/>
      <c r="AY1650" s="227"/>
      <c r="AZ1650" s="227"/>
      <c r="BA1650" s="227"/>
      <c r="BB1650" s="227"/>
      <c r="BC1650" s="227"/>
      <c r="BD1650" s="227"/>
      <c r="BE1650" s="227"/>
      <c r="BF1650" s="227"/>
      <c r="BG1650" s="227"/>
      <c r="BH1650" s="227"/>
      <c r="BI1650" s="227"/>
      <c r="BJ1650" s="227"/>
      <c r="BK1650" s="227"/>
      <c r="BL1650" s="227"/>
    </row>
    <row r="1651" spans="27:64" ht="12.95" customHeight="1">
      <c r="AA1651" s="227"/>
      <c r="AB1651" s="227"/>
      <c r="AC1651" s="227"/>
      <c r="AD1651" s="227"/>
      <c r="AE1651" s="227"/>
      <c r="AG1651" s="19"/>
      <c r="AN1651" s="227"/>
      <c r="AO1651" s="227"/>
      <c r="AP1651" s="227"/>
      <c r="AQ1651" s="227"/>
      <c r="AR1651" s="227"/>
      <c r="AS1651" s="227"/>
      <c r="AT1651" s="227"/>
      <c r="AU1651" s="227"/>
    </row>
    <row r="1652" spans="27:64" ht="12.95" customHeight="1">
      <c r="AA1652" s="227"/>
      <c r="AB1652" s="227"/>
      <c r="AC1652" s="227"/>
      <c r="AD1652" s="227"/>
      <c r="AE1652" s="227"/>
      <c r="AG1652" s="19"/>
      <c r="AN1652" s="227"/>
      <c r="AO1652" s="227"/>
      <c r="AP1652" s="227"/>
      <c r="AQ1652" s="227"/>
      <c r="AR1652" s="227"/>
      <c r="AS1652" s="227"/>
      <c r="AT1652" s="227"/>
      <c r="AU1652" s="227"/>
    </row>
    <row r="1653" spans="27:64" ht="12.95" customHeight="1">
      <c r="AA1653" s="227"/>
      <c r="AB1653" s="227"/>
      <c r="AC1653" s="227"/>
      <c r="AD1653" s="227"/>
      <c r="AE1653" s="227"/>
      <c r="AG1653" s="19"/>
      <c r="AN1653" s="227"/>
      <c r="AO1653" s="227"/>
      <c r="AP1653" s="227"/>
      <c r="AQ1653" s="227"/>
      <c r="AR1653" s="227"/>
      <c r="AS1653" s="227"/>
      <c r="AT1653" s="227"/>
      <c r="AU1653" s="227"/>
    </row>
    <row r="1654" spans="27:64" ht="12.95" customHeight="1">
      <c r="AA1654" s="227"/>
      <c r="AB1654" s="227"/>
      <c r="AC1654" s="227"/>
      <c r="AD1654" s="227"/>
      <c r="AE1654" s="227"/>
      <c r="AG1654" s="19"/>
      <c r="AN1654" s="227"/>
      <c r="AO1654" s="227"/>
      <c r="AP1654" s="227"/>
      <c r="AQ1654" s="227"/>
      <c r="AR1654" s="227"/>
      <c r="AS1654" s="227"/>
      <c r="AT1654" s="227"/>
      <c r="AU1654" s="227"/>
    </row>
    <row r="1655" spans="27:64" ht="12.95" customHeight="1">
      <c r="AA1655" s="227"/>
      <c r="AB1655" s="227"/>
      <c r="AC1655" s="227"/>
      <c r="AD1655" s="227"/>
      <c r="AE1655" s="227"/>
      <c r="AG1655" s="19"/>
      <c r="AN1655" s="227"/>
      <c r="AO1655" s="227"/>
      <c r="AP1655" s="227"/>
      <c r="AQ1655" s="227"/>
      <c r="AR1655" s="227"/>
      <c r="AS1655" s="227"/>
      <c r="AT1655" s="227"/>
      <c r="AU1655" s="227"/>
      <c r="AV1655" s="227"/>
      <c r="AW1655" s="227"/>
      <c r="AX1655" s="227"/>
      <c r="AY1655" s="227"/>
      <c r="AZ1655" s="227"/>
      <c r="BA1655" s="227"/>
      <c r="BB1655" s="227"/>
      <c r="BC1655" s="227"/>
      <c r="BD1655" s="227"/>
      <c r="BE1655" s="227"/>
      <c r="BF1655" s="227"/>
      <c r="BG1655" s="227"/>
      <c r="BH1655" s="227"/>
      <c r="BI1655" s="227"/>
      <c r="BJ1655" s="227"/>
      <c r="BK1655" s="227"/>
      <c r="BL1655" s="227"/>
    </row>
    <row r="1656" spans="27:64" ht="12.95" customHeight="1">
      <c r="AA1656" s="227"/>
      <c r="AB1656" s="227"/>
      <c r="AC1656" s="227"/>
      <c r="AD1656" s="227"/>
      <c r="AE1656" s="227"/>
      <c r="AG1656" s="19"/>
      <c r="AN1656" s="227"/>
      <c r="AO1656" s="227"/>
      <c r="AP1656" s="227"/>
      <c r="AQ1656" s="227"/>
      <c r="AR1656" s="227"/>
      <c r="AS1656" s="227"/>
      <c r="AT1656" s="227"/>
      <c r="AU1656" s="227"/>
    </row>
    <row r="1657" spans="27:64" ht="12.95" customHeight="1">
      <c r="AA1657" s="227"/>
      <c r="AB1657" s="227"/>
      <c r="AC1657" s="227"/>
      <c r="AD1657" s="227"/>
      <c r="AE1657" s="227"/>
      <c r="AG1657" s="19"/>
      <c r="AN1657" s="227"/>
      <c r="AO1657" s="227"/>
      <c r="AP1657" s="227"/>
      <c r="AQ1657" s="227"/>
      <c r="AR1657" s="227"/>
      <c r="AS1657" s="227"/>
      <c r="AT1657" s="227"/>
      <c r="AU1657" s="227"/>
    </row>
    <row r="1658" spans="27:64" ht="12.95" customHeight="1">
      <c r="AA1658" s="227"/>
      <c r="AB1658" s="227"/>
      <c r="AC1658" s="227"/>
      <c r="AD1658" s="227"/>
      <c r="AE1658" s="227"/>
      <c r="AG1658" s="19"/>
      <c r="AN1658" s="227"/>
      <c r="AO1658" s="227"/>
      <c r="AP1658" s="227"/>
      <c r="AQ1658" s="227"/>
      <c r="AR1658" s="227"/>
      <c r="AS1658" s="227"/>
      <c r="AT1658" s="227"/>
      <c r="AU1658" s="227"/>
      <c r="AV1658" s="227"/>
      <c r="AX1658" s="227"/>
    </row>
    <row r="1659" spans="27:64" ht="12.95" customHeight="1">
      <c r="AA1659" s="227"/>
      <c r="AB1659" s="227"/>
      <c r="AC1659" s="227"/>
      <c r="AD1659" s="227"/>
      <c r="AE1659" s="227"/>
      <c r="AG1659" s="19"/>
      <c r="AN1659" s="227"/>
      <c r="AO1659" s="227"/>
      <c r="AP1659" s="227"/>
      <c r="AQ1659" s="227"/>
      <c r="AR1659" s="227"/>
      <c r="AS1659" s="227"/>
      <c r="AT1659" s="227"/>
      <c r="AU1659" s="227"/>
      <c r="AV1659" s="227"/>
      <c r="AX1659" s="227"/>
      <c r="AY1659" s="227"/>
      <c r="AZ1659" s="227"/>
      <c r="BA1659" s="227"/>
      <c r="BB1659" s="227"/>
      <c r="BC1659" s="227"/>
      <c r="BD1659" s="227"/>
      <c r="BE1659" s="227"/>
      <c r="BF1659" s="227"/>
      <c r="BG1659" s="227"/>
      <c r="BH1659" s="227"/>
      <c r="BI1659" s="227"/>
      <c r="BJ1659" s="227"/>
      <c r="BK1659" s="227"/>
      <c r="BL1659" s="227"/>
    </row>
    <row r="1660" spans="27:64" ht="12.95" customHeight="1">
      <c r="AA1660" s="227"/>
      <c r="AB1660" s="227"/>
      <c r="AC1660" s="227"/>
      <c r="AD1660" s="227"/>
      <c r="AE1660" s="227"/>
      <c r="AG1660" s="19"/>
      <c r="AN1660" s="227"/>
      <c r="AO1660" s="227"/>
      <c r="AP1660" s="227"/>
      <c r="AQ1660" s="227"/>
      <c r="AR1660" s="227"/>
      <c r="AS1660" s="227"/>
      <c r="AT1660" s="227"/>
      <c r="AU1660" s="227"/>
      <c r="AV1660" s="227"/>
      <c r="AW1660" s="227"/>
      <c r="AX1660" s="227"/>
      <c r="AY1660" s="227"/>
      <c r="AZ1660" s="227"/>
      <c r="BA1660" s="227"/>
      <c r="BB1660" s="227"/>
      <c r="BC1660" s="227"/>
      <c r="BD1660" s="227"/>
      <c r="BE1660" s="227"/>
      <c r="BF1660" s="227"/>
      <c r="BG1660" s="227"/>
      <c r="BH1660" s="227"/>
      <c r="BI1660" s="227"/>
      <c r="BJ1660" s="227"/>
      <c r="BK1660" s="227"/>
      <c r="BL1660" s="227"/>
    </row>
    <row r="1661" spans="27:64" ht="12.95" customHeight="1">
      <c r="AA1661" s="227"/>
      <c r="AB1661" s="227"/>
      <c r="AC1661" s="227"/>
      <c r="AD1661" s="227"/>
      <c r="AE1661" s="227"/>
      <c r="AG1661" s="19"/>
      <c r="AN1661" s="227"/>
      <c r="AO1661" s="227"/>
      <c r="AP1661" s="227"/>
      <c r="AQ1661" s="227"/>
      <c r="AR1661" s="227"/>
      <c r="AS1661" s="227"/>
      <c r="AT1661" s="227"/>
      <c r="AU1661" s="227"/>
      <c r="AV1661" s="227"/>
    </row>
    <row r="1662" spans="27:64" ht="12.95" customHeight="1">
      <c r="AA1662" s="227"/>
      <c r="AB1662" s="227"/>
      <c r="AC1662" s="227"/>
      <c r="AD1662" s="227"/>
      <c r="AE1662" s="227"/>
      <c r="AG1662" s="19"/>
      <c r="AN1662" s="227"/>
      <c r="AO1662" s="227"/>
      <c r="AP1662" s="227"/>
      <c r="AQ1662" s="227"/>
      <c r="AR1662" s="227"/>
      <c r="AS1662" s="227"/>
      <c r="AT1662" s="227"/>
      <c r="AU1662" s="227"/>
    </row>
    <row r="1663" spans="27:64" ht="12.95" customHeight="1">
      <c r="AA1663" s="227"/>
      <c r="AB1663" s="227"/>
      <c r="AC1663" s="227"/>
      <c r="AD1663" s="227"/>
      <c r="AE1663" s="227"/>
      <c r="AG1663" s="19"/>
      <c r="AN1663" s="227"/>
      <c r="AO1663" s="227"/>
      <c r="AP1663" s="227"/>
      <c r="AQ1663" s="227"/>
      <c r="AR1663" s="227"/>
      <c r="AS1663" s="227"/>
      <c r="AT1663" s="227"/>
      <c r="AU1663" s="227"/>
      <c r="AV1663" s="227"/>
    </row>
    <row r="1664" spans="27:64" ht="12.95" customHeight="1">
      <c r="AA1664" s="227"/>
      <c r="AB1664" s="227"/>
      <c r="AC1664" s="227"/>
      <c r="AD1664" s="227"/>
      <c r="AE1664" s="227"/>
      <c r="AG1664" s="19"/>
      <c r="AN1664" s="227"/>
      <c r="AO1664" s="227"/>
      <c r="AP1664" s="227"/>
      <c r="AQ1664" s="227"/>
      <c r="AR1664" s="227"/>
      <c r="AS1664" s="227"/>
      <c r="AT1664" s="227"/>
      <c r="AU1664" s="227"/>
      <c r="AV1664" s="227"/>
    </row>
    <row r="1665" spans="27:64" ht="12.95" customHeight="1">
      <c r="AA1665" s="227"/>
      <c r="AB1665" s="227"/>
      <c r="AC1665" s="227"/>
      <c r="AD1665" s="227"/>
      <c r="AE1665" s="227"/>
      <c r="AG1665" s="19"/>
      <c r="AN1665" s="227"/>
      <c r="AO1665" s="227"/>
      <c r="AP1665" s="227"/>
      <c r="AQ1665" s="227"/>
      <c r="AR1665" s="227"/>
      <c r="AS1665" s="227"/>
      <c r="AT1665" s="227"/>
      <c r="AU1665" s="227"/>
    </row>
    <row r="1666" spans="27:64" ht="12.95" customHeight="1">
      <c r="AA1666" s="227"/>
      <c r="AB1666" s="227"/>
      <c r="AC1666" s="227"/>
      <c r="AD1666" s="227"/>
      <c r="AE1666" s="227"/>
      <c r="AG1666" s="19"/>
      <c r="AN1666" s="227"/>
      <c r="AO1666" s="227"/>
      <c r="AP1666" s="227"/>
      <c r="AQ1666" s="227"/>
      <c r="AR1666" s="227"/>
      <c r="AS1666" s="227"/>
      <c r="AT1666" s="227"/>
      <c r="AU1666" s="227"/>
      <c r="AV1666" s="227"/>
      <c r="AX1666" s="227"/>
    </row>
    <row r="1667" spans="27:64" ht="12.95" customHeight="1">
      <c r="AA1667" s="227"/>
      <c r="AB1667" s="227"/>
      <c r="AC1667" s="227"/>
      <c r="AD1667" s="227"/>
      <c r="AE1667" s="227"/>
      <c r="AG1667" s="19"/>
      <c r="AN1667" s="227"/>
      <c r="AO1667" s="227"/>
      <c r="AP1667" s="227"/>
      <c r="AQ1667" s="227"/>
      <c r="AR1667" s="227"/>
      <c r="AS1667" s="227"/>
      <c r="AT1667" s="227"/>
      <c r="AU1667" s="227"/>
    </row>
    <row r="1668" spans="27:64" ht="12.95" customHeight="1">
      <c r="AA1668" s="227"/>
      <c r="AB1668" s="227"/>
      <c r="AC1668" s="227"/>
      <c r="AD1668" s="227"/>
      <c r="AE1668" s="227"/>
      <c r="AG1668" s="19"/>
      <c r="AN1668" s="227"/>
      <c r="AO1668" s="227"/>
      <c r="AP1668" s="227"/>
      <c r="AQ1668" s="227"/>
      <c r="AR1668" s="227"/>
      <c r="AS1668" s="227"/>
      <c r="AT1668" s="227"/>
      <c r="AU1668" s="227"/>
    </row>
    <row r="1669" spans="27:64" ht="12.95" customHeight="1">
      <c r="AA1669" s="227"/>
      <c r="AB1669" s="227"/>
      <c r="AC1669" s="227"/>
      <c r="AD1669" s="227"/>
      <c r="AE1669" s="227"/>
      <c r="AG1669" s="19"/>
      <c r="AN1669" s="227"/>
      <c r="AO1669" s="227"/>
      <c r="AP1669" s="227"/>
      <c r="AQ1669" s="227"/>
      <c r="AR1669" s="227"/>
      <c r="AS1669" s="227"/>
      <c r="AT1669" s="227"/>
      <c r="AU1669" s="227"/>
    </row>
    <row r="1670" spans="27:64" ht="12.95" customHeight="1">
      <c r="AA1670" s="227"/>
      <c r="AB1670" s="227"/>
      <c r="AC1670" s="227"/>
      <c r="AD1670" s="227"/>
      <c r="AE1670" s="227"/>
      <c r="AG1670" s="19"/>
      <c r="AN1670" s="227"/>
      <c r="AO1670" s="227"/>
      <c r="AP1670" s="227"/>
      <c r="AQ1670" s="227"/>
      <c r="AR1670" s="227"/>
      <c r="AS1670" s="227"/>
      <c r="AT1670" s="227"/>
      <c r="AU1670" s="227"/>
      <c r="AV1670" s="227"/>
      <c r="AX1670" s="227"/>
    </row>
    <row r="1671" spans="27:64" ht="12.95" customHeight="1">
      <c r="AA1671" s="227"/>
      <c r="AB1671" s="227"/>
      <c r="AC1671" s="227"/>
      <c r="AD1671" s="227"/>
      <c r="AE1671" s="227"/>
      <c r="AG1671" s="19"/>
      <c r="AN1671" s="227"/>
      <c r="AO1671" s="227"/>
      <c r="AP1671" s="227"/>
      <c r="AQ1671" s="227"/>
      <c r="AR1671" s="227"/>
      <c r="AS1671" s="227"/>
      <c r="AT1671" s="227"/>
      <c r="AU1671" s="227"/>
      <c r="AV1671" s="227"/>
    </row>
    <row r="1672" spans="27:64" ht="12.95" customHeight="1">
      <c r="AA1672" s="227"/>
      <c r="AB1672" s="227"/>
      <c r="AC1672" s="227"/>
      <c r="AD1672" s="227"/>
      <c r="AE1672" s="227"/>
      <c r="AG1672" s="19"/>
      <c r="AN1672" s="227"/>
      <c r="AO1672" s="227"/>
      <c r="AP1672" s="227"/>
      <c r="AQ1672" s="227"/>
      <c r="AR1672" s="227"/>
      <c r="AS1672" s="227"/>
      <c r="AT1672" s="227"/>
      <c r="AU1672" s="227"/>
      <c r="AV1672" s="227"/>
      <c r="AW1672" s="227"/>
      <c r="AX1672" s="227"/>
      <c r="AY1672" s="227"/>
      <c r="AZ1672" s="227"/>
      <c r="BA1672" s="227"/>
      <c r="BB1672" s="227"/>
      <c r="BC1672" s="227"/>
      <c r="BD1672" s="227"/>
      <c r="BE1672" s="227"/>
      <c r="BF1672" s="227"/>
      <c r="BG1672" s="227"/>
      <c r="BH1672" s="227"/>
      <c r="BI1672" s="227"/>
      <c r="BJ1672" s="227"/>
      <c r="BK1672" s="227"/>
      <c r="BL1672" s="227"/>
    </row>
    <row r="1673" spans="27:64" ht="12.95" customHeight="1">
      <c r="AA1673" s="227"/>
      <c r="AB1673" s="227"/>
      <c r="AC1673" s="227"/>
      <c r="AD1673" s="227"/>
      <c r="AE1673" s="227"/>
      <c r="AG1673" s="19"/>
      <c r="AN1673" s="227"/>
      <c r="AO1673" s="227"/>
      <c r="AP1673" s="227"/>
      <c r="AQ1673" s="227"/>
      <c r="AR1673" s="227"/>
      <c r="AS1673" s="227"/>
      <c r="AT1673" s="227"/>
      <c r="AU1673" s="227"/>
      <c r="AV1673" s="227"/>
      <c r="AW1673" s="227"/>
      <c r="AX1673" s="227"/>
      <c r="AY1673" s="227"/>
      <c r="AZ1673" s="227"/>
      <c r="BA1673" s="227"/>
      <c r="BB1673" s="227"/>
      <c r="BC1673" s="227"/>
      <c r="BD1673" s="227"/>
      <c r="BE1673" s="227"/>
      <c r="BF1673" s="227"/>
      <c r="BG1673" s="227"/>
      <c r="BH1673" s="227"/>
      <c r="BI1673" s="227"/>
      <c r="BJ1673" s="227"/>
      <c r="BK1673" s="227"/>
      <c r="BL1673" s="227"/>
    </row>
    <row r="1674" spans="27:64" ht="12.95" customHeight="1">
      <c r="AA1674" s="227"/>
      <c r="AB1674" s="227"/>
      <c r="AC1674" s="227"/>
      <c r="AD1674" s="227"/>
      <c r="AE1674" s="227"/>
      <c r="AG1674" s="19"/>
      <c r="AN1674" s="227"/>
      <c r="AO1674" s="227"/>
      <c r="AP1674" s="227"/>
      <c r="AQ1674" s="227"/>
      <c r="AR1674" s="227"/>
      <c r="AS1674" s="227"/>
      <c r="AT1674" s="227"/>
      <c r="AU1674" s="227"/>
      <c r="AV1674" s="227"/>
      <c r="AW1674" s="227"/>
      <c r="AX1674" s="227"/>
      <c r="AY1674" s="227"/>
      <c r="AZ1674" s="227"/>
      <c r="BA1674" s="227"/>
      <c r="BB1674" s="227"/>
      <c r="BC1674" s="227"/>
      <c r="BD1674" s="227"/>
      <c r="BE1674" s="227"/>
      <c r="BF1674" s="227"/>
      <c r="BG1674" s="227"/>
      <c r="BH1674" s="227"/>
      <c r="BI1674" s="227"/>
      <c r="BJ1674" s="227"/>
      <c r="BK1674" s="227"/>
      <c r="BL1674" s="227"/>
    </row>
    <row r="1675" spans="27:64" ht="12.95" customHeight="1">
      <c r="AA1675" s="227"/>
      <c r="AB1675" s="227"/>
      <c r="AC1675" s="227"/>
      <c r="AD1675" s="227"/>
      <c r="AE1675" s="227"/>
      <c r="AG1675" s="19"/>
      <c r="AN1675" s="227"/>
      <c r="AO1675" s="227"/>
      <c r="AP1675" s="227"/>
      <c r="AQ1675" s="227"/>
      <c r="AR1675" s="227"/>
      <c r="AS1675" s="227"/>
      <c r="AT1675" s="227"/>
      <c r="AU1675" s="227"/>
      <c r="AV1675" s="227"/>
      <c r="AW1675" s="227"/>
      <c r="AX1675" s="227"/>
      <c r="AY1675" s="227"/>
      <c r="AZ1675" s="227"/>
      <c r="BA1675" s="227"/>
      <c r="BB1675" s="227"/>
      <c r="BC1675" s="227"/>
      <c r="BD1675" s="227"/>
      <c r="BE1675" s="227"/>
      <c r="BF1675" s="227"/>
      <c r="BG1675" s="227"/>
      <c r="BH1675" s="227"/>
      <c r="BI1675" s="227"/>
      <c r="BJ1675" s="227"/>
      <c r="BK1675" s="227"/>
      <c r="BL1675" s="227"/>
    </row>
    <row r="1676" spans="27:64" ht="12.95" customHeight="1">
      <c r="AA1676" s="227"/>
      <c r="AB1676" s="227"/>
      <c r="AC1676" s="227"/>
      <c r="AD1676" s="227"/>
      <c r="AE1676" s="227"/>
      <c r="AG1676" s="19"/>
      <c r="AN1676" s="227"/>
      <c r="AO1676" s="227"/>
      <c r="AP1676" s="227"/>
      <c r="AQ1676" s="227"/>
      <c r="AR1676" s="227"/>
      <c r="AS1676" s="227"/>
      <c r="AT1676" s="227"/>
      <c r="AU1676" s="227"/>
      <c r="AV1676" s="227"/>
      <c r="AX1676" s="227"/>
    </row>
    <row r="1677" spans="27:64" ht="12.95" customHeight="1">
      <c r="AA1677" s="227"/>
      <c r="AB1677" s="227"/>
      <c r="AC1677" s="227"/>
      <c r="AD1677" s="227"/>
      <c r="AE1677" s="227"/>
      <c r="AG1677" s="19"/>
      <c r="AN1677" s="227"/>
      <c r="AO1677" s="227"/>
      <c r="AP1677" s="227"/>
      <c r="AQ1677" s="227"/>
      <c r="AR1677" s="227"/>
      <c r="AS1677" s="227"/>
      <c r="AT1677" s="227"/>
      <c r="AU1677" s="227"/>
      <c r="AV1677" s="227"/>
      <c r="AW1677" s="227"/>
      <c r="AX1677" s="227"/>
      <c r="AY1677" s="227"/>
      <c r="AZ1677" s="227"/>
      <c r="BA1677" s="227"/>
      <c r="BB1677" s="227"/>
      <c r="BC1677" s="227"/>
      <c r="BD1677" s="227"/>
      <c r="BE1677" s="227"/>
      <c r="BF1677" s="227"/>
      <c r="BG1677" s="227"/>
      <c r="BH1677" s="227"/>
      <c r="BI1677" s="227"/>
      <c r="BJ1677" s="227"/>
      <c r="BK1677" s="227"/>
      <c r="BL1677" s="227"/>
    </row>
    <row r="1678" spans="27:64" ht="12.95" customHeight="1">
      <c r="AA1678" s="227"/>
      <c r="AB1678" s="227"/>
      <c r="AC1678" s="227"/>
      <c r="AD1678" s="227"/>
      <c r="AE1678" s="227"/>
      <c r="AG1678" s="19"/>
      <c r="AN1678" s="227"/>
      <c r="AO1678" s="227"/>
      <c r="AP1678" s="227"/>
      <c r="AQ1678" s="227"/>
      <c r="AR1678" s="227"/>
      <c r="AS1678" s="227"/>
      <c r="AT1678" s="227"/>
      <c r="AU1678" s="227"/>
      <c r="AV1678" s="227"/>
      <c r="AW1678" s="227"/>
      <c r="AX1678" s="227"/>
      <c r="AY1678" s="227"/>
      <c r="AZ1678" s="227"/>
      <c r="BA1678" s="227"/>
      <c r="BB1678" s="227"/>
      <c r="BC1678" s="227"/>
      <c r="BD1678" s="227"/>
      <c r="BE1678" s="227"/>
      <c r="BF1678" s="227"/>
      <c r="BG1678" s="227"/>
      <c r="BH1678" s="227"/>
      <c r="BI1678" s="227"/>
      <c r="BJ1678" s="227"/>
      <c r="BK1678" s="227"/>
      <c r="BL1678" s="227"/>
    </row>
    <row r="1679" spans="27:64" ht="12.95" customHeight="1">
      <c r="AA1679" s="227"/>
      <c r="AB1679" s="227"/>
      <c r="AC1679" s="227"/>
      <c r="AD1679" s="227"/>
      <c r="AE1679" s="227"/>
      <c r="AG1679" s="19"/>
      <c r="AN1679" s="227"/>
      <c r="AO1679" s="227"/>
      <c r="AP1679" s="227"/>
      <c r="AQ1679" s="227"/>
      <c r="AR1679" s="227"/>
      <c r="AS1679" s="227"/>
      <c r="AT1679" s="227"/>
      <c r="AU1679" s="227"/>
      <c r="AV1679" s="227"/>
      <c r="AX1679" s="227"/>
    </row>
    <row r="1680" spans="27:64" ht="12.95" customHeight="1">
      <c r="AA1680" s="227"/>
      <c r="AB1680" s="227"/>
      <c r="AC1680" s="227"/>
      <c r="AD1680" s="227"/>
      <c r="AE1680" s="227"/>
      <c r="AG1680" s="19"/>
      <c r="AN1680" s="227"/>
      <c r="AO1680" s="227"/>
      <c r="AP1680" s="227"/>
      <c r="AQ1680" s="227"/>
      <c r="AR1680" s="227"/>
      <c r="AS1680" s="227"/>
      <c r="AT1680" s="227"/>
      <c r="AU1680" s="227"/>
      <c r="AV1680" s="227"/>
      <c r="AX1680" s="227"/>
    </row>
    <row r="1681" spans="27:64" ht="12.95" customHeight="1">
      <c r="AA1681" s="227"/>
      <c r="AB1681" s="227"/>
      <c r="AC1681" s="227"/>
      <c r="AD1681" s="227"/>
      <c r="AE1681" s="227"/>
      <c r="AG1681" s="19"/>
      <c r="AN1681" s="227"/>
      <c r="AO1681" s="227"/>
      <c r="AP1681" s="227"/>
      <c r="AQ1681" s="227"/>
      <c r="AR1681" s="227"/>
      <c r="AS1681" s="227"/>
      <c r="AT1681" s="227"/>
      <c r="AU1681" s="227"/>
      <c r="AV1681" s="227"/>
      <c r="AX1681" s="227"/>
      <c r="AY1681" s="227"/>
      <c r="AZ1681" s="227"/>
      <c r="BA1681" s="227"/>
      <c r="BB1681" s="227"/>
      <c r="BC1681" s="227"/>
      <c r="BD1681" s="227"/>
      <c r="BE1681" s="227"/>
      <c r="BF1681" s="227"/>
      <c r="BG1681" s="227"/>
      <c r="BH1681" s="227"/>
      <c r="BI1681" s="227"/>
      <c r="BJ1681" s="227"/>
      <c r="BK1681" s="227"/>
      <c r="BL1681" s="227"/>
    </row>
    <row r="1682" spans="27:64" ht="12.95" customHeight="1">
      <c r="AA1682" s="227"/>
      <c r="AB1682" s="227"/>
      <c r="AC1682" s="227"/>
      <c r="AD1682" s="227"/>
      <c r="AE1682" s="227"/>
      <c r="AG1682" s="19"/>
      <c r="AN1682" s="227"/>
      <c r="AO1682" s="227"/>
      <c r="AP1682" s="227"/>
      <c r="AQ1682" s="227"/>
      <c r="AR1682" s="227"/>
      <c r="AS1682" s="227"/>
      <c r="AT1682" s="227"/>
      <c r="AU1682" s="227"/>
      <c r="AV1682" s="227"/>
      <c r="AW1682" s="227"/>
      <c r="AX1682" s="227"/>
      <c r="AY1682" s="227"/>
      <c r="AZ1682" s="227"/>
      <c r="BA1682" s="227"/>
      <c r="BB1682" s="227"/>
      <c r="BC1682" s="227"/>
      <c r="BD1682" s="227"/>
      <c r="BE1682" s="227"/>
      <c r="BF1682" s="227"/>
      <c r="BG1682" s="227"/>
      <c r="BH1682" s="227"/>
      <c r="BI1682" s="227"/>
      <c r="BJ1682" s="227"/>
      <c r="BK1682" s="227"/>
      <c r="BL1682" s="227"/>
    </row>
    <row r="1683" spans="27:64" ht="12.95" customHeight="1">
      <c r="AA1683" s="227"/>
      <c r="AB1683" s="227"/>
      <c r="AC1683" s="227"/>
      <c r="AD1683" s="227"/>
      <c r="AE1683" s="227"/>
      <c r="AG1683" s="19"/>
      <c r="AN1683" s="227"/>
      <c r="AO1683" s="227"/>
      <c r="AP1683" s="227"/>
      <c r="AQ1683" s="227"/>
      <c r="AR1683" s="227"/>
      <c r="AS1683" s="227"/>
      <c r="AT1683" s="227"/>
      <c r="AU1683" s="227"/>
      <c r="AV1683" s="227"/>
      <c r="AW1683" s="227"/>
      <c r="AX1683" s="227"/>
      <c r="AY1683" s="227"/>
      <c r="AZ1683" s="227"/>
      <c r="BA1683" s="227"/>
      <c r="BB1683" s="227"/>
      <c r="BC1683" s="227"/>
      <c r="BD1683" s="227"/>
      <c r="BE1683" s="227"/>
      <c r="BF1683" s="227"/>
      <c r="BG1683" s="227"/>
      <c r="BH1683" s="227"/>
      <c r="BI1683" s="227"/>
      <c r="BJ1683" s="227"/>
      <c r="BK1683" s="227"/>
      <c r="BL1683" s="227"/>
    </row>
    <row r="1684" spans="27:64" ht="12.95" customHeight="1">
      <c r="AA1684" s="227"/>
      <c r="AB1684" s="227"/>
      <c r="AC1684" s="227"/>
      <c r="AD1684" s="227"/>
      <c r="AE1684" s="227"/>
      <c r="AG1684" s="19"/>
      <c r="AN1684" s="227"/>
      <c r="AO1684" s="227"/>
      <c r="AP1684" s="227"/>
      <c r="AQ1684" s="227"/>
      <c r="AR1684" s="227"/>
      <c r="AS1684" s="227"/>
      <c r="AT1684" s="227"/>
      <c r="AU1684" s="227"/>
      <c r="AV1684" s="227"/>
    </row>
    <row r="1685" spans="27:64" ht="12.95" customHeight="1">
      <c r="AA1685" s="227"/>
      <c r="AB1685" s="227"/>
      <c r="AC1685" s="227"/>
      <c r="AD1685" s="227"/>
      <c r="AE1685" s="227"/>
      <c r="AG1685" s="19"/>
      <c r="AN1685" s="227"/>
      <c r="AO1685" s="227"/>
      <c r="AP1685" s="227"/>
      <c r="AQ1685" s="227"/>
      <c r="AR1685" s="227"/>
      <c r="AS1685" s="227"/>
      <c r="AT1685" s="227"/>
      <c r="AU1685" s="227"/>
      <c r="AV1685" s="227"/>
    </row>
    <row r="1686" spans="27:64" ht="12.95" customHeight="1">
      <c r="AA1686" s="227"/>
      <c r="AB1686" s="227"/>
      <c r="AC1686" s="227"/>
      <c r="AD1686" s="227"/>
      <c r="AE1686" s="227"/>
      <c r="AG1686" s="19"/>
      <c r="AN1686" s="227"/>
      <c r="AO1686" s="227"/>
      <c r="AP1686" s="227"/>
      <c r="AQ1686" s="227"/>
      <c r="AR1686" s="227"/>
      <c r="AS1686" s="227"/>
      <c r="AT1686" s="227"/>
      <c r="AU1686" s="227"/>
      <c r="AV1686" s="227"/>
    </row>
    <row r="1687" spans="27:64" ht="12.95" customHeight="1">
      <c r="AA1687" s="227"/>
      <c r="AB1687" s="227"/>
      <c r="AC1687" s="227"/>
      <c r="AD1687" s="227"/>
      <c r="AE1687" s="227"/>
      <c r="AG1687" s="19"/>
      <c r="AN1687" s="227"/>
      <c r="AO1687" s="227"/>
      <c r="AP1687" s="227"/>
      <c r="AQ1687" s="227"/>
      <c r="AR1687" s="227"/>
      <c r="AS1687" s="227"/>
      <c r="AT1687" s="227"/>
      <c r="AU1687" s="227"/>
      <c r="AV1687" s="227"/>
      <c r="AX1687" s="227"/>
    </row>
    <row r="1688" spans="27:64" ht="12.95" customHeight="1">
      <c r="AA1688" s="227"/>
      <c r="AB1688" s="227"/>
      <c r="AC1688" s="227"/>
      <c r="AD1688" s="227"/>
      <c r="AE1688" s="227"/>
      <c r="AG1688" s="19"/>
      <c r="AN1688" s="227"/>
      <c r="AO1688" s="227"/>
      <c r="AP1688" s="227"/>
      <c r="AQ1688" s="227"/>
      <c r="AR1688" s="227"/>
      <c r="AS1688" s="227"/>
      <c r="AT1688" s="227"/>
      <c r="AU1688" s="227"/>
      <c r="AV1688" s="227"/>
      <c r="AW1688" s="227"/>
      <c r="AX1688" s="227"/>
      <c r="AY1688" s="227"/>
      <c r="AZ1688" s="227"/>
      <c r="BA1688" s="227"/>
      <c r="BB1688" s="227"/>
      <c r="BC1688" s="227"/>
      <c r="BD1688" s="227"/>
      <c r="BE1688" s="227"/>
      <c r="BF1688" s="227"/>
      <c r="BG1688" s="227"/>
      <c r="BH1688" s="227"/>
      <c r="BI1688" s="227"/>
      <c r="BJ1688" s="227"/>
      <c r="BK1688" s="227"/>
      <c r="BL1688" s="227"/>
    </row>
    <row r="1689" spans="27:64" ht="12.95" customHeight="1">
      <c r="AA1689" s="227"/>
      <c r="AB1689" s="227"/>
      <c r="AC1689" s="227"/>
      <c r="AD1689" s="227"/>
      <c r="AE1689" s="227"/>
      <c r="AG1689" s="19"/>
      <c r="AN1689" s="227"/>
      <c r="AO1689" s="227"/>
      <c r="AP1689" s="227"/>
      <c r="AQ1689" s="227"/>
      <c r="AR1689" s="227"/>
      <c r="AS1689" s="227"/>
      <c r="AT1689" s="227"/>
      <c r="AU1689" s="227"/>
      <c r="AV1689" s="227"/>
      <c r="AW1689" s="227"/>
      <c r="AX1689" s="227"/>
      <c r="AY1689" s="227"/>
      <c r="AZ1689" s="227"/>
      <c r="BA1689" s="227"/>
      <c r="BB1689" s="227"/>
      <c r="BC1689" s="227"/>
      <c r="BD1689" s="227"/>
      <c r="BE1689" s="227"/>
      <c r="BF1689" s="227"/>
      <c r="BG1689" s="227"/>
      <c r="BH1689" s="227"/>
      <c r="BI1689" s="227"/>
      <c r="BJ1689" s="227"/>
      <c r="BK1689" s="227"/>
      <c r="BL1689" s="227"/>
    </row>
    <row r="1690" spans="27:64" ht="12.95" customHeight="1">
      <c r="AA1690" s="227"/>
      <c r="AB1690" s="227"/>
      <c r="AC1690" s="227"/>
      <c r="AD1690" s="227"/>
      <c r="AE1690" s="227"/>
      <c r="AG1690" s="19"/>
      <c r="AN1690" s="227"/>
      <c r="AO1690" s="227"/>
      <c r="AP1690" s="227"/>
      <c r="AQ1690" s="227"/>
      <c r="AR1690" s="227"/>
      <c r="AS1690" s="227"/>
      <c r="AT1690" s="227"/>
      <c r="AU1690" s="227"/>
    </row>
    <row r="1691" spans="27:64" ht="12.95" customHeight="1">
      <c r="AA1691" s="227"/>
      <c r="AB1691" s="227"/>
      <c r="AC1691" s="227"/>
      <c r="AD1691" s="227"/>
      <c r="AE1691" s="227"/>
      <c r="AG1691" s="19"/>
      <c r="AN1691" s="227"/>
      <c r="AO1691" s="227"/>
      <c r="AP1691" s="227"/>
      <c r="AQ1691" s="227"/>
      <c r="AR1691" s="227"/>
      <c r="AS1691" s="227"/>
      <c r="AT1691" s="227"/>
      <c r="AU1691" s="227"/>
      <c r="AV1691" s="227"/>
      <c r="AX1691" s="227"/>
    </row>
    <row r="1692" spans="27:64" ht="12.95" customHeight="1">
      <c r="AA1692" s="227"/>
      <c r="AB1692" s="227"/>
      <c r="AC1692" s="227"/>
      <c r="AD1692" s="227"/>
      <c r="AE1692" s="227"/>
      <c r="AG1692" s="19"/>
      <c r="AN1692" s="227"/>
      <c r="AO1692" s="227"/>
      <c r="AP1692" s="227"/>
      <c r="AQ1692" s="227"/>
      <c r="AR1692" s="227"/>
      <c r="AS1692" s="227"/>
      <c r="AT1692" s="227"/>
      <c r="AU1692" s="227"/>
      <c r="AV1692" s="227"/>
    </row>
    <row r="1693" spans="27:64" ht="12.95" customHeight="1">
      <c r="AA1693" s="227"/>
      <c r="AB1693" s="227"/>
      <c r="AC1693" s="227"/>
      <c r="AD1693" s="227"/>
      <c r="AE1693" s="227"/>
      <c r="AG1693" s="19"/>
      <c r="AN1693" s="227"/>
      <c r="AO1693" s="227"/>
      <c r="AP1693" s="227"/>
      <c r="AQ1693" s="227"/>
      <c r="AR1693" s="227"/>
      <c r="AS1693" s="227"/>
      <c r="AT1693" s="227"/>
      <c r="AU1693" s="227"/>
      <c r="AV1693" s="227"/>
    </row>
    <row r="1694" spans="27:64" ht="12.95" customHeight="1">
      <c r="AA1694" s="227"/>
      <c r="AB1694" s="227"/>
      <c r="AC1694" s="227"/>
      <c r="AD1694" s="227"/>
      <c r="AE1694" s="227"/>
      <c r="AG1694" s="19"/>
      <c r="AN1694" s="227"/>
      <c r="AO1694" s="227"/>
      <c r="AP1694" s="227"/>
      <c r="AQ1694" s="227"/>
      <c r="AR1694" s="227"/>
      <c r="AS1694" s="227"/>
      <c r="AT1694" s="227"/>
      <c r="AU1694" s="227"/>
    </row>
    <row r="1695" spans="27:64" ht="12.95" customHeight="1">
      <c r="AA1695" s="227"/>
      <c r="AB1695" s="227"/>
      <c r="AC1695" s="227"/>
      <c r="AD1695" s="227"/>
      <c r="AE1695" s="227"/>
      <c r="AG1695" s="19"/>
      <c r="AN1695" s="227"/>
      <c r="AO1695" s="227"/>
      <c r="AP1695" s="227"/>
      <c r="AQ1695" s="227"/>
      <c r="AR1695" s="227"/>
      <c r="AS1695" s="227"/>
      <c r="AT1695" s="227"/>
      <c r="AU1695" s="227"/>
    </row>
    <row r="1696" spans="27:64" ht="12.95" customHeight="1">
      <c r="AA1696" s="227"/>
      <c r="AB1696" s="227"/>
      <c r="AC1696" s="227"/>
      <c r="AD1696" s="227"/>
      <c r="AE1696" s="227"/>
      <c r="AG1696" s="19"/>
      <c r="AN1696" s="227"/>
      <c r="AO1696" s="227"/>
      <c r="AP1696" s="227"/>
      <c r="AQ1696" s="227"/>
      <c r="AR1696" s="227"/>
      <c r="AS1696" s="227"/>
      <c r="AT1696" s="227"/>
      <c r="AU1696" s="227"/>
    </row>
    <row r="1697" spans="27:64" ht="12.95" customHeight="1">
      <c r="AA1697" s="227"/>
      <c r="AB1697" s="227"/>
      <c r="AC1697" s="227"/>
      <c r="AD1697" s="227"/>
      <c r="AE1697" s="227"/>
      <c r="AG1697" s="19"/>
      <c r="AN1697" s="227"/>
      <c r="AO1697" s="227"/>
      <c r="AP1697" s="227"/>
      <c r="AQ1697" s="227"/>
      <c r="AR1697" s="227"/>
      <c r="AS1697" s="227"/>
      <c r="AT1697" s="227"/>
      <c r="AU1697" s="227"/>
    </row>
    <row r="1698" spans="27:64" ht="12.95" customHeight="1">
      <c r="AA1698" s="227"/>
      <c r="AB1698" s="227"/>
      <c r="AC1698" s="227"/>
      <c r="AD1698" s="227"/>
      <c r="AE1698" s="227"/>
      <c r="AG1698" s="19"/>
      <c r="AN1698" s="227"/>
      <c r="AO1698" s="227"/>
      <c r="AP1698" s="227"/>
      <c r="AQ1698" s="227"/>
      <c r="AR1698" s="227"/>
      <c r="AS1698" s="227"/>
      <c r="AT1698" s="227"/>
      <c r="AU1698" s="227"/>
    </row>
    <row r="1699" spans="27:64" ht="12.95" customHeight="1">
      <c r="AA1699" s="227"/>
      <c r="AB1699" s="227"/>
      <c r="AC1699" s="227"/>
      <c r="AD1699" s="227"/>
      <c r="AE1699" s="227"/>
      <c r="AG1699" s="19"/>
      <c r="AN1699" s="227"/>
      <c r="AO1699" s="227"/>
      <c r="AP1699" s="227"/>
      <c r="AQ1699" s="227"/>
      <c r="AR1699" s="227"/>
      <c r="AS1699" s="227"/>
      <c r="AT1699" s="227"/>
      <c r="AU1699" s="227"/>
    </row>
    <row r="1700" spans="27:64" ht="12.95" customHeight="1">
      <c r="AA1700" s="227"/>
      <c r="AB1700" s="227"/>
      <c r="AC1700" s="227"/>
      <c r="AD1700" s="227"/>
      <c r="AE1700" s="227"/>
      <c r="AG1700" s="19"/>
      <c r="AN1700" s="227"/>
      <c r="AO1700" s="227"/>
      <c r="AP1700" s="227"/>
      <c r="AQ1700" s="227"/>
      <c r="AR1700" s="227"/>
      <c r="AS1700" s="227"/>
      <c r="AT1700" s="227"/>
      <c r="AU1700" s="227"/>
    </row>
    <row r="1701" spans="27:64" ht="12.95" customHeight="1">
      <c r="AA1701" s="227"/>
      <c r="AB1701" s="227"/>
      <c r="AC1701" s="227"/>
      <c r="AD1701" s="227"/>
      <c r="AE1701" s="227"/>
      <c r="AG1701" s="19"/>
      <c r="AN1701" s="227"/>
      <c r="AO1701" s="227"/>
      <c r="AP1701" s="227"/>
      <c r="AQ1701" s="227"/>
      <c r="AR1701" s="227"/>
      <c r="AS1701" s="227"/>
      <c r="AT1701" s="227"/>
      <c r="AU1701" s="227"/>
    </row>
    <row r="1702" spans="27:64" ht="12.95" customHeight="1">
      <c r="AA1702" s="227"/>
      <c r="AB1702" s="227"/>
      <c r="AC1702" s="227"/>
      <c r="AD1702" s="227"/>
      <c r="AE1702" s="227"/>
      <c r="AG1702" s="19"/>
      <c r="AN1702" s="227"/>
      <c r="AO1702" s="227"/>
      <c r="AP1702" s="227"/>
      <c r="AQ1702" s="227"/>
      <c r="AR1702" s="227"/>
      <c r="AS1702" s="227"/>
      <c r="AT1702" s="227"/>
      <c r="AU1702" s="227"/>
      <c r="AV1702" s="227"/>
    </row>
    <row r="1703" spans="27:64" ht="12.95" customHeight="1">
      <c r="AA1703" s="227"/>
      <c r="AB1703" s="227"/>
      <c r="AC1703" s="227"/>
      <c r="AD1703" s="227"/>
      <c r="AE1703" s="227"/>
      <c r="AG1703" s="19"/>
      <c r="AN1703" s="227"/>
      <c r="AO1703" s="227"/>
      <c r="AP1703" s="227"/>
      <c r="AQ1703" s="227"/>
      <c r="AR1703" s="227"/>
      <c r="AS1703" s="227"/>
      <c r="AT1703" s="227"/>
      <c r="AU1703" s="227"/>
      <c r="AV1703" s="227"/>
      <c r="AW1703" s="227"/>
      <c r="AX1703" s="227"/>
      <c r="AY1703" s="227"/>
      <c r="AZ1703" s="227"/>
      <c r="BA1703" s="227"/>
      <c r="BB1703" s="227"/>
      <c r="BC1703" s="227"/>
      <c r="BD1703" s="227"/>
      <c r="BE1703" s="227"/>
      <c r="BF1703" s="227"/>
      <c r="BG1703" s="227"/>
      <c r="BH1703" s="227"/>
      <c r="BI1703" s="227"/>
      <c r="BJ1703" s="227"/>
      <c r="BK1703" s="227"/>
      <c r="BL1703" s="227"/>
    </row>
    <row r="1704" spans="27:64" ht="12.95" customHeight="1">
      <c r="AA1704" s="227"/>
      <c r="AB1704" s="227"/>
      <c r="AC1704" s="227"/>
      <c r="AD1704" s="227"/>
      <c r="AE1704" s="227"/>
      <c r="AG1704" s="19"/>
      <c r="AN1704" s="227"/>
      <c r="AO1704" s="227"/>
      <c r="AP1704" s="227"/>
      <c r="AQ1704" s="227"/>
      <c r="AR1704" s="227"/>
      <c r="AS1704" s="227"/>
      <c r="AT1704" s="227"/>
      <c r="AU1704" s="227"/>
      <c r="AV1704" s="227"/>
    </row>
    <row r="1705" spans="27:64" ht="12.95" customHeight="1">
      <c r="AA1705" s="227"/>
      <c r="AB1705" s="227"/>
      <c r="AC1705" s="227"/>
      <c r="AD1705" s="227"/>
      <c r="AE1705" s="227"/>
      <c r="AG1705" s="19"/>
      <c r="AN1705" s="227"/>
      <c r="AO1705" s="227"/>
      <c r="AP1705" s="227"/>
      <c r="AQ1705" s="227"/>
      <c r="AR1705" s="227"/>
      <c r="AS1705" s="227"/>
      <c r="AT1705" s="227"/>
      <c r="AU1705" s="227"/>
      <c r="AV1705" s="227"/>
    </row>
    <row r="1706" spans="27:64" ht="12.95" customHeight="1">
      <c r="AA1706" s="227"/>
      <c r="AB1706" s="227"/>
      <c r="AC1706" s="227"/>
      <c r="AD1706" s="227"/>
      <c r="AE1706" s="227"/>
      <c r="AG1706" s="19"/>
      <c r="AN1706" s="227"/>
      <c r="AO1706" s="227"/>
      <c r="AP1706" s="227"/>
      <c r="AQ1706" s="227"/>
      <c r="AR1706" s="227"/>
      <c r="AS1706" s="227"/>
      <c r="AT1706" s="227"/>
      <c r="AU1706" s="227"/>
      <c r="AV1706" s="227"/>
      <c r="AX1706" s="227"/>
    </row>
    <row r="1707" spans="27:64" ht="12.95" customHeight="1">
      <c r="AA1707" s="227"/>
      <c r="AB1707" s="227"/>
      <c r="AC1707" s="227"/>
      <c r="AD1707" s="227"/>
      <c r="AE1707" s="227"/>
      <c r="AG1707" s="19"/>
      <c r="AN1707" s="227"/>
      <c r="AO1707" s="227"/>
      <c r="AP1707" s="227"/>
      <c r="AQ1707" s="227"/>
      <c r="AR1707" s="227"/>
      <c r="AS1707" s="227"/>
      <c r="AT1707" s="227"/>
      <c r="AU1707" s="227"/>
      <c r="AV1707" s="227"/>
    </row>
    <row r="1708" spans="27:64" ht="12.95" customHeight="1">
      <c r="AA1708" s="227"/>
      <c r="AB1708" s="227"/>
      <c r="AC1708" s="227"/>
      <c r="AD1708" s="227"/>
      <c r="AE1708" s="227"/>
      <c r="AG1708" s="19"/>
      <c r="AN1708" s="227"/>
      <c r="AO1708" s="227"/>
      <c r="AP1708" s="227"/>
      <c r="AQ1708" s="227"/>
      <c r="AR1708" s="227"/>
      <c r="AS1708" s="227"/>
      <c r="AT1708" s="227"/>
      <c r="AU1708" s="227"/>
    </row>
    <row r="1709" spans="27:64" ht="12.95" customHeight="1">
      <c r="AA1709" s="227"/>
      <c r="AB1709" s="227"/>
      <c r="AC1709" s="227"/>
      <c r="AD1709" s="227"/>
      <c r="AE1709" s="227"/>
      <c r="AG1709" s="19"/>
      <c r="AN1709" s="227"/>
      <c r="AO1709" s="227"/>
      <c r="AP1709" s="227"/>
      <c r="AQ1709" s="227"/>
      <c r="AR1709" s="227"/>
      <c r="AS1709" s="227"/>
      <c r="AT1709" s="227"/>
      <c r="AU1709" s="227"/>
      <c r="AV1709" s="227"/>
      <c r="AX1709" s="227"/>
    </row>
    <row r="1710" spans="27:64" ht="12.95" customHeight="1">
      <c r="AA1710" s="227"/>
      <c r="AB1710" s="227"/>
      <c r="AC1710" s="227"/>
      <c r="AD1710" s="227"/>
      <c r="AE1710" s="227"/>
      <c r="AG1710" s="19"/>
      <c r="AN1710" s="227"/>
      <c r="AO1710" s="227"/>
      <c r="AP1710" s="227"/>
      <c r="AQ1710" s="227"/>
      <c r="AR1710" s="227"/>
      <c r="AS1710" s="227"/>
      <c r="AT1710" s="227"/>
      <c r="AU1710" s="227"/>
      <c r="AV1710" s="227"/>
      <c r="AX1710" s="227"/>
      <c r="AY1710" s="227"/>
      <c r="AZ1710" s="227"/>
      <c r="BA1710" s="227"/>
      <c r="BB1710" s="227"/>
      <c r="BC1710" s="227"/>
      <c r="BD1710" s="227"/>
      <c r="BE1710" s="227"/>
      <c r="BF1710" s="227"/>
      <c r="BG1710" s="227"/>
      <c r="BH1710" s="227"/>
      <c r="BI1710" s="227"/>
      <c r="BJ1710" s="227"/>
      <c r="BK1710" s="227"/>
      <c r="BL1710" s="227"/>
    </row>
    <row r="1711" spans="27:64" ht="12.95" customHeight="1">
      <c r="AA1711" s="227"/>
      <c r="AB1711" s="227"/>
      <c r="AC1711" s="227"/>
      <c r="AD1711" s="227"/>
      <c r="AE1711" s="227"/>
      <c r="AG1711" s="19"/>
      <c r="AN1711" s="227"/>
      <c r="AO1711" s="227"/>
      <c r="AP1711" s="227"/>
      <c r="AQ1711" s="227"/>
      <c r="AR1711" s="227"/>
      <c r="AS1711" s="227"/>
      <c r="AT1711" s="227"/>
      <c r="AU1711" s="227"/>
      <c r="AV1711" s="227"/>
      <c r="AW1711" s="227"/>
      <c r="AX1711" s="227"/>
      <c r="AY1711" s="227"/>
      <c r="AZ1711" s="227"/>
      <c r="BA1711" s="227"/>
      <c r="BB1711" s="227"/>
      <c r="BC1711" s="227"/>
      <c r="BD1711" s="227"/>
      <c r="BE1711" s="227"/>
      <c r="BF1711" s="227"/>
      <c r="BG1711" s="227"/>
      <c r="BH1711" s="227"/>
      <c r="BI1711" s="227"/>
      <c r="BJ1711" s="227"/>
      <c r="BK1711" s="227"/>
      <c r="BL1711" s="227"/>
    </row>
    <row r="1712" spans="27:64" ht="12.95" customHeight="1">
      <c r="AA1712" s="227"/>
      <c r="AB1712" s="227"/>
      <c r="AC1712" s="227"/>
      <c r="AD1712" s="227"/>
      <c r="AE1712" s="227"/>
      <c r="AG1712" s="19"/>
      <c r="AN1712" s="227"/>
      <c r="AO1712" s="227"/>
      <c r="AP1712" s="227"/>
      <c r="AQ1712" s="227"/>
      <c r="AR1712" s="227"/>
      <c r="AS1712" s="227"/>
      <c r="AT1712" s="227"/>
      <c r="AU1712" s="227"/>
      <c r="AV1712" s="227"/>
    </row>
    <row r="1713" spans="27:64" ht="12.95" customHeight="1">
      <c r="AA1713" s="227"/>
      <c r="AB1713" s="227"/>
      <c r="AC1713" s="227"/>
      <c r="AD1713" s="227"/>
      <c r="AE1713" s="227"/>
      <c r="AG1713" s="19"/>
      <c r="AN1713" s="227"/>
      <c r="AO1713" s="227"/>
      <c r="AP1713" s="227"/>
      <c r="AQ1713" s="227"/>
      <c r="AR1713" s="227"/>
      <c r="AS1713" s="227"/>
      <c r="AT1713" s="227"/>
      <c r="AU1713" s="227"/>
    </row>
    <row r="1714" spans="27:64" ht="12.95" customHeight="1">
      <c r="AA1714" s="227"/>
      <c r="AB1714" s="227"/>
      <c r="AC1714" s="227"/>
      <c r="AD1714" s="227"/>
      <c r="AE1714" s="227"/>
      <c r="AG1714" s="19"/>
      <c r="AN1714" s="227"/>
      <c r="AO1714" s="227"/>
      <c r="AP1714" s="227"/>
      <c r="AQ1714" s="227"/>
      <c r="AR1714" s="227"/>
      <c r="AS1714" s="227"/>
      <c r="AT1714" s="227"/>
      <c r="AU1714" s="227"/>
      <c r="AV1714" s="227"/>
    </row>
    <row r="1715" spans="27:64" ht="12.95" customHeight="1">
      <c r="AA1715" s="227"/>
      <c r="AB1715" s="227"/>
      <c r="AC1715" s="227"/>
      <c r="AD1715" s="227"/>
      <c r="AE1715" s="227"/>
      <c r="AG1715" s="19"/>
      <c r="AN1715" s="227"/>
      <c r="AO1715" s="227"/>
      <c r="AP1715" s="227"/>
      <c r="AQ1715" s="227"/>
      <c r="AR1715" s="227"/>
      <c r="AS1715" s="227"/>
      <c r="AT1715" s="227"/>
      <c r="AU1715" s="227"/>
      <c r="AV1715" s="227"/>
    </row>
    <row r="1716" spans="27:64" ht="12.95" customHeight="1">
      <c r="AA1716" s="227"/>
      <c r="AB1716" s="227"/>
      <c r="AC1716" s="227"/>
      <c r="AD1716" s="227"/>
      <c r="AE1716" s="227"/>
      <c r="AG1716" s="19"/>
      <c r="AN1716" s="227"/>
      <c r="AO1716" s="227"/>
      <c r="AP1716" s="227"/>
      <c r="AQ1716" s="227"/>
      <c r="AR1716" s="227"/>
      <c r="AS1716" s="227"/>
      <c r="AT1716" s="227"/>
      <c r="AU1716" s="227"/>
      <c r="AV1716" s="227"/>
    </row>
    <row r="1717" spans="27:64" ht="12.95" customHeight="1">
      <c r="AA1717" s="227"/>
      <c r="AB1717" s="227"/>
      <c r="AC1717" s="227"/>
      <c r="AD1717" s="227"/>
      <c r="AE1717" s="227"/>
      <c r="AG1717" s="19"/>
      <c r="AN1717" s="227"/>
      <c r="AO1717" s="227"/>
      <c r="AP1717" s="227"/>
      <c r="AQ1717" s="227"/>
      <c r="AR1717" s="227"/>
      <c r="AS1717" s="227"/>
      <c r="AT1717" s="227"/>
      <c r="AU1717" s="227"/>
      <c r="AV1717" s="227"/>
    </row>
    <row r="1718" spans="27:64" ht="12.95" customHeight="1">
      <c r="AA1718" s="227"/>
      <c r="AB1718" s="227"/>
      <c r="AC1718" s="227"/>
      <c r="AD1718" s="227"/>
      <c r="AE1718" s="227"/>
      <c r="AG1718" s="19"/>
      <c r="AN1718" s="227"/>
      <c r="AO1718" s="227"/>
      <c r="AP1718" s="227"/>
      <c r="AQ1718" s="227"/>
      <c r="AR1718" s="227"/>
      <c r="AS1718" s="227"/>
      <c r="AT1718" s="227"/>
      <c r="AU1718" s="227"/>
      <c r="AV1718" s="227"/>
    </row>
    <row r="1719" spans="27:64" ht="12.95" customHeight="1">
      <c r="AA1719" s="227"/>
      <c r="AB1719" s="227"/>
      <c r="AC1719" s="227"/>
      <c r="AD1719" s="227"/>
      <c r="AE1719" s="227"/>
      <c r="AG1719" s="19"/>
      <c r="AN1719" s="227"/>
      <c r="AO1719" s="227"/>
      <c r="AP1719" s="227"/>
      <c r="AQ1719" s="227"/>
      <c r="AR1719" s="227"/>
      <c r="AS1719" s="227"/>
      <c r="AT1719" s="227"/>
      <c r="AU1719" s="227"/>
      <c r="AV1719" s="227"/>
      <c r="AX1719" s="227"/>
      <c r="AY1719" s="227"/>
      <c r="AZ1719" s="227"/>
      <c r="BA1719" s="227"/>
      <c r="BB1719" s="227"/>
      <c r="BC1719" s="227"/>
      <c r="BD1719" s="227"/>
      <c r="BE1719" s="227"/>
      <c r="BF1719" s="227"/>
      <c r="BG1719" s="227"/>
      <c r="BH1719" s="227"/>
      <c r="BI1719" s="227"/>
      <c r="BJ1719" s="227"/>
      <c r="BK1719" s="227"/>
      <c r="BL1719" s="227"/>
    </row>
    <row r="1720" spans="27:64" ht="12.95" customHeight="1">
      <c r="AA1720" s="227"/>
      <c r="AB1720" s="227"/>
      <c r="AC1720" s="227"/>
      <c r="AD1720" s="227"/>
      <c r="AE1720" s="227"/>
      <c r="AG1720" s="19"/>
      <c r="AN1720" s="227"/>
      <c r="AO1720" s="227"/>
      <c r="AP1720" s="227"/>
      <c r="AQ1720" s="227"/>
      <c r="AR1720" s="227"/>
      <c r="AS1720" s="227"/>
      <c r="AT1720" s="227"/>
      <c r="AU1720" s="227"/>
    </row>
    <row r="1721" spans="27:64" ht="12.95" customHeight="1">
      <c r="AA1721" s="227"/>
      <c r="AB1721" s="227"/>
      <c r="AC1721" s="227"/>
      <c r="AD1721" s="227"/>
      <c r="AE1721" s="227"/>
      <c r="AG1721" s="19"/>
      <c r="AN1721" s="227"/>
      <c r="AO1721" s="227"/>
      <c r="AP1721" s="227"/>
      <c r="AQ1721" s="227"/>
      <c r="AR1721" s="227"/>
      <c r="AS1721" s="227"/>
      <c r="AT1721" s="227"/>
      <c r="AU1721" s="227"/>
      <c r="AV1721" s="227"/>
    </row>
    <row r="1722" spans="27:64" ht="12.95" customHeight="1">
      <c r="AA1722" s="227"/>
      <c r="AB1722" s="227"/>
      <c r="AC1722" s="227"/>
      <c r="AD1722" s="227"/>
      <c r="AE1722" s="227"/>
      <c r="AG1722" s="19"/>
      <c r="AN1722" s="227"/>
      <c r="AO1722" s="227"/>
      <c r="AP1722" s="227"/>
      <c r="AQ1722" s="227"/>
      <c r="AR1722" s="227"/>
      <c r="AS1722" s="227"/>
      <c r="AT1722" s="227"/>
      <c r="AU1722" s="227"/>
      <c r="AV1722" s="227"/>
    </row>
    <row r="1723" spans="27:64" ht="12.95" customHeight="1">
      <c r="AA1723" s="227"/>
      <c r="AB1723" s="227"/>
      <c r="AC1723" s="227"/>
      <c r="AD1723" s="227"/>
      <c r="AE1723" s="227"/>
      <c r="AG1723" s="19"/>
      <c r="AN1723" s="227"/>
      <c r="AO1723" s="227"/>
      <c r="AP1723" s="227"/>
      <c r="AQ1723" s="227"/>
      <c r="AR1723" s="227"/>
      <c r="AS1723" s="227"/>
      <c r="AT1723" s="227"/>
      <c r="AU1723" s="227"/>
    </row>
    <row r="1724" spans="27:64" ht="12.95" customHeight="1">
      <c r="AA1724" s="227"/>
      <c r="AB1724" s="227"/>
      <c r="AC1724" s="227"/>
      <c r="AD1724" s="227"/>
      <c r="AE1724" s="227"/>
      <c r="AG1724" s="19"/>
      <c r="AN1724" s="227"/>
      <c r="AO1724" s="227"/>
      <c r="AP1724" s="227"/>
      <c r="AQ1724" s="227"/>
      <c r="AR1724" s="227"/>
      <c r="AS1724" s="227"/>
      <c r="AT1724" s="227"/>
      <c r="AU1724" s="227"/>
      <c r="AV1724" s="227"/>
      <c r="AX1724" s="227"/>
      <c r="AY1724" s="227"/>
      <c r="AZ1724" s="227"/>
      <c r="BA1724" s="227"/>
      <c r="BB1724" s="227"/>
      <c r="BC1724" s="227"/>
      <c r="BD1724" s="227"/>
      <c r="BE1724" s="227"/>
      <c r="BF1724" s="227"/>
      <c r="BG1724" s="227"/>
      <c r="BH1724" s="227"/>
      <c r="BI1724" s="227"/>
      <c r="BJ1724" s="227"/>
      <c r="BK1724" s="227"/>
      <c r="BL1724" s="227"/>
    </row>
    <row r="1725" spans="27:64" ht="12.95" customHeight="1">
      <c r="AA1725" s="227"/>
      <c r="AB1725" s="227"/>
      <c r="AC1725" s="227"/>
      <c r="AD1725" s="227"/>
      <c r="AE1725" s="227"/>
      <c r="AG1725" s="19"/>
      <c r="AN1725" s="227"/>
      <c r="AO1725" s="227"/>
      <c r="AP1725" s="227"/>
      <c r="AQ1725" s="227"/>
      <c r="AR1725" s="227"/>
      <c r="AS1725" s="227"/>
      <c r="AT1725" s="227"/>
      <c r="AU1725" s="227"/>
      <c r="AV1725" s="227"/>
    </row>
    <row r="1726" spans="27:64" ht="12.95" customHeight="1">
      <c r="AA1726" s="227"/>
      <c r="AB1726" s="227"/>
      <c r="AC1726" s="227"/>
      <c r="AD1726" s="227"/>
      <c r="AE1726" s="227"/>
      <c r="AG1726" s="19"/>
      <c r="AN1726" s="227"/>
      <c r="AO1726" s="227"/>
      <c r="AP1726" s="227"/>
      <c r="AQ1726" s="227"/>
      <c r="AR1726" s="227"/>
      <c r="AS1726" s="227"/>
      <c r="AT1726" s="227"/>
      <c r="AU1726" s="227"/>
    </row>
    <row r="1727" spans="27:64" ht="12.95" customHeight="1">
      <c r="AA1727" s="227"/>
      <c r="AB1727" s="227"/>
      <c r="AC1727" s="227"/>
      <c r="AD1727" s="227"/>
      <c r="AE1727" s="227"/>
      <c r="AG1727" s="19"/>
      <c r="AN1727" s="227"/>
      <c r="AO1727" s="227"/>
      <c r="AP1727" s="227"/>
      <c r="AQ1727" s="227"/>
      <c r="AR1727" s="227"/>
      <c r="AS1727" s="227"/>
      <c r="AT1727" s="227"/>
      <c r="AU1727" s="227"/>
    </row>
    <row r="1728" spans="27:64" ht="12.95" customHeight="1">
      <c r="AA1728" s="227"/>
      <c r="AB1728" s="227"/>
      <c r="AC1728" s="227"/>
      <c r="AD1728" s="227"/>
      <c r="AE1728" s="227"/>
      <c r="AG1728" s="19"/>
      <c r="AN1728" s="227"/>
      <c r="AO1728" s="227"/>
      <c r="AP1728" s="227"/>
      <c r="AQ1728" s="227"/>
      <c r="AR1728" s="227"/>
      <c r="AS1728" s="227"/>
      <c r="AT1728" s="227"/>
      <c r="AU1728" s="227"/>
    </row>
    <row r="1729" spans="27:64" ht="12.95" customHeight="1">
      <c r="AA1729" s="227"/>
      <c r="AB1729" s="227"/>
      <c r="AC1729" s="227"/>
      <c r="AD1729" s="227"/>
      <c r="AE1729" s="227"/>
      <c r="AG1729" s="19"/>
      <c r="AN1729" s="227"/>
      <c r="AO1729" s="227"/>
      <c r="AP1729" s="227"/>
      <c r="AQ1729" s="227"/>
      <c r="AR1729" s="227"/>
      <c r="AS1729" s="227"/>
      <c r="AT1729" s="227"/>
      <c r="AU1729" s="227"/>
      <c r="AV1729" s="227"/>
      <c r="AX1729" s="227"/>
      <c r="AY1729" s="227"/>
      <c r="AZ1729" s="227"/>
      <c r="BA1729" s="227"/>
      <c r="BB1729" s="227"/>
      <c r="BC1729" s="227"/>
      <c r="BD1729" s="227"/>
      <c r="BE1729" s="227"/>
      <c r="BF1729" s="227"/>
      <c r="BG1729" s="227"/>
      <c r="BH1729" s="227"/>
      <c r="BI1729" s="227"/>
      <c r="BJ1729" s="227"/>
      <c r="BK1729" s="227"/>
      <c r="BL1729" s="227"/>
    </row>
    <row r="1730" spans="27:64" ht="12.95" customHeight="1">
      <c r="AA1730" s="227"/>
      <c r="AB1730" s="227"/>
      <c r="AC1730" s="227"/>
      <c r="AD1730" s="227"/>
      <c r="AE1730" s="227"/>
      <c r="AG1730" s="19"/>
      <c r="AN1730" s="227"/>
      <c r="AO1730" s="227"/>
      <c r="AP1730" s="227"/>
      <c r="AQ1730" s="227"/>
      <c r="AR1730" s="227"/>
      <c r="AS1730" s="227"/>
      <c r="AT1730" s="227"/>
      <c r="AU1730" s="227"/>
    </row>
    <row r="1731" spans="27:64" ht="12.95" customHeight="1">
      <c r="AA1731" s="227"/>
      <c r="AB1731" s="227"/>
      <c r="AC1731" s="227"/>
      <c r="AD1731" s="227"/>
      <c r="AE1731" s="227"/>
      <c r="AG1731" s="19"/>
      <c r="AN1731" s="227"/>
      <c r="AO1731" s="227"/>
      <c r="AP1731" s="227"/>
      <c r="AQ1731" s="227"/>
      <c r="AR1731" s="227"/>
      <c r="AS1731" s="227"/>
      <c r="AT1731" s="227"/>
      <c r="AU1731" s="227"/>
      <c r="AV1731" s="227"/>
      <c r="AX1731" s="227"/>
    </row>
    <row r="1732" spans="27:64" ht="12.95" customHeight="1">
      <c r="AA1732" s="227"/>
      <c r="AB1732" s="227"/>
      <c r="AC1732" s="227"/>
      <c r="AD1732" s="227"/>
      <c r="AE1732" s="227"/>
      <c r="AG1732" s="19"/>
      <c r="AN1732" s="227"/>
      <c r="AO1732" s="227"/>
      <c r="AP1732" s="227"/>
      <c r="AQ1732" s="227"/>
      <c r="AR1732" s="227"/>
      <c r="AS1732" s="227"/>
      <c r="AT1732" s="227"/>
      <c r="AU1732" s="227"/>
    </row>
    <row r="1733" spans="27:64" ht="12.95" customHeight="1">
      <c r="AA1733" s="227"/>
      <c r="AB1733" s="227"/>
      <c r="AC1733" s="227"/>
      <c r="AD1733" s="227"/>
      <c r="AE1733" s="227"/>
      <c r="AG1733" s="19"/>
      <c r="AN1733" s="227"/>
      <c r="AO1733" s="227"/>
      <c r="AP1733" s="227"/>
      <c r="AQ1733" s="227"/>
      <c r="AR1733" s="227"/>
      <c r="AS1733" s="227"/>
      <c r="AT1733" s="227"/>
      <c r="AU1733" s="227"/>
    </row>
    <row r="1734" spans="27:64" ht="12.95" customHeight="1">
      <c r="AA1734" s="227"/>
      <c r="AB1734" s="227"/>
      <c r="AC1734" s="227"/>
      <c r="AD1734" s="227"/>
      <c r="AE1734" s="227"/>
      <c r="AG1734" s="19"/>
      <c r="AN1734" s="227"/>
      <c r="AO1734" s="227"/>
      <c r="AP1734" s="227"/>
      <c r="AQ1734" s="227"/>
      <c r="AR1734" s="227"/>
      <c r="AS1734" s="227"/>
      <c r="AT1734" s="227"/>
      <c r="AU1734" s="227"/>
      <c r="AV1734" s="227"/>
      <c r="AW1734" s="227"/>
      <c r="AX1734" s="227"/>
      <c r="AY1734" s="227"/>
      <c r="AZ1734" s="227"/>
      <c r="BA1734" s="227"/>
      <c r="BB1734" s="227"/>
      <c r="BC1734" s="227"/>
      <c r="BD1734" s="227"/>
      <c r="BE1734" s="227"/>
      <c r="BF1734" s="227"/>
      <c r="BG1734" s="227"/>
      <c r="BH1734" s="227"/>
      <c r="BI1734" s="227"/>
      <c r="BJ1734" s="227"/>
      <c r="BK1734" s="227"/>
      <c r="BL1734" s="227"/>
    </row>
    <row r="1735" spans="27:64" ht="12.95" customHeight="1">
      <c r="AA1735" s="227"/>
      <c r="AB1735" s="227"/>
      <c r="AC1735" s="227"/>
      <c r="AD1735" s="227"/>
      <c r="AE1735" s="227"/>
      <c r="AG1735" s="19"/>
      <c r="AN1735" s="227"/>
      <c r="AO1735" s="227"/>
      <c r="AP1735" s="227"/>
      <c r="AQ1735" s="227"/>
      <c r="AR1735" s="227"/>
      <c r="AS1735" s="227"/>
      <c r="AT1735" s="227"/>
      <c r="AU1735" s="227"/>
      <c r="AV1735" s="227"/>
      <c r="AW1735" s="227"/>
      <c r="AX1735" s="227"/>
      <c r="AY1735" s="227"/>
      <c r="AZ1735" s="227"/>
      <c r="BA1735" s="227"/>
      <c r="BB1735" s="227"/>
      <c r="BC1735" s="227"/>
      <c r="BD1735" s="227"/>
      <c r="BE1735" s="227"/>
      <c r="BF1735" s="227"/>
      <c r="BG1735" s="227"/>
      <c r="BH1735" s="227"/>
      <c r="BI1735" s="227"/>
      <c r="BJ1735" s="227"/>
      <c r="BK1735" s="227"/>
      <c r="BL1735" s="227"/>
    </row>
    <row r="1736" spans="27:64" ht="12.95" customHeight="1">
      <c r="AA1736" s="227"/>
      <c r="AB1736" s="227"/>
      <c r="AC1736" s="227"/>
      <c r="AD1736" s="227"/>
      <c r="AE1736" s="227"/>
      <c r="AG1736" s="19"/>
      <c r="AN1736" s="227"/>
      <c r="AO1736" s="227"/>
      <c r="AP1736" s="227"/>
      <c r="AQ1736" s="227"/>
      <c r="AR1736" s="227"/>
      <c r="AS1736" s="227"/>
      <c r="AT1736" s="227"/>
      <c r="AU1736" s="227"/>
    </row>
    <row r="1737" spans="27:64" ht="12.95" customHeight="1">
      <c r="AA1737" s="227"/>
      <c r="AB1737" s="227"/>
      <c r="AC1737" s="227"/>
      <c r="AD1737" s="227"/>
      <c r="AE1737" s="227"/>
      <c r="AG1737" s="19"/>
      <c r="AN1737" s="227"/>
      <c r="AO1737" s="227"/>
      <c r="AP1737" s="227"/>
      <c r="AQ1737" s="227"/>
      <c r="AR1737" s="227"/>
      <c r="AS1737" s="227"/>
      <c r="AT1737" s="227"/>
      <c r="AU1737" s="227"/>
    </row>
    <row r="1738" spans="27:64" ht="12.95" customHeight="1">
      <c r="AA1738" s="227"/>
      <c r="AB1738" s="227"/>
      <c r="AC1738" s="227"/>
      <c r="AD1738" s="227"/>
      <c r="AE1738" s="227"/>
      <c r="AG1738" s="19"/>
      <c r="AN1738" s="227"/>
      <c r="AO1738" s="227"/>
      <c r="AP1738" s="227"/>
      <c r="AQ1738" s="227"/>
      <c r="AR1738" s="227"/>
      <c r="AS1738" s="227"/>
      <c r="AT1738" s="227"/>
      <c r="AU1738" s="227"/>
      <c r="AV1738" s="227"/>
    </row>
    <row r="1739" spans="27:64" ht="12.95" customHeight="1">
      <c r="AA1739" s="227"/>
      <c r="AB1739" s="227"/>
      <c r="AC1739" s="227"/>
      <c r="AD1739" s="227"/>
      <c r="AE1739" s="227"/>
      <c r="AG1739" s="19"/>
      <c r="AN1739" s="227"/>
      <c r="AO1739" s="227"/>
      <c r="AP1739" s="227"/>
      <c r="AQ1739" s="227"/>
      <c r="AR1739" s="227"/>
      <c r="AS1739" s="227"/>
      <c r="AT1739" s="227"/>
      <c r="AU1739" s="227"/>
    </row>
    <row r="1740" spans="27:64" ht="12.95" customHeight="1">
      <c r="AA1740" s="227"/>
      <c r="AB1740" s="227"/>
      <c r="AC1740" s="227"/>
      <c r="AD1740" s="227"/>
      <c r="AE1740" s="227"/>
      <c r="AG1740" s="19"/>
      <c r="AN1740" s="227"/>
      <c r="AO1740" s="227"/>
      <c r="AP1740" s="227"/>
      <c r="AQ1740" s="227"/>
      <c r="AR1740" s="227"/>
      <c r="AS1740" s="227"/>
      <c r="AT1740" s="227"/>
      <c r="AU1740" s="227"/>
    </row>
    <row r="1741" spans="27:64" ht="12.95" customHeight="1">
      <c r="AA1741" s="227"/>
      <c r="AB1741" s="227"/>
      <c r="AC1741" s="227"/>
      <c r="AD1741" s="227"/>
      <c r="AE1741" s="227"/>
      <c r="AG1741" s="19"/>
      <c r="AN1741" s="227"/>
      <c r="AO1741" s="227"/>
      <c r="AP1741" s="227"/>
      <c r="AQ1741" s="227"/>
      <c r="AR1741" s="227"/>
      <c r="AS1741" s="227"/>
      <c r="AT1741" s="227"/>
      <c r="AU1741" s="227"/>
    </row>
    <row r="1742" spans="27:64" ht="12.95" customHeight="1">
      <c r="AA1742" s="227"/>
      <c r="AB1742" s="227"/>
      <c r="AC1742" s="227"/>
      <c r="AD1742" s="227"/>
      <c r="AE1742" s="227"/>
      <c r="AG1742" s="19"/>
      <c r="AN1742" s="227"/>
      <c r="AO1742" s="227"/>
      <c r="AP1742" s="227"/>
      <c r="AQ1742" s="227"/>
      <c r="AR1742" s="227"/>
      <c r="AS1742" s="227"/>
      <c r="AT1742" s="227"/>
      <c r="AU1742" s="227"/>
    </row>
    <row r="1743" spans="27:64" ht="12.95" customHeight="1">
      <c r="AA1743" s="227"/>
      <c r="AB1743" s="227"/>
      <c r="AC1743" s="227"/>
      <c r="AD1743" s="227"/>
      <c r="AE1743" s="227"/>
      <c r="AG1743" s="19"/>
      <c r="AN1743" s="227"/>
      <c r="AO1743" s="227"/>
      <c r="AP1743" s="227"/>
      <c r="AQ1743" s="227"/>
      <c r="AR1743" s="227"/>
      <c r="AS1743" s="227"/>
      <c r="AT1743" s="227"/>
      <c r="AU1743" s="227"/>
    </row>
    <row r="1744" spans="27:64" ht="12.95" customHeight="1">
      <c r="AA1744" s="227"/>
      <c r="AB1744" s="227"/>
      <c r="AC1744" s="227"/>
      <c r="AD1744" s="227"/>
      <c r="AE1744" s="227"/>
      <c r="AG1744" s="19"/>
      <c r="AN1744" s="227"/>
      <c r="AO1744" s="227"/>
      <c r="AP1744" s="227"/>
      <c r="AQ1744" s="227"/>
      <c r="AR1744" s="227"/>
      <c r="AS1744" s="227"/>
      <c r="AT1744" s="227"/>
      <c r="AU1744" s="227"/>
      <c r="AV1744" s="227"/>
    </row>
    <row r="1745" spans="27:64" ht="12.95" customHeight="1">
      <c r="AA1745" s="227"/>
      <c r="AB1745" s="227"/>
      <c r="AC1745" s="227"/>
      <c r="AD1745" s="227"/>
      <c r="AE1745" s="227"/>
      <c r="AG1745" s="19"/>
      <c r="AN1745" s="227"/>
      <c r="AO1745" s="227"/>
      <c r="AP1745" s="227"/>
      <c r="AQ1745" s="227"/>
      <c r="AR1745" s="227"/>
      <c r="AS1745" s="227"/>
      <c r="AT1745" s="227"/>
      <c r="AU1745" s="227"/>
    </row>
    <row r="1746" spans="27:64" ht="12.95" customHeight="1">
      <c r="AA1746" s="227"/>
      <c r="AB1746" s="227"/>
      <c r="AC1746" s="227"/>
      <c r="AD1746" s="227"/>
      <c r="AE1746" s="227"/>
      <c r="AG1746" s="19"/>
      <c r="AN1746" s="227"/>
      <c r="AO1746" s="227"/>
      <c r="AP1746" s="227"/>
      <c r="AQ1746" s="227"/>
      <c r="AR1746" s="227"/>
      <c r="AS1746" s="227"/>
      <c r="AT1746" s="227"/>
      <c r="AU1746" s="227"/>
    </row>
    <row r="1747" spans="27:64" ht="12.95" customHeight="1">
      <c r="AA1747" s="227"/>
      <c r="AB1747" s="227"/>
      <c r="AC1747" s="227"/>
      <c r="AD1747" s="227"/>
      <c r="AE1747" s="227"/>
      <c r="AG1747" s="19"/>
      <c r="AN1747" s="227"/>
      <c r="AO1747" s="227"/>
      <c r="AP1747" s="227"/>
      <c r="AQ1747" s="227"/>
      <c r="AR1747" s="227"/>
      <c r="AS1747" s="227"/>
      <c r="AT1747" s="227"/>
      <c r="AU1747" s="227"/>
      <c r="AV1747" s="227"/>
      <c r="AW1747" s="227"/>
      <c r="AX1747" s="227"/>
      <c r="AY1747" s="227"/>
      <c r="AZ1747" s="227"/>
      <c r="BA1747" s="227"/>
      <c r="BB1747" s="227"/>
      <c r="BC1747" s="227"/>
      <c r="BD1747" s="227"/>
      <c r="BE1747" s="227"/>
      <c r="BF1747" s="227"/>
      <c r="BG1747" s="227"/>
      <c r="BH1747" s="227"/>
      <c r="BI1747" s="227"/>
      <c r="BJ1747" s="227"/>
      <c r="BK1747" s="227"/>
      <c r="BL1747" s="227"/>
    </row>
    <row r="1748" spans="27:64" ht="12.95" customHeight="1">
      <c r="AA1748" s="227"/>
      <c r="AB1748" s="227"/>
      <c r="AC1748" s="227"/>
      <c r="AD1748" s="227"/>
      <c r="AE1748" s="227"/>
      <c r="AG1748" s="19"/>
      <c r="AN1748" s="227"/>
      <c r="AO1748" s="227"/>
      <c r="AP1748" s="227"/>
      <c r="AQ1748" s="227"/>
      <c r="AR1748" s="227"/>
      <c r="AS1748" s="227"/>
      <c r="AT1748" s="227"/>
      <c r="AU1748" s="227"/>
    </row>
    <row r="1749" spans="27:64" ht="12.95" customHeight="1">
      <c r="AA1749" s="227"/>
      <c r="AB1749" s="227"/>
      <c r="AC1749" s="227"/>
      <c r="AD1749" s="227"/>
      <c r="AE1749" s="227"/>
      <c r="AG1749" s="19"/>
      <c r="AN1749" s="227"/>
      <c r="AO1749" s="227"/>
      <c r="AP1749" s="227"/>
      <c r="AQ1749" s="227"/>
      <c r="AR1749" s="227"/>
      <c r="AS1749" s="227"/>
      <c r="AT1749" s="227"/>
      <c r="AU1749" s="227"/>
    </row>
    <row r="1750" spans="27:64" ht="12.95" customHeight="1">
      <c r="AA1750" s="227"/>
      <c r="AB1750" s="227"/>
      <c r="AC1750" s="227"/>
      <c r="AD1750" s="227"/>
      <c r="AE1750" s="227"/>
      <c r="AG1750" s="19"/>
      <c r="AN1750" s="227"/>
      <c r="AO1750" s="227"/>
      <c r="AP1750" s="227"/>
      <c r="AQ1750" s="227"/>
      <c r="AR1750" s="227"/>
      <c r="AS1750" s="227"/>
      <c r="AT1750" s="227"/>
      <c r="AU1750" s="227"/>
    </row>
    <row r="1751" spans="27:64" ht="12.95" customHeight="1">
      <c r="AA1751" s="227"/>
      <c r="AB1751" s="227"/>
      <c r="AC1751" s="227"/>
      <c r="AD1751" s="227"/>
      <c r="AE1751" s="227"/>
      <c r="AG1751" s="19"/>
      <c r="AN1751" s="227"/>
      <c r="AO1751" s="227"/>
      <c r="AP1751" s="227"/>
      <c r="AQ1751" s="227"/>
      <c r="AR1751" s="227"/>
      <c r="AS1751" s="227"/>
      <c r="AT1751" s="227"/>
      <c r="AU1751" s="227"/>
    </row>
    <row r="1752" spans="27:64" ht="12.95" customHeight="1">
      <c r="AA1752" s="227"/>
      <c r="AB1752" s="227"/>
      <c r="AC1752" s="227"/>
      <c r="AD1752" s="227"/>
      <c r="AE1752" s="227"/>
      <c r="AG1752" s="19"/>
      <c r="AN1752" s="227"/>
      <c r="AO1752" s="227"/>
      <c r="AP1752" s="227"/>
      <c r="AQ1752" s="227"/>
      <c r="AR1752" s="227"/>
      <c r="AS1752" s="227"/>
      <c r="AT1752" s="227"/>
      <c r="AU1752" s="227"/>
    </row>
    <row r="1753" spans="27:64" ht="12.95" customHeight="1">
      <c r="AA1753" s="227"/>
      <c r="AB1753" s="227"/>
      <c r="AC1753" s="227"/>
      <c r="AD1753" s="227"/>
      <c r="AE1753" s="227"/>
      <c r="AG1753" s="19"/>
      <c r="AN1753" s="227"/>
      <c r="AO1753" s="227"/>
      <c r="AP1753" s="227"/>
      <c r="AQ1753" s="227"/>
      <c r="AR1753" s="227"/>
      <c r="AS1753" s="227"/>
      <c r="AT1753" s="227"/>
      <c r="AU1753" s="227"/>
      <c r="AV1753" s="227"/>
      <c r="AW1753" s="227"/>
      <c r="AX1753" s="227"/>
      <c r="AY1753" s="227"/>
      <c r="AZ1753" s="227"/>
      <c r="BA1753" s="227"/>
      <c r="BB1753" s="227"/>
      <c r="BC1753" s="227"/>
      <c r="BD1753" s="227"/>
      <c r="BE1753" s="227"/>
      <c r="BF1753" s="227"/>
      <c r="BG1753" s="227"/>
      <c r="BH1753" s="227"/>
      <c r="BI1753" s="227"/>
      <c r="BJ1753" s="227"/>
      <c r="BK1753" s="227"/>
      <c r="BL1753" s="227"/>
    </row>
    <row r="1754" spans="27:64" ht="12.95" customHeight="1">
      <c r="AA1754" s="227"/>
      <c r="AB1754" s="227"/>
      <c r="AC1754" s="227"/>
      <c r="AD1754" s="227"/>
      <c r="AE1754" s="227"/>
      <c r="AG1754" s="19"/>
      <c r="AN1754" s="227"/>
      <c r="AO1754" s="227"/>
      <c r="AP1754" s="227"/>
      <c r="AQ1754" s="227"/>
      <c r="AR1754" s="227"/>
      <c r="AS1754" s="227"/>
      <c r="AT1754" s="227"/>
      <c r="AU1754" s="227"/>
      <c r="AV1754" s="227"/>
      <c r="AW1754" s="227"/>
      <c r="AX1754" s="227"/>
      <c r="AY1754" s="227"/>
      <c r="AZ1754" s="227"/>
      <c r="BA1754" s="227"/>
      <c r="BB1754" s="227"/>
      <c r="BC1754" s="227"/>
      <c r="BD1754" s="227"/>
      <c r="BE1754" s="227"/>
      <c r="BF1754" s="227"/>
      <c r="BG1754" s="227"/>
      <c r="BH1754" s="227"/>
      <c r="BI1754" s="227"/>
      <c r="BJ1754" s="227"/>
      <c r="BK1754" s="227"/>
      <c r="BL1754" s="227"/>
    </row>
    <row r="1755" spans="27:64" ht="12.95" customHeight="1">
      <c r="AA1755" s="227"/>
      <c r="AB1755" s="227"/>
      <c r="AC1755" s="227"/>
      <c r="AD1755" s="227"/>
      <c r="AE1755" s="227"/>
      <c r="AG1755" s="19"/>
      <c r="AN1755" s="227"/>
      <c r="AO1755" s="227"/>
      <c r="AP1755" s="227"/>
      <c r="AQ1755" s="227"/>
      <c r="AR1755" s="227"/>
      <c r="AS1755" s="227"/>
      <c r="AT1755" s="227"/>
      <c r="AU1755" s="227"/>
      <c r="AV1755" s="227"/>
    </row>
    <row r="1756" spans="27:64" ht="12.95" customHeight="1">
      <c r="AA1756" s="227"/>
      <c r="AB1756" s="227"/>
      <c r="AC1756" s="227"/>
      <c r="AD1756" s="227"/>
      <c r="AE1756" s="227"/>
      <c r="AG1756" s="19"/>
      <c r="AN1756" s="227"/>
      <c r="AO1756" s="227"/>
      <c r="AP1756" s="227"/>
      <c r="AQ1756" s="227"/>
      <c r="AR1756" s="227"/>
      <c r="AS1756" s="227"/>
      <c r="AT1756" s="227"/>
      <c r="AU1756" s="227"/>
      <c r="AV1756" s="227"/>
    </row>
    <row r="1757" spans="27:64" ht="12.95" customHeight="1">
      <c r="AA1757" s="227"/>
      <c r="AB1757" s="227"/>
      <c r="AC1757" s="227"/>
      <c r="AD1757" s="227"/>
      <c r="AE1757" s="227"/>
      <c r="AG1757" s="19"/>
      <c r="AN1757" s="227"/>
      <c r="AO1757" s="227"/>
      <c r="AP1757" s="227"/>
      <c r="AQ1757" s="227"/>
      <c r="AR1757" s="227"/>
      <c r="AS1757" s="227"/>
      <c r="AT1757" s="227"/>
      <c r="AU1757" s="227"/>
    </row>
    <row r="1758" spans="27:64" ht="12.95" customHeight="1">
      <c r="AA1758" s="227"/>
      <c r="AB1758" s="227"/>
      <c r="AC1758" s="227"/>
      <c r="AD1758" s="227"/>
      <c r="AE1758" s="227"/>
      <c r="AG1758" s="19"/>
      <c r="AN1758" s="227"/>
      <c r="AO1758" s="227"/>
      <c r="AP1758" s="227"/>
      <c r="AQ1758" s="227"/>
      <c r="AR1758" s="227"/>
      <c r="AS1758" s="227"/>
      <c r="AT1758" s="227"/>
      <c r="AU1758" s="227"/>
    </row>
    <row r="1759" spans="27:64" ht="12.95" customHeight="1">
      <c r="AA1759" s="227"/>
      <c r="AB1759" s="227"/>
      <c r="AC1759" s="227"/>
      <c r="AD1759" s="227"/>
      <c r="AE1759" s="227"/>
      <c r="AG1759" s="19"/>
      <c r="AN1759" s="227"/>
      <c r="AO1759" s="227"/>
      <c r="AP1759" s="227"/>
      <c r="AQ1759" s="227"/>
      <c r="AR1759" s="227"/>
      <c r="AS1759" s="227"/>
      <c r="AT1759" s="227"/>
      <c r="AU1759" s="227"/>
      <c r="AV1759" s="227"/>
      <c r="AW1759" s="227"/>
      <c r="AX1759" s="227"/>
      <c r="AY1759" s="227"/>
      <c r="AZ1759" s="227"/>
      <c r="BA1759" s="227"/>
      <c r="BB1759" s="227"/>
      <c r="BC1759" s="227"/>
      <c r="BD1759" s="227"/>
      <c r="BE1759" s="227"/>
      <c r="BF1759" s="227"/>
      <c r="BG1759" s="227"/>
      <c r="BH1759" s="227"/>
      <c r="BI1759" s="227"/>
      <c r="BJ1759" s="227"/>
      <c r="BK1759" s="227"/>
      <c r="BL1759" s="227"/>
    </row>
    <row r="1760" spans="27:64" ht="12.95" customHeight="1">
      <c r="AA1760" s="227"/>
      <c r="AB1760" s="227"/>
      <c r="AC1760" s="227"/>
      <c r="AD1760" s="227"/>
      <c r="AE1760" s="227"/>
      <c r="AG1760" s="19"/>
      <c r="AN1760" s="227"/>
      <c r="AO1760" s="227"/>
      <c r="AP1760" s="227"/>
      <c r="AQ1760" s="227"/>
      <c r="AR1760" s="227"/>
      <c r="AS1760" s="227"/>
      <c r="AT1760" s="227"/>
      <c r="AU1760" s="227"/>
      <c r="AV1760" s="227"/>
      <c r="AX1760" s="227"/>
      <c r="AY1760" s="227"/>
      <c r="AZ1760" s="227"/>
      <c r="BA1760" s="227"/>
      <c r="BB1760" s="227"/>
      <c r="BC1760" s="227"/>
      <c r="BD1760" s="227"/>
      <c r="BE1760" s="227"/>
      <c r="BF1760" s="227"/>
      <c r="BG1760" s="227"/>
      <c r="BH1760" s="227"/>
      <c r="BI1760" s="227"/>
      <c r="BJ1760" s="227"/>
      <c r="BK1760" s="227"/>
      <c r="BL1760" s="227"/>
    </row>
    <row r="1761" spans="27:64" ht="12.95" customHeight="1">
      <c r="AA1761" s="227"/>
      <c r="AB1761" s="227"/>
      <c r="AC1761" s="227"/>
      <c r="AD1761" s="227"/>
      <c r="AE1761" s="227"/>
      <c r="AG1761" s="19"/>
      <c r="AN1761" s="227"/>
      <c r="AO1761" s="227"/>
      <c r="AP1761" s="227"/>
      <c r="AQ1761" s="227"/>
      <c r="AR1761" s="227"/>
      <c r="AS1761" s="227"/>
      <c r="AT1761" s="227"/>
      <c r="AU1761" s="227"/>
    </row>
    <row r="1762" spans="27:64" ht="12.95" customHeight="1">
      <c r="AA1762" s="227"/>
      <c r="AB1762" s="227"/>
      <c r="AC1762" s="227"/>
      <c r="AD1762" s="227"/>
      <c r="AE1762" s="227"/>
      <c r="AG1762" s="19"/>
      <c r="AN1762" s="227"/>
      <c r="AO1762" s="227"/>
      <c r="AP1762" s="227"/>
      <c r="AQ1762" s="227"/>
      <c r="AR1762" s="227"/>
      <c r="AS1762" s="227"/>
      <c r="AT1762" s="227"/>
      <c r="AU1762" s="227"/>
      <c r="AV1762" s="227"/>
    </row>
    <row r="1763" spans="27:64" ht="12.95" customHeight="1">
      <c r="AA1763" s="227"/>
      <c r="AB1763" s="227"/>
      <c r="AC1763" s="227"/>
      <c r="AD1763" s="227"/>
      <c r="AE1763" s="227"/>
      <c r="AG1763" s="19"/>
      <c r="AN1763" s="227"/>
      <c r="AO1763" s="227"/>
      <c r="AP1763" s="227"/>
      <c r="AQ1763" s="227"/>
      <c r="AR1763" s="227"/>
      <c r="AS1763" s="227"/>
      <c r="AT1763" s="227"/>
      <c r="AU1763" s="227"/>
    </row>
    <row r="1764" spans="27:64" ht="12.95" customHeight="1">
      <c r="AA1764" s="227"/>
      <c r="AB1764" s="227"/>
      <c r="AC1764" s="227"/>
      <c r="AD1764" s="227"/>
      <c r="AE1764" s="227"/>
      <c r="AG1764" s="19"/>
      <c r="AN1764" s="227"/>
      <c r="AO1764" s="227"/>
      <c r="AP1764" s="227"/>
      <c r="AQ1764" s="227"/>
      <c r="AR1764" s="227"/>
      <c r="AS1764" s="227"/>
      <c r="AT1764" s="227"/>
      <c r="AU1764" s="227"/>
      <c r="AV1764" s="227"/>
    </row>
    <row r="1765" spans="27:64" ht="12.95" customHeight="1">
      <c r="AA1765" s="227"/>
      <c r="AB1765" s="227"/>
      <c r="AC1765" s="227"/>
      <c r="AD1765" s="227"/>
      <c r="AE1765" s="227"/>
      <c r="AG1765" s="19"/>
      <c r="AN1765" s="227"/>
      <c r="AO1765" s="227"/>
      <c r="AP1765" s="227"/>
      <c r="AQ1765" s="227"/>
      <c r="AR1765" s="227"/>
      <c r="AS1765" s="227"/>
      <c r="AT1765" s="227"/>
      <c r="AU1765" s="227"/>
    </row>
    <row r="1766" spans="27:64" ht="12.95" customHeight="1">
      <c r="AA1766" s="227"/>
      <c r="AB1766" s="227"/>
      <c r="AC1766" s="227"/>
      <c r="AD1766" s="227"/>
      <c r="AE1766" s="227"/>
      <c r="AG1766" s="19"/>
      <c r="AN1766" s="227"/>
      <c r="AO1766" s="227"/>
      <c r="AP1766" s="227"/>
      <c r="AQ1766" s="227"/>
      <c r="AR1766" s="227"/>
      <c r="AS1766" s="227"/>
      <c r="AT1766" s="227"/>
      <c r="AU1766" s="227"/>
      <c r="AV1766" s="227"/>
    </row>
    <row r="1767" spans="27:64" ht="12.95" customHeight="1">
      <c r="AA1767" s="227"/>
      <c r="AB1767" s="227"/>
      <c r="AC1767" s="227"/>
      <c r="AD1767" s="227"/>
      <c r="AE1767" s="227"/>
      <c r="AG1767" s="19"/>
      <c r="AN1767" s="227"/>
      <c r="AO1767" s="227"/>
      <c r="AP1767" s="227"/>
      <c r="AQ1767" s="227"/>
      <c r="AR1767" s="227"/>
      <c r="AS1767" s="227"/>
      <c r="AT1767" s="227"/>
      <c r="AU1767" s="227"/>
      <c r="AV1767" s="227"/>
      <c r="AW1767" s="227"/>
      <c r="AX1767" s="227"/>
      <c r="AY1767" s="227"/>
      <c r="AZ1767" s="227"/>
      <c r="BA1767" s="227"/>
      <c r="BB1767" s="227"/>
      <c r="BC1767" s="227"/>
      <c r="BD1767" s="227"/>
      <c r="BE1767" s="227"/>
      <c r="BF1767" s="227"/>
      <c r="BG1767" s="227"/>
      <c r="BH1767" s="227"/>
      <c r="BI1767" s="227"/>
      <c r="BJ1767" s="227"/>
      <c r="BK1767" s="227"/>
      <c r="BL1767" s="227"/>
    </row>
    <row r="1768" spans="27:64" ht="12.95" customHeight="1">
      <c r="AA1768" s="227"/>
      <c r="AB1768" s="227"/>
      <c r="AC1768" s="227"/>
      <c r="AD1768" s="227"/>
      <c r="AE1768" s="227"/>
      <c r="AG1768" s="19"/>
      <c r="AN1768" s="227"/>
      <c r="AO1768" s="227"/>
      <c r="AP1768" s="227"/>
      <c r="AQ1768" s="227"/>
      <c r="AR1768" s="227"/>
      <c r="AS1768" s="227"/>
      <c r="AT1768" s="227"/>
      <c r="AU1768" s="227"/>
    </row>
    <row r="1769" spans="27:64" ht="12.95" customHeight="1">
      <c r="AA1769" s="227"/>
      <c r="AB1769" s="227"/>
      <c r="AC1769" s="227"/>
      <c r="AD1769" s="227"/>
      <c r="AE1769" s="227"/>
      <c r="AG1769" s="19"/>
      <c r="AN1769" s="227"/>
      <c r="AO1769" s="227"/>
      <c r="AP1769" s="227"/>
      <c r="AQ1769" s="227"/>
      <c r="AR1769" s="227"/>
      <c r="AS1769" s="227"/>
      <c r="AT1769" s="227"/>
      <c r="AU1769" s="227"/>
    </row>
    <row r="1770" spans="27:64" ht="12.95" customHeight="1">
      <c r="AA1770" s="227"/>
      <c r="AB1770" s="227"/>
      <c r="AC1770" s="227"/>
      <c r="AD1770" s="227"/>
      <c r="AE1770" s="227"/>
      <c r="AG1770" s="19"/>
      <c r="AN1770" s="227"/>
      <c r="AO1770" s="227"/>
      <c r="AP1770" s="227"/>
      <c r="AQ1770" s="227"/>
      <c r="AR1770" s="227"/>
      <c r="AS1770" s="227"/>
      <c r="AT1770" s="227"/>
      <c r="AU1770" s="227"/>
    </row>
    <row r="1771" spans="27:64" ht="12.95" customHeight="1">
      <c r="AA1771" s="227"/>
      <c r="AB1771" s="227"/>
      <c r="AC1771" s="227"/>
      <c r="AD1771" s="227"/>
      <c r="AE1771" s="227"/>
      <c r="AG1771" s="19"/>
      <c r="AN1771" s="227"/>
      <c r="AO1771" s="227"/>
      <c r="AP1771" s="227"/>
      <c r="AQ1771" s="227"/>
      <c r="AR1771" s="227"/>
      <c r="AS1771" s="227"/>
      <c r="AT1771" s="227"/>
      <c r="AU1771" s="227"/>
    </row>
    <row r="1772" spans="27:64" ht="12.95" customHeight="1">
      <c r="AA1772" s="227"/>
      <c r="AB1772" s="227"/>
      <c r="AC1772" s="227"/>
      <c r="AD1772" s="227"/>
      <c r="AE1772" s="227"/>
      <c r="AG1772" s="19"/>
      <c r="AN1772" s="227"/>
      <c r="AO1772" s="227"/>
      <c r="AP1772" s="227"/>
      <c r="AQ1772" s="227"/>
      <c r="AR1772" s="227"/>
      <c r="AS1772" s="227"/>
      <c r="AT1772" s="227"/>
      <c r="AU1772" s="227"/>
    </row>
    <row r="1773" spans="27:64" ht="12.95" customHeight="1">
      <c r="AA1773" s="227"/>
      <c r="AB1773" s="227"/>
      <c r="AC1773" s="227"/>
      <c r="AD1773" s="227"/>
      <c r="AE1773" s="227"/>
      <c r="AG1773" s="19"/>
      <c r="AN1773" s="227"/>
      <c r="AO1773" s="227"/>
      <c r="AP1773" s="227"/>
      <c r="AQ1773" s="227"/>
      <c r="AR1773" s="227"/>
      <c r="AS1773" s="227"/>
      <c r="AT1773" s="227"/>
      <c r="AU1773" s="227"/>
    </row>
    <row r="1774" spans="27:64" ht="12.95" customHeight="1">
      <c r="AA1774" s="227"/>
      <c r="AB1774" s="227"/>
      <c r="AC1774" s="227"/>
      <c r="AD1774" s="227"/>
      <c r="AE1774" s="227"/>
      <c r="AG1774" s="19"/>
      <c r="AN1774" s="227"/>
      <c r="AO1774" s="227"/>
      <c r="AP1774" s="227"/>
      <c r="AQ1774" s="227"/>
      <c r="AR1774" s="227"/>
      <c r="AS1774" s="227"/>
      <c r="AT1774" s="227"/>
      <c r="AU1774" s="227"/>
    </row>
    <row r="1775" spans="27:64" ht="12.95" customHeight="1">
      <c r="AA1775" s="227"/>
      <c r="AB1775" s="227"/>
      <c r="AC1775" s="227"/>
      <c r="AD1775" s="227"/>
      <c r="AE1775" s="227"/>
      <c r="AG1775" s="19"/>
      <c r="AN1775" s="227"/>
      <c r="AO1775" s="227"/>
      <c r="AP1775" s="227"/>
      <c r="AQ1775" s="227"/>
      <c r="AR1775" s="227"/>
      <c r="AS1775" s="227"/>
      <c r="AT1775" s="227"/>
      <c r="AU1775" s="227"/>
    </row>
    <row r="1776" spans="27:64" ht="12.95" customHeight="1">
      <c r="AA1776" s="227"/>
      <c r="AB1776" s="227"/>
      <c r="AC1776" s="227"/>
      <c r="AD1776" s="227"/>
      <c r="AE1776" s="227"/>
      <c r="AG1776" s="19"/>
      <c r="AN1776" s="227"/>
      <c r="AO1776" s="227"/>
      <c r="AP1776" s="227"/>
      <c r="AQ1776" s="227"/>
      <c r="AR1776" s="227"/>
      <c r="AS1776" s="227"/>
      <c r="AT1776" s="227"/>
      <c r="AU1776" s="227"/>
    </row>
    <row r="1777" spans="27:48" ht="12.95" customHeight="1">
      <c r="AA1777" s="227"/>
      <c r="AB1777" s="227"/>
      <c r="AC1777" s="227"/>
      <c r="AD1777" s="227"/>
      <c r="AE1777" s="227"/>
      <c r="AG1777" s="19"/>
      <c r="AN1777" s="227"/>
      <c r="AO1777" s="227"/>
      <c r="AP1777" s="227"/>
      <c r="AQ1777" s="227"/>
      <c r="AR1777" s="227"/>
      <c r="AS1777" s="227"/>
      <c r="AT1777" s="227"/>
      <c r="AU1777" s="227"/>
    </row>
    <row r="1778" spans="27:48" ht="12.95" customHeight="1">
      <c r="AA1778" s="227"/>
      <c r="AB1778" s="227"/>
      <c r="AC1778" s="227"/>
      <c r="AD1778" s="227"/>
      <c r="AE1778" s="227"/>
      <c r="AG1778" s="19"/>
      <c r="AN1778" s="227"/>
      <c r="AO1778" s="227"/>
      <c r="AP1778" s="227"/>
      <c r="AQ1778" s="227"/>
      <c r="AR1778" s="227"/>
      <c r="AS1778" s="227"/>
      <c r="AT1778" s="227"/>
      <c r="AU1778" s="227"/>
      <c r="AV1778" s="227"/>
    </row>
    <row r="1779" spans="27:48" ht="12.95" customHeight="1">
      <c r="AA1779" s="227"/>
      <c r="AB1779" s="227"/>
      <c r="AC1779" s="227"/>
      <c r="AD1779" s="227"/>
      <c r="AE1779" s="227"/>
      <c r="AG1779" s="19"/>
      <c r="AN1779" s="227"/>
      <c r="AO1779" s="227"/>
      <c r="AP1779" s="227"/>
      <c r="AQ1779" s="227"/>
      <c r="AR1779" s="227"/>
      <c r="AS1779" s="227"/>
      <c r="AT1779" s="227"/>
      <c r="AU1779" s="227"/>
    </row>
    <row r="1780" spans="27:48" ht="12.95" customHeight="1">
      <c r="AA1780" s="227"/>
      <c r="AB1780" s="227"/>
      <c r="AC1780" s="227"/>
      <c r="AD1780" s="227"/>
      <c r="AE1780" s="227"/>
      <c r="AG1780" s="19"/>
      <c r="AN1780" s="227"/>
      <c r="AO1780" s="227"/>
      <c r="AP1780" s="227"/>
      <c r="AQ1780" s="227"/>
      <c r="AR1780" s="227"/>
      <c r="AS1780" s="227"/>
      <c r="AT1780" s="227"/>
      <c r="AU1780" s="227"/>
    </row>
    <row r="1781" spans="27:48" ht="12.95" customHeight="1">
      <c r="AA1781" s="227"/>
      <c r="AB1781" s="227"/>
      <c r="AC1781" s="227"/>
      <c r="AD1781" s="227"/>
      <c r="AE1781" s="227"/>
      <c r="AG1781" s="19"/>
      <c r="AN1781" s="227"/>
      <c r="AO1781" s="227"/>
      <c r="AP1781" s="227"/>
      <c r="AQ1781" s="227"/>
      <c r="AR1781" s="227"/>
      <c r="AS1781" s="227"/>
      <c r="AT1781" s="227"/>
      <c r="AU1781" s="227"/>
    </row>
    <row r="1782" spans="27:48" ht="12.95" customHeight="1">
      <c r="AA1782" s="227"/>
      <c r="AB1782" s="227"/>
      <c r="AC1782" s="227"/>
      <c r="AD1782" s="227"/>
      <c r="AE1782" s="227"/>
      <c r="AG1782" s="19"/>
      <c r="AN1782" s="227"/>
      <c r="AO1782" s="227"/>
      <c r="AP1782" s="227"/>
      <c r="AQ1782" s="227"/>
      <c r="AR1782" s="227"/>
      <c r="AS1782" s="227"/>
      <c r="AT1782" s="227"/>
      <c r="AU1782" s="227"/>
    </row>
    <row r="1783" spans="27:48" ht="12.95" customHeight="1">
      <c r="AA1783" s="227"/>
      <c r="AB1783" s="227"/>
      <c r="AC1783" s="227"/>
      <c r="AD1783" s="227"/>
      <c r="AE1783" s="227"/>
      <c r="AG1783" s="19"/>
      <c r="AN1783" s="227"/>
      <c r="AO1783" s="227"/>
      <c r="AP1783" s="227"/>
      <c r="AQ1783" s="227"/>
      <c r="AR1783" s="227"/>
      <c r="AS1783" s="227"/>
      <c r="AT1783" s="227"/>
      <c r="AU1783" s="227"/>
      <c r="AV1783" s="227"/>
    </row>
    <row r="1784" spans="27:48" ht="12.95" customHeight="1">
      <c r="AA1784" s="227"/>
      <c r="AB1784" s="227"/>
      <c r="AC1784" s="227"/>
      <c r="AD1784" s="227"/>
      <c r="AE1784" s="227"/>
      <c r="AG1784" s="19"/>
      <c r="AN1784" s="227"/>
      <c r="AO1784" s="227"/>
      <c r="AP1784" s="227"/>
      <c r="AQ1784" s="227"/>
      <c r="AR1784" s="227"/>
      <c r="AS1784" s="227"/>
      <c r="AT1784" s="227"/>
      <c r="AU1784" s="227"/>
    </row>
    <row r="1785" spans="27:48" ht="12.95" customHeight="1">
      <c r="AA1785" s="227"/>
      <c r="AB1785" s="227"/>
      <c r="AC1785" s="227"/>
      <c r="AD1785" s="227"/>
      <c r="AE1785" s="227"/>
      <c r="AG1785" s="19"/>
      <c r="AN1785" s="227"/>
      <c r="AO1785" s="227"/>
      <c r="AP1785" s="227"/>
      <c r="AQ1785" s="227"/>
      <c r="AR1785" s="227"/>
      <c r="AS1785" s="227"/>
      <c r="AT1785" s="227"/>
      <c r="AU1785" s="227"/>
    </row>
    <row r="1786" spans="27:48" ht="12.95" customHeight="1">
      <c r="AA1786" s="227"/>
      <c r="AB1786" s="227"/>
      <c r="AC1786" s="227"/>
      <c r="AD1786" s="227"/>
      <c r="AE1786" s="227"/>
      <c r="AG1786" s="19"/>
      <c r="AN1786" s="227"/>
      <c r="AO1786" s="227"/>
      <c r="AP1786" s="227"/>
      <c r="AQ1786" s="227"/>
      <c r="AR1786" s="227"/>
      <c r="AS1786" s="227"/>
      <c r="AT1786" s="227"/>
      <c r="AU1786" s="227"/>
    </row>
    <row r="1787" spans="27:48" ht="12.95" customHeight="1">
      <c r="AA1787" s="227"/>
      <c r="AB1787" s="227"/>
      <c r="AC1787" s="227"/>
      <c r="AD1787" s="227"/>
      <c r="AE1787" s="227"/>
      <c r="AG1787" s="19"/>
      <c r="AN1787" s="227"/>
      <c r="AO1787" s="227"/>
      <c r="AP1787" s="227"/>
      <c r="AQ1787" s="227"/>
      <c r="AR1787" s="227"/>
      <c r="AS1787" s="227"/>
      <c r="AT1787" s="227"/>
      <c r="AU1787" s="227"/>
    </row>
    <row r="1788" spans="27:48" ht="12.95" customHeight="1">
      <c r="AA1788" s="227"/>
      <c r="AB1788" s="227"/>
      <c r="AC1788" s="227"/>
      <c r="AD1788" s="227"/>
      <c r="AE1788" s="227"/>
      <c r="AG1788" s="19"/>
      <c r="AN1788" s="227"/>
      <c r="AO1788" s="227"/>
      <c r="AP1788" s="227"/>
      <c r="AQ1788" s="227"/>
      <c r="AR1788" s="227"/>
      <c r="AS1788" s="227"/>
      <c r="AT1788" s="227"/>
      <c r="AU1788" s="227"/>
    </row>
    <row r="1789" spans="27:48" ht="12.95" customHeight="1">
      <c r="AA1789" s="227"/>
      <c r="AB1789" s="227"/>
      <c r="AC1789" s="227"/>
      <c r="AD1789" s="227"/>
      <c r="AE1789" s="227"/>
      <c r="AG1789" s="19"/>
      <c r="AN1789" s="227"/>
      <c r="AO1789" s="227"/>
      <c r="AP1789" s="227"/>
      <c r="AQ1789" s="227"/>
      <c r="AR1789" s="227"/>
      <c r="AS1789" s="227"/>
      <c r="AT1789" s="227"/>
      <c r="AU1789" s="227"/>
    </row>
    <row r="1790" spans="27:48" ht="12.95" customHeight="1">
      <c r="AA1790" s="227"/>
      <c r="AB1790" s="227"/>
      <c r="AC1790" s="227"/>
      <c r="AD1790" s="227"/>
      <c r="AE1790" s="227"/>
      <c r="AG1790" s="19"/>
      <c r="AN1790" s="227"/>
      <c r="AO1790" s="227"/>
      <c r="AP1790" s="227"/>
      <c r="AQ1790" s="227"/>
      <c r="AR1790" s="227"/>
      <c r="AS1790" s="227"/>
      <c r="AT1790" s="227"/>
      <c r="AU1790" s="227"/>
    </row>
    <row r="1791" spans="27:48" ht="12.95" customHeight="1">
      <c r="AA1791" s="227"/>
      <c r="AB1791" s="227"/>
      <c r="AC1791" s="227"/>
      <c r="AD1791" s="227"/>
      <c r="AE1791" s="227"/>
      <c r="AG1791" s="19"/>
      <c r="AN1791" s="227"/>
      <c r="AO1791" s="227"/>
      <c r="AP1791" s="227"/>
      <c r="AQ1791" s="227"/>
      <c r="AR1791" s="227"/>
      <c r="AS1791" s="227"/>
      <c r="AT1791" s="227"/>
      <c r="AU1791" s="227"/>
    </row>
    <row r="1792" spans="27:48" ht="12.95" customHeight="1">
      <c r="AA1792" s="227"/>
      <c r="AB1792" s="227"/>
      <c r="AC1792" s="227"/>
      <c r="AD1792" s="227"/>
      <c r="AE1792" s="227"/>
      <c r="AG1792" s="19"/>
      <c r="AN1792" s="227"/>
      <c r="AO1792" s="227"/>
      <c r="AP1792" s="227"/>
      <c r="AQ1792" s="227"/>
      <c r="AR1792" s="227"/>
      <c r="AS1792" s="227"/>
      <c r="AT1792" s="227"/>
      <c r="AU1792" s="227"/>
      <c r="AV1792" s="227"/>
    </row>
    <row r="1793" spans="27:64" ht="12.95" customHeight="1">
      <c r="AA1793" s="227"/>
      <c r="AB1793" s="227"/>
      <c r="AC1793" s="227"/>
      <c r="AD1793" s="227"/>
      <c r="AE1793" s="227"/>
      <c r="AG1793" s="19"/>
      <c r="AN1793" s="227"/>
      <c r="AO1793" s="227"/>
      <c r="AP1793" s="227"/>
      <c r="AQ1793" s="227"/>
      <c r="AR1793" s="227"/>
      <c r="AS1793" s="227"/>
      <c r="AT1793" s="227"/>
      <c r="AU1793" s="227"/>
    </row>
    <row r="1794" spans="27:64" ht="12.95" customHeight="1">
      <c r="AA1794" s="227"/>
      <c r="AB1794" s="227"/>
      <c r="AC1794" s="227"/>
      <c r="AD1794" s="227"/>
      <c r="AE1794" s="227"/>
      <c r="AG1794" s="19"/>
      <c r="AN1794" s="227"/>
      <c r="AO1794" s="227"/>
      <c r="AP1794" s="227"/>
      <c r="AQ1794" s="227"/>
      <c r="AR1794" s="227"/>
      <c r="AS1794" s="227"/>
      <c r="AT1794" s="227"/>
      <c r="AU1794" s="227"/>
      <c r="AV1794" s="227"/>
      <c r="AX1794" s="227"/>
    </row>
    <row r="1795" spans="27:64" ht="12.95" customHeight="1">
      <c r="AA1795" s="227"/>
      <c r="AB1795" s="227"/>
      <c r="AC1795" s="227"/>
      <c r="AD1795" s="227"/>
      <c r="AE1795" s="227"/>
      <c r="AG1795" s="19"/>
      <c r="AN1795" s="227"/>
      <c r="AO1795" s="227"/>
      <c r="AP1795" s="227"/>
      <c r="AQ1795" s="227"/>
      <c r="AR1795" s="227"/>
      <c r="AS1795" s="227"/>
      <c r="AT1795" s="227"/>
      <c r="AU1795" s="227"/>
      <c r="AV1795" s="227"/>
      <c r="AW1795" s="227"/>
      <c r="AX1795" s="227"/>
      <c r="AY1795" s="227"/>
      <c r="AZ1795" s="227"/>
      <c r="BA1795" s="227"/>
      <c r="BB1795" s="227"/>
      <c r="BC1795" s="227"/>
      <c r="BD1795" s="227"/>
      <c r="BE1795" s="227"/>
      <c r="BF1795" s="227"/>
      <c r="BG1795" s="227"/>
      <c r="BH1795" s="227"/>
      <c r="BI1795" s="227"/>
      <c r="BJ1795" s="227"/>
      <c r="BK1795" s="227"/>
      <c r="BL1795" s="227"/>
    </row>
    <row r="1796" spans="27:64" ht="12.95" customHeight="1">
      <c r="AA1796" s="227"/>
      <c r="AB1796" s="227"/>
      <c r="AC1796" s="227"/>
      <c r="AD1796" s="227"/>
      <c r="AE1796" s="227"/>
      <c r="AG1796" s="19"/>
      <c r="AN1796" s="227"/>
      <c r="AO1796" s="227"/>
      <c r="AP1796" s="227"/>
      <c r="AQ1796" s="227"/>
      <c r="AR1796" s="227"/>
      <c r="AS1796" s="227"/>
      <c r="AT1796" s="227"/>
      <c r="AU1796" s="227"/>
    </row>
    <row r="1797" spans="27:64" ht="12.95" customHeight="1">
      <c r="AA1797" s="227"/>
      <c r="AB1797" s="227"/>
      <c r="AC1797" s="227"/>
      <c r="AD1797" s="227"/>
      <c r="AE1797" s="227"/>
      <c r="AG1797" s="19"/>
      <c r="AN1797" s="227"/>
      <c r="AO1797" s="227"/>
      <c r="AP1797" s="227"/>
      <c r="AQ1797" s="227"/>
      <c r="AR1797" s="227"/>
      <c r="AS1797" s="227"/>
      <c r="AT1797" s="227"/>
      <c r="AU1797" s="227"/>
    </row>
    <row r="1798" spans="27:64" ht="12.95" customHeight="1">
      <c r="AA1798" s="227"/>
      <c r="AB1798" s="227"/>
      <c r="AC1798" s="227"/>
      <c r="AD1798" s="227"/>
      <c r="AE1798" s="227"/>
      <c r="AG1798" s="19"/>
      <c r="AN1798" s="227"/>
      <c r="AO1798" s="227"/>
      <c r="AP1798" s="227"/>
      <c r="AQ1798" s="227"/>
      <c r="AR1798" s="227"/>
      <c r="AS1798" s="227"/>
      <c r="AT1798" s="227"/>
      <c r="AU1798" s="227"/>
    </row>
    <row r="1799" spans="27:64" ht="12.95" customHeight="1">
      <c r="AA1799" s="227"/>
      <c r="AB1799" s="227"/>
      <c r="AC1799" s="227"/>
      <c r="AD1799" s="227"/>
      <c r="AE1799" s="227"/>
      <c r="AG1799" s="19"/>
      <c r="AN1799" s="227"/>
      <c r="AO1799" s="227"/>
      <c r="AP1799" s="227"/>
      <c r="AQ1799" s="227"/>
      <c r="AR1799" s="227"/>
      <c r="AS1799" s="227"/>
      <c r="AT1799" s="227"/>
      <c r="AU1799" s="227"/>
      <c r="AV1799" s="227"/>
      <c r="AX1799" s="227"/>
    </row>
    <row r="1800" spans="27:64" ht="12.95" customHeight="1">
      <c r="AA1800" s="227"/>
      <c r="AB1800" s="227"/>
      <c r="AC1800" s="227"/>
      <c r="AD1800" s="227"/>
      <c r="AE1800" s="227"/>
      <c r="AG1800" s="19"/>
      <c r="AN1800" s="227"/>
      <c r="AO1800" s="227"/>
      <c r="AP1800" s="227"/>
      <c r="AQ1800" s="227"/>
      <c r="AR1800" s="227"/>
      <c r="AS1800" s="227"/>
      <c r="AT1800" s="227"/>
      <c r="AU1800" s="227"/>
      <c r="AV1800" s="227"/>
      <c r="AW1800" s="227"/>
      <c r="AX1800" s="227"/>
      <c r="AY1800" s="227"/>
      <c r="AZ1800" s="227"/>
      <c r="BA1800" s="227"/>
      <c r="BB1800" s="227"/>
      <c r="BC1800" s="227"/>
      <c r="BD1800" s="227"/>
      <c r="BE1800" s="227"/>
      <c r="BF1800" s="227"/>
      <c r="BG1800" s="227"/>
      <c r="BH1800" s="227"/>
      <c r="BI1800" s="227"/>
      <c r="BJ1800" s="227"/>
      <c r="BK1800" s="227"/>
      <c r="BL1800" s="227"/>
    </row>
    <row r="1801" spans="27:64" ht="12.95" customHeight="1">
      <c r="AA1801" s="227"/>
      <c r="AB1801" s="227"/>
      <c r="AC1801" s="227"/>
      <c r="AD1801" s="227"/>
      <c r="AE1801" s="227"/>
      <c r="AG1801" s="19"/>
      <c r="AN1801" s="227"/>
      <c r="AO1801" s="227"/>
      <c r="AP1801" s="227"/>
      <c r="AQ1801" s="227"/>
      <c r="AR1801" s="227"/>
      <c r="AS1801" s="227"/>
      <c r="AT1801" s="227"/>
      <c r="AU1801" s="227"/>
    </row>
    <row r="1802" spans="27:64" ht="12.95" customHeight="1">
      <c r="AA1802" s="227"/>
      <c r="AB1802" s="227"/>
      <c r="AC1802" s="227"/>
      <c r="AD1802" s="227"/>
      <c r="AE1802" s="227"/>
      <c r="AG1802" s="19"/>
      <c r="AN1802" s="227"/>
      <c r="AO1802" s="227"/>
      <c r="AP1802" s="227"/>
      <c r="AQ1802" s="227"/>
      <c r="AR1802" s="227"/>
      <c r="AS1802" s="227"/>
      <c r="AT1802" s="227"/>
      <c r="AU1802" s="227"/>
    </row>
    <row r="1803" spans="27:64" ht="12.95" customHeight="1">
      <c r="AA1803" s="227"/>
      <c r="AB1803" s="227"/>
      <c r="AC1803" s="227"/>
      <c r="AD1803" s="227"/>
      <c r="AE1803" s="227"/>
      <c r="AG1803" s="19"/>
      <c r="AN1803" s="227"/>
      <c r="AO1803" s="227"/>
      <c r="AP1803" s="227"/>
      <c r="AQ1803" s="227"/>
      <c r="AR1803" s="227"/>
      <c r="AS1803" s="227"/>
      <c r="AT1803" s="227"/>
      <c r="AU1803" s="227"/>
    </row>
    <row r="1804" spans="27:64" ht="12.95" customHeight="1">
      <c r="AA1804" s="227"/>
      <c r="AB1804" s="227"/>
      <c r="AC1804" s="227"/>
      <c r="AD1804" s="227"/>
      <c r="AE1804" s="227"/>
      <c r="AG1804" s="19"/>
      <c r="AN1804" s="227"/>
      <c r="AO1804" s="227"/>
      <c r="AP1804" s="227"/>
      <c r="AQ1804" s="227"/>
      <c r="AR1804" s="227"/>
      <c r="AS1804" s="227"/>
      <c r="AT1804" s="227"/>
      <c r="AU1804" s="227"/>
    </row>
    <row r="1805" spans="27:64" ht="12.95" customHeight="1">
      <c r="AA1805" s="227"/>
      <c r="AB1805" s="227"/>
      <c r="AC1805" s="227"/>
      <c r="AD1805" s="227"/>
      <c r="AE1805" s="227"/>
      <c r="AG1805" s="19"/>
      <c r="AN1805" s="227"/>
      <c r="AO1805" s="227"/>
      <c r="AP1805" s="227"/>
      <c r="AQ1805" s="227"/>
      <c r="AR1805" s="227"/>
      <c r="AS1805" s="227"/>
      <c r="AT1805" s="227"/>
      <c r="AU1805" s="227"/>
      <c r="AV1805" s="227"/>
      <c r="AX1805" s="227"/>
    </row>
    <row r="1806" spans="27:64" ht="12.95" customHeight="1">
      <c r="AA1806" s="227"/>
      <c r="AB1806" s="227"/>
      <c r="AC1806" s="227"/>
      <c r="AD1806" s="227"/>
      <c r="AE1806" s="227"/>
      <c r="AG1806" s="19"/>
      <c r="AN1806" s="227"/>
      <c r="AO1806" s="227"/>
      <c r="AP1806" s="227"/>
      <c r="AQ1806" s="227"/>
      <c r="AR1806" s="227"/>
      <c r="AS1806" s="227"/>
      <c r="AT1806" s="227"/>
      <c r="AU1806" s="227"/>
    </row>
    <row r="1807" spans="27:64" ht="12.95" customHeight="1">
      <c r="AA1807" s="227"/>
      <c r="AB1807" s="227"/>
      <c r="AC1807" s="227"/>
      <c r="AD1807" s="227"/>
      <c r="AE1807" s="227"/>
      <c r="AG1807" s="19"/>
      <c r="AN1807" s="227"/>
      <c r="AO1807" s="227"/>
      <c r="AP1807" s="227"/>
      <c r="AQ1807" s="227"/>
      <c r="AR1807" s="227"/>
      <c r="AS1807" s="227"/>
      <c r="AT1807" s="227"/>
      <c r="AU1807" s="227"/>
    </row>
    <row r="1808" spans="27:64" ht="12.95" customHeight="1">
      <c r="AA1808" s="227"/>
      <c r="AB1808" s="227"/>
      <c r="AC1808" s="227"/>
      <c r="AD1808" s="227"/>
      <c r="AE1808" s="227"/>
      <c r="AG1808" s="19"/>
      <c r="AN1808" s="227"/>
      <c r="AO1808" s="227"/>
      <c r="AP1808" s="227"/>
      <c r="AQ1808" s="227"/>
      <c r="AR1808" s="227"/>
      <c r="AS1808" s="227"/>
      <c r="AT1808" s="227"/>
      <c r="AU1808" s="227"/>
    </row>
    <row r="1809" spans="27:64" ht="12.95" customHeight="1">
      <c r="AA1809" s="227"/>
      <c r="AB1809" s="227"/>
      <c r="AC1809" s="227"/>
      <c r="AD1809" s="227"/>
      <c r="AE1809" s="227"/>
      <c r="AG1809" s="19"/>
      <c r="AN1809" s="227"/>
      <c r="AO1809" s="227"/>
      <c r="AP1809" s="227"/>
      <c r="AQ1809" s="227"/>
      <c r="AR1809" s="227"/>
      <c r="AS1809" s="227"/>
      <c r="AT1809" s="227"/>
      <c r="AU1809" s="227"/>
    </row>
    <row r="1810" spans="27:64" ht="12.95" customHeight="1">
      <c r="AA1810" s="227"/>
      <c r="AB1810" s="227"/>
      <c r="AC1810" s="227"/>
      <c r="AD1810" s="227"/>
      <c r="AE1810" s="227"/>
      <c r="AG1810" s="19"/>
      <c r="AN1810" s="227"/>
      <c r="AO1810" s="227"/>
      <c r="AP1810" s="227"/>
      <c r="AQ1810" s="227"/>
      <c r="AR1810" s="227"/>
      <c r="AS1810" s="227"/>
      <c r="AT1810" s="227"/>
      <c r="AU1810" s="227"/>
    </row>
    <row r="1811" spans="27:64" ht="12.95" customHeight="1">
      <c r="AA1811" s="227"/>
      <c r="AB1811" s="227"/>
      <c r="AC1811" s="227"/>
      <c r="AD1811" s="227"/>
      <c r="AE1811" s="227"/>
      <c r="AG1811" s="19"/>
      <c r="AN1811" s="227"/>
      <c r="AO1811" s="227"/>
      <c r="AP1811" s="227"/>
      <c r="AQ1811" s="227"/>
      <c r="AR1811" s="227"/>
      <c r="AS1811" s="227"/>
      <c r="AT1811" s="227"/>
      <c r="AU1811" s="227"/>
    </row>
    <row r="1812" spans="27:64" ht="12.95" customHeight="1">
      <c r="AA1812" s="227"/>
      <c r="AB1812" s="227"/>
      <c r="AC1812" s="227"/>
      <c r="AD1812" s="227"/>
      <c r="AE1812" s="227"/>
      <c r="AG1812" s="19"/>
      <c r="AN1812" s="227"/>
      <c r="AO1812" s="227"/>
      <c r="AP1812" s="227"/>
      <c r="AQ1812" s="227"/>
      <c r="AR1812" s="227"/>
      <c r="AS1812" s="227"/>
      <c r="AT1812" s="227"/>
      <c r="AU1812" s="227"/>
      <c r="AV1812" s="227"/>
      <c r="AX1812" s="227"/>
      <c r="AY1812" s="227"/>
      <c r="AZ1812" s="227"/>
      <c r="BA1812" s="227"/>
      <c r="BB1812" s="227"/>
      <c r="BC1812" s="227"/>
      <c r="BD1812" s="227"/>
      <c r="BE1812" s="227"/>
      <c r="BF1812" s="227"/>
      <c r="BG1812" s="227"/>
      <c r="BH1812" s="227"/>
      <c r="BI1812" s="227"/>
      <c r="BJ1812" s="227"/>
      <c r="BK1812" s="227"/>
      <c r="BL1812" s="227"/>
    </row>
    <row r="1813" spans="27:64" ht="12.95" customHeight="1">
      <c r="AA1813" s="227"/>
      <c r="AB1813" s="227"/>
      <c r="AC1813" s="227"/>
      <c r="AD1813" s="227"/>
      <c r="AE1813" s="227"/>
      <c r="AG1813" s="19"/>
      <c r="AN1813" s="227"/>
      <c r="AO1813" s="227"/>
      <c r="AP1813" s="227"/>
      <c r="AQ1813" s="227"/>
      <c r="AR1813" s="227"/>
      <c r="AS1813" s="227"/>
      <c r="AT1813" s="227"/>
      <c r="AU1813" s="227"/>
      <c r="AV1813" s="227"/>
    </row>
    <row r="1814" spans="27:64" ht="12.95" customHeight="1">
      <c r="AA1814" s="227"/>
      <c r="AB1814" s="227"/>
      <c r="AC1814" s="227"/>
      <c r="AD1814" s="227"/>
      <c r="AE1814" s="227"/>
      <c r="AG1814" s="19"/>
      <c r="AN1814" s="227"/>
      <c r="AO1814" s="227"/>
      <c r="AP1814" s="227"/>
      <c r="AQ1814" s="227"/>
      <c r="AR1814" s="227"/>
      <c r="AS1814" s="227"/>
      <c r="AT1814" s="227"/>
      <c r="AU1814" s="227"/>
    </row>
    <row r="1815" spans="27:64" ht="12.95" customHeight="1">
      <c r="AA1815" s="227"/>
      <c r="AB1815" s="227"/>
      <c r="AC1815" s="227"/>
      <c r="AD1815" s="227"/>
      <c r="AE1815" s="227"/>
      <c r="AG1815" s="19"/>
      <c r="AN1815" s="227"/>
      <c r="AO1815" s="227"/>
      <c r="AP1815" s="227"/>
      <c r="AQ1815" s="227"/>
      <c r="AR1815" s="227"/>
      <c r="AS1815" s="227"/>
      <c r="AT1815" s="227"/>
      <c r="AU1815" s="227"/>
      <c r="AV1815" s="227"/>
    </row>
    <row r="1816" spans="27:64" ht="12.95" customHeight="1">
      <c r="AA1816" s="227"/>
      <c r="AB1816" s="227"/>
      <c r="AC1816" s="227"/>
      <c r="AD1816" s="227"/>
      <c r="AE1816" s="227"/>
      <c r="AG1816" s="19"/>
      <c r="AN1816" s="227"/>
      <c r="AO1816" s="227"/>
      <c r="AP1816" s="227"/>
      <c r="AQ1816" s="227"/>
      <c r="AR1816" s="227"/>
      <c r="AS1816" s="227"/>
      <c r="AT1816" s="227"/>
      <c r="AU1816" s="227"/>
    </row>
    <row r="1817" spans="27:64" ht="12.95" customHeight="1">
      <c r="AA1817" s="227"/>
      <c r="AB1817" s="227"/>
      <c r="AC1817" s="227"/>
      <c r="AD1817" s="227"/>
      <c r="AE1817" s="227"/>
      <c r="AG1817" s="19"/>
      <c r="AN1817" s="227"/>
      <c r="AO1817" s="227"/>
      <c r="AP1817" s="227"/>
      <c r="AQ1817" s="227"/>
      <c r="AR1817" s="227"/>
      <c r="AS1817" s="227"/>
      <c r="AT1817" s="227"/>
      <c r="AU1817" s="227"/>
    </row>
    <row r="1818" spans="27:64" ht="12.95" customHeight="1">
      <c r="AA1818" s="227"/>
      <c r="AB1818" s="227"/>
      <c r="AC1818" s="227"/>
      <c r="AD1818" s="227"/>
      <c r="AE1818" s="227"/>
      <c r="AG1818" s="19"/>
      <c r="AN1818" s="227"/>
      <c r="AO1818" s="227"/>
      <c r="AP1818" s="227"/>
      <c r="AQ1818" s="227"/>
      <c r="AR1818" s="227"/>
      <c r="AS1818" s="227"/>
      <c r="AT1818" s="227"/>
      <c r="AU1818" s="227"/>
    </row>
    <row r="1819" spans="27:64" ht="12.95" customHeight="1">
      <c r="AA1819" s="227"/>
      <c r="AB1819" s="227"/>
      <c r="AC1819" s="227"/>
      <c r="AD1819" s="227"/>
      <c r="AE1819" s="227"/>
      <c r="AG1819" s="19"/>
      <c r="AN1819" s="227"/>
      <c r="AO1819" s="227"/>
      <c r="AP1819" s="227"/>
      <c r="AQ1819" s="227"/>
      <c r="AR1819" s="227"/>
      <c r="AS1819" s="227"/>
      <c r="AT1819" s="227"/>
      <c r="AU1819" s="227"/>
    </row>
    <row r="1820" spans="27:64" ht="12.95" customHeight="1">
      <c r="AA1820" s="227"/>
      <c r="AB1820" s="227"/>
      <c r="AC1820" s="227"/>
      <c r="AD1820" s="227"/>
      <c r="AE1820" s="227"/>
      <c r="AG1820" s="19"/>
      <c r="AN1820" s="227"/>
      <c r="AO1820" s="227"/>
      <c r="AP1820" s="227"/>
      <c r="AQ1820" s="227"/>
      <c r="AR1820" s="227"/>
      <c r="AS1820" s="227"/>
      <c r="AT1820" s="227"/>
      <c r="AU1820" s="227"/>
    </row>
    <row r="1821" spans="27:64" ht="12.95" customHeight="1">
      <c r="AA1821" s="227"/>
      <c r="AB1821" s="227"/>
      <c r="AC1821" s="227"/>
      <c r="AD1821" s="227"/>
      <c r="AE1821" s="227"/>
      <c r="AG1821" s="19"/>
      <c r="AN1821" s="227"/>
      <c r="AO1821" s="227"/>
      <c r="AP1821" s="227"/>
      <c r="AQ1821" s="227"/>
      <c r="AR1821" s="227"/>
      <c r="AS1821" s="227"/>
      <c r="AT1821" s="227"/>
      <c r="AU1821" s="227"/>
    </row>
    <row r="1822" spans="27:64" ht="12.95" customHeight="1">
      <c r="AA1822" s="227"/>
      <c r="AB1822" s="227"/>
      <c r="AC1822" s="227"/>
      <c r="AD1822" s="227"/>
      <c r="AE1822" s="227"/>
      <c r="AG1822" s="19"/>
      <c r="AN1822" s="227"/>
      <c r="AO1822" s="227"/>
      <c r="AP1822" s="227"/>
      <c r="AQ1822" s="227"/>
      <c r="AR1822" s="227"/>
      <c r="AS1822" s="227"/>
      <c r="AT1822" s="227"/>
      <c r="AU1822" s="227"/>
    </row>
    <row r="1823" spans="27:64" ht="12.95" customHeight="1">
      <c r="AA1823" s="227"/>
      <c r="AB1823" s="227"/>
      <c r="AC1823" s="227"/>
      <c r="AD1823" s="227"/>
      <c r="AE1823" s="227"/>
      <c r="AG1823" s="19"/>
      <c r="AN1823" s="227"/>
      <c r="AO1823" s="227"/>
      <c r="AP1823" s="227"/>
      <c r="AQ1823" s="227"/>
      <c r="AR1823" s="227"/>
      <c r="AS1823" s="227"/>
      <c r="AT1823" s="227"/>
      <c r="AU1823" s="227"/>
    </row>
    <row r="1824" spans="27:64" ht="12.95" customHeight="1">
      <c r="AA1824" s="227"/>
      <c r="AB1824" s="227"/>
      <c r="AC1824" s="227"/>
      <c r="AD1824" s="227"/>
      <c r="AE1824" s="227"/>
      <c r="AG1824" s="19"/>
      <c r="AN1824" s="227"/>
      <c r="AO1824" s="227"/>
      <c r="AP1824" s="227"/>
      <c r="AQ1824" s="227"/>
      <c r="AR1824" s="227"/>
      <c r="AS1824" s="227"/>
      <c r="AT1824" s="227"/>
      <c r="AU1824" s="227"/>
    </row>
    <row r="1825" spans="27:64" ht="12.95" customHeight="1">
      <c r="AA1825" s="227"/>
      <c r="AB1825" s="227"/>
      <c r="AC1825" s="227"/>
      <c r="AD1825" s="227"/>
      <c r="AE1825" s="227"/>
      <c r="AG1825" s="19"/>
      <c r="AN1825" s="227"/>
      <c r="AO1825" s="227"/>
      <c r="AP1825" s="227"/>
      <c r="AQ1825" s="227"/>
      <c r="AR1825" s="227"/>
      <c r="AS1825" s="227"/>
      <c r="AT1825" s="227"/>
      <c r="AU1825" s="227"/>
      <c r="AV1825" s="227"/>
      <c r="AW1825" s="227"/>
      <c r="AX1825" s="227"/>
      <c r="AY1825" s="227"/>
      <c r="AZ1825" s="227"/>
      <c r="BA1825" s="227"/>
      <c r="BB1825" s="227"/>
      <c r="BC1825" s="227"/>
      <c r="BD1825" s="227"/>
      <c r="BE1825" s="227"/>
      <c r="BF1825" s="227"/>
      <c r="BG1825" s="227"/>
      <c r="BH1825" s="227"/>
      <c r="BI1825" s="227"/>
      <c r="BJ1825" s="227"/>
      <c r="BK1825" s="227"/>
      <c r="BL1825" s="227"/>
    </row>
    <row r="1826" spans="27:64" ht="12.95" customHeight="1">
      <c r="AA1826" s="227"/>
      <c r="AB1826" s="227"/>
      <c r="AC1826" s="227"/>
      <c r="AD1826" s="227"/>
      <c r="AE1826" s="227"/>
      <c r="AG1826" s="19"/>
      <c r="AN1826" s="227"/>
      <c r="AO1826" s="227"/>
      <c r="AP1826" s="227"/>
      <c r="AQ1826" s="227"/>
      <c r="AR1826" s="227"/>
      <c r="AS1826" s="227"/>
      <c r="AT1826" s="227"/>
      <c r="AU1826" s="227"/>
    </row>
    <row r="1827" spans="27:64" ht="12.95" customHeight="1">
      <c r="AA1827" s="227"/>
      <c r="AB1827" s="227"/>
      <c r="AC1827" s="227"/>
      <c r="AD1827" s="227"/>
      <c r="AE1827" s="227"/>
      <c r="AG1827" s="19"/>
      <c r="AN1827" s="227"/>
      <c r="AO1827" s="227"/>
      <c r="AP1827" s="227"/>
      <c r="AQ1827" s="227"/>
      <c r="AR1827" s="227"/>
      <c r="AS1827" s="227"/>
      <c r="AT1827" s="227"/>
      <c r="AU1827" s="227"/>
    </row>
    <row r="1828" spans="27:64" ht="12.95" customHeight="1">
      <c r="AA1828" s="227"/>
      <c r="AB1828" s="227"/>
      <c r="AC1828" s="227"/>
      <c r="AD1828" s="227"/>
      <c r="AE1828" s="227"/>
      <c r="AG1828" s="19"/>
      <c r="AN1828" s="227"/>
      <c r="AO1828" s="227"/>
      <c r="AP1828" s="227"/>
      <c r="AQ1828" s="227"/>
      <c r="AR1828" s="227"/>
      <c r="AS1828" s="227"/>
      <c r="AT1828" s="227"/>
      <c r="AU1828" s="227"/>
    </row>
    <row r="1829" spans="27:64" ht="12.95" customHeight="1">
      <c r="AA1829" s="227"/>
      <c r="AB1829" s="227"/>
      <c r="AC1829" s="227"/>
      <c r="AD1829" s="227"/>
      <c r="AE1829" s="227"/>
      <c r="AG1829" s="19"/>
      <c r="AN1829" s="227"/>
      <c r="AO1829" s="227"/>
      <c r="AP1829" s="227"/>
      <c r="AQ1829" s="227"/>
      <c r="AR1829" s="227"/>
      <c r="AS1829" s="227"/>
      <c r="AT1829" s="227"/>
      <c r="AU1829" s="227"/>
    </row>
    <row r="1830" spans="27:64" ht="12.95" customHeight="1">
      <c r="AA1830" s="227"/>
      <c r="AB1830" s="227"/>
      <c r="AC1830" s="227"/>
      <c r="AD1830" s="227"/>
      <c r="AE1830" s="227"/>
      <c r="AG1830" s="19"/>
      <c r="AN1830" s="227"/>
      <c r="AO1830" s="227"/>
      <c r="AP1830" s="227"/>
      <c r="AQ1830" s="227"/>
      <c r="AR1830" s="227"/>
      <c r="AS1830" s="227"/>
      <c r="AT1830" s="227"/>
      <c r="AU1830" s="227"/>
    </row>
    <row r="1831" spans="27:64" ht="12.95" customHeight="1">
      <c r="AA1831" s="227"/>
      <c r="AB1831" s="227"/>
      <c r="AC1831" s="227"/>
      <c r="AD1831" s="227"/>
      <c r="AE1831" s="227"/>
      <c r="AG1831" s="19"/>
      <c r="AN1831" s="227"/>
      <c r="AO1831" s="227"/>
      <c r="AP1831" s="227"/>
      <c r="AQ1831" s="227"/>
      <c r="AR1831" s="227"/>
      <c r="AS1831" s="227"/>
      <c r="AT1831" s="227"/>
      <c r="AU1831" s="227"/>
    </row>
    <row r="1832" spans="27:64" ht="12.95" customHeight="1">
      <c r="AA1832" s="227"/>
      <c r="AB1832" s="227"/>
      <c r="AC1832" s="227"/>
      <c r="AD1832" s="227"/>
      <c r="AE1832" s="227"/>
      <c r="AG1832" s="19"/>
      <c r="AN1832" s="227"/>
      <c r="AO1832" s="227"/>
      <c r="AP1832" s="227"/>
      <c r="AQ1832" s="227"/>
      <c r="AR1832" s="227"/>
      <c r="AS1832" s="227"/>
      <c r="AT1832" s="227"/>
      <c r="AU1832" s="227"/>
    </row>
    <row r="1833" spans="27:64" ht="12.95" customHeight="1">
      <c r="AA1833" s="227"/>
      <c r="AB1833" s="227"/>
      <c r="AC1833" s="227"/>
      <c r="AD1833" s="227"/>
      <c r="AE1833" s="227"/>
      <c r="AG1833" s="19"/>
      <c r="AN1833" s="227"/>
      <c r="AO1833" s="227"/>
      <c r="AP1833" s="227"/>
      <c r="AQ1833" s="227"/>
      <c r="AR1833" s="227"/>
      <c r="AS1833" s="227"/>
      <c r="AT1833" s="227"/>
      <c r="AU1833" s="227"/>
    </row>
    <row r="1834" spans="27:64" ht="12.95" customHeight="1">
      <c r="AA1834" s="227"/>
      <c r="AB1834" s="227"/>
      <c r="AC1834" s="227"/>
      <c r="AD1834" s="227"/>
      <c r="AE1834" s="227"/>
      <c r="AG1834" s="19"/>
      <c r="AN1834" s="227"/>
      <c r="AO1834" s="227"/>
      <c r="AP1834" s="227"/>
      <c r="AQ1834" s="227"/>
      <c r="AR1834" s="227"/>
      <c r="AS1834" s="227"/>
      <c r="AT1834" s="227"/>
      <c r="AU1834" s="227"/>
    </row>
    <row r="1835" spans="27:64" ht="12.95" customHeight="1">
      <c r="AA1835" s="227"/>
      <c r="AB1835" s="227"/>
      <c r="AC1835" s="227"/>
      <c r="AD1835" s="227"/>
      <c r="AE1835" s="227"/>
      <c r="AG1835" s="19"/>
      <c r="AN1835" s="227"/>
      <c r="AO1835" s="227"/>
      <c r="AP1835" s="227"/>
      <c r="AQ1835" s="227"/>
      <c r="AR1835" s="227"/>
      <c r="AS1835" s="227"/>
      <c r="AT1835" s="227"/>
      <c r="AU1835" s="227"/>
    </row>
    <row r="1836" spans="27:64" ht="12.95" customHeight="1">
      <c r="AA1836" s="227"/>
      <c r="AB1836" s="227"/>
      <c r="AC1836" s="227"/>
      <c r="AD1836" s="227"/>
      <c r="AE1836" s="227"/>
      <c r="AG1836" s="19"/>
      <c r="AN1836" s="227"/>
      <c r="AO1836" s="227"/>
      <c r="AP1836" s="227"/>
      <c r="AQ1836" s="227"/>
      <c r="AR1836" s="227"/>
      <c r="AS1836" s="227"/>
      <c r="AT1836" s="227"/>
      <c r="AU1836" s="227"/>
    </row>
    <row r="1837" spans="27:64" ht="12.95" customHeight="1">
      <c r="AA1837" s="227"/>
      <c r="AB1837" s="227"/>
      <c r="AC1837" s="227"/>
      <c r="AD1837" s="227"/>
      <c r="AE1837" s="227"/>
      <c r="AG1837" s="19"/>
      <c r="AN1837" s="227"/>
      <c r="AO1837" s="227"/>
      <c r="AP1837" s="227"/>
      <c r="AQ1837" s="227"/>
      <c r="AR1837" s="227"/>
      <c r="AS1837" s="227"/>
      <c r="AT1837" s="227"/>
      <c r="AU1837" s="227"/>
    </row>
    <row r="1838" spans="27:64" ht="12.95" customHeight="1">
      <c r="AA1838" s="227"/>
      <c r="AB1838" s="227"/>
      <c r="AC1838" s="227"/>
      <c r="AD1838" s="227"/>
      <c r="AE1838" s="227"/>
      <c r="AG1838" s="19"/>
      <c r="AN1838" s="227"/>
      <c r="AO1838" s="227"/>
      <c r="AP1838" s="227"/>
      <c r="AQ1838" s="227"/>
      <c r="AR1838" s="227"/>
      <c r="AS1838" s="227"/>
      <c r="AT1838" s="227"/>
      <c r="AU1838" s="227"/>
    </row>
    <row r="1839" spans="27:64" ht="12.95" customHeight="1">
      <c r="AA1839" s="227"/>
      <c r="AB1839" s="227"/>
      <c r="AC1839" s="227"/>
      <c r="AD1839" s="227"/>
      <c r="AE1839" s="227"/>
      <c r="AG1839" s="19"/>
      <c r="AN1839" s="227"/>
      <c r="AO1839" s="227"/>
      <c r="AP1839" s="227"/>
      <c r="AQ1839" s="227"/>
      <c r="AR1839" s="227"/>
      <c r="AS1839" s="227"/>
      <c r="AT1839" s="227"/>
      <c r="AU1839" s="227"/>
    </row>
    <row r="1840" spans="27:64" ht="12.95" customHeight="1">
      <c r="AA1840" s="227"/>
      <c r="AB1840" s="227"/>
      <c r="AC1840" s="227"/>
      <c r="AD1840" s="227"/>
      <c r="AE1840" s="227"/>
      <c r="AG1840" s="19"/>
      <c r="AN1840" s="227"/>
      <c r="AO1840" s="227"/>
      <c r="AP1840" s="227"/>
      <c r="AQ1840" s="227"/>
      <c r="AR1840" s="227"/>
      <c r="AS1840" s="227"/>
      <c r="AT1840" s="227"/>
      <c r="AU1840" s="227"/>
    </row>
    <row r="1841" spans="27:64" ht="12.95" customHeight="1">
      <c r="AA1841" s="227"/>
      <c r="AB1841" s="227"/>
      <c r="AC1841" s="227"/>
      <c r="AD1841" s="227"/>
      <c r="AE1841" s="227"/>
      <c r="AG1841" s="19"/>
      <c r="AN1841" s="227"/>
      <c r="AO1841" s="227"/>
      <c r="AP1841" s="227"/>
      <c r="AQ1841" s="227"/>
      <c r="AR1841" s="227"/>
      <c r="AS1841" s="227"/>
      <c r="AT1841" s="227"/>
      <c r="AU1841" s="227"/>
    </row>
    <row r="1842" spans="27:64" ht="12.95" customHeight="1">
      <c r="AA1842" s="227"/>
      <c r="AB1842" s="227"/>
      <c r="AC1842" s="227"/>
      <c r="AD1842" s="227"/>
      <c r="AE1842" s="227"/>
      <c r="AG1842" s="19"/>
      <c r="AN1842" s="227"/>
      <c r="AO1842" s="227"/>
      <c r="AP1842" s="227"/>
      <c r="AQ1842" s="227"/>
      <c r="AR1842" s="227"/>
      <c r="AS1842" s="227"/>
      <c r="AT1842" s="227"/>
      <c r="AU1842" s="227"/>
    </row>
    <row r="1843" spans="27:64" ht="12.95" customHeight="1">
      <c r="AA1843" s="227"/>
      <c r="AB1843" s="227"/>
      <c r="AC1843" s="227"/>
      <c r="AD1843" s="227"/>
      <c r="AE1843" s="227"/>
      <c r="AG1843" s="19"/>
      <c r="AN1843" s="227"/>
      <c r="AO1843" s="227"/>
      <c r="AP1843" s="227"/>
      <c r="AQ1843" s="227"/>
      <c r="AR1843" s="227"/>
      <c r="AS1843" s="227"/>
      <c r="AT1843" s="227"/>
      <c r="AU1843" s="227"/>
    </row>
    <row r="1844" spans="27:64" ht="12.95" customHeight="1">
      <c r="AA1844" s="227"/>
      <c r="AB1844" s="227"/>
      <c r="AC1844" s="227"/>
      <c r="AD1844" s="227"/>
      <c r="AE1844" s="227"/>
      <c r="AG1844" s="19"/>
      <c r="AN1844" s="227"/>
      <c r="AO1844" s="227"/>
      <c r="AP1844" s="227"/>
      <c r="AQ1844" s="227"/>
      <c r="AR1844" s="227"/>
      <c r="AS1844" s="227"/>
      <c r="AT1844" s="227"/>
      <c r="AU1844" s="227"/>
      <c r="AV1844" s="227"/>
    </row>
    <row r="1845" spans="27:64" ht="12.95" customHeight="1">
      <c r="AA1845" s="227"/>
      <c r="AB1845" s="227"/>
      <c r="AC1845" s="227"/>
      <c r="AD1845" s="227"/>
      <c r="AE1845" s="227"/>
      <c r="AG1845" s="19"/>
      <c r="AN1845" s="227"/>
      <c r="AO1845" s="227"/>
      <c r="AP1845" s="227"/>
      <c r="AQ1845" s="227"/>
      <c r="AR1845" s="227"/>
      <c r="AS1845" s="227"/>
      <c r="AT1845" s="227"/>
      <c r="AU1845" s="227"/>
    </row>
    <row r="1846" spans="27:64" ht="12.95" customHeight="1">
      <c r="AA1846" s="227"/>
      <c r="AB1846" s="227"/>
      <c r="AC1846" s="227"/>
      <c r="AD1846" s="227"/>
      <c r="AE1846" s="227"/>
      <c r="AG1846" s="19"/>
      <c r="AN1846" s="227"/>
      <c r="AO1846" s="227"/>
      <c r="AP1846" s="227"/>
      <c r="AQ1846" s="227"/>
      <c r="AR1846" s="227"/>
      <c r="AS1846" s="227"/>
      <c r="AT1846" s="227"/>
      <c r="AU1846" s="227"/>
      <c r="AV1846" s="227"/>
      <c r="AW1846" s="227"/>
      <c r="AX1846" s="227"/>
      <c r="AY1846" s="227"/>
      <c r="AZ1846" s="227"/>
      <c r="BA1846" s="227"/>
      <c r="BB1846" s="227"/>
      <c r="BC1846" s="227"/>
      <c r="BD1846" s="227"/>
      <c r="BE1846" s="227"/>
      <c r="BF1846" s="227"/>
      <c r="BG1846" s="227"/>
      <c r="BH1846" s="227"/>
      <c r="BI1846" s="227"/>
      <c r="BJ1846" s="227"/>
      <c r="BK1846" s="227"/>
      <c r="BL1846" s="227"/>
    </row>
    <row r="1847" spans="27:64" ht="12.95" customHeight="1">
      <c r="AA1847" s="227"/>
      <c r="AB1847" s="227"/>
      <c r="AC1847" s="227"/>
      <c r="AD1847" s="227"/>
      <c r="AE1847" s="227"/>
      <c r="AG1847" s="19"/>
      <c r="AN1847" s="227"/>
      <c r="AO1847" s="227"/>
      <c r="AP1847" s="227"/>
      <c r="AQ1847" s="227"/>
      <c r="AR1847" s="227"/>
      <c r="AS1847" s="227"/>
      <c r="AT1847" s="227"/>
      <c r="AU1847" s="227"/>
      <c r="AV1847" s="227"/>
    </row>
    <row r="1848" spans="27:64" ht="12.95" customHeight="1">
      <c r="AA1848" s="227"/>
      <c r="AB1848" s="227"/>
      <c r="AC1848" s="227"/>
      <c r="AD1848" s="227"/>
      <c r="AE1848" s="227"/>
      <c r="AG1848" s="19"/>
      <c r="AN1848" s="227"/>
      <c r="AO1848" s="227"/>
      <c r="AP1848" s="227"/>
      <c r="AQ1848" s="227"/>
      <c r="AR1848" s="227"/>
      <c r="AS1848" s="227"/>
      <c r="AT1848" s="227"/>
      <c r="AU1848" s="227"/>
    </row>
    <row r="1849" spans="27:64" ht="12.95" customHeight="1">
      <c r="AA1849" s="227"/>
      <c r="AB1849" s="227"/>
      <c r="AC1849" s="227"/>
      <c r="AD1849" s="227"/>
      <c r="AE1849" s="227"/>
      <c r="AG1849" s="19"/>
      <c r="AN1849" s="227"/>
      <c r="AO1849" s="227"/>
      <c r="AP1849" s="227"/>
      <c r="AQ1849" s="227"/>
      <c r="AR1849" s="227"/>
      <c r="AS1849" s="227"/>
      <c r="AT1849" s="227"/>
      <c r="AU1849" s="227"/>
    </row>
    <row r="1850" spans="27:64" ht="12.95" customHeight="1">
      <c r="AA1850" s="227"/>
      <c r="AB1850" s="227"/>
      <c r="AC1850" s="227"/>
      <c r="AD1850" s="227"/>
      <c r="AE1850" s="227"/>
      <c r="AG1850" s="19"/>
      <c r="AN1850" s="227"/>
      <c r="AO1850" s="227"/>
      <c r="AP1850" s="227"/>
      <c r="AQ1850" s="227"/>
      <c r="AR1850" s="227"/>
      <c r="AS1850" s="227"/>
      <c r="AT1850" s="227"/>
      <c r="AU1850" s="227"/>
    </row>
    <row r="1851" spans="27:64" ht="12.95" customHeight="1">
      <c r="AA1851" s="227"/>
      <c r="AB1851" s="227"/>
      <c r="AC1851" s="227"/>
      <c r="AD1851" s="227"/>
      <c r="AE1851" s="227"/>
      <c r="AG1851" s="19"/>
      <c r="AN1851" s="227"/>
      <c r="AO1851" s="227"/>
      <c r="AP1851" s="227"/>
      <c r="AQ1851" s="227"/>
      <c r="AR1851" s="227"/>
      <c r="AS1851" s="227"/>
      <c r="AT1851" s="227"/>
      <c r="AU1851" s="227"/>
    </row>
    <row r="1852" spans="27:64" ht="12.95" customHeight="1">
      <c r="AA1852" s="227"/>
      <c r="AB1852" s="227"/>
      <c r="AC1852" s="227"/>
      <c r="AD1852" s="227"/>
      <c r="AE1852" s="227"/>
      <c r="AG1852" s="19"/>
      <c r="AN1852" s="227"/>
      <c r="AO1852" s="227"/>
      <c r="AP1852" s="227"/>
      <c r="AQ1852" s="227"/>
      <c r="AR1852" s="227"/>
      <c r="AS1852" s="227"/>
      <c r="AT1852" s="227"/>
      <c r="AU1852" s="227"/>
    </row>
    <row r="1853" spans="27:64" ht="12.95" customHeight="1">
      <c r="AA1853" s="227"/>
      <c r="AB1853" s="227"/>
      <c r="AC1853" s="227"/>
      <c r="AD1853" s="227"/>
      <c r="AE1853" s="227"/>
      <c r="AG1853" s="19"/>
      <c r="AN1853" s="227"/>
      <c r="AO1853" s="227"/>
      <c r="AP1853" s="227"/>
      <c r="AQ1853" s="227"/>
      <c r="AR1853" s="227"/>
      <c r="AS1853" s="227"/>
      <c r="AT1853" s="227"/>
      <c r="AU1853" s="227"/>
    </row>
    <row r="1854" spans="27:64" ht="12.95" customHeight="1">
      <c r="AA1854" s="227"/>
      <c r="AB1854" s="227"/>
      <c r="AC1854" s="227"/>
      <c r="AD1854" s="227"/>
      <c r="AE1854" s="227"/>
      <c r="AG1854" s="19"/>
      <c r="AN1854" s="227"/>
      <c r="AO1854" s="227"/>
      <c r="AP1854" s="227"/>
      <c r="AQ1854" s="227"/>
      <c r="AR1854" s="227"/>
      <c r="AS1854" s="227"/>
      <c r="AT1854" s="227"/>
      <c r="AU1854" s="227"/>
    </row>
    <row r="1855" spans="27:64" ht="12.95" customHeight="1">
      <c r="AA1855" s="227"/>
      <c r="AB1855" s="227"/>
      <c r="AC1855" s="227"/>
      <c r="AD1855" s="227"/>
      <c r="AE1855" s="227"/>
      <c r="AG1855" s="19"/>
      <c r="AN1855" s="227"/>
      <c r="AO1855" s="227"/>
      <c r="AP1855" s="227"/>
      <c r="AQ1855" s="227"/>
      <c r="AR1855" s="227"/>
      <c r="AS1855" s="227"/>
      <c r="AT1855" s="227"/>
      <c r="AU1855" s="227"/>
    </row>
    <row r="1856" spans="27:64" ht="12.95" customHeight="1">
      <c r="AA1856" s="227"/>
      <c r="AB1856" s="227"/>
      <c r="AC1856" s="227"/>
      <c r="AD1856" s="227"/>
      <c r="AE1856" s="227"/>
      <c r="AG1856" s="19"/>
      <c r="AN1856" s="227"/>
      <c r="AO1856" s="227"/>
      <c r="AP1856" s="227"/>
      <c r="AQ1856" s="227"/>
      <c r="AR1856" s="227"/>
      <c r="AS1856" s="227"/>
      <c r="AT1856" s="227"/>
      <c r="AU1856" s="227"/>
    </row>
    <row r="1857" spans="27:47" ht="12.95" customHeight="1">
      <c r="AA1857" s="227"/>
      <c r="AB1857" s="227"/>
      <c r="AC1857" s="227"/>
      <c r="AD1857" s="227"/>
      <c r="AE1857" s="227"/>
      <c r="AG1857" s="19"/>
      <c r="AN1857" s="227"/>
      <c r="AO1857" s="227"/>
      <c r="AP1857" s="227"/>
      <c r="AQ1857" s="227"/>
      <c r="AR1857" s="227"/>
      <c r="AS1857" s="227"/>
      <c r="AT1857" s="227"/>
      <c r="AU1857" s="227"/>
    </row>
    <row r="1858" spans="27:47" ht="12.95" customHeight="1">
      <c r="AA1858" s="227"/>
      <c r="AB1858" s="227"/>
      <c r="AC1858" s="227"/>
      <c r="AD1858" s="227"/>
      <c r="AE1858" s="227"/>
      <c r="AG1858" s="19"/>
      <c r="AN1858" s="227"/>
      <c r="AO1858" s="227"/>
      <c r="AP1858" s="227"/>
      <c r="AQ1858" s="227"/>
      <c r="AR1858" s="227"/>
      <c r="AS1858" s="227"/>
      <c r="AT1858" s="227"/>
      <c r="AU1858" s="227"/>
    </row>
    <row r="1859" spans="27:47" ht="12.95" customHeight="1">
      <c r="AA1859" s="227"/>
      <c r="AB1859" s="227"/>
      <c r="AC1859" s="227"/>
      <c r="AD1859" s="227"/>
      <c r="AE1859" s="227"/>
      <c r="AG1859" s="19"/>
      <c r="AN1859" s="227"/>
      <c r="AO1859" s="227"/>
      <c r="AP1859" s="227"/>
      <c r="AQ1859" s="227"/>
      <c r="AR1859" s="227"/>
      <c r="AS1859" s="227"/>
      <c r="AT1859" s="227"/>
      <c r="AU1859" s="227"/>
    </row>
    <row r="1860" spans="27:47" ht="12.95" customHeight="1">
      <c r="AA1860" s="227"/>
      <c r="AB1860" s="227"/>
      <c r="AC1860" s="227"/>
      <c r="AD1860" s="227"/>
      <c r="AE1860" s="227"/>
      <c r="AG1860" s="19"/>
      <c r="AN1860" s="227"/>
      <c r="AO1860" s="227"/>
      <c r="AP1860" s="227"/>
      <c r="AQ1860" s="227"/>
      <c r="AR1860" s="227"/>
      <c r="AS1860" s="227"/>
      <c r="AT1860" s="227"/>
      <c r="AU1860" s="227"/>
    </row>
    <row r="1861" spans="27:47" ht="12.95" customHeight="1">
      <c r="AA1861" s="227"/>
      <c r="AB1861" s="227"/>
      <c r="AC1861" s="227"/>
      <c r="AD1861" s="227"/>
      <c r="AE1861" s="227"/>
      <c r="AG1861" s="19"/>
      <c r="AN1861" s="227"/>
      <c r="AO1861" s="227"/>
      <c r="AP1861" s="227"/>
      <c r="AQ1861" s="227"/>
      <c r="AR1861" s="227"/>
      <c r="AS1861" s="227"/>
      <c r="AT1861" s="227"/>
      <c r="AU1861" s="227"/>
    </row>
    <row r="1862" spans="27:47" ht="12.95" customHeight="1">
      <c r="AA1862" s="227"/>
      <c r="AB1862" s="227"/>
      <c r="AC1862" s="227"/>
      <c r="AD1862" s="227"/>
      <c r="AE1862" s="227"/>
      <c r="AG1862" s="19"/>
      <c r="AN1862" s="227"/>
      <c r="AO1862" s="227"/>
      <c r="AP1862" s="227"/>
      <c r="AQ1862" s="227"/>
      <c r="AR1862" s="227"/>
      <c r="AS1862" s="227"/>
      <c r="AT1862" s="227"/>
      <c r="AU1862" s="227"/>
    </row>
    <row r="1863" spans="27:47" ht="12.95" customHeight="1">
      <c r="AA1863" s="227"/>
      <c r="AB1863" s="227"/>
      <c r="AC1863" s="227"/>
      <c r="AD1863" s="227"/>
      <c r="AE1863" s="227"/>
      <c r="AG1863" s="19"/>
      <c r="AN1863" s="227"/>
      <c r="AO1863" s="227"/>
      <c r="AP1863" s="227"/>
      <c r="AQ1863" s="227"/>
      <c r="AR1863" s="227"/>
      <c r="AS1863" s="227"/>
      <c r="AT1863" s="227"/>
      <c r="AU1863" s="227"/>
    </row>
    <row r="1864" spans="27:47" ht="12.95" customHeight="1">
      <c r="AA1864" s="227"/>
      <c r="AB1864" s="227"/>
      <c r="AC1864" s="227"/>
      <c r="AD1864" s="227"/>
      <c r="AE1864" s="227"/>
      <c r="AG1864" s="19"/>
      <c r="AN1864" s="227"/>
      <c r="AO1864" s="227"/>
      <c r="AP1864" s="227"/>
      <c r="AQ1864" s="227"/>
      <c r="AR1864" s="227"/>
      <c r="AS1864" s="227"/>
      <c r="AT1864" s="227"/>
      <c r="AU1864" s="227"/>
    </row>
    <row r="1865" spans="27:47" ht="12.95" customHeight="1">
      <c r="AA1865" s="227"/>
      <c r="AB1865" s="227"/>
      <c r="AC1865" s="227"/>
      <c r="AD1865" s="227"/>
      <c r="AE1865" s="227"/>
      <c r="AG1865" s="19"/>
      <c r="AN1865" s="227"/>
      <c r="AO1865" s="227"/>
      <c r="AP1865" s="227"/>
      <c r="AQ1865" s="227"/>
      <c r="AR1865" s="227"/>
      <c r="AS1865" s="227"/>
      <c r="AT1865" s="227"/>
      <c r="AU1865" s="227"/>
    </row>
    <row r="1866" spans="27:47" ht="12.95" customHeight="1">
      <c r="AA1866" s="227"/>
      <c r="AB1866" s="227"/>
      <c r="AC1866" s="227"/>
      <c r="AD1866" s="227"/>
      <c r="AE1866" s="227"/>
      <c r="AG1866" s="19"/>
      <c r="AN1866" s="227"/>
      <c r="AO1866" s="227"/>
      <c r="AP1866" s="227"/>
      <c r="AQ1866" s="227"/>
      <c r="AR1866" s="227"/>
      <c r="AS1866" s="227"/>
      <c r="AT1866" s="227"/>
      <c r="AU1866" s="227"/>
    </row>
    <row r="1867" spans="27:47" ht="12.95" customHeight="1">
      <c r="AA1867" s="227"/>
      <c r="AB1867" s="227"/>
      <c r="AC1867" s="227"/>
      <c r="AD1867" s="227"/>
      <c r="AE1867" s="227"/>
      <c r="AG1867" s="19"/>
      <c r="AN1867" s="227"/>
      <c r="AO1867" s="227"/>
      <c r="AP1867" s="227"/>
      <c r="AQ1867" s="227"/>
      <c r="AR1867" s="227"/>
      <c r="AS1867" s="227"/>
      <c r="AT1867" s="227"/>
      <c r="AU1867" s="227"/>
    </row>
    <row r="1868" spans="27:47" ht="12.95" customHeight="1">
      <c r="AA1868" s="227"/>
      <c r="AB1868" s="227"/>
      <c r="AC1868" s="227"/>
      <c r="AD1868" s="227"/>
      <c r="AE1868" s="227"/>
      <c r="AG1868" s="19"/>
      <c r="AN1868" s="227"/>
      <c r="AO1868" s="227"/>
      <c r="AP1868" s="227"/>
      <c r="AQ1868" s="227"/>
      <c r="AR1868" s="227"/>
      <c r="AS1868" s="227"/>
      <c r="AT1868" s="227"/>
      <c r="AU1868" s="227"/>
    </row>
    <row r="1869" spans="27:47" ht="12.95" customHeight="1">
      <c r="AA1869" s="227"/>
      <c r="AB1869" s="227"/>
      <c r="AC1869" s="227"/>
      <c r="AD1869" s="227"/>
      <c r="AE1869" s="227"/>
      <c r="AG1869" s="19"/>
      <c r="AN1869" s="227"/>
      <c r="AO1869" s="227"/>
      <c r="AP1869" s="227"/>
      <c r="AQ1869" s="227"/>
      <c r="AR1869" s="227"/>
      <c r="AS1869" s="227"/>
      <c r="AT1869" s="227"/>
      <c r="AU1869" s="227"/>
    </row>
    <row r="1870" spans="27:47" ht="12.95" customHeight="1">
      <c r="AA1870" s="227"/>
      <c r="AB1870" s="227"/>
      <c r="AC1870" s="227"/>
      <c r="AD1870" s="227"/>
      <c r="AE1870" s="227"/>
      <c r="AG1870" s="19"/>
      <c r="AN1870" s="227"/>
      <c r="AO1870" s="227"/>
      <c r="AP1870" s="227"/>
      <c r="AQ1870" s="227"/>
      <c r="AR1870" s="227"/>
      <c r="AS1870" s="227"/>
      <c r="AT1870" s="227"/>
      <c r="AU1870" s="227"/>
    </row>
    <row r="1871" spans="27:47" ht="12.95" customHeight="1">
      <c r="AA1871" s="227"/>
      <c r="AB1871" s="227"/>
      <c r="AC1871" s="227"/>
      <c r="AD1871" s="227"/>
      <c r="AE1871" s="227"/>
      <c r="AG1871" s="19"/>
      <c r="AN1871" s="227"/>
      <c r="AO1871" s="227"/>
      <c r="AP1871" s="227"/>
      <c r="AQ1871" s="227"/>
      <c r="AR1871" s="227"/>
      <c r="AS1871" s="227"/>
      <c r="AT1871" s="227"/>
      <c r="AU1871" s="227"/>
    </row>
    <row r="1872" spans="27:47" ht="12.95" customHeight="1">
      <c r="AA1872" s="227"/>
      <c r="AB1872" s="227"/>
      <c r="AC1872" s="227"/>
      <c r="AD1872" s="227"/>
      <c r="AE1872" s="227"/>
      <c r="AG1872" s="19"/>
      <c r="AN1872" s="227"/>
      <c r="AO1872" s="227"/>
      <c r="AP1872" s="227"/>
      <c r="AQ1872" s="227"/>
      <c r="AR1872" s="227"/>
      <c r="AS1872" s="227"/>
      <c r="AT1872" s="227"/>
      <c r="AU1872" s="227"/>
    </row>
    <row r="1873" spans="27:47" ht="12.95" customHeight="1">
      <c r="AA1873" s="227"/>
      <c r="AB1873" s="227"/>
      <c r="AC1873" s="227"/>
      <c r="AD1873" s="227"/>
      <c r="AE1873" s="227"/>
      <c r="AG1873" s="19"/>
      <c r="AN1873" s="227"/>
      <c r="AO1873" s="227"/>
      <c r="AP1873" s="227"/>
      <c r="AQ1873" s="227"/>
      <c r="AR1873" s="227"/>
      <c r="AS1873" s="227"/>
      <c r="AT1873" s="227"/>
      <c r="AU1873" s="227"/>
    </row>
    <row r="1874" spans="27:47" ht="12.95" customHeight="1">
      <c r="AA1874" s="227"/>
      <c r="AB1874" s="227"/>
      <c r="AC1874" s="227"/>
      <c r="AD1874" s="227"/>
      <c r="AE1874" s="227"/>
      <c r="AG1874" s="19"/>
      <c r="AN1874" s="227"/>
      <c r="AO1874" s="227"/>
      <c r="AP1874" s="227"/>
      <c r="AQ1874" s="227"/>
      <c r="AR1874" s="227"/>
      <c r="AS1874" s="227"/>
      <c r="AT1874" s="227"/>
      <c r="AU1874" s="227"/>
    </row>
    <row r="1875" spans="27:47" ht="12.95" customHeight="1">
      <c r="AA1875" s="227"/>
      <c r="AB1875" s="227"/>
      <c r="AC1875" s="227"/>
      <c r="AD1875" s="227"/>
      <c r="AE1875" s="227"/>
      <c r="AG1875" s="19"/>
      <c r="AN1875" s="227"/>
      <c r="AO1875" s="227"/>
      <c r="AP1875" s="227"/>
      <c r="AQ1875" s="227"/>
      <c r="AR1875" s="227"/>
      <c r="AS1875" s="227"/>
      <c r="AT1875" s="227"/>
      <c r="AU1875" s="227"/>
    </row>
    <row r="1876" spans="27:47" ht="12.95" customHeight="1">
      <c r="AA1876" s="227"/>
      <c r="AB1876" s="227"/>
      <c r="AC1876" s="227"/>
      <c r="AD1876" s="227"/>
      <c r="AE1876" s="227"/>
      <c r="AG1876" s="19"/>
      <c r="AN1876" s="227"/>
      <c r="AO1876" s="227"/>
      <c r="AP1876" s="227"/>
      <c r="AQ1876" s="227"/>
      <c r="AR1876" s="227"/>
      <c r="AS1876" s="227"/>
      <c r="AT1876" s="227"/>
      <c r="AU1876" s="227"/>
    </row>
    <row r="1877" spans="27:47" ht="12.95" customHeight="1">
      <c r="AA1877" s="227"/>
      <c r="AB1877" s="227"/>
      <c r="AC1877" s="227"/>
      <c r="AD1877" s="227"/>
      <c r="AE1877" s="227"/>
      <c r="AG1877" s="19"/>
      <c r="AN1877" s="227"/>
      <c r="AO1877" s="227"/>
      <c r="AP1877" s="227"/>
      <c r="AQ1877" s="227"/>
      <c r="AR1877" s="227"/>
      <c r="AS1877" s="227"/>
      <c r="AT1877" s="227"/>
      <c r="AU1877" s="227"/>
    </row>
    <row r="1878" spans="27:47" ht="12.95" customHeight="1">
      <c r="AA1878" s="227"/>
      <c r="AB1878" s="227"/>
      <c r="AC1878" s="227"/>
      <c r="AD1878" s="227"/>
      <c r="AE1878" s="227"/>
      <c r="AG1878" s="19"/>
      <c r="AN1878" s="227"/>
      <c r="AO1878" s="227"/>
      <c r="AP1878" s="227"/>
      <c r="AQ1878" s="227"/>
      <c r="AR1878" s="227"/>
      <c r="AS1878" s="227"/>
      <c r="AT1878" s="227"/>
      <c r="AU1878" s="227"/>
    </row>
    <row r="1879" spans="27:47" ht="12.95" customHeight="1">
      <c r="AA1879" s="227"/>
      <c r="AB1879" s="227"/>
      <c r="AC1879" s="227"/>
      <c r="AD1879" s="227"/>
      <c r="AE1879" s="227"/>
      <c r="AG1879" s="19"/>
      <c r="AN1879" s="227"/>
      <c r="AO1879" s="227"/>
      <c r="AP1879" s="227"/>
      <c r="AQ1879" s="227"/>
      <c r="AR1879" s="227"/>
      <c r="AS1879" s="227"/>
      <c r="AT1879" s="227"/>
      <c r="AU1879" s="227"/>
    </row>
    <row r="1880" spans="27:47" ht="12.95" customHeight="1">
      <c r="AA1880" s="227"/>
      <c r="AB1880" s="227"/>
      <c r="AC1880" s="227"/>
      <c r="AD1880" s="227"/>
      <c r="AE1880" s="227"/>
      <c r="AG1880" s="19"/>
      <c r="AN1880" s="227"/>
      <c r="AO1880" s="227"/>
      <c r="AP1880" s="227"/>
      <c r="AQ1880" s="227"/>
      <c r="AR1880" s="227"/>
      <c r="AS1880" s="227"/>
      <c r="AT1880" s="227"/>
      <c r="AU1880" s="227"/>
    </row>
    <row r="1881" spans="27:47" ht="12.95" customHeight="1">
      <c r="AA1881" s="227"/>
      <c r="AB1881" s="227"/>
      <c r="AC1881" s="227"/>
      <c r="AD1881" s="227"/>
      <c r="AE1881" s="227"/>
      <c r="AG1881" s="19"/>
      <c r="AN1881" s="227"/>
      <c r="AO1881" s="227"/>
      <c r="AP1881" s="227"/>
      <c r="AQ1881" s="227"/>
      <c r="AR1881" s="227"/>
      <c r="AS1881" s="227"/>
      <c r="AT1881" s="227"/>
      <c r="AU1881" s="227"/>
    </row>
    <row r="1882" spans="27:47" ht="12.95" customHeight="1">
      <c r="AA1882" s="227"/>
      <c r="AB1882" s="227"/>
      <c r="AC1882" s="227"/>
      <c r="AD1882" s="227"/>
      <c r="AE1882" s="227"/>
      <c r="AG1882" s="19"/>
      <c r="AN1882" s="227"/>
      <c r="AO1882" s="227"/>
      <c r="AP1882" s="227"/>
      <c r="AQ1882" s="227"/>
      <c r="AR1882" s="227"/>
      <c r="AS1882" s="227"/>
      <c r="AT1882" s="227"/>
      <c r="AU1882" s="227"/>
    </row>
    <row r="1883" spans="27:47" ht="12.95" customHeight="1">
      <c r="AA1883" s="227"/>
      <c r="AB1883" s="227"/>
      <c r="AC1883" s="227"/>
      <c r="AD1883" s="227"/>
      <c r="AE1883" s="227"/>
      <c r="AG1883" s="19"/>
      <c r="AN1883" s="227"/>
      <c r="AO1883" s="227"/>
      <c r="AP1883" s="227"/>
      <c r="AQ1883" s="227"/>
      <c r="AR1883" s="227"/>
      <c r="AS1883" s="227"/>
      <c r="AT1883" s="227"/>
      <c r="AU1883" s="227"/>
    </row>
    <row r="1884" spans="27:47" ht="12.95" customHeight="1">
      <c r="AA1884" s="227"/>
      <c r="AB1884" s="227"/>
      <c r="AC1884" s="227"/>
      <c r="AD1884" s="227"/>
      <c r="AE1884" s="227"/>
      <c r="AG1884" s="19"/>
      <c r="AN1884" s="227"/>
      <c r="AO1884" s="227"/>
      <c r="AP1884" s="227"/>
      <c r="AQ1884" s="227"/>
      <c r="AR1884" s="227"/>
      <c r="AS1884" s="227"/>
      <c r="AT1884" s="227"/>
      <c r="AU1884" s="227"/>
    </row>
    <row r="1885" spans="27:47" ht="12.95" customHeight="1">
      <c r="AA1885" s="227"/>
      <c r="AB1885" s="227"/>
      <c r="AC1885" s="227"/>
      <c r="AD1885" s="227"/>
      <c r="AE1885" s="227"/>
      <c r="AG1885" s="19"/>
      <c r="AN1885" s="227"/>
      <c r="AO1885" s="227"/>
      <c r="AP1885" s="227"/>
      <c r="AQ1885" s="227"/>
      <c r="AR1885" s="227"/>
      <c r="AS1885" s="227"/>
      <c r="AT1885" s="227"/>
      <c r="AU1885" s="227"/>
    </row>
    <row r="1886" spans="27:47" ht="12.95" customHeight="1">
      <c r="AA1886" s="227"/>
      <c r="AB1886" s="227"/>
      <c r="AC1886" s="227"/>
      <c r="AD1886" s="227"/>
      <c r="AE1886" s="227"/>
      <c r="AG1886" s="19"/>
      <c r="AN1886" s="227"/>
      <c r="AO1886" s="227"/>
      <c r="AP1886" s="227"/>
      <c r="AQ1886" s="227"/>
      <c r="AR1886" s="227"/>
      <c r="AS1886" s="227"/>
      <c r="AT1886" s="227"/>
      <c r="AU1886" s="227"/>
    </row>
    <row r="1887" spans="27:47" ht="12.95" customHeight="1">
      <c r="AA1887" s="227"/>
      <c r="AB1887" s="227"/>
      <c r="AC1887" s="227"/>
      <c r="AD1887" s="227"/>
      <c r="AE1887" s="227"/>
      <c r="AG1887" s="19"/>
      <c r="AN1887" s="227"/>
      <c r="AO1887" s="227"/>
      <c r="AP1887" s="227"/>
      <c r="AQ1887" s="227"/>
      <c r="AR1887" s="227"/>
      <c r="AS1887" s="227"/>
      <c r="AT1887" s="227"/>
      <c r="AU1887" s="227"/>
    </row>
    <row r="1888" spans="27:47" ht="12.95" customHeight="1">
      <c r="AA1888" s="227"/>
      <c r="AB1888" s="227"/>
      <c r="AC1888" s="227"/>
      <c r="AD1888" s="227"/>
      <c r="AE1888" s="227"/>
      <c r="AG1888" s="19"/>
      <c r="AN1888" s="227"/>
      <c r="AO1888" s="227"/>
      <c r="AP1888" s="227"/>
      <c r="AQ1888" s="227"/>
      <c r="AR1888" s="227"/>
      <c r="AS1888" s="227"/>
      <c r="AT1888" s="227"/>
      <c r="AU1888" s="227"/>
    </row>
    <row r="1889" spans="27:47" ht="12.95" customHeight="1">
      <c r="AA1889" s="227"/>
      <c r="AB1889" s="227"/>
      <c r="AC1889" s="227"/>
      <c r="AD1889" s="227"/>
      <c r="AE1889" s="227"/>
      <c r="AG1889" s="19"/>
      <c r="AN1889" s="227"/>
      <c r="AO1889" s="227"/>
      <c r="AP1889" s="227"/>
      <c r="AQ1889" s="227"/>
      <c r="AR1889" s="227"/>
      <c r="AS1889" s="227"/>
      <c r="AT1889" s="227"/>
      <c r="AU1889" s="227"/>
    </row>
    <row r="1890" spans="27:47" ht="12.95" customHeight="1">
      <c r="AA1890" s="227"/>
      <c r="AB1890" s="227"/>
      <c r="AC1890" s="227"/>
      <c r="AD1890" s="227"/>
      <c r="AE1890" s="227"/>
      <c r="AG1890" s="19"/>
      <c r="AN1890" s="227"/>
      <c r="AO1890" s="227"/>
      <c r="AP1890" s="227"/>
      <c r="AQ1890" s="227"/>
      <c r="AR1890" s="227"/>
      <c r="AS1890" s="227"/>
      <c r="AT1890" s="227"/>
      <c r="AU1890" s="227"/>
    </row>
    <row r="1891" spans="27:47" ht="12.95" customHeight="1">
      <c r="AA1891" s="227"/>
      <c r="AB1891" s="227"/>
      <c r="AC1891" s="227"/>
      <c r="AD1891" s="227"/>
      <c r="AE1891" s="227"/>
      <c r="AG1891" s="19"/>
      <c r="AN1891" s="227"/>
      <c r="AO1891" s="227"/>
      <c r="AP1891" s="227"/>
      <c r="AQ1891" s="227"/>
      <c r="AR1891" s="227"/>
      <c r="AS1891" s="227"/>
      <c r="AT1891" s="227"/>
      <c r="AU1891" s="227"/>
    </row>
    <row r="1892" spans="27:47" ht="12.95" customHeight="1">
      <c r="AA1892" s="227"/>
      <c r="AB1892" s="227"/>
      <c r="AC1892" s="227"/>
      <c r="AD1892" s="227"/>
      <c r="AE1892" s="227"/>
      <c r="AG1892" s="19"/>
      <c r="AN1892" s="227"/>
      <c r="AO1892" s="227"/>
      <c r="AP1892" s="227"/>
      <c r="AQ1892" s="227"/>
      <c r="AR1892" s="227"/>
      <c r="AS1892" s="227"/>
      <c r="AT1892" s="227"/>
      <c r="AU1892" s="227"/>
    </row>
    <row r="1893" spans="27:47" ht="12.95" customHeight="1">
      <c r="AA1893" s="227"/>
      <c r="AB1893" s="227"/>
      <c r="AC1893" s="227"/>
      <c r="AD1893" s="227"/>
      <c r="AE1893" s="227"/>
      <c r="AG1893" s="19"/>
      <c r="AN1893" s="227"/>
      <c r="AO1893" s="227"/>
      <c r="AP1893" s="227"/>
      <c r="AQ1893" s="227"/>
      <c r="AR1893" s="227"/>
      <c r="AS1893" s="227"/>
      <c r="AT1893" s="227"/>
      <c r="AU1893" s="227"/>
    </row>
    <row r="1894" spans="27:47" ht="12.95" customHeight="1">
      <c r="AA1894" s="227"/>
      <c r="AB1894" s="227"/>
      <c r="AC1894" s="227"/>
      <c r="AD1894" s="227"/>
      <c r="AE1894" s="227"/>
      <c r="AG1894" s="19"/>
      <c r="AN1894" s="227"/>
      <c r="AO1894" s="227"/>
      <c r="AP1894" s="227"/>
      <c r="AQ1894" s="227"/>
      <c r="AR1894" s="227"/>
      <c r="AS1894" s="227"/>
      <c r="AT1894" s="227"/>
      <c r="AU1894" s="227"/>
    </row>
    <row r="1895" spans="27:47" ht="12.95" customHeight="1">
      <c r="AA1895" s="227"/>
      <c r="AB1895" s="227"/>
      <c r="AC1895" s="227"/>
      <c r="AD1895" s="227"/>
      <c r="AE1895" s="227"/>
      <c r="AG1895" s="19"/>
      <c r="AN1895" s="227"/>
      <c r="AO1895" s="227"/>
      <c r="AP1895" s="227"/>
      <c r="AQ1895" s="227"/>
      <c r="AR1895" s="227"/>
      <c r="AS1895" s="227"/>
      <c r="AT1895" s="227"/>
      <c r="AU1895" s="227"/>
    </row>
    <row r="1896" spans="27:47" ht="12.95" customHeight="1">
      <c r="AA1896" s="227"/>
      <c r="AB1896" s="227"/>
      <c r="AC1896" s="227"/>
      <c r="AD1896" s="227"/>
      <c r="AE1896" s="227"/>
      <c r="AG1896" s="19"/>
      <c r="AN1896" s="227"/>
      <c r="AO1896" s="227"/>
      <c r="AP1896" s="227"/>
      <c r="AQ1896" s="227"/>
      <c r="AR1896" s="227"/>
      <c r="AS1896" s="227"/>
      <c r="AT1896" s="227"/>
      <c r="AU1896" s="227"/>
    </row>
    <row r="1897" spans="27:47" ht="12.95" customHeight="1">
      <c r="AA1897" s="227"/>
      <c r="AB1897" s="227"/>
      <c r="AC1897" s="227"/>
      <c r="AD1897" s="227"/>
      <c r="AE1897" s="227"/>
      <c r="AG1897" s="19"/>
      <c r="AN1897" s="227"/>
      <c r="AO1897" s="227"/>
      <c r="AP1897" s="227"/>
      <c r="AQ1897" s="227"/>
      <c r="AR1897" s="227"/>
      <c r="AS1897" s="227"/>
      <c r="AT1897" s="227"/>
      <c r="AU1897" s="227"/>
    </row>
    <row r="1898" spans="27:47" ht="12.95" customHeight="1">
      <c r="AA1898" s="227"/>
      <c r="AB1898" s="227"/>
      <c r="AC1898" s="227"/>
      <c r="AD1898" s="227"/>
      <c r="AE1898" s="227"/>
      <c r="AG1898" s="19"/>
      <c r="AN1898" s="227"/>
      <c r="AO1898" s="227"/>
      <c r="AP1898" s="227"/>
      <c r="AQ1898" s="227"/>
      <c r="AR1898" s="227"/>
      <c r="AS1898" s="227"/>
      <c r="AT1898" s="227"/>
      <c r="AU1898" s="227"/>
    </row>
    <row r="1899" spans="27:47" ht="12.95" customHeight="1">
      <c r="AA1899" s="227"/>
      <c r="AB1899" s="227"/>
      <c r="AC1899" s="227"/>
      <c r="AD1899" s="227"/>
      <c r="AE1899" s="227"/>
      <c r="AG1899" s="19"/>
      <c r="AN1899" s="227"/>
      <c r="AO1899" s="227"/>
      <c r="AP1899" s="227"/>
      <c r="AQ1899" s="227"/>
      <c r="AR1899" s="227"/>
      <c r="AS1899" s="227"/>
      <c r="AT1899" s="227"/>
      <c r="AU1899" s="227"/>
    </row>
    <row r="1900" spans="27:47" ht="12.95" customHeight="1">
      <c r="AA1900" s="227"/>
      <c r="AB1900" s="227"/>
      <c r="AC1900" s="227"/>
      <c r="AD1900" s="227"/>
      <c r="AE1900" s="227"/>
      <c r="AG1900" s="19"/>
      <c r="AN1900" s="227"/>
      <c r="AO1900" s="227"/>
      <c r="AP1900" s="227"/>
      <c r="AQ1900" s="227"/>
      <c r="AR1900" s="227"/>
      <c r="AS1900" s="227"/>
      <c r="AT1900" s="227"/>
      <c r="AU1900" s="227"/>
    </row>
    <row r="1901" spans="27:47" ht="12.95" customHeight="1">
      <c r="AA1901" s="227"/>
      <c r="AB1901" s="227"/>
      <c r="AC1901" s="227"/>
      <c r="AD1901" s="227"/>
      <c r="AE1901" s="227"/>
      <c r="AG1901" s="19"/>
      <c r="AN1901" s="227"/>
      <c r="AO1901" s="227"/>
      <c r="AP1901" s="227"/>
      <c r="AQ1901" s="227"/>
      <c r="AR1901" s="227"/>
      <c r="AS1901" s="227"/>
      <c r="AT1901" s="227"/>
      <c r="AU1901" s="227"/>
    </row>
    <row r="1902" spans="27:47" ht="12.95" customHeight="1">
      <c r="AA1902" s="227"/>
      <c r="AB1902" s="227"/>
      <c r="AC1902" s="227"/>
      <c r="AD1902" s="227"/>
      <c r="AE1902" s="227"/>
      <c r="AG1902" s="19"/>
      <c r="AN1902" s="227"/>
      <c r="AO1902" s="227"/>
      <c r="AP1902" s="227"/>
      <c r="AQ1902" s="227"/>
      <c r="AR1902" s="227"/>
      <c r="AS1902" s="227"/>
      <c r="AT1902" s="227"/>
      <c r="AU1902" s="227"/>
    </row>
    <row r="1903" spans="27:47" ht="12.95" customHeight="1">
      <c r="AA1903" s="227"/>
      <c r="AB1903" s="227"/>
      <c r="AC1903" s="227"/>
      <c r="AD1903" s="227"/>
      <c r="AE1903" s="227"/>
      <c r="AG1903" s="19"/>
      <c r="AN1903" s="227"/>
      <c r="AO1903" s="227"/>
      <c r="AP1903" s="227"/>
      <c r="AQ1903" s="227"/>
      <c r="AR1903" s="227"/>
      <c r="AS1903" s="227"/>
      <c r="AT1903" s="227"/>
      <c r="AU1903" s="227"/>
    </row>
    <row r="1904" spans="27:47" ht="12.95" customHeight="1">
      <c r="AA1904" s="227"/>
      <c r="AB1904" s="227"/>
      <c r="AC1904" s="227"/>
      <c r="AD1904" s="227"/>
      <c r="AE1904" s="227"/>
      <c r="AG1904" s="19"/>
      <c r="AN1904" s="227"/>
      <c r="AO1904" s="227"/>
      <c r="AP1904" s="227"/>
      <c r="AQ1904" s="227"/>
      <c r="AR1904" s="227"/>
      <c r="AS1904" s="227"/>
      <c r="AT1904" s="227"/>
      <c r="AU1904" s="227"/>
    </row>
    <row r="1905" spans="27:48" ht="12.95" customHeight="1">
      <c r="AA1905" s="227"/>
      <c r="AB1905" s="227"/>
      <c r="AC1905" s="227"/>
      <c r="AD1905" s="227"/>
      <c r="AE1905" s="227"/>
      <c r="AG1905" s="19"/>
      <c r="AN1905" s="227"/>
      <c r="AO1905" s="227"/>
      <c r="AP1905" s="227"/>
      <c r="AQ1905" s="227"/>
      <c r="AR1905" s="227"/>
      <c r="AS1905" s="227"/>
      <c r="AT1905" s="227"/>
      <c r="AU1905" s="227"/>
    </row>
    <row r="1906" spans="27:48" ht="12.95" customHeight="1">
      <c r="AA1906" s="227"/>
      <c r="AB1906" s="227"/>
      <c r="AC1906" s="227"/>
      <c r="AD1906" s="227"/>
      <c r="AE1906" s="227"/>
      <c r="AG1906" s="19"/>
      <c r="AN1906" s="227"/>
      <c r="AO1906" s="227"/>
      <c r="AP1906" s="227"/>
      <c r="AQ1906" s="227"/>
      <c r="AR1906" s="227"/>
      <c r="AS1906" s="227"/>
      <c r="AT1906" s="227"/>
      <c r="AU1906" s="227"/>
    </row>
    <row r="1907" spans="27:48" ht="12.95" customHeight="1">
      <c r="AA1907" s="227"/>
      <c r="AB1907" s="227"/>
      <c r="AC1907" s="227"/>
      <c r="AD1907" s="227"/>
      <c r="AE1907" s="227"/>
      <c r="AG1907" s="19"/>
      <c r="AN1907" s="227"/>
      <c r="AO1907" s="227"/>
      <c r="AP1907" s="227"/>
      <c r="AQ1907" s="227"/>
      <c r="AR1907" s="227"/>
      <c r="AS1907" s="227"/>
      <c r="AT1907" s="227"/>
      <c r="AU1907" s="227"/>
    </row>
    <row r="1908" spans="27:48" ht="12.95" customHeight="1">
      <c r="AA1908" s="227"/>
      <c r="AB1908" s="227"/>
      <c r="AC1908" s="227"/>
      <c r="AD1908" s="227"/>
      <c r="AE1908" s="227"/>
      <c r="AG1908" s="19"/>
      <c r="AN1908" s="227"/>
      <c r="AO1908" s="227"/>
      <c r="AP1908" s="227"/>
      <c r="AQ1908" s="227"/>
      <c r="AR1908" s="227"/>
      <c r="AS1908" s="227"/>
      <c r="AT1908" s="227"/>
      <c r="AU1908" s="227"/>
    </row>
    <row r="1909" spans="27:48" ht="12.95" customHeight="1">
      <c r="AA1909" s="227"/>
      <c r="AB1909" s="227"/>
      <c r="AC1909" s="227"/>
      <c r="AD1909" s="227"/>
      <c r="AE1909" s="227"/>
      <c r="AG1909" s="19"/>
      <c r="AN1909" s="227"/>
      <c r="AO1909" s="227"/>
      <c r="AP1909" s="227"/>
      <c r="AQ1909" s="227"/>
      <c r="AR1909" s="227"/>
      <c r="AS1909" s="227"/>
      <c r="AT1909" s="227"/>
      <c r="AU1909" s="227"/>
    </row>
    <row r="1910" spans="27:48" ht="12.95" customHeight="1">
      <c r="AA1910" s="227"/>
      <c r="AB1910" s="227"/>
      <c r="AC1910" s="227"/>
      <c r="AD1910" s="227"/>
      <c r="AE1910" s="227"/>
      <c r="AG1910" s="19"/>
      <c r="AN1910" s="227"/>
      <c r="AO1910" s="227"/>
      <c r="AP1910" s="227"/>
      <c r="AQ1910" s="227"/>
      <c r="AR1910" s="227"/>
      <c r="AS1910" s="227"/>
      <c r="AT1910" s="227"/>
      <c r="AU1910" s="227"/>
      <c r="AV1910" s="227"/>
    </row>
    <row r="1911" spans="27:48" ht="12.95" customHeight="1">
      <c r="AA1911" s="227"/>
      <c r="AB1911" s="227"/>
      <c r="AC1911" s="227"/>
      <c r="AD1911" s="227"/>
      <c r="AE1911" s="227"/>
      <c r="AG1911" s="19"/>
      <c r="AN1911" s="227"/>
      <c r="AO1911" s="227"/>
      <c r="AP1911" s="227"/>
      <c r="AQ1911" s="227"/>
      <c r="AR1911" s="227"/>
      <c r="AS1911" s="227"/>
      <c r="AT1911" s="227"/>
      <c r="AU1911" s="227"/>
    </row>
    <row r="1912" spans="27:48" ht="12.95" customHeight="1">
      <c r="AA1912" s="227"/>
      <c r="AB1912" s="227"/>
      <c r="AC1912" s="227"/>
      <c r="AD1912" s="227"/>
      <c r="AE1912" s="227"/>
      <c r="AG1912" s="19"/>
      <c r="AN1912" s="227"/>
      <c r="AO1912" s="227"/>
      <c r="AP1912" s="227"/>
      <c r="AQ1912" s="227"/>
      <c r="AR1912" s="227"/>
      <c r="AS1912" s="227"/>
      <c r="AT1912" s="227"/>
      <c r="AU1912" s="227"/>
    </row>
    <row r="1913" spans="27:48" ht="12.95" customHeight="1">
      <c r="AA1913" s="227"/>
      <c r="AB1913" s="227"/>
      <c r="AC1913" s="227"/>
      <c r="AD1913" s="227"/>
      <c r="AE1913" s="227"/>
      <c r="AG1913" s="19"/>
      <c r="AN1913" s="227"/>
      <c r="AO1913" s="227"/>
      <c r="AP1913" s="227"/>
      <c r="AQ1913" s="227"/>
      <c r="AR1913" s="227"/>
      <c r="AS1913" s="227"/>
      <c r="AT1913" s="227"/>
      <c r="AU1913" s="227"/>
    </row>
    <row r="1914" spans="27:48" ht="12.95" customHeight="1">
      <c r="AA1914" s="227"/>
      <c r="AB1914" s="227"/>
      <c r="AC1914" s="227"/>
      <c r="AD1914" s="227"/>
      <c r="AE1914" s="227"/>
      <c r="AG1914" s="19"/>
      <c r="AN1914" s="227"/>
      <c r="AO1914" s="227"/>
      <c r="AP1914" s="227"/>
      <c r="AQ1914" s="227"/>
      <c r="AR1914" s="227"/>
      <c r="AS1914" s="227"/>
      <c r="AT1914" s="227"/>
      <c r="AU1914" s="227"/>
      <c r="AV1914" s="227"/>
    </row>
    <row r="1915" spans="27:48" ht="12.95" customHeight="1">
      <c r="AA1915" s="227"/>
      <c r="AB1915" s="227"/>
      <c r="AC1915" s="227"/>
      <c r="AD1915" s="227"/>
      <c r="AE1915" s="227"/>
      <c r="AG1915" s="19"/>
      <c r="AN1915" s="227"/>
      <c r="AO1915" s="227"/>
      <c r="AP1915" s="227"/>
      <c r="AQ1915" s="227"/>
      <c r="AR1915" s="227"/>
      <c r="AS1915" s="227"/>
      <c r="AT1915" s="227"/>
      <c r="AU1915" s="227"/>
    </row>
    <row r="1916" spans="27:48" ht="12.95" customHeight="1">
      <c r="AA1916" s="227"/>
      <c r="AB1916" s="227"/>
      <c r="AC1916" s="227"/>
      <c r="AD1916" s="227"/>
      <c r="AE1916" s="227"/>
      <c r="AG1916" s="19"/>
      <c r="AN1916" s="227"/>
      <c r="AO1916" s="227"/>
      <c r="AP1916" s="227"/>
      <c r="AQ1916" s="227"/>
      <c r="AR1916" s="227"/>
      <c r="AS1916" s="227"/>
      <c r="AT1916" s="227"/>
      <c r="AU1916" s="227"/>
    </row>
    <row r="1917" spans="27:48" ht="12.95" customHeight="1">
      <c r="AA1917" s="227"/>
      <c r="AB1917" s="227"/>
      <c r="AC1917" s="227"/>
      <c r="AD1917" s="227"/>
      <c r="AE1917" s="227"/>
      <c r="AG1917" s="19"/>
      <c r="AN1917" s="227"/>
      <c r="AO1917" s="227"/>
      <c r="AP1917" s="227"/>
      <c r="AQ1917" s="227"/>
      <c r="AR1917" s="227"/>
      <c r="AS1917" s="227"/>
      <c r="AT1917" s="227"/>
      <c r="AU1917" s="227"/>
      <c r="AV1917" s="227"/>
    </row>
    <row r="1918" spans="27:48" ht="12.95" customHeight="1">
      <c r="AA1918" s="227"/>
      <c r="AB1918" s="227"/>
      <c r="AC1918" s="227"/>
      <c r="AD1918" s="227"/>
      <c r="AE1918" s="227"/>
      <c r="AG1918" s="19"/>
      <c r="AN1918" s="227"/>
      <c r="AO1918" s="227"/>
      <c r="AP1918" s="227"/>
      <c r="AQ1918" s="227"/>
      <c r="AR1918" s="227"/>
      <c r="AS1918" s="227"/>
      <c r="AT1918" s="227"/>
      <c r="AU1918" s="227"/>
    </row>
    <row r="1919" spans="27:48" ht="12.95" customHeight="1">
      <c r="AA1919" s="227"/>
      <c r="AB1919" s="227"/>
      <c r="AC1919" s="227"/>
      <c r="AD1919" s="227"/>
      <c r="AE1919" s="227"/>
      <c r="AG1919" s="19"/>
      <c r="AN1919" s="227"/>
      <c r="AO1919" s="227"/>
      <c r="AP1919" s="227"/>
      <c r="AQ1919" s="227"/>
      <c r="AR1919" s="227"/>
      <c r="AS1919" s="227"/>
      <c r="AT1919" s="227"/>
      <c r="AU1919" s="227"/>
    </row>
    <row r="1920" spans="27:48" ht="12.95" customHeight="1">
      <c r="AA1920" s="227"/>
      <c r="AB1920" s="227"/>
      <c r="AC1920" s="227"/>
      <c r="AD1920" s="227"/>
      <c r="AE1920" s="227"/>
      <c r="AG1920" s="19"/>
      <c r="AN1920" s="227"/>
      <c r="AO1920" s="227"/>
      <c r="AP1920" s="227"/>
      <c r="AQ1920" s="227"/>
      <c r="AR1920" s="227"/>
      <c r="AS1920" s="227"/>
      <c r="AT1920" s="227"/>
      <c r="AU1920" s="227"/>
    </row>
    <row r="1921" spans="27:47" ht="12.95" customHeight="1">
      <c r="AA1921" s="227"/>
      <c r="AB1921" s="227"/>
      <c r="AC1921" s="227"/>
      <c r="AD1921" s="227"/>
      <c r="AE1921" s="227"/>
      <c r="AG1921" s="19"/>
      <c r="AN1921" s="227"/>
      <c r="AO1921" s="227"/>
      <c r="AP1921" s="227"/>
      <c r="AQ1921" s="227"/>
      <c r="AR1921" s="227"/>
      <c r="AS1921" s="227"/>
      <c r="AT1921" s="227"/>
      <c r="AU1921" s="227"/>
    </row>
    <row r="1922" spans="27:47" ht="12.95" customHeight="1">
      <c r="AA1922" s="227"/>
      <c r="AB1922" s="227"/>
      <c r="AC1922" s="227"/>
      <c r="AD1922" s="227"/>
      <c r="AE1922" s="227"/>
      <c r="AG1922" s="19"/>
      <c r="AN1922" s="227"/>
      <c r="AO1922" s="227"/>
      <c r="AP1922" s="227"/>
      <c r="AQ1922" s="227"/>
      <c r="AR1922" s="227"/>
      <c r="AS1922" s="227"/>
      <c r="AT1922" s="227"/>
      <c r="AU1922" s="227"/>
    </row>
    <row r="1923" spans="27:47" ht="12.95" customHeight="1">
      <c r="AA1923" s="227"/>
      <c r="AB1923" s="227"/>
      <c r="AC1923" s="227"/>
      <c r="AD1923" s="227"/>
      <c r="AE1923" s="227"/>
      <c r="AG1923" s="19"/>
      <c r="AN1923" s="227"/>
      <c r="AO1923" s="227"/>
      <c r="AP1923" s="227"/>
      <c r="AQ1923" s="227"/>
      <c r="AR1923" s="227"/>
      <c r="AS1923" s="227"/>
      <c r="AT1923" s="227"/>
      <c r="AU1923" s="227"/>
    </row>
    <row r="1924" spans="27:47" ht="12.95" customHeight="1">
      <c r="AA1924" s="227"/>
      <c r="AB1924" s="227"/>
      <c r="AC1924" s="227"/>
      <c r="AD1924" s="227"/>
      <c r="AE1924" s="227"/>
      <c r="AG1924" s="19"/>
      <c r="AN1924" s="227"/>
      <c r="AO1924" s="227"/>
      <c r="AP1924" s="227"/>
      <c r="AQ1924" s="227"/>
      <c r="AR1924" s="227"/>
      <c r="AS1924" s="227"/>
      <c r="AT1924" s="227"/>
      <c r="AU1924" s="227"/>
    </row>
    <row r="1925" spans="27:47" ht="12.95" customHeight="1">
      <c r="AA1925" s="227"/>
      <c r="AB1925" s="227"/>
      <c r="AC1925" s="227"/>
      <c r="AD1925" s="227"/>
      <c r="AE1925" s="227"/>
      <c r="AG1925" s="19"/>
      <c r="AN1925" s="227"/>
      <c r="AO1925" s="227"/>
      <c r="AP1925" s="227"/>
      <c r="AQ1925" s="227"/>
      <c r="AR1925" s="227"/>
      <c r="AS1925" s="227"/>
      <c r="AT1925" s="227"/>
      <c r="AU1925" s="227"/>
    </row>
    <row r="1926" spans="27:47" ht="12.95" customHeight="1">
      <c r="AA1926" s="227"/>
      <c r="AB1926" s="227"/>
      <c r="AC1926" s="227"/>
      <c r="AD1926" s="227"/>
      <c r="AE1926" s="227"/>
      <c r="AG1926" s="19"/>
      <c r="AN1926" s="227"/>
      <c r="AO1926" s="227"/>
      <c r="AP1926" s="227"/>
      <c r="AQ1926" s="227"/>
      <c r="AR1926" s="227"/>
      <c r="AS1926" s="227"/>
      <c r="AT1926" s="227"/>
      <c r="AU1926" s="227"/>
    </row>
    <row r="1927" spans="27:47" ht="12.95" customHeight="1">
      <c r="AA1927" s="227"/>
      <c r="AB1927" s="227"/>
      <c r="AC1927" s="227"/>
      <c r="AD1927" s="227"/>
      <c r="AE1927" s="227"/>
      <c r="AG1927" s="19"/>
      <c r="AN1927" s="227"/>
      <c r="AO1927" s="227"/>
      <c r="AP1927" s="227"/>
      <c r="AQ1927" s="227"/>
      <c r="AR1927" s="227"/>
      <c r="AS1927" s="227"/>
      <c r="AT1927" s="227"/>
      <c r="AU1927" s="227"/>
    </row>
    <row r="1928" spans="27:47" ht="12.95" customHeight="1">
      <c r="AA1928" s="227"/>
      <c r="AB1928" s="227"/>
      <c r="AC1928" s="227"/>
      <c r="AD1928" s="227"/>
      <c r="AE1928" s="227"/>
      <c r="AG1928" s="19"/>
      <c r="AN1928" s="227"/>
      <c r="AO1928" s="227"/>
      <c r="AP1928" s="227"/>
      <c r="AQ1928" s="227"/>
      <c r="AR1928" s="227"/>
      <c r="AS1928" s="227"/>
      <c r="AT1928" s="227"/>
      <c r="AU1928" s="227"/>
    </row>
    <row r="1929" spans="27:47" ht="12.95" customHeight="1">
      <c r="AA1929" s="227"/>
      <c r="AB1929" s="227"/>
      <c r="AC1929" s="227"/>
      <c r="AD1929" s="227"/>
      <c r="AE1929" s="227"/>
      <c r="AG1929" s="19"/>
      <c r="AN1929" s="227"/>
      <c r="AO1929" s="227"/>
      <c r="AP1929" s="227"/>
      <c r="AQ1929" s="227"/>
      <c r="AR1929" s="227"/>
      <c r="AS1929" s="227"/>
      <c r="AT1929" s="227"/>
      <c r="AU1929" s="227"/>
    </row>
    <row r="1930" spans="27:47" ht="12.95" customHeight="1">
      <c r="AA1930" s="227"/>
      <c r="AB1930" s="227"/>
      <c r="AC1930" s="227"/>
      <c r="AD1930" s="227"/>
      <c r="AE1930" s="227"/>
      <c r="AG1930" s="19"/>
      <c r="AN1930" s="227"/>
      <c r="AO1930" s="227"/>
      <c r="AP1930" s="227"/>
      <c r="AQ1930" s="227"/>
      <c r="AR1930" s="227"/>
      <c r="AS1930" s="227"/>
      <c r="AT1930" s="227"/>
      <c r="AU1930" s="227"/>
    </row>
    <row r="1931" spans="27:47" ht="12.95" customHeight="1">
      <c r="AA1931" s="227"/>
      <c r="AB1931" s="227"/>
      <c r="AC1931" s="227"/>
      <c r="AD1931" s="227"/>
      <c r="AE1931" s="227"/>
      <c r="AG1931" s="19"/>
      <c r="AN1931" s="227"/>
      <c r="AO1931" s="227"/>
      <c r="AP1931" s="227"/>
      <c r="AQ1931" s="227"/>
      <c r="AR1931" s="227"/>
      <c r="AS1931" s="227"/>
      <c r="AT1931" s="227"/>
      <c r="AU1931" s="227"/>
    </row>
    <row r="1932" spans="27:47" ht="12.95" customHeight="1">
      <c r="AA1932" s="227"/>
      <c r="AB1932" s="227"/>
      <c r="AC1932" s="227"/>
      <c r="AD1932" s="227"/>
      <c r="AE1932" s="227"/>
      <c r="AG1932" s="19"/>
      <c r="AN1932" s="227"/>
      <c r="AO1932" s="227"/>
      <c r="AP1932" s="227"/>
      <c r="AQ1932" s="227"/>
      <c r="AR1932" s="227"/>
      <c r="AS1932" s="227"/>
      <c r="AT1932" s="227"/>
      <c r="AU1932" s="227"/>
    </row>
    <row r="1933" spans="27:47" ht="12.95" customHeight="1">
      <c r="AA1933" s="227"/>
      <c r="AB1933" s="227"/>
      <c r="AC1933" s="227"/>
      <c r="AD1933" s="227"/>
      <c r="AE1933" s="227"/>
      <c r="AG1933" s="19"/>
      <c r="AN1933" s="227"/>
      <c r="AO1933" s="227"/>
      <c r="AP1933" s="227"/>
      <c r="AQ1933" s="227"/>
      <c r="AR1933" s="227"/>
      <c r="AS1933" s="227"/>
      <c r="AT1933" s="227"/>
      <c r="AU1933" s="227"/>
    </row>
    <row r="1934" spans="27:47" ht="12.95" customHeight="1">
      <c r="AA1934" s="227"/>
      <c r="AB1934" s="227"/>
      <c r="AC1934" s="227"/>
      <c r="AD1934" s="227"/>
      <c r="AE1934" s="227"/>
      <c r="AG1934" s="19"/>
      <c r="AN1934" s="227"/>
      <c r="AO1934" s="227"/>
      <c r="AP1934" s="227"/>
      <c r="AQ1934" s="227"/>
      <c r="AR1934" s="227"/>
      <c r="AS1934" s="227"/>
      <c r="AT1934" s="227"/>
      <c r="AU1934" s="227"/>
    </row>
    <row r="1935" spans="27:47" ht="12.95" customHeight="1">
      <c r="AA1935" s="227"/>
      <c r="AB1935" s="227"/>
      <c r="AC1935" s="227"/>
      <c r="AD1935" s="227"/>
      <c r="AE1935" s="227"/>
      <c r="AG1935" s="19"/>
      <c r="AN1935" s="227"/>
      <c r="AO1935" s="227"/>
      <c r="AP1935" s="227"/>
      <c r="AQ1935" s="227"/>
      <c r="AR1935" s="227"/>
      <c r="AS1935" s="227"/>
      <c r="AT1935" s="227"/>
      <c r="AU1935" s="227"/>
    </row>
    <row r="1936" spans="27:47" ht="12.95" customHeight="1">
      <c r="AA1936" s="227"/>
      <c r="AB1936" s="227"/>
      <c r="AC1936" s="227"/>
      <c r="AD1936" s="227"/>
      <c r="AE1936" s="227"/>
      <c r="AG1936" s="19"/>
      <c r="AN1936" s="227"/>
      <c r="AO1936" s="227"/>
      <c r="AP1936" s="227"/>
      <c r="AQ1936" s="227"/>
      <c r="AR1936" s="227"/>
      <c r="AS1936" s="227"/>
      <c r="AT1936" s="227"/>
      <c r="AU1936" s="227"/>
    </row>
    <row r="1937" spans="26:86" ht="12.95" customHeight="1">
      <c r="AA1937" s="227"/>
      <c r="AB1937" s="227"/>
      <c r="AC1937" s="227"/>
      <c r="AD1937" s="227"/>
      <c r="AE1937" s="227"/>
      <c r="AG1937" s="19"/>
      <c r="AN1937" s="227"/>
      <c r="AO1937" s="227"/>
      <c r="AP1937" s="227"/>
      <c r="AQ1937" s="227"/>
      <c r="AR1937" s="227"/>
      <c r="AS1937" s="227"/>
      <c r="AT1937" s="227"/>
      <c r="AU1937" s="227"/>
    </row>
    <row r="1938" spans="26:86" ht="12.95" customHeight="1">
      <c r="AA1938" s="227"/>
      <c r="AB1938" s="227"/>
      <c r="AC1938" s="227"/>
      <c r="AD1938" s="227"/>
      <c r="AE1938" s="227"/>
      <c r="AG1938" s="19"/>
      <c r="AN1938" s="227"/>
      <c r="AO1938" s="227"/>
      <c r="AP1938" s="227"/>
      <c r="AQ1938" s="227"/>
      <c r="AR1938" s="227"/>
      <c r="AS1938" s="227"/>
      <c r="AT1938" s="227"/>
      <c r="AU1938" s="227"/>
    </row>
    <row r="1939" spans="26:86" ht="12.95" customHeight="1">
      <c r="AA1939" s="227"/>
      <c r="AB1939" s="227"/>
      <c r="AC1939" s="227"/>
      <c r="AD1939" s="227"/>
      <c r="AE1939" s="227"/>
      <c r="AG1939" s="19"/>
      <c r="AN1939" s="227"/>
      <c r="AO1939" s="227"/>
      <c r="AP1939" s="227"/>
      <c r="AQ1939" s="227"/>
      <c r="AR1939" s="227"/>
      <c r="AS1939" s="227"/>
      <c r="AT1939" s="227"/>
      <c r="AU1939" s="227"/>
    </row>
    <row r="1940" spans="26:86" ht="12.95" customHeight="1">
      <c r="AA1940" s="227"/>
      <c r="AB1940" s="227"/>
      <c r="AC1940" s="227"/>
      <c r="AD1940" s="227"/>
      <c r="AE1940" s="227"/>
      <c r="AG1940" s="19"/>
      <c r="AN1940" s="227"/>
      <c r="AO1940" s="227"/>
      <c r="AP1940" s="227"/>
      <c r="AQ1940" s="227"/>
      <c r="AR1940" s="227"/>
      <c r="AS1940" s="227"/>
      <c r="AT1940" s="227"/>
      <c r="AU1940" s="227"/>
    </row>
    <row r="1941" spans="26:86" ht="12.95" customHeight="1">
      <c r="AA1941" s="227"/>
      <c r="AB1941" s="227"/>
      <c r="AC1941" s="227"/>
      <c r="AD1941" s="227"/>
      <c r="AE1941" s="227"/>
      <c r="AG1941" s="19"/>
      <c r="AN1941" s="227"/>
      <c r="AO1941" s="227"/>
      <c r="AP1941" s="227"/>
      <c r="AQ1941" s="227"/>
      <c r="AR1941" s="227"/>
      <c r="AS1941" s="227"/>
      <c r="AT1941" s="227"/>
      <c r="AU1941" s="227"/>
    </row>
    <row r="1942" spans="26:86" ht="12.95" customHeight="1">
      <c r="AA1942" s="227"/>
      <c r="AB1942" s="227"/>
      <c r="AC1942" s="227"/>
      <c r="AD1942" s="227"/>
      <c r="AE1942" s="227"/>
      <c r="AG1942" s="19"/>
      <c r="AN1942" s="227"/>
      <c r="AO1942" s="227"/>
      <c r="AP1942" s="227"/>
      <c r="AQ1942" s="227"/>
      <c r="AR1942" s="227"/>
      <c r="AS1942" s="227"/>
      <c r="AT1942" s="227"/>
      <c r="AU1942" s="227"/>
    </row>
    <row r="1943" spans="26:86" ht="12.95" customHeight="1">
      <c r="AA1943" s="227"/>
      <c r="AB1943" s="227"/>
      <c r="AC1943" s="227"/>
      <c r="AD1943" s="227"/>
      <c r="AE1943" s="227"/>
      <c r="AG1943" s="19"/>
      <c r="AN1943" s="227"/>
      <c r="AO1943" s="227"/>
      <c r="AP1943" s="227"/>
      <c r="AQ1943" s="227"/>
      <c r="AR1943" s="227"/>
      <c r="AS1943" s="227"/>
      <c r="AT1943" s="227"/>
      <c r="AU1943" s="227"/>
    </row>
    <row r="1944" spans="26:86" ht="12.95" customHeight="1">
      <c r="AA1944" s="227"/>
      <c r="AB1944" s="227"/>
      <c r="AC1944" s="227"/>
      <c r="AD1944" s="227"/>
      <c r="AE1944" s="227"/>
      <c r="AG1944" s="19"/>
      <c r="AN1944" s="227"/>
      <c r="AO1944" s="227"/>
      <c r="AP1944" s="227"/>
      <c r="AQ1944" s="227"/>
      <c r="AR1944" s="227"/>
      <c r="AS1944" s="227"/>
      <c r="AT1944" s="227"/>
      <c r="AU1944" s="227"/>
    </row>
    <row r="1945" spans="26:86" ht="12.95" customHeight="1">
      <c r="AA1945" s="227"/>
      <c r="AB1945" s="227"/>
      <c r="AC1945" s="227"/>
      <c r="AD1945" s="227"/>
      <c r="AE1945" s="227"/>
      <c r="AG1945" s="19"/>
      <c r="AN1945" s="227"/>
      <c r="AO1945" s="227"/>
      <c r="AP1945" s="227"/>
      <c r="AQ1945" s="227"/>
      <c r="AR1945" s="227"/>
      <c r="AS1945" s="227"/>
      <c r="AT1945" s="227"/>
      <c r="AU1945" s="227"/>
    </row>
    <row r="1946" spans="26:86" ht="12.95" customHeight="1">
      <c r="AA1946" s="227"/>
      <c r="AB1946" s="227"/>
      <c r="AC1946" s="227"/>
      <c r="AD1946" s="227"/>
      <c r="AE1946" s="227"/>
      <c r="AG1946" s="19"/>
      <c r="AN1946" s="227"/>
      <c r="AO1946" s="227"/>
      <c r="AP1946" s="227"/>
      <c r="AQ1946" s="227"/>
      <c r="AR1946" s="227"/>
      <c r="AS1946" s="227"/>
      <c r="AT1946" s="227"/>
      <c r="AU1946" s="227"/>
    </row>
    <row r="1947" spans="26:86" ht="12.95" customHeight="1">
      <c r="Z1947" s="291"/>
      <c r="AA1947" s="291"/>
      <c r="AB1947" s="227"/>
      <c r="AC1947" s="291"/>
      <c r="AD1947" s="291"/>
      <c r="AE1947" s="291"/>
      <c r="AF1947" s="291"/>
      <c r="AG1947" s="122"/>
      <c r="AH1947" s="291"/>
      <c r="AI1947" s="291"/>
      <c r="AJ1947" s="291"/>
      <c r="AK1947" s="291"/>
      <c r="AL1947" s="291"/>
      <c r="AM1947" s="291"/>
      <c r="AN1947" s="291"/>
      <c r="AO1947" s="291"/>
      <c r="AP1947" s="291"/>
      <c r="AQ1947" s="291"/>
      <c r="AR1947" s="291"/>
      <c r="AS1947" s="291"/>
      <c r="AT1947" s="291"/>
      <c r="AU1947" s="291"/>
      <c r="AV1947" s="291"/>
      <c r="AW1947" s="291"/>
      <c r="AX1947" s="291"/>
      <c r="AY1947" s="291"/>
      <c r="AZ1947" s="291"/>
      <c r="BA1947" s="291"/>
      <c r="BB1947" s="291"/>
      <c r="BC1947" s="291"/>
      <c r="BD1947" s="291"/>
      <c r="BE1947" s="291"/>
      <c r="BF1947" s="291"/>
      <c r="BG1947" s="291"/>
      <c r="BH1947" s="291"/>
      <c r="BI1947" s="291"/>
      <c r="BJ1947" s="291"/>
      <c r="BK1947" s="291"/>
      <c r="BL1947" s="291"/>
      <c r="BM1947" s="291"/>
      <c r="BN1947" s="291"/>
      <c r="BO1947" s="291"/>
      <c r="BP1947" s="291"/>
      <c r="BQ1947" s="291"/>
      <c r="BR1947" s="291"/>
      <c r="BS1947" s="291"/>
      <c r="BT1947" s="291"/>
      <c r="BU1947" s="291"/>
      <c r="BV1947" s="291"/>
      <c r="BW1947" s="291"/>
      <c r="BX1947" s="291"/>
      <c r="BY1947" s="291"/>
      <c r="BZ1947" s="291"/>
      <c r="CA1947" s="291"/>
      <c r="CB1947" s="291"/>
      <c r="CC1947" s="291"/>
      <c r="CD1947" s="291"/>
      <c r="CE1947" s="291"/>
      <c r="CF1947" s="291"/>
      <c r="CG1947" s="291"/>
      <c r="CH1947" s="291"/>
    </row>
    <row r="1948" spans="26:86" ht="12.95" customHeight="1">
      <c r="Z1948" s="291"/>
      <c r="AA1948" s="291"/>
      <c r="AB1948" s="227"/>
      <c r="AC1948" s="291"/>
      <c r="AD1948" s="291"/>
      <c r="AE1948" s="291"/>
      <c r="AF1948" s="291"/>
      <c r="AG1948" s="122"/>
      <c r="AH1948" s="291"/>
      <c r="AI1948" s="291"/>
      <c r="AJ1948" s="291"/>
      <c r="AK1948" s="291"/>
      <c r="AL1948" s="291"/>
      <c r="AM1948" s="291"/>
      <c r="AN1948" s="291"/>
      <c r="AO1948" s="291"/>
      <c r="AP1948" s="291"/>
      <c r="AQ1948" s="291"/>
      <c r="AR1948" s="291"/>
      <c r="AS1948" s="291"/>
      <c r="AT1948" s="291"/>
      <c r="AU1948" s="291"/>
      <c r="AV1948" s="291"/>
      <c r="AW1948" s="291"/>
      <c r="AX1948" s="291"/>
      <c r="AY1948" s="291"/>
      <c r="AZ1948" s="291"/>
      <c r="BA1948" s="291"/>
      <c r="BB1948" s="291"/>
      <c r="BC1948" s="291"/>
      <c r="BD1948" s="291"/>
      <c r="BE1948" s="291"/>
      <c r="BF1948" s="291"/>
      <c r="BG1948" s="291"/>
      <c r="BH1948" s="291"/>
      <c r="BI1948" s="291"/>
      <c r="BJ1948" s="291"/>
      <c r="BK1948" s="291"/>
      <c r="BL1948" s="291"/>
      <c r="BM1948" s="291"/>
      <c r="BN1948" s="291"/>
      <c r="BO1948" s="291"/>
      <c r="BP1948" s="291"/>
      <c r="BQ1948" s="291"/>
      <c r="BR1948" s="291"/>
      <c r="BS1948" s="291"/>
      <c r="BT1948" s="291"/>
      <c r="BU1948" s="291"/>
      <c r="BV1948" s="291"/>
      <c r="BW1948" s="291"/>
      <c r="BX1948" s="291"/>
      <c r="BY1948" s="291"/>
      <c r="BZ1948" s="291"/>
      <c r="CA1948" s="291"/>
      <c r="CB1948" s="291"/>
      <c r="CC1948" s="291"/>
      <c r="CD1948" s="291"/>
      <c r="CE1948" s="291"/>
      <c r="CF1948" s="291"/>
      <c r="CG1948" s="291"/>
      <c r="CH1948" s="291"/>
    </row>
    <row r="1949" spans="26:86" ht="12.95" customHeight="1">
      <c r="Z1949" s="291"/>
      <c r="AA1949" s="291"/>
      <c r="AB1949" s="227"/>
      <c r="AC1949" s="291"/>
      <c r="AD1949" s="291"/>
      <c r="AE1949" s="291"/>
      <c r="AF1949" s="291"/>
      <c r="AG1949" s="122"/>
      <c r="AH1949" s="291"/>
      <c r="AI1949" s="291"/>
      <c r="AJ1949" s="291"/>
      <c r="AK1949" s="291"/>
      <c r="AL1949" s="291"/>
      <c r="AM1949" s="291"/>
      <c r="AN1949" s="291"/>
      <c r="AO1949" s="291"/>
      <c r="AP1949" s="291"/>
      <c r="AQ1949" s="291"/>
      <c r="AR1949" s="291"/>
      <c r="AS1949" s="291"/>
      <c r="AT1949" s="291"/>
      <c r="AU1949" s="291"/>
      <c r="AV1949" s="291"/>
      <c r="AW1949" s="291"/>
      <c r="AX1949" s="291"/>
      <c r="AY1949" s="291"/>
      <c r="AZ1949" s="291"/>
      <c r="BA1949" s="291"/>
      <c r="BB1949" s="291"/>
      <c r="BC1949" s="291"/>
      <c r="BD1949" s="291"/>
      <c r="BE1949" s="291"/>
      <c r="BF1949" s="291"/>
      <c r="BG1949" s="291"/>
      <c r="BH1949" s="291"/>
      <c r="BI1949" s="291"/>
      <c r="BJ1949" s="291"/>
      <c r="BK1949" s="291"/>
      <c r="BL1949" s="291"/>
      <c r="BM1949" s="291"/>
      <c r="BN1949" s="291"/>
      <c r="BO1949" s="291"/>
      <c r="BP1949" s="291"/>
      <c r="BQ1949" s="291"/>
      <c r="BR1949" s="291"/>
      <c r="BS1949" s="291"/>
      <c r="BT1949" s="291"/>
      <c r="BU1949" s="291"/>
      <c r="BV1949" s="291"/>
      <c r="BW1949" s="291"/>
      <c r="BX1949" s="291"/>
      <c r="BY1949" s="291"/>
      <c r="BZ1949" s="291"/>
      <c r="CA1949" s="291"/>
      <c r="CB1949" s="291"/>
      <c r="CC1949" s="291"/>
      <c r="CD1949" s="291"/>
      <c r="CE1949" s="291"/>
      <c r="CF1949" s="291"/>
      <c r="CG1949" s="291"/>
      <c r="CH1949" s="291"/>
    </row>
    <row r="1950" spans="26:86" ht="12.95" customHeight="1">
      <c r="Z1950" s="291"/>
      <c r="AA1950" s="291"/>
      <c r="AB1950" s="227"/>
      <c r="AC1950" s="291"/>
      <c r="AD1950" s="291"/>
      <c r="AE1950" s="291"/>
      <c r="AF1950" s="291"/>
      <c r="AG1950" s="122"/>
      <c r="AH1950" s="291"/>
      <c r="AI1950" s="291"/>
      <c r="AJ1950" s="291"/>
      <c r="AK1950" s="291"/>
      <c r="AL1950" s="291"/>
      <c r="AM1950" s="291"/>
      <c r="AN1950" s="291"/>
      <c r="AO1950" s="291"/>
      <c r="AP1950" s="291"/>
      <c r="AQ1950" s="291"/>
      <c r="AR1950" s="291"/>
      <c r="AS1950" s="291"/>
      <c r="AT1950" s="291"/>
      <c r="AU1950" s="291"/>
      <c r="AV1950" s="291"/>
      <c r="AW1950" s="291"/>
      <c r="AX1950" s="291"/>
      <c r="AY1950" s="291"/>
      <c r="AZ1950" s="291"/>
      <c r="BA1950" s="291"/>
      <c r="BB1950" s="291"/>
      <c r="BC1950" s="291"/>
      <c r="BD1950" s="291"/>
      <c r="BE1950" s="291"/>
      <c r="BF1950" s="291"/>
      <c r="BG1950" s="291"/>
      <c r="BH1950" s="291"/>
      <c r="BI1950" s="291"/>
      <c r="BJ1950" s="291"/>
      <c r="BK1950" s="291"/>
      <c r="BL1950" s="291"/>
      <c r="BM1950" s="291"/>
      <c r="BN1950" s="291"/>
      <c r="BO1950" s="291"/>
      <c r="BP1950" s="291"/>
      <c r="BQ1950" s="291"/>
      <c r="BR1950" s="291"/>
      <c r="BS1950" s="291"/>
      <c r="BT1950" s="291"/>
      <c r="BU1950" s="291"/>
      <c r="BV1950" s="291"/>
      <c r="BW1950" s="291"/>
      <c r="BX1950" s="291"/>
      <c r="BY1950" s="291"/>
      <c r="BZ1950" s="291"/>
      <c r="CA1950" s="291"/>
      <c r="CB1950" s="291"/>
      <c r="CC1950" s="291"/>
      <c r="CD1950" s="291"/>
      <c r="CE1950" s="291"/>
      <c r="CF1950" s="291"/>
      <c r="CG1950" s="291"/>
      <c r="CH1950" s="291"/>
    </row>
    <row r="1951" spans="26:86" ht="12.95" customHeight="1">
      <c r="Z1951" s="291"/>
      <c r="AA1951" s="291"/>
      <c r="AB1951" s="227"/>
      <c r="AC1951" s="291"/>
      <c r="AD1951" s="291"/>
      <c r="AE1951" s="291"/>
      <c r="AF1951" s="291"/>
      <c r="AG1951" s="122"/>
      <c r="AH1951" s="291"/>
      <c r="AI1951" s="291"/>
      <c r="AJ1951" s="291"/>
      <c r="AK1951" s="291"/>
      <c r="AL1951" s="291"/>
      <c r="AM1951" s="291"/>
      <c r="AN1951" s="291"/>
      <c r="AO1951" s="291"/>
      <c r="AP1951" s="291"/>
      <c r="AQ1951" s="291"/>
      <c r="AR1951" s="291"/>
      <c r="AS1951" s="291"/>
      <c r="AT1951" s="291"/>
      <c r="AU1951" s="291"/>
      <c r="AV1951" s="291"/>
      <c r="AW1951" s="291"/>
      <c r="AX1951" s="291"/>
      <c r="AY1951" s="291"/>
      <c r="AZ1951" s="291"/>
      <c r="BA1951" s="291"/>
      <c r="BB1951" s="291"/>
      <c r="BC1951" s="291"/>
      <c r="BD1951" s="291"/>
      <c r="BE1951" s="291"/>
      <c r="BF1951" s="291"/>
      <c r="BG1951" s="291"/>
      <c r="BH1951" s="291"/>
      <c r="BI1951" s="291"/>
      <c r="BJ1951" s="291"/>
      <c r="BK1951" s="291"/>
      <c r="BL1951" s="291"/>
      <c r="BM1951" s="291"/>
      <c r="BN1951" s="291"/>
      <c r="BO1951" s="291"/>
      <c r="BP1951" s="291"/>
      <c r="BQ1951" s="291"/>
      <c r="BR1951" s="291"/>
      <c r="BS1951" s="291"/>
      <c r="BT1951" s="291"/>
      <c r="BU1951" s="291"/>
      <c r="BV1951" s="291"/>
      <c r="BW1951" s="291"/>
      <c r="BX1951" s="291"/>
      <c r="BY1951" s="291"/>
      <c r="BZ1951" s="291"/>
      <c r="CA1951" s="291"/>
      <c r="CB1951" s="291"/>
      <c r="CC1951" s="291"/>
      <c r="CD1951" s="291"/>
      <c r="CE1951" s="291"/>
      <c r="CF1951" s="291"/>
      <c r="CG1951" s="291"/>
      <c r="CH1951" s="291"/>
    </row>
    <row r="1952" spans="26:86" ht="12.95" customHeight="1">
      <c r="Z1952" s="291"/>
      <c r="AA1952" s="291"/>
      <c r="AB1952" s="227"/>
      <c r="AC1952" s="291"/>
      <c r="AD1952" s="291"/>
      <c r="AE1952" s="291"/>
      <c r="AF1952" s="291"/>
      <c r="AG1952" s="122"/>
      <c r="AH1952" s="291"/>
      <c r="AI1952" s="291"/>
      <c r="AJ1952" s="291"/>
      <c r="AK1952" s="291"/>
      <c r="AL1952" s="291"/>
      <c r="AM1952" s="291"/>
      <c r="AN1952" s="291"/>
      <c r="AO1952" s="291"/>
      <c r="AP1952" s="291"/>
      <c r="AQ1952" s="291"/>
      <c r="AR1952" s="291"/>
      <c r="AS1952" s="291"/>
      <c r="AT1952" s="291"/>
      <c r="AU1952" s="291"/>
      <c r="AV1952" s="291"/>
      <c r="AW1952" s="291"/>
      <c r="AX1952" s="291"/>
      <c r="AY1952" s="291"/>
      <c r="AZ1952" s="291"/>
      <c r="BA1952" s="291"/>
      <c r="BB1952" s="291"/>
      <c r="BC1952" s="291"/>
      <c r="BD1952" s="291"/>
      <c r="BE1952" s="291"/>
      <c r="BF1952" s="291"/>
      <c r="BG1952" s="291"/>
      <c r="BH1952" s="291"/>
      <c r="BI1952" s="291"/>
      <c r="BJ1952" s="291"/>
      <c r="BK1952" s="291"/>
      <c r="BL1952" s="291"/>
      <c r="BM1952" s="291"/>
      <c r="BN1952" s="291"/>
      <c r="BO1952" s="291"/>
      <c r="BP1952" s="291"/>
      <c r="BQ1952" s="291"/>
      <c r="BR1952" s="291"/>
      <c r="BS1952" s="291"/>
      <c r="BT1952" s="291"/>
      <c r="BU1952" s="291"/>
      <c r="BV1952" s="291"/>
      <c r="BW1952" s="291"/>
      <c r="BX1952" s="291"/>
      <c r="BY1952" s="291"/>
      <c r="BZ1952" s="291"/>
      <c r="CA1952" s="291"/>
      <c r="CB1952" s="291"/>
      <c r="CC1952" s="291"/>
      <c r="CD1952" s="291"/>
      <c r="CE1952" s="291"/>
      <c r="CF1952" s="291"/>
      <c r="CG1952" s="291"/>
      <c r="CH1952" s="291"/>
    </row>
    <row r="1953" spans="26:47" ht="12.95" customHeight="1">
      <c r="Z1953" s="291"/>
      <c r="AA1953" s="291"/>
      <c r="AB1953" s="227"/>
      <c r="AC1953" s="291"/>
      <c r="AD1953" s="291"/>
      <c r="AE1953" s="291"/>
      <c r="AF1953" s="291"/>
      <c r="AG1953" s="122"/>
      <c r="AH1953" s="291"/>
      <c r="AI1953" s="291"/>
      <c r="AJ1953" s="291"/>
      <c r="AK1953" s="291"/>
      <c r="AL1953" s="291"/>
      <c r="AM1953" s="291"/>
      <c r="AN1953" s="291"/>
      <c r="AO1953" s="291"/>
      <c r="AP1953" s="291"/>
      <c r="AQ1953" s="291"/>
      <c r="AR1953" s="291"/>
      <c r="AS1953" s="291"/>
      <c r="AT1953" s="291"/>
      <c r="AU1953" s="291"/>
    </row>
    <row r="1954" spans="26:47" ht="12.95" customHeight="1">
      <c r="Z1954" s="291"/>
      <c r="AA1954" s="291"/>
      <c r="AB1954" s="227"/>
      <c r="AC1954" s="291"/>
      <c r="AD1954" s="291"/>
      <c r="AE1954" s="291"/>
      <c r="AF1954" s="291"/>
      <c r="AG1954" s="122"/>
      <c r="AH1954" s="291"/>
      <c r="AI1954" s="291"/>
      <c r="AJ1954" s="291"/>
      <c r="AK1954" s="291"/>
      <c r="AL1954" s="291"/>
      <c r="AM1954" s="291"/>
      <c r="AN1954" s="291"/>
      <c r="AO1954" s="291"/>
      <c r="AP1954" s="291"/>
      <c r="AQ1954" s="291"/>
      <c r="AR1954" s="291"/>
      <c r="AS1954" s="291"/>
      <c r="AT1954" s="291"/>
      <c r="AU1954" s="291"/>
    </row>
    <row r="1955" spans="26:47" ht="12.95" customHeight="1">
      <c r="Z1955" s="291"/>
      <c r="AA1955" s="291"/>
      <c r="AB1955" s="227"/>
      <c r="AC1955" s="291"/>
      <c r="AD1955" s="291"/>
      <c r="AE1955" s="291"/>
      <c r="AF1955" s="291"/>
      <c r="AG1955" s="122"/>
      <c r="AH1955" s="291"/>
      <c r="AI1955" s="291"/>
      <c r="AJ1955" s="291"/>
      <c r="AK1955" s="291"/>
      <c r="AL1955" s="291"/>
      <c r="AM1955" s="291"/>
      <c r="AN1955" s="291"/>
      <c r="AO1955" s="291"/>
      <c r="AP1955" s="291"/>
      <c r="AQ1955" s="291"/>
      <c r="AR1955" s="291"/>
      <c r="AS1955" s="291"/>
      <c r="AT1955" s="291"/>
      <c r="AU1955" s="291"/>
    </row>
    <row r="1956" spans="26:47" ht="12.95" customHeight="1">
      <c r="Z1956" s="291"/>
      <c r="AA1956" s="291"/>
      <c r="AB1956" s="227"/>
      <c r="AC1956" s="291"/>
      <c r="AD1956" s="291"/>
      <c r="AE1956" s="291"/>
      <c r="AF1956" s="291"/>
      <c r="AG1956" s="122"/>
      <c r="AH1956" s="291"/>
      <c r="AI1956" s="291"/>
      <c r="AJ1956" s="291"/>
      <c r="AK1956" s="291"/>
      <c r="AL1956" s="291"/>
      <c r="AM1956" s="291"/>
      <c r="AN1956" s="291"/>
      <c r="AO1956" s="291"/>
      <c r="AP1956" s="291"/>
      <c r="AQ1956" s="291"/>
      <c r="AR1956" s="291"/>
      <c r="AS1956" s="291"/>
      <c r="AT1956" s="291"/>
      <c r="AU1956" s="291"/>
    </row>
    <row r="1957" spans="26:47" ht="12.95" customHeight="1">
      <c r="Z1957" s="291"/>
      <c r="AA1957" s="291"/>
      <c r="AB1957" s="227"/>
      <c r="AC1957" s="291"/>
      <c r="AD1957" s="291"/>
      <c r="AE1957" s="291"/>
      <c r="AF1957" s="291"/>
      <c r="AG1957" s="122"/>
      <c r="AH1957" s="291"/>
      <c r="AI1957" s="291"/>
      <c r="AJ1957" s="291"/>
      <c r="AK1957" s="291"/>
      <c r="AL1957" s="291"/>
      <c r="AM1957" s="291"/>
      <c r="AN1957" s="291"/>
      <c r="AO1957" s="291"/>
      <c r="AP1957" s="291"/>
      <c r="AQ1957" s="291"/>
      <c r="AR1957" s="291"/>
      <c r="AS1957" s="291"/>
      <c r="AT1957" s="291"/>
      <c r="AU1957" s="291"/>
    </row>
    <row r="1958" spans="26:47" ht="12.95" customHeight="1">
      <c r="Z1958" s="291"/>
      <c r="AA1958" s="291"/>
      <c r="AB1958" s="227"/>
      <c r="AC1958" s="291"/>
      <c r="AD1958" s="291"/>
      <c r="AE1958" s="291"/>
      <c r="AF1958" s="291"/>
      <c r="AG1958" s="122"/>
      <c r="AH1958" s="291"/>
      <c r="AI1958" s="291"/>
      <c r="AJ1958" s="291"/>
      <c r="AK1958" s="291"/>
      <c r="AL1958" s="291"/>
      <c r="AM1958" s="291"/>
      <c r="AN1958" s="291"/>
      <c r="AO1958" s="291"/>
      <c r="AP1958" s="291"/>
      <c r="AQ1958" s="291"/>
      <c r="AR1958" s="291"/>
      <c r="AS1958" s="291"/>
      <c r="AT1958" s="291"/>
      <c r="AU1958" s="291"/>
    </row>
    <row r="1959" spans="26:47" ht="12.95" customHeight="1">
      <c r="Z1959" s="291"/>
      <c r="AA1959" s="291"/>
      <c r="AB1959" s="227"/>
      <c r="AC1959" s="291"/>
      <c r="AD1959" s="291"/>
      <c r="AE1959" s="291"/>
      <c r="AF1959" s="291"/>
      <c r="AG1959" s="122"/>
      <c r="AH1959" s="291"/>
      <c r="AI1959" s="291"/>
      <c r="AJ1959" s="291"/>
      <c r="AK1959" s="291"/>
      <c r="AL1959" s="291"/>
      <c r="AM1959" s="291"/>
      <c r="AN1959" s="291"/>
      <c r="AO1959" s="291"/>
      <c r="AP1959" s="291"/>
      <c r="AQ1959" s="291"/>
      <c r="AR1959" s="291"/>
      <c r="AS1959" s="291"/>
      <c r="AT1959" s="291"/>
      <c r="AU1959" s="291"/>
    </row>
    <row r="1960" spans="26:47" ht="12.95" customHeight="1">
      <c r="Z1960" s="291"/>
      <c r="AA1960" s="291"/>
      <c r="AB1960" s="227"/>
      <c r="AC1960" s="291"/>
      <c r="AD1960" s="291"/>
      <c r="AE1960" s="291"/>
      <c r="AF1960" s="291"/>
      <c r="AG1960" s="122"/>
      <c r="AH1960" s="291"/>
      <c r="AI1960" s="291"/>
      <c r="AJ1960" s="291"/>
      <c r="AK1960" s="291"/>
      <c r="AL1960" s="291"/>
      <c r="AM1960" s="291"/>
      <c r="AN1960" s="291"/>
      <c r="AO1960" s="291"/>
      <c r="AP1960" s="291"/>
      <c r="AQ1960" s="291"/>
      <c r="AR1960" s="291"/>
      <c r="AS1960" s="291"/>
      <c r="AT1960" s="291"/>
      <c r="AU1960" s="291"/>
    </row>
    <row r="1961" spans="26:47" ht="12.95" customHeight="1">
      <c r="Z1961" s="291"/>
      <c r="AA1961" s="291"/>
      <c r="AB1961" s="227"/>
      <c r="AC1961" s="291"/>
      <c r="AD1961" s="291"/>
      <c r="AE1961" s="291"/>
      <c r="AF1961" s="291"/>
      <c r="AG1961" s="122"/>
      <c r="AH1961" s="291"/>
      <c r="AI1961" s="291"/>
      <c r="AJ1961" s="291"/>
      <c r="AK1961" s="291"/>
      <c r="AL1961" s="291"/>
      <c r="AM1961" s="291"/>
      <c r="AN1961" s="291"/>
      <c r="AO1961" s="291"/>
      <c r="AP1961" s="291"/>
      <c r="AQ1961" s="291"/>
      <c r="AR1961" s="291"/>
      <c r="AS1961" s="291"/>
      <c r="AT1961" s="291"/>
      <c r="AU1961" s="291"/>
    </row>
    <row r="1962" spans="26:47" ht="12.95" customHeight="1">
      <c r="Z1962" s="291"/>
      <c r="AA1962" s="291"/>
      <c r="AB1962" s="227"/>
      <c r="AC1962" s="291"/>
      <c r="AD1962" s="291"/>
      <c r="AE1962" s="291"/>
      <c r="AF1962" s="291"/>
      <c r="AG1962" s="122"/>
      <c r="AH1962" s="291"/>
      <c r="AI1962" s="291"/>
      <c r="AJ1962" s="291"/>
      <c r="AK1962" s="291"/>
      <c r="AL1962" s="291"/>
      <c r="AM1962" s="291"/>
      <c r="AN1962" s="291"/>
      <c r="AO1962" s="291"/>
      <c r="AP1962" s="291"/>
      <c r="AQ1962" s="291"/>
      <c r="AR1962" s="291"/>
      <c r="AS1962" s="291"/>
      <c r="AT1962" s="291"/>
      <c r="AU1962" s="291"/>
    </row>
    <row r="1963" spans="26:47" ht="12.95" customHeight="1">
      <c r="Z1963" s="291"/>
      <c r="AA1963" s="291"/>
      <c r="AB1963" s="227"/>
      <c r="AC1963" s="291"/>
      <c r="AD1963" s="291"/>
      <c r="AE1963" s="291"/>
      <c r="AF1963" s="291"/>
      <c r="AG1963" s="122"/>
      <c r="AH1963" s="291"/>
      <c r="AI1963" s="291"/>
      <c r="AJ1963" s="291"/>
      <c r="AK1963" s="291"/>
      <c r="AL1963" s="291"/>
      <c r="AM1963" s="291"/>
      <c r="AN1963" s="291"/>
      <c r="AO1963" s="291"/>
      <c r="AP1963" s="291"/>
      <c r="AQ1963" s="291"/>
      <c r="AR1963" s="291"/>
      <c r="AS1963" s="291"/>
      <c r="AT1963" s="291"/>
      <c r="AU1963" s="291"/>
    </row>
    <row r="1964" spans="26:47" ht="12.95" customHeight="1">
      <c r="Z1964" s="291"/>
      <c r="AA1964" s="291"/>
      <c r="AB1964" s="227"/>
      <c r="AC1964" s="291"/>
      <c r="AD1964" s="291"/>
      <c r="AE1964" s="291"/>
      <c r="AF1964" s="291"/>
      <c r="AG1964" s="122"/>
      <c r="AH1964" s="291"/>
      <c r="AI1964" s="291"/>
      <c r="AJ1964" s="291"/>
      <c r="AK1964" s="291"/>
      <c r="AL1964" s="291"/>
      <c r="AM1964" s="291"/>
      <c r="AN1964" s="291"/>
      <c r="AO1964" s="291"/>
      <c r="AP1964" s="291"/>
      <c r="AQ1964" s="291"/>
      <c r="AR1964" s="291"/>
      <c r="AS1964" s="291"/>
      <c r="AT1964" s="291"/>
      <c r="AU1964" s="291"/>
    </row>
    <row r="1965" spans="26:47" ht="12.95" customHeight="1">
      <c r="Z1965" s="291"/>
      <c r="AA1965" s="291"/>
      <c r="AB1965" s="227"/>
      <c r="AC1965" s="291"/>
      <c r="AD1965" s="291"/>
      <c r="AE1965" s="291"/>
      <c r="AF1965" s="291"/>
      <c r="AG1965" s="122"/>
      <c r="AH1965" s="291"/>
      <c r="AI1965" s="291"/>
      <c r="AJ1965" s="291"/>
      <c r="AK1965" s="291"/>
      <c r="AL1965" s="291"/>
      <c r="AM1965" s="291"/>
      <c r="AN1965" s="291"/>
      <c r="AO1965" s="291"/>
      <c r="AP1965" s="291"/>
      <c r="AQ1965" s="291"/>
      <c r="AR1965" s="291"/>
      <c r="AS1965" s="291"/>
      <c r="AT1965" s="291"/>
      <c r="AU1965" s="291"/>
    </row>
    <row r="1966" spans="26:47" ht="12.95" customHeight="1">
      <c r="Z1966" s="291"/>
      <c r="AA1966" s="291"/>
      <c r="AB1966" s="227"/>
      <c r="AC1966" s="291"/>
      <c r="AD1966" s="291"/>
      <c r="AE1966" s="291"/>
      <c r="AF1966" s="291"/>
      <c r="AG1966" s="122"/>
      <c r="AH1966" s="291"/>
      <c r="AI1966" s="291"/>
      <c r="AJ1966" s="291"/>
      <c r="AK1966" s="291"/>
      <c r="AL1966" s="291"/>
      <c r="AM1966" s="291"/>
      <c r="AN1966" s="291"/>
      <c r="AO1966" s="291"/>
      <c r="AP1966" s="291"/>
      <c r="AQ1966" s="291"/>
      <c r="AR1966" s="291"/>
      <c r="AS1966" s="291"/>
      <c r="AT1966" s="291"/>
      <c r="AU1966" s="291"/>
    </row>
    <row r="1967" spans="26:47" ht="12.95" customHeight="1">
      <c r="Z1967" s="291"/>
      <c r="AA1967" s="291"/>
      <c r="AB1967" s="227"/>
      <c r="AC1967" s="291"/>
      <c r="AD1967" s="291"/>
      <c r="AE1967" s="291"/>
      <c r="AF1967" s="291"/>
      <c r="AG1967" s="122"/>
      <c r="AH1967" s="291"/>
      <c r="AI1967" s="291"/>
      <c r="AJ1967" s="291"/>
      <c r="AK1967" s="291"/>
      <c r="AL1967" s="291"/>
      <c r="AM1967" s="291"/>
      <c r="AN1967" s="291"/>
      <c r="AO1967" s="291"/>
      <c r="AP1967" s="291"/>
      <c r="AQ1967" s="291"/>
      <c r="AR1967" s="291"/>
      <c r="AS1967" s="291"/>
      <c r="AT1967" s="291"/>
      <c r="AU1967" s="291"/>
    </row>
    <row r="1968" spans="26:47" ht="12.95" customHeight="1">
      <c r="Z1968" s="291"/>
      <c r="AA1968" s="291"/>
      <c r="AB1968" s="227"/>
      <c r="AC1968" s="291"/>
      <c r="AD1968" s="291"/>
      <c r="AE1968" s="291"/>
      <c r="AF1968" s="291"/>
      <c r="AG1968" s="122"/>
      <c r="AH1968" s="291"/>
      <c r="AI1968" s="291"/>
      <c r="AJ1968" s="291"/>
      <c r="AK1968" s="291"/>
      <c r="AL1968" s="291"/>
      <c r="AM1968" s="291"/>
      <c r="AN1968" s="291"/>
      <c r="AO1968" s="291"/>
      <c r="AP1968" s="291"/>
      <c r="AQ1968" s="291"/>
      <c r="AR1968" s="291"/>
      <c r="AS1968" s="291"/>
      <c r="AT1968" s="291"/>
      <c r="AU1968" s="291"/>
    </row>
    <row r="1969" spans="26:47" ht="12.95" customHeight="1">
      <c r="Z1969" s="291"/>
      <c r="AA1969" s="291"/>
      <c r="AB1969" s="227"/>
      <c r="AC1969" s="291"/>
      <c r="AD1969" s="291"/>
      <c r="AE1969" s="291"/>
      <c r="AF1969" s="291"/>
      <c r="AG1969" s="122"/>
      <c r="AH1969" s="291"/>
      <c r="AI1969" s="291"/>
      <c r="AJ1969" s="291"/>
      <c r="AK1969" s="291"/>
      <c r="AL1969" s="291"/>
      <c r="AM1969" s="291"/>
      <c r="AN1969" s="291"/>
      <c r="AO1969" s="291"/>
      <c r="AP1969" s="291"/>
      <c r="AQ1969" s="291"/>
      <c r="AR1969" s="291"/>
      <c r="AS1969" s="291"/>
      <c r="AT1969" s="291"/>
      <c r="AU1969" s="291"/>
    </row>
    <row r="1970" spans="26:47" ht="12.95" customHeight="1">
      <c r="Z1970" s="291"/>
      <c r="AA1970" s="291"/>
      <c r="AB1970" s="227"/>
      <c r="AC1970" s="291"/>
      <c r="AD1970" s="291"/>
      <c r="AE1970" s="291"/>
      <c r="AF1970" s="291"/>
      <c r="AG1970" s="122"/>
      <c r="AH1970" s="291"/>
      <c r="AI1970" s="291"/>
      <c r="AJ1970" s="291"/>
      <c r="AK1970" s="291"/>
      <c r="AL1970" s="291"/>
      <c r="AM1970" s="291"/>
      <c r="AN1970" s="291"/>
      <c r="AO1970" s="291"/>
      <c r="AP1970" s="291"/>
      <c r="AQ1970" s="291"/>
      <c r="AR1970" s="291"/>
      <c r="AS1970" s="291"/>
      <c r="AT1970" s="291"/>
      <c r="AU1970" s="291"/>
    </row>
    <row r="1971" spans="26:47" ht="12.95" customHeight="1">
      <c r="Z1971" s="291"/>
      <c r="AA1971" s="291"/>
      <c r="AB1971" s="227"/>
      <c r="AC1971" s="291"/>
      <c r="AD1971" s="291"/>
      <c r="AE1971" s="291"/>
      <c r="AF1971" s="291"/>
      <c r="AG1971" s="122"/>
      <c r="AH1971" s="291"/>
      <c r="AI1971" s="291"/>
      <c r="AJ1971" s="291"/>
      <c r="AK1971" s="291"/>
      <c r="AL1971" s="291"/>
      <c r="AM1971" s="291"/>
      <c r="AN1971" s="291"/>
      <c r="AO1971" s="291"/>
      <c r="AP1971" s="291"/>
      <c r="AQ1971" s="291"/>
      <c r="AR1971" s="291"/>
      <c r="AS1971" s="291"/>
      <c r="AT1971" s="291"/>
      <c r="AU1971" s="291"/>
    </row>
    <row r="1972" spans="26:47" ht="12.95" customHeight="1">
      <c r="Z1972" s="291"/>
      <c r="AA1972" s="291"/>
      <c r="AB1972" s="227"/>
      <c r="AC1972" s="291"/>
      <c r="AD1972" s="291"/>
      <c r="AE1972" s="291"/>
      <c r="AF1972" s="291"/>
      <c r="AG1972" s="122"/>
      <c r="AH1972" s="291"/>
      <c r="AI1972" s="291"/>
      <c r="AJ1972" s="291"/>
      <c r="AK1972" s="291"/>
      <c r="AL1972" s="291"/>
      <c r="AM1972" s="291"/>
      <c r="AN1972" s="291"/>
      <c r="AO1972" s="291"/>
      <c r="AP1972" s="291"/>
      <c r="AQ1972" s="291"/>
      <c r="AR1972" s="291"/>
      <c r="AS1972" s="291"/>
      <c r="AT1972" s="291"/>
      <c r="AU1972" s="291"/>
    </row>
    <row r="1973" spans="26:47" ht="12.95" customHeight="1">
      <c r="Z1973" s="291"/>
      <c r="AA1973" s="291"/>
      <c r="AB1973" s="227"/>
      <c r="AC1973" s="291"/>
      <c r="AD1973" s="291"/>
      <c r="AE1973" s="291"/>
      <c r="AF1973" s="291"/>
      <c r="AG1973" s="122"/>
      <c r="AH1973" s="291"/>
      <c r="AI1973" s="291"/>
      <c r="AJ1973" s="291"/>
      <c r="AK1973" s="291"/>
      <c r="AL1973" s="291"/>
      <c r="AM1973" s="291"/>
      <c r="AN1973" s="291"/>
      <c r="AO1973" s="291"/>
      <c r="AP1973" s="291"/>
      <c r="AQ1973" s="291"/>
      <c r="AR1973" s="291"/>
      <c r="AS1973" s="291"/>
      <c r="AT1973" s="291"/>
      <c r="AU1973" s="291"/>
    </row>
    <row r="1974" spans="26:47" ht="12.95" customHeight="1">
      <c r="Z1974" s="291"/>
      <c r="AA1974" s="291"/>
      <c r="AB1974" s="227"/>
      <c r="AC1974" s="291"/>
      <c r="AD1974" s="291"/>
      <c r="AE1974" s="291"/>
      <c r="AF1974" s="291"/>
      <c r="AG1974" s="122"/>
      <c r="AH1974" s="291"/>
      <c r="AI1974" s="291"/>
      <c r="AJ1974" s="291"/>
      <c r="AK1974" s="291"/>
      <c r="AL1974" s="291"/>
      <c r="AM1974" s="291"/>
      <c r="AN1974" s="291"/>
      <c r="AO1974" s="291"/>
      <c r="AP1974" s="291"/>
      <c r="AQ1974" s="291"/>
      <c r="AR1974" s="291"/>
      <c r="AS1974" s="291"/>
      <c r="AT1974" s="291"/>
      <c r="AU1974" s="291"/>
    </row>
    <row r="1975" spans="26:47" ht="12.95" customHeight="1">
      <c r="Z1975" s="291"/>
      <c r="AA1975" s="291"/>
      <c r="AB1975" s="227"/>
      <c r="AC1975" s="291"/>
      <c r="AD1975" s="291"/>
      <c r="AE1975" s="291"/>
      <c r="AF1975" s="291"/>
      <c r="AG1975" s="122"/>
      <c r="AH1975" s="291"/>
      <c r="AI1975" s="291"/>
      <c r="AJ1975" s="291"/>
      <c r="AK1975" s="291"/>
      <c r="AL1975" s="291"/>
      <c r="AM1975" s="291"/>
      <c r="AN1975" s="291"/>
      <c r="AO1975" s="291"/>
      <c r="AP1975" s="291"/>
      <c r="AQ1975" s="291"/>
      <c r="AR1975" s="291"/>
      <c r="AS1975" s="291"/>
      <c r="AT1975" s="291"/>
      <c r="AU1975" s="291"/>
    </row>
    <row r="1976" spans="26:47" ht="12.95" customHeight="1">
      <c r="Z1976" s="291"/>
      <c r="AA1976" s="291"/>
      <c r="AB1976" s="227"/>
      <c r="AC1976" s="291"/>
      <c r="AD1976" s="291"/>
      <c r="AE1976" s="291"/>
      <c r="AF1976" s="291"/>
      <c r="AG1976" s="122"/>
      <c r="AH1976" s="291"/>
      <c r="AI1976" s="291"/>
      <c r="AJ1976" s="291"/>
      <c r="AK1976" s="291"/>
      <c r="AL1976" s="291"/>
      <c r="AM1976" s="291"/>
      <c r="AN1976" s="291"/>
      <c r="AO1976" s="291"/>
      <c r="AP1976" s="291"/>
      <c r="AQ1976" s="291"/>
      <c r="AR1976" s="291"/>
      <c r="AS1976" s="291"/>
      <c r="AT1976" s="291"/>
      <c r="AU1976" s="291"/>
    </row>
    <row r="1977" spans="26:47" ht="12.95" customHeight="1">
      <c r="Z1977" s="291"/>
      <c r="AA1977" s="291"/>
      <c r="AB1977" s="227"/>
      <c r="AC1977" s="291"/>
      <c r="AD1977" s="291"/>
      <c r="AE1977" s="291"/>
      <c r="AF1977" s="291"/>
      <c r="AG1977" s="122"/>
      <c r="AH1977" s="291"/>
      <c r="AI1977" s="291"/>
      <c r="AJ1977" s="291"/>
      <c r="AK1977" s="291"/>
      <c r="AL1977" s="291"/>
      <c r="AM1977" s="291"/>
      <c r="AN1977" s="291"/>
      <c r="AO1977" s="291"/>
      <c r="AP1977" s="291"/>
      <c r="AQ1977" s="291"/>
      <c r="AR1977" s="291"/>
      <c r="AS1977" s="291"/>
      <c r="AT1977" s="291"/>
      <c r="AU1977" s="291"/>
    </row>
    <row r="1978" spans="26:47" ht="12.95" customHeight="1">
      <c r="Z1978" s="291"/>
      <c r="AA1978" s="291"/>
      <c r="AB1978" s="227"/>
      <c r="AC1978" s="291"/>
      <c r="AD1978" s="291"/>
      <c r="AE1978" s="291"/>
      <c r="AF1978" s="291"/>
      <c r="AG1978" s="122"/>
      <c r="AH1978" s="291"/>
      <c r="AI1978" s="291"/>
      <c r="AJ1978" s="291"/>
      <c r="AK1978" s="291"/>
      <c r="AL1978" s="291"/>
      <c r="AM1978" s="291"/>
      <c r="AN1978" s="291"/>
      <c r="AO1978" s="291"/>
      <c r="AP1978" s="291"/>
      <c r="AQ1978" s="291"/>
      <c r="AR1978" s="291"/>
      <c r="AS1978" s="291"/>
      <c r="AT1978" s="291"/>
      <c r="AU1978" s="291"/>
    </row>
    <row r="1979" spans="26:47" ht="12.95" customHeight="1">
      <c r="Z1979" s="291"/>
      <c r="AA1979" s="291"/>
      <c r="AB1979" s="227"/>
      <c r="AC1979" s="291"/>
      <c r="AD1979" s="291"/>
      <c r="AE1979" s="291"/>
      <c r="AF1979" s="291"/>
      <c r="AG1979" s="122"/>
      <c r="AH1979" s="291"/>
      <c r="AI1979" s="291"/>
      <c r="AJ1979" s="291"/>
      <c r="AK1979" s="291"/>
      <c r="AL1979" s="291"/>
      <c r="AM1979" s="291"/>
      <c r="AN1979" s="291"/>
      <c r="AO1979" s="291"/>
      <c r="AP1979" s="291"/>
      <c r="AQ1979" s="291"/>
      <c r="AR1979" s="291"/>
      <c r="AS1979" s="291"/>
      <c r="AT1979" s="291"/>
      <c r="AU1979" s="291"/>
    </row>
    <row r="1980" spans="26:47" ht="12.95" customHeight="1">
      <c r="Z1980" s="291"/>
      <c r="AA1980" s="291"/>
      <c r="AB1980" s="227"/>
      <c r="AC1980" s="291"/>
      <c r="AD1980" s="291"/>
      <c r="AE1980" s="291"/>
      <c r="AF1980" s="291"/>
      <c r="AG1980" s="122"/>
      <c r="AH1980" s="291"/>
      <c r="AI1980" s="291"/>
      <c r="AJ1980" s="291"/>
      <c r="AK1980" s="291"/>
      <c r="AL1980" s="291"/>
      <c r="AM1980" s="291"/>
      <c r="AN1980" s="291"/>
      <c r="AO1980" s="291"/>
      <c r="AP1980" s="291"/>
      <c r="AQ1980" s="291"/>
      <c r="AR1980" s="291"/>
      <c r="AS1980" s="291"/>
      <c r="AT1980" s="291"/>
      <c r="AU1980" s="291"/>
    </row>
    <row r="1981" spans="26:47" ht="12.95" customHeight="1">
      <c r="Z1981" s="291"/>
      <c r="AA1981" s="291"/>
      <c r="AB1981" s="227"/>
      <c r="AC1981" s="291"/>
      <c r="AD1981" s="291"/>
      <c r="AE1981" s="291"/>
      <c r="AF1981" s="291"/>
      <c r="AG1981" s="122"/>
      <c r="AH1981" s="291"/>
      <c r="AI1981" s="291"/>
      <c r="AJ1981" s="291"/>
      <c r="AK1981" s="291"/>
      <c r="AL1981" s="291"/>
      <c r="AM1981" s="291"/>
      <c r="AN1981" s="291"/>
      <c r="AO1981" s="291"/>
      <c r="AP1981" s="291"/>
      <c r="AQ1981" s="291"/>
      <c r="AR1981" s="291"/>
      <c r="AS1981" s="291"/>
      <c r="AT1981" s="291"/>
      <c r="AU1981" s="291"/>
    </row>
    <row r="1982" spans="26:47" ht="12.95" customHeight="1">
      <c r="Z1982" s="291"/>
      <c r="AA1982" s="291"/>
      <c r="AB1982" s="227"/>
      <c r="AC1982" s="291"/>
      <c r="AD1982" s="291"/>
      <c r="AE1982" s="291"/>
      <c r="AF1982" s="291"/>
      <c r="AG1982" s="122"/>
      <c r="AH1982" s="291"/>
      <c r="AI1982" s="291"/>
      <c r="AJ1982" s="291"/>
      <c r="AK1982" s="291"/>
      <c r="AL1982" s="291"/>
      <c r="AM1982" s="291"/>
      <c r="AN1982" s="291"/>
      <c r="AO1982" s="291"/>
      <c r="AP1982" s="291"/>
      <c r="AQ1982" s="291"/>
      <c r="AR1982" s="291"/>
      <c r="AS1982" s="291"/>
      <c r="AT1982" s="291"/>
      <c r="AU1982" s="291"/>
    </row>
    <row r="1983" spans="26:47" ht="12.95" customHeight="1">
      <c r="Z1983" s="291"/>
      <c r="AA1983" s="291"/>
      <c r="AB1983" s="227"/>
      <c r="AC1983" s="291"/>
      <c r="AD1983" s="291"/>
      <c r="AE1983" s="291"/>
      <c r="AF1983" s="291"/>
      <c r="AG1983" s="122"/>
      <c r="AH1983" s="291"/>
      <c r="AI1983" s="291"/>
      <c r="AJ1983" s="291"/>
      <c r="AK1983" s="291"/>
      <c r="AL1983" s="291"/>
      <c r="AM1983" s="291"/>
      <c r="AN1983" s="291"/>
      <c r="AO1983" s="291"/>
      <c r="AP1983" s="291"/>
      <c r="AQ1983" s="291"/>
      <c r="AR1983" s="291"/>
      <c r="AS1983" s="291"/>
      <c r="AT1983" s="291"/>
      <c r="AU1983" s="291"/>
    </row>
    <row r="1984" spans="26:47" ht="12.95" customHeight="1">
      <c r="Z1984" s="291"/>
      <c r="AA1984" s="291"/>
      <c r="AB1984" s="227"/>
      <c r="AC1984" s="291"/>
      <c r="AD1984" s="291"/>
      <c r="AE1984" s="291"/>
      <c r="AF1984" s="291"/>
      <c r="AG1984" s="122"/>
      <c r="AH1984" s="291"/>
      <c r="AI1984" s="291"/>
      <c r="AJ1984" s="291"/>
      <c r="AK1984" s="291"/>
      <c r="AL1984" s="291"/>
      <c r="AM1984" s="291"/>
      <c r="AN1984" s="291"/>
      <c r="AO1984" s="291"/>
      <c r="AP1984" s="291"/>
      <c r="AQ1984" s="291"/>
      <c r="AR1984" s="291"/>
      <c r="AS1984" s="291"/>
      <c r="AT1984" s="291"/>
      <c r="AU1984" s="291"/>
    </row>
    <row r="1985" spans="26:47" ht="12.95" customHeight="1">
      <c r="Z1985" s="291"/>
      <c r="AA1985" s="291"/>
      <c r="AB1985" s="227"/>
      <c r="AC1985" s="291"/>
      <c r="AD1985" s="291"/>
      <c r="AE1985" s="291"/>
      <c r="AF1985" s="291"/>
      <c r="AG1985" s="122"/>
      <c r="AH1985" s="291"/>
      <c r="AI1985" s="291"/>
      <c r="AJ1985" s="291"/>
      <c r="AK1985" s="291"/>
      <c r="AL1985" s="291"/>
      <c r="AM1985" s="291"/>
      <c r="AN1985" s="291"/>
      <c r="AO1985" s="291"/>
      <c r="AP1985" s="291"/>
      <c r="AQ1985" s="291"/>
      <c r="AR1985" s="291"/>
      <c r="AS1985" s="291"/>
      <c r="AT1985" s="291"/>
      <c r="AU1985" s="291"/>
    </row>
    <row r="1986" spans="26:47" ht="12.95" customHeight="1">
      <c r="Z1986" s="291"/>
      <c r="AA1986" s="291"/>
      <c r="AB1986" s="227"/>
      <c r="AC1986" s="291"/>
      <c r="AD1986" s="291"/>
      <c r="AE1986" s="291"/>
      <c r="AF1986" s="291"/>
      <c r="AG1986" s="122"/>
      <c r="AH1986" s="291"/>
      <c r="AI1986" s="291"/>
      <c r="AJ1986" s="291"/>
      <c r="AK1986" s="291"/>
      <c r="AL1986" s="291"/>
      <c r="AM1986" s="291"/>
      <c r="AN1986" s="291"/>
      <c r="AO1986" s="291"/>
      <c r="AP1986" s="291"/>
      <c r="AQ1986" s="291"/>
      <c r="AR1986" s="291"/>
      <c r="AS1986" s="291"/>
      <c r="AT1986" s="291"/>
      <c r="AU1986" s="291"/>
    </row>
    <row r="1987" spans="26:47" ht="12.95" customHeight="1">
      <c r="Z1987" s="291"/>
      <c r="AA1987" s="291"/>
      <c r="AB1987" s="227"/>
      <c r="AC1987" s="291"/>
      <c r="AD1987" s="291"/>
      <c r="AE1987" s="291"/>
      <c r="AF1987" s="291"/>
      <c r="AG1987" s="122"/>
      <c r="AH1987" s="291"/>
      <c r="AI1987" s="291"/>
      <c r="AJ1987" s="291"/>
      <c r="AK1987" s="291"/>
      <c r="AL1987" s="291"/>
      <c r="AM1987" s="291"/>
      <c r="AN1987" s="291"/>
      <c r="AO1987" s="291"/>
      <c r="AP1987" s="291"/>
      <c r="AQ1987" s="291"/>
      <c r="AR1987" s="291"/>
      <c r="AS1987" s="291"/>
      <c r="AT1987" s="291"/>
      <c r="AU1987" s="291"/>
    </row>
    <row r="1988" spans="26:47" ht="12.95" customHeight="1">
      <c r="Z1988" s="291"/>
      <c r="AA1988" s="291"/>
      <c r="AB1988" s="227"/>
      <c r="AC1988" s="291"/>
      <c r="AD1988" s="291"/>
      <c r="AE1988" s="291"/>
      <c r="AF1988" s="291"/>
      <c r="AG1988" s="122"/>
      <c r="AH1988" s="291"/>
      <c r="AI1988" s="291"/>
      <c r="AJ1988" s="291"/>
      <c r="AK1988" s="291"/>
      <c r="AL1988" s="291"/>
      <c r="AM1988" s="291"/>
      <c r="AN1988" s="291"/>
      <c r="AO1988" s="291"/>
      <c r="AP1988" s="291"/>
      <c r="AQ1988" s="291"/>
      <c r="AR1988" s="291"/>
      <c r="AS1988" s="291"/>
      <c r="AT1988" s="291"/>
      <c r="AU1988" s="291"/>
    </row>
    <row r="1989" spans="26:47" ht="12.95" customHeight="1">
      <c r="Z1989" s="291"/>
      <c r="AA1989" s="291"/>
      <c r="AB1989" s="227"/>
      <c r="AC1989" s="291"/>
      <c r="AD1989" s="291"/>
      <c r="AE1989" s="291"/>
      <c r="AF1989" s="291"/>
      <c r="AG1989" s="122"/>
      <c r="AH1989" s="291"/>
      <c r="AI1989" s="291"/>
      <c r="AJ1989" s="291"/>
      <c r="AK1989" s="291"/>
      <c r="AL1989" s="291"/>
      <c r="AM1989" s="291"/>
      <c r="AN1989" s="291"/>
      <c r="AO1989" s="291"/>
      <c r="AP1989" s="291"/>
      <c r="AQ1989" s="291"/>
      <c r="AR1989" s="291"/>
      <c r="AS1989" s="291"/>
      <c r="AT1989" s="291"/>
      <c r="AU1989" s="291"/>
    </row>
    <row r="1990" spans="26:47" ht="12.95" customHeight="1">
      <c r="Z1990" s="291"/>
      <c r="AA1990" s="291"/>
      <c r="AB1990" s="227"/>
      <c r="AC1990" s="291"/>
      <c r="AD1990" s="291"/>
      <c r="AE1990" s="291"/>
      <c r="AF1990" s="291"/>
      <c r="AG1990" s="122"/>
      <c r="AH1990" s="291"/>
      <c r="AI1990" s="291"/>
      <c r="AJ1990" s="291"/>
      <c r="AK1990" s="291"/>
      <c r="AL1990" s="291"/>
      <c r="AM1990" s="291"/>
      <c r="AN1990" s="291"/>
      <c r="AO1990" s="291"/>
      <c r="AP1990" s="291"/>
      <c r="AQ1990" s="291"/>
      <c r="AR1990" s="291"/>
      <c r="AS1990" s="291"/>
      <c r="AT1990" s="291"/>
      <c r="AU1990" s="291"/>
    </row>
    <row r="1991" spans="26:47" ht="12.95" customHeight="1">
      <c r="Z1991" s="291"/>
      <c r="AA1991" s="291"/>
      <c r="AB1991" s="227"/>
      <c r="AC1991" s="291"/>
      <c r="AD1991" s="291"/>
      <c r="AE1991" s="291"/>
      <c r="AF1991" s="291"/>
      <c r="AG1991" s="122"/>
      <c r="AH1991" s="291"/>
      <c r="AI1991" s="291"/>
      <c r="AJ1991" s="291"/>
      <c r="AK1991" s="291"/>
      <c r="AL1991" s="291"/>
      <c r="AM1991" s="291"/>
      <c r="AN1991" s="291"/>
      <c r="AO1991" s="291"/>
      <c r="AP1991" s="291"/>
      <c r="AQ1991" s="291"/>
      <c r="AR1991" s="291"/>
      <c r="AS1991" s="291"/>
      <c r="AT1991" s="291"/>
      <c r="AU1991" s="291"/>
    </row>
    <row r="1992" spans="26:47" ht="12.95" customHeight="1">
      <c r="Z1992" s="291"/>
      <c r="AA1992" s="291"/>
      <c r="AB1992" s="227"/>
      <c r="AC1992" s="291"/>
      <c r="AD1992" s="291"/>
      <c r="AE1992" s="291"/>
      <c r="AF1992" s="291"/>
      <c r="AG1992" s="122"/>
      <c r="AH1992" s="291"/>
      <c r="AI1992" s="291"/>
      <c r="AJ1992" s="291"/>
      <c r="AK1992" s="291"/>
      <c r="AL1992" s="291"/>
      <c r="AM1992" s="291"/>
      <c r="AN1992" s="291"/>
      <c r="AO1992" s="291"/>
      <c r="AP1992" s="291"/>
      <c r="AQ1992" s="291"/>
      <c r="AR1992" s="291"/>
      <c r="AS1992" s="291"/>
      <c r="AT1992" s="291"/>
      <c r="AU1992" s="291"/>
    </row>
    <row r="1993" spans="26:47" ht="12.95" customHeight="1">
      <c r="Z1993" s="291"/>
      <c r="AA1993" s="291"/>
      <c r="AB1993" s="227"/>
      <c r="AC1993" s="291"/>
      <c r="AD1993" s="291"/>
      <c r="AE1993" s="291"/>
      <c r="AF1993" s="291"/>
      <c r="AG1993" s="122"/>
      <c r="AH1993" s="291"/>
      <c r="AI1993" s="291"/>
      <c r="AJ1993" s="291"/>
      <c r="AK1993" s="291"/>
      <c r="AL1993" s="291"/>
      <c r="AM1993" s="291"/>
      <c r="AN1993" s="291"/>
      <c r="AO1993" s="291"/>
      <c r="AP1993" s="291"/>
      <c r="AQ1993" s="291"/>
      <c r="AR1993" s="291"/>
      <c r="AS1993" s="291"/>
      <c r="AT1993" s="291"/>
      <c r="AU1993" s="291"/>
    </row>
    <row r="1994" spans="26:47" ht="12.95" customHeight="1">
      <c r="Z1994" s="291"/>
      <c r="AA1994" s="291"/>
      <c r="AB1994" s="227"/>
      <c r="AC1994" s="291"/>
      <c r="AD1994" s="291"/>
      <c r="AE1994" s="291"/>
      <c r="AF1994" s="291"/>
      <c r="AG1994" s="122"/>
      <c r="AH1994" s="291"/>
      <c r="AI1994" s="291"/>
      <c r="AJ1994" s="291"/>
      <c r="AK1994" s="291"/>
      <c r="AL1994" s="291"/>
      <c r="AM1994" s="291"/>
      <c r="AN1994" s="291"/>
      <c r="AO1994" s="291"/>
      <c r="AP1994" s="291"/>
      <c r="AQ1994" s="291"/>
      <c r="AR1994" s="291"/>
      <c r="AS1994" s="291"/>
      <c r="AT1994" s="291"/>
      <c r="AU1994" s="291"/>
    </row>
    <row r="1995" spans="26:47" ht="12.95" customHeight="1">
      <c r="Z1995" s="291"/>
      <c r="AA1995" s="291"/>
      <c r="AB1995" s="227"/>
      <c r="AC1995" s="291"/>
      <c r="AD1995" s="291"/>
      <c r="AE1995" s="291"/>
      <c r="AF1995" s="291"/>
      <c r="AG1995" s="122"/>
      <c r="AH1995" s="291"/>
      <c r="AI1995" s="291"/>
      <c r="AJ1995" s="291"/>
      <c r="AK1995" s="291"/>
      <c r="AL1995" s="291"/>
      <c r="AM1995" s="291"/>
      <c r="AN1995" s="291"/>
      <c r="AO1995" s="291"/>
      <c r="AP1995" s="291"/>
      <c r="AQ1995" s="291"/>
      <c r="AR1995" s="291"/>
      <c r="AS1995" s="291"/>
      <c r="AT1995" s="291"/>
      <c r="AU1995" s="291"/>
    </row>
    <row r="1996" spans="26:47" ht="12.95" customHeight="1">
      <c r="Z1996" s="291"/>
      <c r="AA1996" s="291"/>
      <c r="AB1996" s="227"/>
      <c r="AC1996" s="291"/>
      <c r="AD1996" s="291"/>
      <c r="AE1996" s="291"/>
      <c r="AF1996" s="291"/>
      <c r="AG1996" s="122"/>
      <c r="AH1996" s="291"/>
      <c r="AI1996" s="291"/>
      <c r="AJ1996" s="291"/>
      <c r="AK1996" s="291"/>
      <c r="AL1996" s="291"/>
      <c r="AM1996" s="291"/>
      <c r="AN1996" s="291"/>
      <c r="AO1996" s="291"/>
      <c r="AP1996" s="291"/>
      <c r="AQ1996" s="291"/>
      <c r="AR1996" s="291"/>
      <c r="AS1996" s="291"/>
      <c r="AT1996" s="291"/>
      <c r="AU1996" s="291"/>
    </row>
    <row r="1997" spans="26:47" ht="12.95" customHeight="1">
      <c r="Z1997" s="291"/>
      <c r="AA1997" s="291"/>
      <c r="AB1997" s="227"/>
      <c r="AC1997" s="291"/>
      <c r="AD1997" s="291"/>
      <c r="AE1997" s="291"/>
      <c r="AF1997" s="291"/>
      <c r="AG1997" s="122"/>
      <c r="AH1997" s="291"/>
      <c r="AI1997" s="291"/>
      <c r="AJ1997" s="291"/>
      <c r="AK1997" s="291"/>
      <c r="AL1997" s="291"/>
      <c r="AM1997" s="291"/>
      <c r="AN1997" s="291"/>
      <c r="AO1997" s="291"/>
      <c r="AP1997" s="291"/>
      <c r="AQ1997" s="291"/>
      <c r="AR1997" s="291"/>
      <c r="AS1997" s="291"/>
      <c r="AT1997" s="291"/>
      <c r="AU1997" s="291"/>
    </row>
    <row r="1998" spans="26:47" ht="12.95" customHeight="1">
      <c r="Z1998" s="291"/>
      <c r="AA1998" s="291"/>
      <c r="AB1998" s="227"/>
      <c r="AC1998" s="291"/>
      <c r="AD1998" s="291"/>
      <c r="AE1998" s="291"/>
      <c r="AF1998" s="291"/>
      <c r="AG1998" s="122"/>
      <c r="AH1998" s="291"/>
      <c r="AI1998" s="291"/>
      <c r="AJ1998" s="291"/>
      <c r="AK1998" s="291"/>
      <c r="AL1998" s="291"/>
      <c r="AM1998" s="291"/>
      <c r="AN1998" s="291"/>
      <c r="AO1998" s="291"/>
      <c r="AP1998" s="291"/>
      <c r="AQ1998" s="291"/>
      <c r="AR1998" s="291"/>
      <c r="AS1998" s="291"/>
      <c r="AT1998" s="291"/>
      <c r="AU1998" s="291"/>
    </row>
    <row r="1999" spans="26:47" ht="12.95" customHeight="1">
      <c r="Z1999" s="291"/>
      <c r="AA1999" s="291"/>
      <c r="AB1999" s="227"/>
      <c r="AC1999" s="291"/>
      <c r="AD1999" s="291"/>
      <c r="AE1999" s="291"/>
      <c r="AF1999" s="291"/>
      <c r="AG1999" s="122"/>
      <c r="AH1999" s="291"/>
      <c r="AI1999" s="291"/>
      <c r="AJ1999" s="291"/>
      <c r="AK1999" s="291"/>
      <c r="AL1999" s="291"/>
      <c r="AM1999" s="291"/>
      <c r="AN1999" s="291"/>
      <c r="AO1999" s="291"/>
      <c r="AP1999" s="291"/>
      <c r="AQ1999" s="291"/>
      <c r="AR1999" s="291"/>
      <c r="AS1999" s="291"/>
      <c r="AT1999" s="291"/>
      <c r="AU1999" s="291"/>
    </row>
    <row r="2000" spans="26:47" ht="12.95" customHeight="1">
      <c r="Z2000" s="291"/>
      <c r="AA2000" s="291"/>
      <c r="AB2000" s="227"/>
      <c r="AC2000" s="291"/>
      <c r="AD2000" s="291"/>
      <c r="AE2000" s="291"/>
      <c r="AF2000" s="291"/>
      <c r="AG2000" s="122"/>
      <c r="AH2000" s="291"/>
      <c r="AI2000" s="291"/>
      <c r="AJ2000" s="291"/>
      <c r="AK2000" s="291"/>
      <c r="AL2000" s="291"/>
      <c r="AM2000" s="291"/>
      <c r="AN2000" s="291"/>
      <c r="AO2000" s="291"/>
      <c r="AP2000" s="291"/>
      <c r="AQ2000" s="291"/>
      <c r="AR2000" s="291"/>
      <c r="AS2000" s="291"/>
      <c r="AT2000" s="291"/>
      <c r="AU2000" s="291"/>
    </row>
    <row r="2001" spans="26:47" ht="12.95" customHeight="1">
      <c r="Z2001" s="291"/>
      <c r="AA2001" s="291"/>
      <c r="AB2001" s="227"/>
      <c r="AC2001" s="291"/>
      <c r="AD2001" s="291"/>
      <c r="AE2001" s="291"/>
      <c r="AF2001" s="291"/>
      <c r="AG2001" s="122"/>
      <c r="AH2001" s="291"/>
      <c r="AI2001" s="291"/>
      <c r="AJ2001" s="291"/>
      <c r="AK2001" s="291"/>
      <c r="AL2001" s="291"/>
      <c r="AM2001" s="291"/>
      <c r="AN2001" s="291"/>
      <c r="AO2001" s="291"/>
      <c r="AP2001" s="291"/>
      <c r="AQ2001" s="291"/>
      <c r="AR2001" s="291"/>
      <c r="AS2001" s="291"/>
      <c r="AT2001" s="291"/>
      <c r="AU2001" s="291"/>
    </row>
    <row r="2002" spans="26:47" ht="12.95" customHeight="1">
      <c r="AA2002" s="227"/>
      <c r="AB2002" s="227"/>
      <c r="AC2002" s="227"/>
      <c r="AD2002" s="227"/>
      <c r="AE2002" s="227"/>
      <c r="AG2002" s="19"/>
      <c r="AN2002" s="227"/>
      <c r="AO2002" s="227"/>
      <c r="AP2002" s="227"/>
      <c r="AQ2002" s="227"/>
      <c r="AR2002" s="227"/>
      <c r="AS2002" s="227"/>
      <c r="AT2002" s="227"/>
      <c r="AU2002" s="227"/>
    </row>
    <row r="2003" spans="26:47" ht="12.95" customHeight="1">
      <c r="AA2003" s="227"/>
      <c r="AB2003" s="227"/>
      <c r="AC2003" s="227"/>
      <c r="AD2003" s="227"/>
      <c r="AE2003" s="227"/>
      <c r="AG2003" s="19"/>
      <c r="AN2003" s="227"/>
      <c r="AO2003" s="227"/>
      <c r="AP2003" s="227"/>
      <c r="AQ2003" s="227"/>
      <c r="AR2003" s="227"/>
      <c r="AS2003" s="227"/>
      <c r="AT2003" s="227"/>
      <c r="AU2003" s="227"/>
    </row>
    <row r="2004" spans="26:47" ht="12.95" customHeight="1">
      <c r="AA2004" s="227"/>
      <c r="AB2004" s="227"/>
      <c r="AC2004" s="227"/>
      <c r="AD2004" s="227"/>
      <c r="AE2004" s="227"/>
      <c r="AG2004" s="19"/>
      <c r="AN2004" s="227"/>
      <c r="AO2004" s="227"/>
      <c r="AP2004" s="227"/>
      <c r="AQ2004" s="227"/>
      <c r="AR2004" s="227"/>
      <c r="AS2004" s="227"/>
      <c r="AT2004" s="227"/>
      <c r="AU2004" s="227"/>
    </row>
    <row r="2005" spans="26:47" ht="12.95" customHeight="1">
      <c r="AA2005" s="227"/>
      <c r="AB2005" s="227"/>
      <c r="AC2005" s="227"/>
      <c r="AD2005" s="227"/>
      <c r="AE2005" s="227"/>
      <c r="AG2005" s="19"/>
      <c r="AN2005" s="227"/>
      <c r="AO2005" s="227"/>
      <c r="AP2005" s="227"/>
      <c r="AQ2005" s="227"/>
      <c r="AR2005" s="227"/>
      <c r="AS2005" s="227"/>
      <c r="AT2005" s="227"/>
      <c r="AU2005" s="227"/>
    </row>
    <row r="2006" spans="26:47" ht="12.95" customHeight="1">
      <c r="AA2006" s="227"/>
      <c r="AB2006" s="227"/>
      <c r="AC2006" s="227"/>
      <c r="AD2006" s="227"/>
      <c r="AE2006" s="227"/>
      <c r="AG2006" s="19"/>
      <c r="AN2006" s="227"/>
      <c r="AO2006" s="227"/>
      <c r="AP2006" s="227"/>
      <c r="AQ2006" s="227"/>
      <c r="AR2006" s="227"/>
      <c r="AS2006" s="227"/>
      <c r="AT2006" s="227"/>
      <c r="AU2006" s="227"/>
    </row>
    <row r="2007" spans="26:47" ht="12.95" customHeight="1">
      <c r="AA2007" s="227"/>
      <c r="AB2007" s="227"/>
      <c r="AC2007" s="227"/>
      <c r="AD2007" s="227"/>
      <c r="AE2007" s="227"/>
      <c r="AG2007" s="19"/>
      <c r="AN2007" s="227"/>
      <c r="AO2007" s="227"/>
      <c r="AP2007" s="227"/>
      <c r="AQ2007" s="227"/>
      <c r="AR2007" s="227"/>
      <c r="AS2007" s="227"/>
      <c r="AT2007" s="227"/>
      <c r="AU2007" s="227"/>
    </row>
    <row r="2008" spans="26:47" ht="12.95" customHeight="1">
      <c r="AA2008" s="227"/>
      <c r="AB2008" s="227"/>
      <c r="AC2008" s="227"/>
      <c r="AD2008" s="227"/>
      <c r="AE2008" s="227"/>
      <c r="AG2008" s="19"/>
      <c r="AN2008" s="227"/>
      <c r="AO2008" s="227"/>
      <c r="AP2008" s="227"/>
      <c r="AQ2008" s="227"/>
      <c r="AR2008" s="227"/>
      <c r="AS2008" s="227"/>
      <c r="AT2008" s="227"/>
      <c r="AU2008" s="227"/>
    </row>
    <row r="2009" spans="26:47" ht="12.95" customHeight="1">
      <c r="AA2009" s="227"/>
      <c r="AB2009" s="227"/>
      <c r="AC2009" s="227"/>
      <c r="AD2009" s="227"/>
      <c r="AE2009" s="227"/>
      <c r="AG2009" s="19"/>
      <c r="AN2009" s="227"/>
      <c r="AO2009" s="227"/>
      <c r="AP2009" s="227"/>
      <c r="AQ2009" s="227"/>
      <c r="AR2009" s="227"/>
      <c r="AS2009" s="227"/>
      <c r="AT2009" s="227"/>
      <c r="AU2009" s="227"/>
    </row>
    <row r="2010" spans="26:47" ht="12.95" customHeight="1">
      <c r="AA2010" s="227"/>
      <c r="AB2010" s="227"/>
      <c r="AC2010" s="227"/>
      <c r="AD2010" s="227"/>
      <c r="AE2010" s="227"/>
      <c r="AG2010" s="19"/>
      <c r="AN2010" s="227"/>
      <c r="AO2010" s="227"/>
      <c r="AP2010" s="227"/>
      <c r="AQ2010" s="227"/>
      <c r="AR2010" s="227"/>
      <c r="AS2010" s="227"/>
      <c r="AT2010" s="227"/>
      <c r="AU2010" s="227"/>
    </row>
    <row r="2011" spans="26:47" ht="12.95" customHeight="1">
      <c r="AA2011" s="227"/>
      <c r="AB2011" s="227"/>
      <c r="AC2011" s="227"/>
      <c r="AD2011" s="227"/>
      <c r="AE2011" s="227"/>
      <c r="AG2011" s="19"/>
      <c r="AN2011" s="227"/>
      <c r="AO2011" s="227"/>
      <c r="AP2011" s="227"/>
      <c r="AQ2011" s="227"/>
      <c r="AR2011" s="227"/>
      <c r="AS2011" s="227"/>
      <c r="AT2011" s="227"/>
      <c r="AU2011" s="227"/>
    </row>
    <row r="2012" spans="26:47" ht="12.95" customHeight="1">
      <c r="AA2012" s="227"/>
      <c r="AB2012" s="227"/>
      <c r="AC2012" s="227"/>
      <c r="AD2012" s="227"/>
      <c r="AE2012" s="227"/>
      <c r="AG2012" s="19"/>
      <c r="AN2012" s="227"/>
      <c r="AO2012" s="227"/>
      <c r="AP2012" s="227"/>
      <c r="AQ2012" s="227"/>
      <c r="AR2012" s="227"/>
      <c r="AS2012" s="227"/>
      <c r="AT2012" s="227"/>
      <c r="AU2012" s="227"/>
    </row>
    <row r="2013" spans="26:47" ht="12.95" customHeight="1">
      <c r="AA2013" s="227"/>
      <c r="AB2013" s="227"/>
      <c r="AC2013" s="227"/>
      <c r="AD2013" s="227"/>
      <c r="AE2013" s="227"/>
      <c r="AG2013" s="19"/>
      <c r="AN2013" s="227"/>
      <c r="AO2013" s="227"/>
      <c r="AP2013" s="227"/>
      <c r="AQ2013" s="227"/>
      <c r="AR2013" s="227"/>
      <c r="AS2013" s="227"/>
      <c r="AT2013" s="227"/>
      <c r="AU2013" s="227"/>
    </row>
    <row r="2014" spans="26:47" ht="12.95" customHeight="1">
      <c r="AA2014" s="227"/>
      <c r="AB2014" s="227"/>
      <c r="AC2014" s="227"/>
      <c r="AD2014" s="227"/>
      <c r="AE2014" s="227"/>
      <c r="AG2014" s="19"/>
      <c r="AN2014" s="227"/>
      <c r="AO2014" s="227"/>
      <c r="AP2014" s="227"/>
      <c r="AQ2014" s="227"/>
      <c r="AR2014" s="227"/>
      <c r="AS2014" s="227"/>
      <c r="AT2014" s="227"/>
      <c r="AU2014" s="227"/>
    </row>
    <row r="2015" spans="26:47" ht="12.95" customHeight="1">
      <c r="AA2015" s="227"/>
      <c r="AB2015" s="227"/>
      <c r="AC2015" s="227"/>
      <c r="AD2015" s="227"/>
      <c r="AE2015" s="227"/>
      <c r="AG2015" s="19"/>
      <c r="AN2015" s="227"/>
      <c r="AO2015" s="227"/>
      <c r="AP2015" s="227"/>
      <c r="AQ2015" s="227"/>
      <c r="AR2015" s="227"/>
      <c r="AS2015" s="227"/>
      <c r="AT2015" s="227"/>
      <c r="AU2015" s="227"/>
    </row>
    <row r="2016" spans="26:47" ht="12.95" customHeight="1">
      <c r="AA2016" s="227"/>
      <c r="AB2016" s="227"/>
      <c r="AC2016" s="227"/>
      <c r="AD2016" s="227"/>
      <c r="AE2016" s="227"/>
      <c r="AG2016" s="19"/>
      <c r="AN2016" s="227"/>
      <c r="AO2016" s="227"/>
      <c r="AP2016" s="227"/>
      <c r="AQ2016" s="227"/>
      <c r="AR2016" s="227"/>
      <c r="AS2016" s="227"/>
      <c r="AT2016" s="227"/>
      <c r="AU2016" s="227"/>
    </row>
    <row r="2017" spans="27:47" ht="12.95" customHeight="1">
      <c r="AA2017" s="227"/>
      <c r="AB2017" s="227"/>
      <c r="AC2017" s="227"/>
      <c r="AD2017" s="227"/>
      <c r="AE2017" s="227"/>
      <c r="AG2017" s="19"/>
      <c r="AN2017" s="227"/>
      <c r="AO2017" s="227"/>
      <c r="AP2017" s="227"/>
      <c r="AQ2017" s="227"/>
      <c r="AR2017" s="227"/>
      <c r="AS2017" s="227"/>
      <c r="AT2017" s="227"/>
      <c r="AU2017" s="227"/>
    </row>
    <row r="2018" spans="27:47" ht="12.95" customHeight="1">
      <c r="AA2018" s="227"/>
      <c r="AB2018" s="227"/>
      <c r="AC2018" s="227"/>
      <c r="AD2018" s="227"/>
      <c r="AE2018" s="227"/>
      <c r="AG2018" s="19"/>
      <c r="AN2018" s="227"/>
      <c r="AO2018" s="227"/>
      <c r="AP2018" s="227"/>
      <c r="AQ2018" s="227"/>
      <c r="AR2018" s="227"/>
      <c r="AS2018" s="227"/>
      <c r="AT2018" s="227"/>
      <c r="AU2018" s="227"/>
    </row>
    <row r="2019" spans="27:47" ht="12.95" customHeight="1">
      <c r="AA2019" s="227"/>
      <c r="AB2019" s="227"/>
      <c r="AC2019" s="227"/>
      <c r="AD2019" s="227"/>
      <c r="AE2019" s="227"/>
      <c r="AG2019" s="19"/>
      <c r="AN2019" s="227"/>
      <c r="AO2019" s="227"/>
      <c r="AP2019" s="227"/>
      <c r="AQ2019" s="227"/>
      <c r="AR2019" s="227"/>
      <c r="AS2019" s="227"/>
      <c r="AT2019" s="227"/>
      <c r="AU2019" s="227"/>
    </row>
    <row r="2020" spans="27:47" ht="12.95" customHeight="1">
      <c r="AA2020" s="227"/>
      <c r="AB2020" s="227"/>
      <c r="AC2020" s="227"/>
      <c r="AD2020" s="227"/>
      <c r="AE2020" s="227"/>
      <c r="AG2020" s="19"/>
      <c r="AN2020" s="227"/>
      <c r="AO2020" s="227"/>
      <c r="AP2020" s="227"/>
      <c r="AQ2020" s="227"/>
      <c r="AR2020" s="227"/>
      <c r="AS2020" s="227"/>
      <c r="AT2020" s="227"/>
      <c r="AU2020" s="227"/>
    </row>
    <row r="2021" spans="27:47" ht="12.95" customHeight="1">
      <c r="AA2021" s="227"/>
      <c r="AB2021" s="227"/>
      <c r="AC2021" s="227"/>
      <c r="AD2021" s="227"/>
      <c r="AE2021" s="227"/>
      <c r="AG2021" s="19"/>
      <c r="AN2021" s="227"/>
      <c r="AO2021" s="227"/>
      <c r="AP2021" s="227"/>
      <c r="AQ2021" s="227"/>
      <c r="AR2021" s="227"/>
      <c r="AS2021" s="227"/>
      <c r="AT2021" s="227"/>
      <c r="AU2021" s="227"/>
    </row>
    <row r="2022" spans="27:47" ht="12.95" customHeight="1">
      <c r="AA2022" s="227"/>
      <c r="AB2022" s="227"/>
      <c r="AC2022" s="227"/>
      <c r="AD2022" s="227"/>
      <c r="AE2022" s="227"/>
      <c r="AG2022" s="19"/>
      <c r="AN2022" s="227"/>
      <c r="AO2022" s="227"/>
      <c r="AP2022" s="227"/>
      <c r="AQ2022" s="227"/>
      <c r="AR2022" s="227"/>
      <c r="AS2022" s="227"/>
      <c r="AT2022" s="227"/>
      <c r="AU2022" s="227"/>
    </row>
    <row r="2023" spans="27:47" ht="12.95" customHeight="1">
      <c r="AA2023" s="227"/>
      <c r="AB2023" s="227"/>
      <c r="AC2023" s="227"/>
      <c r="AD2023" s="227"/>
      <c r="AE2023" s="227"/>
      <c r="AG2023" s="19"/>
      <c r="AN2023" s="227"/>
      <c r="AO2023" s="227"/>
      <c r="AP2023" s="227"/>
      <c r="AQ2023" s="227"/>
      <c r="AR2023" s="227"/>
      <c r="AS2023" s="227"/>
      <c r="AT2023" s="227"/>
      <c r="AU2023" s="227"/>
    </row>
    <row r="2024" spans="27:47" ht="12.95" customHeight="1">
      <c r="AA2024" s="227"/>
      <c r="AB2024" s="227"/>
      <c r="AC2024" s="227"/>
      <c r="AD2024" s="227"/>
      <c r="AE2024" s="227"/>
      <c r="AG2024" s="19"/>
      <c r="AN2024" s="227"/>
      <c r="AO2024" s="227"/>
      <c r="AP2024" s="227"/>
      <c r="AQ2024" s="227"/>
      <c r="AR2024" s="227"/>
      <c r="AS2024" s="227"/>
      <c r="AT2024" s="227"/>
      <c r="AU2024" s="227"/>
    </row>
    <row r="2025" spans="27:47" ht="12.95" customHeight="1">
      <c r="AA2025" s="227"/>
      <c r="AB2025" s="227"/>
      <c r="AC2025" s="227"/>
      <c r="AD2025" s="227"/>
      <c r="AE2025" s="227"/>
      <c r="AG2025" s="19"/>
      <c r="AN2025" s="227"/>
      <c r="AO2025" s="227"/>
      <c r="AP2025" s="227"/>
      <c r="AQ2025" s="227"/>
      <c r="AR2025" s="227"/>
      <c r="AS2025" s="227"/>
      <c r="AT2025" s="227"/>
      <c r="AU2025" s="227"/>
    </row>
    <row r="2026" spans="27:47" ht="12.95" customHeight="1">
      <c r="AA2026" s="227"/>
      <c r="AB2026" s="227"/>
      <c r="AC2026" s="227"/>
      <c r="AD2026" s="227"/>
      <c r="AE2026" s="227"/>
      <c r="AG2026" s="19"/>
      <c r="AN2026" s="227"/>
      <c r="AO2026" s="227"/>
      <c r="AP2026" s="227"/>
      <c r="AQ2026" s="227"/>
      <c r="AR2026" s="227"/>
      <c r="AS2026" s="227"/>
      <c r="AT2026" s="227"/>
      <c r="AU2026" s="227"/>
    </row>
    <row r="2027" spans="27:47" ht="12.95" customHeight="1">
      <c r="AA2027" s="227"/>
      <c r="AB2027" s="227"/>
      <c r="AC2027" s="227"/>
      <c r="AD2027" s="227"/>
      <c r="AE2027" s="227"/>
      <c r="AG2027" s="19"/>
      <c r="AN2027" s="227"/>
      <c r="AO2027" s="227"/>
      <c r="AP2027" s="227"/>
      <c r="AQ2027" s="227"/>
      <c r="AR2027" s="227"/>
      <c r="AS2027" s="227"/>
      <c r="AT2027" s="227"/>
      <c r="AU2027" s="227"/>
    </row>
    <row r="2028" spans="27:47" ht="12.95" customHeight="1">
      <c r="AA2028" s="227"/>
      <c r="AB2028" s="227"/>
      <c r="AC2028" s="227"/>
      <c r="AD2028" s="227"/>
      <c r="AE2028" s="227"/>
      <c r="AG2028" s="19"/>
      <c r="AN2028" s="227"/>
      <c r="AO2028" s="227"/>
      <c r="AP2028" s="227"/>
      <c r="AQ2028" s="227"/>
      <c r="AR2028" s="227"/>
      <c r="AS2028" s="227"/>
      <c r="AT2028" s="227"/>
      <c r="AU2028" s="227"/>
    </row>
    <row r="2029" spans="27:47" ht="12.95" customHeight="1">
      <c r="AA2029" s="227"/>
      <c r="AB2029" s="227"/>
      <c r="AC2029" s="227"/>
      <c r="AD2029" s="227"/>
      <c r="AE2029" s="227"/>
      <c r="AG2029" s="19"/>
      <c r="AN2029" s="227"/>
      <c r="AO2029" s="227"/>
      <c r="AP2029" s="227"/>
      <c r="AQ2029" s="227"/>
      <c r="AR2029" s="227"/>
      <c r="AS2029" s="227"/>
      <c r="AT2029" s="227"/>
      <c r="AU2029" s="227"/>
    </row>
    <row r="2030" spans="27:47" ht="12.95" customHeight="1">
      <c r="AA2030" s="227"/>
      <c r="AB2030" s="227"/>
      <c r="AC2030" s="227"/>
      <c r="AD2030" s="227"/>
      <c r="AE2030" s="227"/>
      <c r="AG2030" s="19"/>
      <c r="AN2030" s="227"/>
      <c r="AO2030" s="227"/>
      <c r="AP2030" s="227"/>
      <c r="AQ2030" s="227"/>
      <c r="AR2030" s="227"/>
      <c r="AS2030" s="227"/>
      <c r="AT2030" s="227"/>
      <c r="AU2030" s="227"/>
    </row>
    <row r="2031" spans="27:47" ht="12.95" customHeight="1">
      <c r="AA2031" s="227"/>
      <c r="AB2031" s="227"/>
      <c r="AC2031" s="227"/>
      <c r="AD2031" s="227"/>
      <c r="AE2031" s="227"/>
      <c r="AG2031" s="19"/>
      <c r="AN2031" s="227"/>
      <c r="AO2031" s="227"/>
      <c r="AP2031" s="227"/>
      <c r="AQ2031" s="227"/>
      <c r="AR2031" s="227"/>
      <c r="AS2031" s="227"/>
      <c r="AT2031" s="227"/>
      <c r="AU2031" s="227"/>
    </row>
    <row r="2032" spans="27:47" ht="12.95" customHeight="1">
      <c r="AA2032" s="227"/>
      <c r="AB2032" s="227"/>
      <c r="AC2032" s="227"/>
      <c r="AD2032" s="227"/>
      <c r="AE2032" s="227"/>
      <c r="AG2032" s="19"/>
      <c r="AN2032" s="227"/>
      <c r="AO2032" s="227"/>
      <c r="AP2032" s="227"/>
      <c r="AQ2032" s="227"/>
      <c r="AR2032" s="227"/>
      <c r="AS2032" s="227"/>
      <c r="AT2032" s="227"/>
      <c r="AU2032" s="227"/>
    </row>
    <row r="2033" spans="27:47" ht="12.95" customHeight="1">
      <c r="AA2033" s="227"/>
      <c r="AB2033" s="227"/>
      <c r="AC2033" s="227"/>
      <c r="AD2033" s="227"/>
      <c r="AE2033" s="227"/>
      <c r="AG2033" s="19"/>
      <c r="AN2033" s="227"/>
      <c r="AO2033" s="227"/>
      <c r="AP2033" s="227"/>
      <c r="AQ2033" s="227"/>
      <c r="AR2033" s="227"/>
      <c r="AS2033" s="227"/>
      <c r="AT2033" s="227"/>
      <c r="AU2033" s="227"/>
    </row>
    <row r="2034" spans="27:47" ht="12.95" customHeight="1">
      <c r="AA2034" s="227"/>
      <c r="AB2034" s="227"/>
      <c r="AC2034" s="227"/>
      <c r="AD2034" s="227"/>
      <c r="AE2034" s="227"/>
      <c r="AG2034" s="19"/>
      <c r="AN2034" s="227"/>
      <c r="AO2034" s="227"/>
      <c r="AP2034" s="227"/>
      <c r="AQ2034" s="227"/>
      <c r="AR2034" s="227"/>
      <c r="AS2034" s="227"/>
      <c r="AT2034" s="227"/>
      <c r="AU2034" s="227"/>
    </row>
    <row r="2035" spans="27:47" ht="12.95" customHeight="1">
      <c r="AA2035" s="227"/>
      <c r="AB2035" s="227"/>
      <c r="AC2035" s="227"/>
      <c r="AD2035" s="227"/>
      <c r="AE2035" s="227"/>
      <c r="AG2035" s="19"/>
      <c r="AN2035" s="227"/>
      <c r="AO2035" s="227"/>
      <c r="AP2035" s="227"/>
      <c r="AQ2035" s="227"/>
      <c r="AR2035" s="227"/>
      <c r="AS2035" s="227"/>
      <c r="AT2035" s="227"/>
      <c r="AU2035" s="227"/>
    </row>
    <row r="2036" spans="27:47" ht="12.95" customHeight="1">
      <c r="AA2036" s="227"/>
      <c r="AB2036" s="227"/>
      <c r="AC2036" s="227"/>
      <c r="AD2036" s="227"/>
      <c r="AE2036" s="227"/>
      <c r="AG2036" s="19"/>
      <c r="AN2036" s="227"/>
      <c r="AO2036" s="227"/>
      <c r="AP2036" s="227"/>
      <c r="AQ2036" s="227"/>
      <c r="AR2036" s="227"/>
      <c r="AS2036" s="227"/>
      <c r="AT2036" s="227"/>
      <c r="AU2036" s="227"/>
    </row>
    <row r="2037" spans="27:47" ht="12.95" customHeight="1">
      <c r="AA2037" s="227"/>
      <c r="AB2037" s="227"/>
      <c r="AC2037" s="227"/>
      <c r="AD2037" s="227"/>
      <c r="AE2037" s="227"/>
      <c r="AG2037" s="19"/>
      <c r="AN2037" s="227"/>
      <c r="AO2037" s="227"/>
      <c r="AP2037" s="227"/>
      <c r="AQ2037" s="227"/>
      <c r="AR2037" s="227"/>
      <c r="AS2037" s="227"/>
      <c r="AT2037" s="227"/>
      <c r="AU2037" s="227"/>
    </row>
    <row r="2038" spans="27:47" ht="12.95" customHeight="1">
      <c r="AA2038" s="227"/>
      <c r="AB2038" s="227"/>
      <c r="AC2038" s="227"/>
      <c r="AD2038" s="227"/>
      <c r="AE2038" s="227"/>
      <c r="AG2038" s="19"/>
      <c r="AN2038" s="227"/>
      <c r="AO2038" s="227"/>
      <c r="AP2038" s="227"/>
      <c r="AQ2038" s="227"/>
      <c r="AR2038" s="227"/>
      <c r="AS2038" s="227"/>
      <c r="AT2038" s="227"/>
      <c r="AU2038" s="227"/>
    </row>
    <row r="2039" spans="27:47" ht="12.95" customHeight="1">
      <c r="AA2039" s="227"/>
      <c r="AB2039" s="227"/>
      <c r="AC2039" s="227"/>
      <c r="AD2039" s="227"/>
      <c r="AE2039" s="227"/>
      <c r="AG2039" s="19"/>
      <c r="AN2039" s="227"/>
      <c r="AO2039" s="227"/>
      <c r="AP2039" s="227"/>
      <c r="AQ2039" s="227"/>
      <c r="AR2039" s="227"/>
      <c r="AS2039" s="227"/>
      <c r="AT2039" s="227"/>
      <c r="AU2039" s="227"/>
    </row>
    <row r="2040" spans="27:47" ht="12.95" customHeight="1">
      <c r="AA2040" s="227"/>
      <c r="AB2040" s="227"/>
      <c r="AC2040" s="227"/>
      <c r="AD2040" s="227"/>
      <c r="AE2040" s="227"/>
      <c r="AG2040" s="19"/>
      <c r="AN2040" s="227"/>
      <c r="AO2040" s="227"/>
      <c r="AP2040" s="227"/>
      <c r="AQ2040" s="227"/>
      <c r="AR2040" s="227"/>
      <c r="AS2040" s="227"/>
      <c r="AT2040" s="227"/>
      <c r="AU2040" s="227"/>
    </row>
    <row r="2041" spans="27:47" ht="12.95" customHeight="1">
      <c r="AA2041" s="227"/>
      <c r="AB2041" s="227"/>
      <c r="AC2041" s="227"/>
      <c r="AD2041" s="227"/>
      <c r="AE2041" s="227"/>
      <c r="AG2041" s="19"/>
      <c r="AN2041" s="227"/>
      <c r="AO2041" s="227"/>
      <c r="AP2041" s="227"/>
      <c r="AQ2041" s="227"/>
      <c r="AR2041" s="227"/>
      <c r="AS2041" s="227"/>
      <c r="AT2041" s="227"/>
      <c r="AU2041" s="227"/>
    </row>
    <row r="2042" spans="27:47" ht="12.95" customHeight="1">
      <c r="AA2042" s="227"/>
      <c r="AB2042" s="227"/>
      <c r="AC2042" s="227"/>
      <c r="AD2042" s="227"/>
      <c r="AE2042" s="227"/>
      <c r="AG2042" s="19"/>
      <c r="AN2042" s="227"/>
      <c r="AO2042" s="227"/>
      <c r="AP2042" s="227"/>
      <c r="AQ2042" s="227"/>
      <c r="AR2042" s="227"/>
      <c r="AS2042" s="227"/>
      <c r="AT2042" s="227"/>
      <c r="AU2042" s="227"/>
    </row>
    <row r="2043" spans="27:47" ht="12.95" customHeight="1">
      <c r="AA2043" s="227"/>
      <c r="AB2043" s="227"/>
      <c r="AC2043" s="227"/>
      <c r="AD2043" s="227"/>
      <c r="AE2043" s="227"/>
      <c r="AG2043" s="19"/>
      <c r="AN2043" s="227"/>
      <c r="AO2043" s="227"/>
      <c r="AP2043" s="227"/>
      <c r="AQ2043" s="227"/>
      <c r="AR2043" s="227"/>
      <c r="AS2043" s="227"/>
      <c r="AT2043" s="227"/>
      <c r="AU2043" s="227"/>
    </row>
    <row r="2044" spans="27:47" ht="12.95" customHeight="1">
      <c r="AA2044" s="227"/>
      <c r="AB2044" s="227"/>
      <c r="AC2044" s="227"/>
      <c r="AD2044" s="227"/>
      <c r="AE2044" s="227"/>
      <c r="AG2044" s="19"/>
      <c r="AN2044" s="227"/>
      <c r="AO2044" s="227"/>
      <c r="AP2044" s="227"/>
      <c r="AQ2044" s="227"/>
      <c r="AR2044" s="227"/>
      <c r="AS2044" s="227"/>
      <c r="AT2044" s="227"/>
      <c r="AU2044" s="227"/>
    </row>
    <row r="2045" spans="27:47" ht="12.95" customHeight="1">
      <c r="AA2045" s="227"/>
      <c r="AB2045" s="227"/>
      <c r="AC2045" s="227"/>
      <c r="AD2045" s="227"/>
      <c r="AE2045" s="227"/>
      <c r="AG2045" s="19"/>
      <c r="AN2045" s="227"/>
      <c r="AO2045" s="227"/>
      <c r="AP2045" s="227"/>
      <c r="AQ2045" s="227"/>
      <c r="AR2045" s="227"/>
      <c r="AS2045" s="227"/>
      <c r="AT2045" s="227"/>
      <c r="AU2045" s="227"/>
    </row>
    <row r="2046" spans="27:47" ht="12.95" customHeight="1">
      <c r="AA2046" s="227"/>
      <c r="AB2046" s="227"/>
      <c r="AC2046" s="227"/>
      <c r="AD2046" s="227"/>
      <c r="AE2046" s="227"/>
      <c r="AG2046" s="19"/>
      <c r="AN2046" s="227"/>
      <c r="AO2046" s="227"/>
      <c r="AP2046" s="227"/>
      <c r="AQ2046" s="227"/>
      <c r="AR2046" s="227"/>
      <c r="AS2046" s="227"/>
      <c r="AT2046" s="227"/>
      <c r="AU2046" s="227"/>
    </row>
    <row r="2047" spans="27:47" ht="12.95" customHeight="1">
      <c r="AA2047" s="227"/>
      <c r="AB2047" s="227"/>
      <c r="AC2047" s="227"/>
      <c r="AD2047" s="227"/>
      <c r="AE2047" s="227"/>
      <c r="AG2047" s="19"/>
      <c r="AN2047" s="227"/>
      <c r="AO2047" s="227"/>
      <c r="AP2047" s="227"/>
      <c r="AQ2047" s="227"/>
      <c r="AR2047" s="227"/>
      <c r="AS2047" s="227"/>
      <c r="AT2047" s="227"/>
      <c r="AU2047" s="227"/>
    </row>
    <row r="2048" spans="27:47" ht="12.95" customHeight="1">
      <c r="AA2048" s="227"/>
      <c r="AB2048" s="227"/>
      <c r="AC2048" s="227"/>
      <c r="AD2048" s="227"/>
      <c r="AE2048" s="227"/>
      <c r="AG2048" s="19"/>
      <c r="AN2048" s="227"/>
      <c r="AO2048" s="227"/>
      <c r="AP2048" s="227"/>
      <c r="AQ2048" s="227"/>
      <c r="AR2048" s="227"/>
      <c r="AS2048" s="227"/>
      <c r="AT2048" s="227"/>
      <c r="AU2048" s="227"/>
    </row>
    <row r="2049" spans="27:47" ht="12.95" customHeight="1">
      <c r="AA2049" s="227"/>
      <c r="AB2049" s="227"/>
      <c r="AC2049" s="227"/>
      <c r="AD2049" s="227"/>
      <c r="AE2049" s="227"/>
      <c r="AG2049" s="19"/>
      <c r="AN2049" s="227"/>
      <c r="AO2049" s="227"/>
      <c r="AP2049" s="227"/>
      <c r="AQ2049" s="227"/>
      <c r="AR2049" s="227"/>
      <c r="AS2049" s="227"/>
      <c r="AT2049" s="227"/>
      <c r="AU2049" s="227"/>
    </row>
    <row r="2050" spans="27:47" ht="12.95" customHeight="1">
      <c r="AA2050" s="227"/>
      <c r="AB2050" s="227"/>
      <c r="AC2050" s="227"/>
      <c r="AD2050" s="227"/>
      <c r="AE2050" s="227"/>
      <c r="AG2050" s="19"/>
      <c r="AN2050" s="227"/>
      <c r="AO2050" s="227"/>
      <c r="AP2050" s="227"/>
      <c r="AQ2050" s="227"/>
      <c r="AR2050" s="227"/>
      <c r="AS2050" s="227"/>
      <c r="AT2050" s="227"/>
      <c r="AU2050" s="227"/>
    </row>
    <row r="2051" spans="27:47" ht="12.95" customHeight="1">
      <c r="AA2051" s="227"/>
      <c r="AB2051" s="227"/>
      <c r="AC2051" s="227"/>
      <c r="AD2051" s="227"/>
      <c r="AE2051" s="227"/>
      <c r="AG2051" s="19"/>
      <c r="AN2051" s="227"/>
      <c r="AO2051" s="227"/>
      <c r="AP2051" s="227"/>
      <c r="AQ2051" s="227"/>
      <c r="AR2051" s="227"/>
      <c r="AS2051" s="227"/>
      <c r="AT2051" s="227"/>
      <c r="AU2051" s="227"/>
    </row>
    <row r="2052" spans="27:47" ht="12.95" customHeight="1">
      <c r="AA2052" s="227"/>
      <c r="AB2052" s="227"/>
      <c r="AC2052" s="227"/>
      <c r="AD2052" s="227"/>
      <c r="AE2052" s="227"/>
      <c r="AG2052" s="19"/>
      <c r="AN2052" s="227"/>
      <c r="AO2052" s="227"/>
      <c r="AP2052" s="227"/>
      <c r="AQ2052" s="227"/>
      <c r="AR2052" s="227"/>
      <c r="AS2052" s="227"/>
      <c r="AT2052" s="227"/>
      <c r="AU2052" s="227"/>
    </row>
    <row r="2053" spans="27:47" ht="12.95" customHeight="1">
      <c r="AA2053" s="227"/>
      <c r="AB2053" s="227"/>
      <c r="AC2053" s="227"/>
      <c r="AD2053" s="227"/>
      <c r="AE2053" s="227"/>
      <c r="AG2053" s="19"/>
      <c r="AN2053" s="227"/>
      <c r="AO2053" s="227"/>
      <c r="AP2053" s="227"/>
      <c r="AQ2053" s="227"/>
      <c r="AR2053" s="227"/>
      <c r="AS2053" s="227"/>
      <c r="AT2053" s="227"/>
      <c r="AU2053" s="227"/>
    </row>
    <row r="2054" spans="27:47" ht="12.95" customHeight="1">
      <c r="AA2054" s="227"/>
      <c r="AB2054" s="227"/>
      <c r="AC2054" s="227"/>
      <c r="AD2054" s="227"/>
      <c r="AE2054" s="227"/>
      <c r="AG2054" s="19"/>
      <c r="AN2054" s="227"/>
      <c r="AO2054" s="227"/>
      <c r="AP2054" s="227"/>
      <c r="AQ2054" s="227"/>
      <c r="AR2054" s="227"/>
      <c r="AS2054" s="227"/>
      <c r="AT2054" s="227"/>
      <c r="AU2054" s="227"/>
    </row>
    <row r="2055" spans="27:47" ht="12.95" customHeight="1">
      <c r="AA2055" s="227"/>
      <c r="AB2055" s="227"/>
      <c r="AC2055" s="227"/>
      <c r="AD2055" s="227"/>
      <c r="AE2055" s="227"/>
      <c r="AG2055" s="19"/>
      <c r="AN2055" s="227"/>
      <c r="AO2055" s="227"/>
      <c r="AP2055" s="227"/>
      <c r="AQ2055" s="227"/>
      <c r="AR2055" s="227"/>
      <c r="AS2055" s="227"/>
      <c r="AT2055" s="227"/>
      <c r="AU2055" s="227"/>
    </row>
    <row r="2056" spans="27:47" ht="12.95" customHeight="1">
      <c r="AA2056" s="227"/>
      <c r="AB2056" s="227"/>
      <c r="AC2056" s="227"/>
      <c r="AD2056" s="227"/>
      <c r="AE2056" s="227"/>
      <c r="AG2056" s="19"/>
      <c r="AN2056" s="227"/>
      <c r="AO2056" s="227"/>
      <c r="AP2056" s="227"/>
      <c r="AQ2056" s="227"/>
      <c r="AR2056" s="227"/>
      <c r="AS2056" s="227"/>
      <c r="AT2056" s="227"/>
      <c r="AU2056" s="227"/>
    </row>
    <row r="2057" spans="27:47" ht="12.95" customHeight="1">
      <c r="AA2057" s="227"/>
      <c r="AB2057" s="227"/>
      <c r="AC2057" s="227"/>
      <c r="AD2057" s="227"/>
      <c r="AE2057" s="227"/>
      <c r="AG2057" s="19"/>
      <c r="AN2057" s="227"/>
      <c r="AO2057" s="227"/>
      <c r="AP2057" s="227"/>
      <c r="AQ2057" s="227"/>
      <c r="AR2057" s="227"/>
      <c r="AS2057" s="227"/>
      <c r="AT2057" s="227"/>
      <c r="AU2057" s="227"/>
    </row>
    <row r="2058" spans="27:47" ht="12.95" customHeight="1">
      <c r="AA2058" s="227"/>
      <c r="AB2058" s="227"/>
      <c r="AC2058" s="227"/>
      <c r="AD2058" s="227"/>
      <c r="AE2058" s="227"/>
      <c r="AG2058" s="19"/>
      <c r="AN2058" s="227"/>
      <c r="AO2058" s="227"/>
      <c r="AP2058" s="227"/>
      <c r="AQ2058" s="227"/>
      <c r="AR2058" s="227"/>
      <c r="AS2058" s="227"/>
      <c r="AT2058" s="227"/>
      <c r="AU2058" s="227"/>
    </row>
    <row r="2059" spans="27:47" ht="12.95" customHeight="1">
      <c r="AA2059" s="227"/>
      <c r="AB2059" s="227"/>
      <c r="AC2059" s="227"/>
      <c r="AD2059" s="227"/>
      <c r="AE2059" s="227"/>
      <c r="AG2059" s="19"/>
      <c r="AN2059" s="227"/>
      <c r="AO2059" s="227"/>
      <c r="AP2059" s="227"/>
      <c r="AQ2059" s="227"/>
      <c r="AR2059" s="227"/>
      <c r="AS2059" s="227"/>
      <c r="AT2059" s="227"/>
      <c r="AU2059" s="227"/>
    </row>
    <row r="2060" spans="27:47" ht="12.95" customHeight="1">
      <c r="AA2060" s="227"/>
      <c r="AB2060" s="227"/>
      <c r="AC2060" s="227"/>
      <c r="AD2060" s="227"/>
      <c r="AE2060" s="227"/>
      <c r="AG2060" s="19"/>
      <c r="AN2060" s="227"/>
      <c r="AO2060" s="227"/>
      <c r="AP2060" s="227"/>
      <c r="AQ2060" s="227"/>
      <c r="AR2060" s="227"/>
      <c r="AS2060" s="227"/>
      <c r="AT2060" s="227"/>
      <c r="AU2060" s="227"/>
    </row>
    <row r="2061" spans="27:47" ht="12.95" customHeight="1">
      <c r="AA2061" s="227"/>
      <c r="AB2061" s="227"/>
      <c r="AC2061" s="227"/>
      <c r="AD2061" s="227"/>
      <c r="AE2061" s="227"/>
      <c r="AG2061" s="19"/>
      <c r="AN2061" s="227"/>
      <c r="AO2061" s="227"/>
      <c r="AP2061" s="227"/>
      <c r="AQ2061" s="227"/>
      <c r="AR2061" s="227"/>
      <c r="AS2061" s="227"/>
      <c r="AT2061" s="227"/>
      <c r="AU2061" s="227"/>
    </row>
    <row r="2062" spans="27:47" ht="12.95" customHeight="1">
      <c r="AA2062" s="227"/>
      <c r="AB2062" s="227"/>
      <c r="AC2062" s="227"/>
      <c r="AD2062" s="227"/>
      <c r="AE2062" s="227"/>
      <c r="AG2062" s="19"/>
      <c r="AN2062" s="227"/>
      <c r="AO2062" s="227"/>
      <c r="AP2062" s="227"/>
      <c r="AQ2062" s="227"/>
      <c r="AR2062" s="227"/>
      <c r="AS2062" s="227"/>
      <c r="AT2062" s="227"/>
      <c r="AU2062" s="227"/>
    </row>
    <row r="2063" spans="27:47" ht="12.95" customHeight="1">
      <c r="AA2063" s="227"/>
      <c r="AB2063" s="227"/>
      <c r="AC2063" s="227"/>
      <c r="AD2063" s="227"/>
      <c r="AE2063" s="227"/>
      <c r="AF2063" s="293"/>
      <c r="AG2063" s="19"/>
      <c r="AN2063" s="227"/>
      <c r="AO2063" s="227"/>
      <c r="AP2063" s="227"/>
      <c r="AQ2063" s="227"/>
      <c r="AR2063" s="227"/>
      <c r="AS2063" s="227"/>
      <c r="AT2063" s="227"/>
      <c r="AU2063" s="227"/>
    </row>
    <row r="2064" spans="27:47" ht="12.95" customHeight="1">
      <c r="AA2064" s="227"/>
      <c r="AB2064" s="227"/>
      <c r="AC2064" s="227"/>
      <c r="AD2064" s="227"/>
      <c r="AE2064" s="227"/>
      <c r="AF2064" s="293"/>
      <c r="AG2064" s="19"/>
      <c r="AN2064" s="227"/>
      <c r="AO2064" s="227"/>
      <c r="AP2064" s="227"/>
      <c r="AQ2064" s="227"/>
      <c r="AR2064" s="227"/>
      <c r="AS2064" s="227"/>
      <c r="AT2064" s="227"/>
      <c r="AU2064" s="227"/>
    </row>
    <row r="2065" spans="27:47" ht="12.95" customHeight="1">
      <c r="AA2065" s="227"/>
      <c r="AB2065" s="227"/>
      <c r="AC2065" s="227"/>
      <c r="AD2065" s="227"/>
      <c r="AE2065" s="227"/>
      <c r="AF2065" s="293"/>
      <c r="AG2065" s="19"/>
      <c r="AN2065" s="227"/>
      <c r="AO2065" s="227"/>
      <c r="AP2065" s="227"/>
      <c r="AQ2065" s="227"/>
      <c r="AR2065" s="227"/>
      <c r="AS2065" s="227"/>
      <c r="AT2065" s="227"/>
      <c r="AU2065" s="227"/>
    </row>
    <row r="2066" spans="27:47" ht="12.95" customHeight="1">
      <c r="AA2066" s="227"/>
      <c r="AB2066" s="227"/>
      <c r="AC2066" s="227"/>
      <c r="AD2066" s="227"/>
      <c r="AE2066" s="227"/>
      <c r="AF2066" s="293"/>
      <c r="AG2066" s="19"/>
      <c r="AN2066" s="227"/>
      <c r="AO2066" s="227"/>
      <c r="AP2066" s="227"/>
      <c r="AQ2066" s="227"/>
      <c r="AR2066" s="227"/>
      <c r="AS2066" s="227"/>
      <c r="AT2066" s="227"/>
      <c r="AU2066" s="227"/>
    </row>
    <row r="2067" spans="27:47" ht="12.95" customHeight="1">
      <c r="AA2067" s="227"/>
      <c r="AB2067" s="227"/>
      <c r="AC2067" s="227"/>
      <c r="AD2067" s="227"/>
      <c r="AE2067" s="227"/>
      <c r="AF2067" s="293"/>
      <c r="AG2067" s="19"/>
      <c r="AN2067" s="227"/>
      <c r="AO2067" s="227"/>
      <c r="AP2067" s="227"/>
      <c r="AQ2067" s="227"/>
      <c r="AR2067" s="227"/>
      <c r="AS2067" s="227"/>
      <c r="AT2067" s="227"/>
      <c r="AU2067" s="227"/>
    </row>
    <row r="2068" spans="27:47" ht="12.95" customHeight="1">
      <c r="AA2068" s="227"/>
      <c r="AB2068" s="227"/>
      <c r="AC2068" s="227"/>
      <c r="AD2068" s="227"/>
      <c r="AE2068" s="227"/>
      <c r="AF2068" s="293"/>
      <c r="AG2068" s="19"/>
      <c r="AN2068" s="227"/>
      <c r="AO2068" s="227"/>
      <c r="AP2068" s="227"/>
      <c r="AQ2068" s="227"/>
      <c r="AR2068" s="227"/>
      <c r="AS2068" s="227"/>
      <c r="AT2068" s="227"/>
      <c r="AU2068" s="227"/>
    </row>
    <row r="2069" spans="27:47" ht="12.95" customHeight="1">
      <c r="AA2069" s="227"/>
      <c r="AB2069" s="227"/>
      <c r="AC2069" s="227"/>
      <c r="AD2069" s="227"/>
      <c r="AE2069" s="227"/>
      <c r="AF2069" s="293"/>
      <c r="AG2069" s="19"/>
      <c r="AN2069" s="227"/>
      <c r="AO2069" s="227"/>
      <c r="AP2069" s="227"/>
      <c r="AQ2069" s="227"/>
      <c r="AR2069" s="227"/>
      <c r="AS2069" s="227"/>
      <c r="AT2069" s="227"/>
      <c r="AU2069" s="227"/>
    </row>
    <row r="2070" spans="27:47" ht="12.95" customHeight="1">
      <c r="AA2070" s="227"/>
      <c r="AB2070" s="227"/>
      <c r="AC2070" s="227"/>
      <c r="AD2070" s="227"/>
      <c r="AE2070" s="227"/>
      <c r="AF2070" s="293"/>
      <c r="AG2070" s="19"/>
      <c r="AN2070" s="227"/>
      <c r="AO2070" s="227"/>
      <c r="AP2070" s="227"/>
      <c r="AQ2070" s="227"/>
      <c r="AR2070" s="227"/>
      <c r="AS2070" s="227"/>
      <c r="AT2070" s="227"/>
      <c r="AU2070" s="227"/>
    </row>
    <row r="2071" spans="27:47" ht="12.95" customHeight="1">
      <c r="AA2071" s="227"/>
      <c r="AB2071" s="227"/>
      <c r="AC2071" s="227"/>
      <c r="AD2071" s="227"/>
      <c r="AE2071" s="227"/>
      <c r="AF2071" s="293"/>
      <c r="AG2071" s="19"/>
      <c r="AN2071" s="227"/>
      <c r="AO2071" s="227"/>
      <c r="AP2071" s="227"/>
      <c r="AQ2071" s="227"/>
      <c r="AR2071" s="227"/>
      <c r="AS2071" s="227"/>
      <c r="AT2071" s="227"/>
      <c r="AU2071" s="227"/>
    </row>
    <row r="2072" spans="27:47" ht="12.95" customHeight="1">
      <c r="AA2072" s="227"/>
      <c r="AB2072" s="227"/>
      <c r="AC2072" s="227"/>
      <c r="AD2072" s="227"/>
      <c r="AE2072" s="227"/>
      <c r="AF2072" s="293"/>
      <c r="AG2072" s="19"/>
      <c r="AN2072" s="227"/>
      <c r="AO2072" s="227"/>
      <c r="AP2072" s="227"/>
      <c r="AQ2072" s="227"/>
      <c r="AR2072" s="227"/>
      <c r="AS2072" s="227"/>
      <c r="AT2072" s="227"/>
      <c r="AU2072" s="227"/>
    </row>
    <row r="2073" spans="27:47" ht="12.95" customHeight="1">
      <c r="AA2073" s="227"/>
      <c r="AB2073" s="227"/>
      <c r="AC2073" s="227"/>
      <c r="AD2073" s="227"/>
      <c r="AE2073" s="227"/>
      <c r="AF2073" s="293"/>
      <c r="AG2073" s="19"/>
      <c r="AN2073" s="227"/>
      <c r="AO2073" s="227"/>
      <c r="AP2073" s="227"/>
      <c r="AQ2073" s="227"/>
      <c r="AR2073" s="227"/>
      <c r="AS2073" s="227"/>
      <c r="AT2073" s="227"/>
      <c r="AU2073" s="227"/>
    </row>
    <row r="2074" spans="27:47" ht="12.95" customHeight="1">
      <c r="AA2074" s="227"/>
      <c r="AB2074" s="227"/>
      <c r="AC2074" s="227"/>
      <c r="AD2074" s="227"/>
      <c r="AE2074" s="227"/>
      <c r="AF2074" s="293"/>
      <c r="AG2074" s="19"/>
      <c r="AN2074" s="227"/>
      <c r="AO2074" s="227"/>
      <c r="AP2074" s="227"/>
      <c r="AQ2074" s="227"/>
      <c r="AR2074" s="227"/>
      <c r="AS2074" s="227"/>
      <c r="AT2074" s="227"/>
      <c r="AU2074" s="227"/>
    </row>
    <row r="2075" spans="27:47" ht="12.95" customHeight="1">
      <c r="AA2075" s="227"/>
      <c r="AB2075" s="227"/>
      <c r="AC2075" s="227"/>
      <c r="AD2075" s="227"/>
      <c r="AE2075" s="227"/>
      <c r="AF2075" s="293"/>
      <c r="AG2075" s="19"/>
      <c r="AN2075" s="227"/>
      <c r="AO2075" s="227"/>
      <c r="AP2075" s="227"/>
      <c r="AQ2075" s="227"/>
      <c r="AR2075" s="227"/>
      <c r="AS2075" s="227"/>
      <c r="AT2075" s="227"/>
      <c r="AU2075" s="227"/>
    </row>
    <row r="2076" spans="27:47" ht="12.95" customHeight="1">
      <c r="AA2076" s="227"/>
      <c r="AB2076" s="227"/>
      <c r="AC2076" s="227"/>
      <c r="AD2076" s="227"/>
      <c r="AE2076" s="227"/>
      <c r="AF2076" s="293"/>
      <c r="AG2076" s="19"/>
      <c r="AN2076" s="227"/>
      <c r="AO2076" s="227"/>
      <c r="AP2076" s="227"/>
      <c r="AQ2076" s="227"/>
      <c r="AR2076" s="227"/>
      <c r="AS2076" s="227"/>
      <c r="AT2076" s="227"/>
      <c r="AU2076" s="227"/>
    </row>
    <row r="2077" spans="27:47" ht="12.95" customHeight="1">
      <c r="AA2077" s="227"/>
      <c r="AB2077" s="227"/>
      <c r="AC2077" s="227"/>
      <c r="AD2077" s="227"/>
      <c r="AE2077" s="227"/>
      <c r="AF2077" s="293"/>
      <c r="AG2077" s="19"/>
      <c r="AN2077" s="227"/>
      <c r="AO2077" s="227"/>
      <c r="AP2077" s="227"/>
      <c r="AQ2077" s="227"/>
      <c r="AR2077" s="227"/>
      <c r="AS2077" s="227"/>
      <c r="AT2077" s="227"/>
      <c r="AU2077" s="227"/>
    </row>
    <row r="2078" spans="27:47" ht="12.95" customHeight="1">
      <c r="AA2078" s="227"/>
      <c r="AB2078" s="227"/>
      <c r="AC2078" s="227"/>
      <c r="AD2078" s="227"/>
      <c r="AE2078" s="227"/>
      <c r="AF2078" s="293"/>
      <c r="AG2078" s="19"/>
      <c r="AN2078" s="227"/>
      <c r="AO2078" s="227"/>
      <c r="AP2078" s="227"/>
      <c r="AQ2078" s="227"/>
      <c r="AR2078" s="227"/>
      <c r="AS2078" s="227"/>
      <c r="AT2078" s="227"/>
      <c r="AU2078" s="227"/>
    </row>
    <row r="2079" spans="27:47" ht="12.95" customHeight="1">
      <c r="AA2079" s="227"/>
      <c r="AB2079" s="227"/>
      <c r="AC2079" s="227"/>
      <c r="AD2079" s="227"/>
      <c r="AE2079" s="227"/>
      <c r="AF2079" s="293"/>
      <c r="AG2079" s="19"/>
      <c r="AN2079" s="227"/>
      <c r="AO2079" s="227"/>
      <c r="AP2079" s="227"/>
      <c r="AQ2079" s="227"/>
      <c r="AR2079" s="227"/>
      <c r="AS2079" s="227"/>
      <c r="AT2079" s="227"/>
      <c r="AU2079" s="227"/>
    </row>
    <row r="2080" spans="27:47" ht="12.95" customHeight="1">
      <c r="AA2080" s="227"/>
      <c r="AB2080" s="227"/>
      <c r="AC2080" s="227"/>
      <c r="AD2080" s="227"/>
      <c r="AE2080" s="227"/>
      <c r="AF2080" s="293"/>
      <c r="AG2080" s="19"/>
      <c r="AN2080" s="227"/>
      <c r="AO2080" s="227"/>
      <c r="AP2080" s="227"/>
      <c r="AQ2080" s="227"/>
      <c r="AR2080" s="227"/>
      <c r="AS2080" s="227"/>
      <c r="AT2080" s="227"/>
      <c r="AU2080" s="227"/>
    </row>
    <row r="2081" spans="27:47" ht="12.95" customHeight="1">
      <c r="AA2081" s="227"/>
      <c r="AB2081" s="227"/>
      <c r="AC2081" s="227"/>
      <c r="AD2081" s="227"/>
      <c r="AE2081" s="227"/>
      <c r="AF2081" s="293"/>
      <c r="AG2081" s="19"/>
      <c r="AN2081" s="227"/>
      <c r="AO2081" s="227"/>
      <c r="AP2081" s="227"/>
      <c r="AQ2081" s="227"/>
      <c r="AR2081" s="227"/>
      <c r="AS2081" s="227"/>
      <c r="AT2081" s="227"/>
      <c r="AU2081" s="227"/>
    </row>
    <row r="2082" spans="27:47" ht="12.95" customHeight="1">
      <c r="AA2082" s="227"/>
      <c r="AB2082" s="227"/>
      <c r="AC2082" s="227"/>
      <c r="AD2082" s="227"/>
      <c r="AE2082" s="227"/>
      <c r="AF2082" s="293"/>
      <c r="AG2082" s="19"/>
      <c r="AN2082" s="227"/>
      <c r="AO2082" s="227"/>
      <c r="AP2082" s="227"/>
      <c r="AQ2082" s="227"/>
      <c r="AR2082" s="227"/>
      <c r="AS2082" s="227"/>
      <c r="AT2082" s="227"/>
      <c r="AU2082" s="227"/>
    </row>
    <row r="2083" spans="27:47" ht="12.95" customHeight="1">
      <c r="AA2083" s="227"/>
      <c r="AB2083" s="227"/>
      <c r="AC2083" s="227"/>
      <c r="AD2083" s="227"/>
      <c r="AE2083" s="227"/>
      <c r="AF2083" s="293"/>
      <c r="AG2083" s="19"/>
      <c r="AN2083" s="227"/>
      <c r="AO2083" s="227"/>
      <c r="AP2083" s="227"/>
      <c r="AQ2083" s="227"/>
      <c r="AR2083" s="227"/>
      <c r="AS2083" s="227"/>
      <c r="AT2083" s="227"/>
      <c r="AU2083" s="227"/>
    </row>
    <row r="2084" spans="27:47" ht="12.95" customHeight="1">
      <c r="AA2084" s="227"/>
      <c r="AB2084" s="227"/>
      <c r="AC2084" s="227"/>
      <c r="AD2084" s="227"/>
      <c r="AE2084" s="227"/>
      <c r="AF2084" s="293"/>
      <c r="AG2084" s="19"/>
      <c r="AN2084" s="227"/>
      <c r="AO2084" s="227"/>
      <c r="AP2084" s="227"/>
      <c r="AQ2084" s="227"/>
      <c r="AR2084" s="227"/>
      <c r="AS2084" s="227"/>
      <c r="AT2084" s="227"/>
      <c r="AU2084" s="227"/>
    </row>
    <row r="2085" spans="27:47" ht="12.95" customHeight="1">
      <c r="AA2085" s="227"/>
      <c r="AB2085" s="227"/>
      <c r="AC2085" s="227"/>
      <c r="AD2085" s="227"/>
      <c r="AE2085" s="227"/>
      <c r="AF2085" s="293"/>
      <c r="AG2085" s="19"/>
      <c r="AN2085" s="227"/>
      <c r="AO2085" s="227"/>
      <c r="AP2085" s="227"/>
      <c r="AQ2085" s="227"/>
      <c r="AR2085" s="227"/>
      <c r="AS2085" s="227"/>
      <c r="AT2085" s="227"/>
      <c r="AU2085" s="227"/>
    </row>
    <row r="2086" spans="27:47" ht="12.95" customHeight="1">
      <c r="AA2086" s="227"/>
      <c r="AB2086" s="227"/>
      <c r="AC2086" s="227"/>
      <c r="AD2086" s="227"/>
      <c r="AE2086" s="227"/>
      <c r="AF2086" s="293"/>
      <c r="AG2086" s="19"/>
      <c r="AN2086" s="227"/>
      <c r="AO2086" s="227"/>
      <c r="AP2086" s="227"/>
      <c r="AQ2086" s="227"/>
      <c r="AR2086" s="227"/>
      <c r="AS2086" s="227"/>
      <c r="AT2086" s="227"/>
      <c r="AU2086" s="227"/>
    </row>
    <row r="2087" spans="27:47" ht="12.95" customHeight="1">
      <c r="AA2087" s="227"/>
      <c r="AB2087" s="227"/>
      <c r="AC2087" s="227"/>
      <c r="AD2087" s="227"/>
      <c r="AE2087" s="227"/>
      <c r="AF2087" s="293"/>
      <c r="AG2087" s="19"/>
      <c r="AN2087" s="227"/>
      <c r="AO2087" s="227"/>
      <c r="AP2087" s="227"/>
      <c r="AQ2087" s="227"/>
      <c r="AR2087" s="227"/>
      <c r="AS2087" s="227"/>
      <c r="AT2087" s="227"/>
      <c r="AU2087" s="227"/>
    </row>
    <row r="2088" spans="27:47" ht="12.95" customHeight="1">
      <c r="AA2088" s="227"/>
      <c r="AB2088" s="227"/>
      <c r="AC2088" s="227"/>
      <c r="AD2088" s="227"/>
      <c r="AE2088" s="227"/>
      <c r="AF2088" s="293"/>
      <c r="AG2088" s="19"/>
      <c r="AN2088" s="227"/>
      <c r="AO2088" s="227"/>
      <c r="AP2088" s="227"/>
      <c r="AQ2088" s="227"/>
      <c r="AR2088" s="227"/>
      <c r="AS2088" s="227"/>
      <c r="AT2088" s="227"/>
      <c r="AU2088" s="227"/>
    </row>
    <row r="2089" spans="27:47" ht="12.95" customHeight="1">
      <c r="AA2089" s="227"/>
      <c r="AB2089" s="227"/>
      <c r="AC2089" s="227"/>
      <c r="AD2089" s="227"/>
      <c r="AE2089" s="227"/>
      <c r="AF2089" s="293"/>
      <c r="AG2089" s="19"/>
      <c r="AN2089" s="227"/>
      <c r="AO2089" s="227"/>
      <c r="AP2089" s="227"/>
      <c r="AQ2089" s="227"/>
      <c r="AR2089" s="227"/>
      <c r="AS2089" s="227"/>
      <c r="AT2089" s="227"/>
      <c r="AU2089" s="227"/>
    </row>
    <row r="2090" spans="27:47" ht="12.95" customHeight="1">
      <c r="AA2090" s="227"/>
      <c r="AB2090" s="227"/>
      <c r="AC2090" s="227"/>
      <c r="AD2090" s="227"/>
      <c r="AE2090" s="227"/>
      <c r="AF2090" s="293"/>
      <c r="AG2090" s="19"/>
      <c r="AN2090" s="227"/>
      <c r="AO2090" s="227"/>
      <c r="AP2090" s="227"/>
      <c r="AQ2090" s="227"/>
      <c r="AR2090" s="227"/>
      <c r="AS2090" s="227"/>
      <c r="AT2090" s="227"/>
      <c r="AU2090" s="227"/>
    </row>
    <row r="2091" spans="27:47" ht="12.95" customHeight="1">
      <c r="AA2091" s="227"/>
      <c r="AB2091" s="227"/>
      <c r="AC2091" s="227"/>
      <c r="AD2091" s="227"/>
      <c r="AE2091" s="227"/>
      <c r="AF2091" s="293"/>
      <c r="AG2091" s="19"/>
      <c r="AN2091" s="227"/>
      <c r="AO2091" s="227"/>
      <c r="AP2091" s="227"/>
      <c r="AQ2091" s="227"/>
      <c r="AR2091" s="227"/>
      <c r="AS2091" s="227"/>
      <c r="AT2091" s="227"/>
      <c r="AU2091" s="227"/>
    </row>
    <row r="2092" spans="27:47" ht="12.95" customHeight="1">
      <c r="AA2092" s="227"/>
      <c r="AB2092" s="227"/>
      <c r="AC2092" s="227"/>
      <c r="AD2092" s="227"/>
      <c r="AE2092" s="227"/>
      <c r="AF2092" s="293"/>
      <c r="AG2092" s="19"/>
      <c r="AN2092" s="227"/>
      <c r="AO2092" s="227"/>
      <c r="AP2092" s="227"/>
      <c r="AQ2092" s="227"/>
      <c r="AR2092" s="227"/>
      <c r="AS2092" s="227"/>
      <c r="AT2092" s="227"/>
      <c r="AU2092" s="227"/>
    </row>
    <row r="2093" spans="27:47" ht="12.95" customHeight="1">
      <c r="AA2093" s="227"/>
      <c r="AB2093" s="227"/>
      <c r="AC2093" s="227"/>
      <c r="AD2093" s="227"/>
      <c r="AE2093" s="227"/>
      <c r="AF2093" s="293"/>
      <c r="AG2093" s="19"/>
      <c r="AN2093" s="227"/>
      <c r="AO2093" s="227"/>
      <c r="AP2093" s="227"/>
      <c r="AQ2093" s="227"/>
      <c r="AR2093" s="227"/>
      <c r="AS2093" s="227"/>
      <c r="AT2093" s="227"/>
      <c r="AU2093" s="227"/>
    </row>
    <row r="2094" spans="27:47" ht="12.95" customHeight="1">
      <c r="AA2094" s="227"/>
      <c r="AB2094" s="227"/>
      <c r="AC2094" s="227"/>
      <c r="AD2094" s="227"/>
      <c r="AE2094" s="227"/>
      <c r="AF2094" s="293"/>
      <c r="AG2094" s="19"/>
      <c r="AN2094" s="227"/>
      <c r="AO2094" s="227"/>
      <c r="AP2094" s="227"/>
      <c r="AQ2094" s="227"/>
      <c r="AR2094" s="227"/>
      <c r="AS2094" s="227"/>
      <c r="AT2094" s="227"/>
      <c r="AU2094" s="227"/>
    </row>
    <row r="2095" spans="27:47" ht="12.95" customHeight="1">
      <c r="AA2095" s="227"/>
      <c r="AB2095" s="227"/>
      <c r="AC2095" s="227"/>
      <c r="AD2095" s="227"/>
      <c r="AE2095" s="227"/>
      <c r="AF2095" s="293"/>
      <c r="AG2095" s="19"/>
      <c r="AN2095" s="227"/>
      <c r="AO2095" s="227"/>
      <c r="AP2095" s="227"/>
      <c r="AQ2095" s="227"/>
      <c r="AR2095" s="227"/>
      <c r="AS2095" s="227"/>
      <c r="AT2095" s="227"/>
      <c r="AU2095" s="227"/>
    </row>
    <row r="2096" spans="27:47" ht="12.95" customHeight="1">
      <c r="AA2096" s="227"/>
      <c r="AB2096" s="227"/>
      <c r="AC2096" s="227"/>
      <c r="AD2096" s="227"/>
      <c r="AE2096" s="227"/>
      <c r="AF2096" s="293"/>
      <c r="AG2096" s="19"/>
      <c r="AN2096" s="227"/>
      <c r="AO2096" s="227"/>
      <c r="AP2096" s="227"/>
      <c r="AQ2096" s="227"/>
      <c r="AR2096" s="227"/>
      <c r="AS2096" s="227"/>
      <c r="AT2096" s="227"/>
      <c r="AU2096" s="227"/>
    </row>
    <row r="2097" spans="27:47" ht="12.95" customHeight="1">
      <c r="AA2097" s="227"/>
      <c r="AB2097" s="227"/>
      <c r="AC2097" s="227"/>
      <c r="AD2097" s="227"/>
      <c r="AE2097" s="227"/>
      <c r="AF2097" s="293"/>
      <c r="AG2097" s="19"/>
      <c r="AN2097" s="227"/>
      <c r="AO2097" s="227"/>
      <c r="AP2097" s="227"/>
      <c r="AQ2097" s="227"/>
      <c r="AR2097" s="227"/>
      <c r="AS2097" s="227"/>
      <c r="AT2097" s="227"/>
      <c r="AU2097" s="227"/>
    </row>
    <row r="2098" spans="27:47" ht="12.95" customHeight="1">
      <c r="AA2098" s="227"/>
      <c r="AB2098" s="227"/>
      <c r="AC2098" s="227"/>
      <c r="AD2098" s="227"/>
      <c r="AE2098" s="227"/>
      <c r="AF2098" s="293"/>
      <c r="AG2098" s="19"/>
      <c r="AN2098" s="227"/>
      <c r="AO2098" s="227"/>
      <c r="AP2098" s="227"/>
      <c r="AQ2098" s="227"/>
      <c r="AR2098" s="227"/>
      <c r="AS2098" s="227"/>
      <c r="AT2098" s="227"/>
      <c r="AU2098" s="227"/>
    </row>
    <row r="2099" spans="27:47" ht="12.95" customHeight="1">
      <c r="AA2099" s="227"/>
      <c r="AB2099" s="227"/>
      <c r="AC2099" s="227"/>
      <c r="AD2099" s="227"/>
      <c r="AE2099" s="227"/>
      <c r="AF2099" s="293"/>
      <c r="AG2099" s="19"/>
      <c r="AN2099" s="227"/>
      <c r="AO2099" s="227"/>
      <c r="AP2099" s="227"/>
      <c r="AQ2099" s="227"/>
      <c r="AR2099" s="227"/>
      <c r="AS2099" s="227"/>
      <c r="AT2099" s="227"/>
      <c r="AU2099" s="227"/>
    </row>
    <row r="2100" spans="27:47" ht="12.95" customHeight="1">
      <c r="AA2100" s="227"/>
      <c r="AB2100" s="227"/>
      <c r="AC2100" s="227"/>
      <c r="AD2100" s="227"/>
      <c r="AE2100" s="227"/>
      <c r="AF2100" s="293"/>
      <c r="AG2100" s="19"/>
      <c r="AN2100" s="227"/>
      <c r="AO2100" s="227"/>
      <c r="AP2100" s="227"/>
      <c r="AQ2100" s="227"/>
      <c r="AR2100" s="227"/>
      <c r="AS2100" s="227"/>
      <c r="AT2100" s="227"/>
      <c r="AU2100" s="227"/>
    </row>
    <row r="2101" spans="27:47" ht="12.95" customHeight="1">
      <c r="AA2101" s="227"/>
      <c r="AB2101" s="227"/>
      <c r="AC2101" s="227"/>
      <c r="AD2101" s="227"/>
      <c r="AE2101" s="227"/>
      <c r="AF2101" s="293"/>
      <c r="AG2101" s="19"/>
      <c r="AN2101" s="227"/>
      <c r="AO2101" s="227"/>
      <c r="AP2101" s="227"/>
      <c r="AQ2101" s="227"/>
      <c r="AR2101" s="227"/>
      <c r="AS2101" s="227"/>
      <c r="AT2101" s="227"/>
      <c r="AU2101" s="227"/>
    </row>
    <row r="2102" spans="27:47" ht="12.95" customHeight="1">
      <c r="AA2102" s="227"/>
      <c r="AB2102" s="227"/>
      <c r="AC2102" s="227"/>
      <c r="AD2102" s="227"/>
      <c r="AE2102" s="227"/>
      <c r="AF2102" s="293"/>
      <c r="AG2102" s="19"/>
      <c r="AN2102" s="227"/>
      <c r="AO2102" s="227"/>
      <c r="AP2102" s="227"/>
      <c r="AQ2102" s="227"/>
      <c r="AR2102" s="227"/>
      <c r="AS2102" s="227"/>
      <c r="AT2102" s="227"/>
      <c r="AU2102" s="227"/>
    </row>
    <row r="2103" spans="27:47" ht="12.95" customHeight="1">
      <c r="AA2103" s="227"/>
      <c r="AB2103" s="227"/>
      <c r="AC2103" s="227"/>
      <c r="AD2103" s="227"/>
      <c r="AE2103" s="227"/>
      <c r="AF2103" s="293"/>
      <c r="AG2103" s="19"/>
      <c r="AN2103" s="227"/>
      <c r="AO2103" s="227"/>
      <c r="AP2103" s="227"/>
      <c r="AQ2103" s="227"/>
      <c r="AR2103" s="227"/>
      <c r="AS2103" s="227"/>
      <c r="AT2103" s="227"/>
      <c r="AU2103" s="227"/>
    </row>
    <row r="2104" spans="27:47" ht="12.95" customHeight="1">
      <c r="AA2104" s="227"/>
      <c r="AB2104" s="227"/>
      <c r="AC2104" s="227"/>
      <c r="AD2104" s="227"/>
      <c r="AE2104" s="227"/>
      <c r="AF2104" s="293"/>
      <c r="AG2104" s="19"/>
      <c r="AN2104" s="227"/>
      <c r="AO2104" s="227"/>
      <c r="AP2104" s="227"/>
      <c r="AQ2104" s="227"/>
      <c r="AR2104" s="227"/>
      <c r="AS2104" s="227"/>
      <c r="AT2104" s="227"/>
      <c r="AU2104" s="227"/>
    </row>
    <row r="2105" spans="27:47" ht="12.95" customHeight="1">
      <c r="AA2105" s="227"/>
      <c r="AB2105" s="227"/>
      <c r="AC2105" s="227"/>
      <c r="AD2105" s="227"/>
      <c r="AE2105" s="227"/>
      <c r="AF2105" s="293"/>
      <c r="AG2105" s="19"/>
      <c r="AN2105" s="227"/>
      <c r="AO2105" s="227"/>
      <c r="AP2105" s="227"/>
      <c r="AQ2105" s="227"/>
      <c r="AR2105" s="227"/>
      <c r="AS2105" s="227"/>
      <c r="AT2105" s="227"/>
      <c r="AU2105" s="227"/>
    </row>
    <row r="2106" spans="27:47" ht="12.95" customHeight="1">
      <c r="AA2106" s="227"/>
      <c r="AB2106" s="227"/>
      <c r="AC2106" s="227"/>
      <c r="AD2106" s="227"/>
      <c r="AE2106" s="227"/>
      <c r="AF2106" s="293"/>
      <c r="AG2106" s="19"/>
      <c r="AN2106" s="227"/>
      <c r="AO2106" s="227"/>
      <c r="AP2106" s="227"/>
      <c r="AQ2106" s="227"/>
      <c r="AR2106" s="227"/>
      <c r="AS2106" s="227"/>
      <c r="AT2106" s="227"/>
      <c r="AU2106" s="227"/>
    </row>
    <row r="2107" spans="27:47" ht="12.95" customHeight="1">
      <c r="AA2107" s="227"/>
      <c r="AB2107" s="227"/>
      <c r="AC2107" s="227"/>
      <c r="AD2107" s="227"/>
      <c r="AE2107" s="227"/>
      <c r="AF2107" s="293"/>
      <c r="AG2107" s="19"/>
      <c r="AN2107" s="227"/>
      <c r="AO2107" s="227"/>
      <c r="AP2107" s="227"/>
      <c r="AQ2107" s="227"/>
      <c r="AR2107" s="227"/>
      <c r="AS2107" s="227"/>
      <c r="AT2107" s="227"/>
      <c r="AU2107" s="227"/>
    </row>
    <row r="2108" spans="27:47" ht="12.95" customHeight="1">
      <c r="AA2108" s="227"/>
      <c r="AB2108" s="227"/>
      <c r="AC2108" s="227"/>
      <c r="AD2108" s="227"/>
      <c r="AE2108" s="227"/>
      <c r="AF2108" s="293"/>
      <c r="AG2108" s="19"/>
      <c r="AN2108" s="227"/>
      <c r="AO2108" s="227"/>
      <c r="AP2108" s="227"/>
      <c r="AQ2108" s="227"/>
      <c r="AR2108" s="227"/>
      <c r="AS2108" s="227"/>
      <c r="AT2108" s="227"/>
      <c r="AU2108" s="227"/>
    </row>
    <row r="2109" spans="27:47" ht="12.95" customHeight="1">
      <c r="AA2109" s="227"/>
      <c r="AB2109" s="227"/>
      <c r="AC2109" s="227"/>
      <c r="AD2109" s="227"/>
      <c r="AE2109" s="227"/>
      <c r="AF2109" s="293"/>
      <c r="AG2109" s="19"/>
      <c r="AN2109" s="227"/>
      <c r="AO2109" s="227"/>
      <c r="AP2109" s="227"/>
      <c r="AQ2109" s="227"/>
      <c r="AR2109" s="227"/>
      <c r="AS2109" s="227"/>
      <c r="AT2109" s="227"/>
      <c r="AU2109" s="227"/>
    </row>
    <row r="2110" spans="27:47" ht="12.95" customHeight="1">
      <c r="AA2110" s="227"/>
      <c r="AB2110" s="227"/>
      <c r="AC2110" s="227"/>
      <c r="AD2110" s="227"/>
      <c r="AE2110" s="227"/>
      <c r="AF2110" s="293"/>
      <c r="AG2110" s="19"/>
      <c r="AN2110" s="227"/>
      <c r="AO2110" s="227"/>
      <c r="AP2110" s="227"/>
      <c r="AQ2110" s="227"/>
      <c r="AR2110" s="227"/>
      <c r="AS2110" s="227"/>
      <c r="AT2110" s="227"/>
      <c r="AU2110" s="227"/>
    </row>
    <row r="2111" spans="27:47" ht="12.95" customHeight="1">
      <c r="AA2111" s="227"/>
      <c r="AB2111" s="227"/>
      <c r="AC2111" s="227"/>
      <c r="AD2111" s="227"/>
      <c r="AE2111" s="227"/>
      <c r="AF2111" s="293"/>
      <c r="AG2111" s="19"/>
      <c r="AN2111" s="227"/>
      <c r="AO2111" s="227"/>
      <c r="AP2111" s="227"/>
      <c r="AQ2111" s="227"/>
      <c r="AR2111" s="227"/>
      <c r="AS2111" s="227"/>
      <c r="AT2111" s="227"/>
      <c r="AU2111" s="227"/>
    </row>
    <row r="2112" spans="27:47" ht="12.95" customHeight="1">
      <c r="AA2112" s="227"/>
      <c r="AB2112" s="227"/>
      <c r="AC2112" s="227"/>
      <c r="AD2112" s="227"/>
      <c r="AE2112" s="227"/>
      <c r="AF2112" s="293"/>
      <c r="AG2112" s="19"/>
      <c r="AN2112" s="227"/>
      <c r="AO2112" s="227"/>
      <c r="AP2112" s="227"/>
      <c r="AQ2112" s="227"/>
      <c r="AR2112" s="227"/>
      <c r="AS2112" s="227"/>
      <c r="AT2112" s="227"/>
      <c r="AU2112" s="227"/>
    </row>
    <row r="2113" spans="27:47" ht="12.95" customHeight="1">
      <c r="AA2113" s="227"/>
      <c r="AB2113" s="227"/>
      <c r="AC2113" s="227"/>
      <c r="AD2113" s="227"/>
      <c r="AE2113" s="227"/>
      <c r="AF2113" s="293"/>
      <c r="AG2113" s="19"/>
      <c r="AN2113" s="227"/>
      <c r="AO2113" s="227"/>
      <c r="AP2113" s="227"/>
      <c r="AQ2113" s="227"/>
      <c r="AR2113" s="227"/>
      <c r="AS2113" s="227"/>
      <c r="AT2113" s="227"/>
      <c r="AU2113" s="227"/>
    </row>
    <row r="2114" spans="27:47" ht="12.95" customHeight="1">
      <c r="AA2114" s="227"/>
      <c r="AB2114" s="227"/>
      <c r="AC2114" s="227"/>
      <c r="AD2114" s="227"/>
      <c r="AE2114" s="227"/>
      <c r="AF2114" s="293"/>
      <c r="AG2114" s="19"/>
      <c r="AN2114" s="227"/>
      <c r="AO2114" s="227"/>
      <c r="AP2114" s="227"/>
      <c r="AQ2114" s="227"/>
      <c r="AR2114" s="227"/>
      <c r="AS2114" s="227"/>
      <c r="AT2114" s="227"/>
      <c r="AU2114" s="227"/>
    </row>
    <row r="2115" spans="27:47" ht="12.95" customHeight="1">
      <c r="AA2115" s="227"/>
      <c r="AB2115" s="227"/>
      <c r="AC2115" s="227"/>
      <c r="AD2115" s="227"/>
      <c r="AE2115" s="227"/>
      <c r="AF2115" s="293"/>
      <c r="AG2115" s="19"/>
      <c r="AN2115" s="227"/>
      <c r="AO2115" s="227"/>
      <c r="AP2115" s="227"/>
      <c r="AQ2115" s="227"/>
      <c r="AR2115" s="227"/>
      <c r="AS2115" s="227"/>
      <c r="AT2115" s="227"/>
      <c r="AU2115" s="227"/>
    </row>
    <row r="2116" spans="27:47" ht="12.95" customHeight="1">
      <c r="AA2116" s="227"/>
      <c r="AB2116" s="227"/>
      <c r="AC2116" s="227"/>
      <c r="AD2116" s="227"/>
      <c r="AE2116" s="227"/>
      <c r="AF2116" s="293"/>
      <c r="AG2116" s="19"/>
      <c r="AN2116" s="227"/>
      <c r="AO2116" s="227"/>
      <c r="AP2116" s="227"/>
      <c r="AQ2116" s="227"/>
      <c r="AR2116" s="227"/>
      <c r="AS2116" s="227"/>
      <c r="AT2116" s="227"/>
      <c r="AU2116" s="227"/>
    </row>
    <row r="2117" spans="27:47" ht="12.95" customHeight="1">
      <c r="AA2117" s="227"/>
      <c r="AB2117" s="227"/>
      <c r="AC2117" s="227"/>
      <c r="AD2117" s="227"/>
      <c r="AE2117" s="227"/>
      <c r="AF2117" s="293"/>
      <c r="AG2117" s="19"/>
      <c r="AN2117" s="227"/>
      <c r="AO2117" s="227"/>
      <c r="AP2117" s="227"/>
      <c r="AQ2117" s="227"/>
      <c r="AR2117" s="227"/>
      <c r="AS2117" s="227"/>
      <c r="AT2117" s="227"/>
      <c r="AU2117" s="227"/>
    </row>
    <row r="2118" spans="27:47" ht="12.95" customHeight="1">
      <c r="AA2118" s="227"/>
      <c r="AB2118" s="227"/>
      <c r="AC2118" s="227"/>
      <c r="AD2118" s="227"/>
      <c r="AE2118" s="227"/>
      <c r="AF2118" s="293"/>
      <c r="AG2118" s="19"/>
      <c r="AN2118" s="227"/>
      <c r="AO2118" s="227"/>
      <c r="AP2118" s="227"/>
      <c r="AQ2118" s="227"/>
      <c r="AR2118" s="227"/>
      <c r="AS2118" s="227"/>
      <c r="AT2118" s="227"/>
      <c r="AU2118" s="227"/>
    </row>
    <row r="2119" spans="27:47" ht="12.95" customHeight="1">
      <c r="AA2119" s="227"/>
      <c r="AB2119" s="227"/>
      <c r="AC2119" s="227"/>
      <c r="AD2119" s="227"/>
      <c r="AE2119" s="227"/>
      <c r="AF2119" s="293"/>
      <c r="AG2119" s="19"/>
      <c r="AN2119" s="227"/>
      <c r="AO2119" s="227"/>
      <c r="AP2119" s="227"/>
      <c r="AQ2119" s="227"/>
      <c r="AR2119" s="227"/>
      <c r="AS2119" s="227"/>
      <c r="AT2119" s="227"/>
      <c r="AU2119" s="227"/>
    </row>
    <row r="2120" spans="27:47" ht="12.95" customHeight="1">
      <c r="AA2120" s="227"/>
      <c r="AB2120" s="227"/>
      <c r="AC2120" s="227"/>
      <c r="AD2120" s="227"/>
      <c r="AE2120" s="227"/>
      <c r="AF2120" s="293"/>
      <c r="AG2120" s="19"/>
      <c r="AN2120" s="227"/>
      <c r="AO2120" s="227"/>
      <c r="AP2120" s="227"/>
      <c r="AQ2120" s="227"/>
      <c r="AR2120" s="227"/>
      <c r="AS2120" s="227"/>
      <c r="AT2120" s="227"/>
      <c r="AU2120" s="227"/>
    </row>
    <row r="2121" spans="27:47" ht="12.95" customHeight="1">
      <c r="AA2121" s="227"/>
      <c r="AB2121" s="227"/>
      <c r="AC2121" s="227"/>
      <c r="AD2121" s="227"/>
      <c r="AE2121" s="227"/>
      <c r="AF2121" s="293"/>
      <c r="AG2121" s="19"/>
      <c r="AN2121" s="227"/>
      <c r="AO2121" s="227"/>
      <c r="AP2121" s="227"/>
      <c r="AQ2121" s="227"/>
      <c r="AR2121" s="227"/>
      <c r="AS2121" s="227"/>
      <c r="AT2121" s="227"/>
      <c r="AU2121" s="227"/>
    </row>
    <row r="2122" spans="27:47" ht="12.95" customHeight="1">
      <c r="AA2122" s="227"/>
      <c r="AB2122" s="227"/>
      <c r="AC2122" s="227"/>
      <c r="AD2122" s="227"/>
      <c r="AE2122" s="227"/>
      <c r="AF2122" s="293"/>
      <c r="AG2122" s="19"/>
      <c r="AN2122" s="227"/>
      <c r="AO2122" s="227"/>
      <c r="AP2122" s="227"/>
      <c r="AQ2122" s="227"/>
      <c r="AR2122" s="227"/>
      <c r="AS2122" s="227"/>
      <c r="AT2122" s="227"/>
      <c r="AU2122" s="227"/>
    </row>
    <row r="2123" spans="27:47" ht="12.95" customHeight="1">
      <c r="AA2123" s="227"/>
      <c r="AB2123" s="227"/>
      <c r="AC2123" s="227"/>
      <c r="AD2123" s="227"/>
      <c r="AE2123" s="227"/>
      <c r="AF2123" s="293"/>
      <c r="AG2123" s="19"/>
      <c r="AN2123" s="227"/>
      <c r="AO2123" s="227"/>
      <c r="AP2123" s="227"/>
      <c r="AQ2123" s="227"/>
      <c r="AR2123" s="227"/>
      <c r="AS2123" s="227"/>
      <c r="AT2123" s="227"/>
      <c r="AU2123" s="227"/>
    </row>
    <row r="2124" spans="27:47" ht="12.95" customHeight="1">
      <c r="AA2124" s="227"/>
      <c r="AB2124" s="227"/>
      <c r="AC2124" s="227"/>
      <c r="AD2124" s="227"/>
      <c r="AE2124" s="227"/>
      <c r="AF2124" s="293"/>
      <c r="AG2124" s="19"/>
      <c r="AN2124" s="227"/>
      <c r="AO2124" s="227"/>
      <c r="AP2124" s="227"/>
      <c r="AQ2124" s="227"/>
      <c r="AR2124" s="227"/>
      <c r="AS2124" s="227"/>
      <c r="AT2124" s="227"/>
      <c r="AU2124" s="227"/>
    </row>
    <row r="2125" spans="27:47" ht="12.95" customHeight="1">
      <c r="AA2125" s="227"/>
      <c r="AB2125" s="227"/>
      <c r="AC2125" s="227"/>
      <c r="AD2125" s="227"/>
      <c r="AE2125" s="227"/>
      <c r="AF2125" s="293"/>
      <c r="AG2125" s="19"/>
      <c r="AN2125" s="227"/>
      <c r="AO2125" s="227"/>
      <c r="AP2125" s="227"/>
      <c r="AQ2125" s="227"/>
      <c r="AR2125" s="227"/>
      <c r="AS2125" s="227"/>
      <c r="AT2125" s="227"/>
      <c r="AU2125" s="227"/>
    </row>
    <row r="2126" spans="27:47" ht="12.95" customHeight="1">
      <c r="AA2126" s="227"/>
      <c r="AB2126" s="227"/>
      <c r="AC2126" s="227"/>
      <c r="AD2126" s="227"/>
      <c r="AE2126" s="227"/>
      <c r="AF2126" s="293"/>
      <c r="AG2126" s="19"/>
      <c r="AN2126" s="227"/>
      <c r="AO2126" s="227"/>
      <c r="AP2126" s="227"/>
      <c r="AQ2126" s="227"/>
      <c r="AR2126" s="227"/>
      <c r="AS2126" s="227"/>
      <c r="AT2126" s="227"/>
      <c r="AU2126" s="227"/>
    </row>
    <row r="2127" spans="27:47" ht="12.95" customHeight="1">
      <c r="AA2127" s="227"/>
      <c r="AB2127" s="227"/>
      <c r="AC2127" s="227"/>
      <c r="AD2127" s="227"/>
      <c r="AE2127" s="227"/>
      <c r="AF2127" s="293"/>
      <c r="AG2127" s="19"/>
      <c r="AN2127" s="227"/>
      <c r="AO2127" s="227"/>
      <c r="AP2127" s="227"/>
      <c r="AQ2127" s="227"/>
      <c r="AR2127" s="227"/>
      <c r="AS2127" s="227"/>
      <c r="AT2127" s="227"/>
      <c r="AU2127" s="227"/>
    </row>
    <row r="2128" spans="27:47" ht="12.95" customHeight="1">
      <c r="AA2128" s="227"/>
      <c r="AB2128" s="227"/>
      <c r="AC2128" s="227"/>
      <c r="AD2128" s="227"/>
      <c r="AE2128" s="227"/>
      <c r="AF2128" s="293"/>
      <c r="AG2128" s="19"/>
      <c r="AN2128" s="227"/>
      <c r="AO2128" s="227"/>
      <c r="AP2128" s="227"/>
      <c r="AQ2128" s="227"/>
      <c r="AR2128" s="227"/>
      <c r="AS2128" s="227"/>
      <c r="AT2128" s="227"/>
      <c r="AU2128" s="227"/>
    </row>
    <row r="2129" spans="27:47" ht="12.95" customHeight="1">
      <c r="AA2129" s="227"/>
      <c r="AB2129" s="227"/>
      <c r="AC2129" s="227"/>
      <c r="AD2129" s="227"/>
      <c r="AE2129" s="227"/>
      <c r="AF2129" s="293"/>
      <c r="AG2129" s="19"/>
      <c r="AN2129" s="227"/>
      <c r="AO2129" s="227"/>
      <c r="AP2129" s="227"/>
      <c r="AQ2129" s="227"/>
      <c r="AR2129" s="227"/>
      <c r="AS2129" s="227"/>
      <c r="AT2129" s="227"/>
      <c r="AU2129" s="227"/>
    </row>
    <row r="2130" spans="27:47" ht="12.95" customHeight="1">
      <c r="AA2130" s="227"/>
      <c r="AB2130" s="227"/>
      <c r="AC2130" s="227"/>
      <c r="AD2130" s="227"/>
      <c r="AE2130" s="227"/>
      <c r="AF2130" s="293"/>
      <c r="AG2130" s="19"/>
      <c r="AN2130" s="227"/>
      <c r="AO2130" s="227"/>
      <c r="AP2130" s="227"/>
      <c r="AQ2130" s="227"/>
      <c r="AR2130" s="227"/>
      <c r="AS2130" s="227"/>
      <c r="AT2130" s="227"/>
      <c r="AU2130" s="227"/>
    </row>
    <row r="2131" spans="27:47" ht="12.95" customHeight="1">
      <c r="AA2131" s="227"/>
      <c r="AB2131" s="227"/>
      <c r="AC2131" s="227"/>
      <c r="AD2131" s="227"/>
      <c r="AE2131" s="227"/>
      <c r="AF2131" s="293"/>
      <c r="AG2131" s="19"/>
      <c r="AN2131" s="227"/>
      <c r="AO2131" s="227"/>
      <c r="AP2131" s="227"/>
      <c r="AQ2131" s="227"/>
      <c r="AR2131" s="227"/>
      <c r="AS2131" s="227"/>
      <c r="AT2131" s="227"/>
      <c r="AU2131" s="227"/>
    </row>
    <row r="2132" spans="27:47" ht="12.95" customHeight="1">
      <c r="AA2132" s="227"/>
      <c r="AB2132" s="227"/>
      <c r="AC2132" s="227"/>
      <c r="AD2132" s="227"/>
      <c r="AE2132" s="227"/>
      <c r="AF2132" s="293"/>
      <c r="AG2132" s="19"/>
      <c r="AN2132" s="227"/>
      <c r="AO2132" s="227"/>
      <c r="AP2132" s="227"/>
      <c r="AQ2132" s="227"/>
      <c r="AR2132" s="227"/>
      <c r="AS2132" s="227"/>
      <c r="AT2132" s="227"/>
      <c r="AU2132" s="227"/>
    </row>
    <row r="2133" spans="27:47" ht="12.95" customHeight="1">
      <c r="AA2133" s="227"/>
      <c r="AB2133" s="227"/>
      <c r="AC2133" s="227"/>
      <c r="AD2133" s="227"/>
      <c r="AE2133" s="227"/>
      <c r="AF2133" s="293"/>
      <c r="AG2133" s="19"/>
      <c r="AN2133" s="227"/>
      <c r="AO2133" s="227"/>
      <c r="AP2133" s="227"/>
      <c r="AQ2133" s="227"/>
      <c r="AR2133" s="227"/>
      <c r="AS2133" s="227"/>
      <c r="AT2133" s="227"/>
      <c r="AU2133" s="227"/>
    </row>
    <row r="2134" spans="27:47" ht="12.95" customHeight="1">
      <c r="AA2134" s="227"/>
      <c r="AB2134" s="227"/>
      <c r="AC2134" s="227"/>
      <c r="AD2134" s="227"/>
      <c r="AE2134" s="227"/>
      <c r="AF2134" s="293"/>
      <c r="AG2134" s="19"/>
      <c r="AN2134" s="227"/>
      <c r="AO2134" s="227"/>
      <c r="AP2134" s="227"/>
      <c r="AQ2134" s="227"/>
      <c r="AR2134" s="227"/>
      <c r="AS2134" s="227"/>
      <c r="AT2134" s="227"/>
      <c r="AU2134" s="227"/>
    </row>
    <row r="2135" spans="27:47" ht="12.95" customHeight="1">
      <c r="AA2135" s="227"/>
      <c r="AB2135" s="227"/>
      <c r="AC2135" s="227"/>
      <c r="AD2135" s="227"/>
      <c r="AE2135" s="227"/>
      <c r="AF2135" s="293"/>
      <c r="AG2135" s="19"/>
      <c r="AN2135" s="227"/>
      <c r="AO2135" s="227"/>
      <c r="AP2135" s="227"/>
      <c r="AQ2135" s="227"/>
      <c r="AR2135" s="227"/>
      <c r="AS2135" s="227"/>
      <c r="AT2135" s="227"/>
      <c r="AU2135" s="227"/>
    </row>
    <row r="2136" spans="27:47" ht="12.95" customHeight="1">
      <c r="AA2136" s="227"/>
      <c r="AB2136" s="227"/>
      <c r="AC2136" s="227"/>
      <c r="AD2136" s="227"/>
      <c r="AE2136" s="227"/>
      <c r="AF2136" s="293"/>
      <c r="AG2136" s="19"/>
      <c r="AN2136" s="227"/>
      <c r="AO2136" s="227"/>
      <c r="AP2136" s="227"/>
      <c r="AQ2136" s="227"/>
      <c r="AR2136" s="227"/>
      <c r="AS2136" s="227"/>
      <c r="AT2136" s="227"/>
      <c r="AU2136" s="227"/>
    </row>
    <row r="2137" spans="27:47" ht="12.95" customHeight="1">
      <c r="AA2137" s="227"/>
      <c r="AB2137" s="227"/>
      <c r="AC2137" s="227"/>
      <c r="AD2137" s="227"/>
      <c r="AE2137" s="227"/>
      <c r="AF2137" s="293"/>
      <c r="AG2137" s="19"/>
      <c r="AN2137" s="227"/>
      <c r="AO2137" s="227"/>
      <c r="AP2137" s="227"/>
      <c r="AQ2137" s="227"/>
      <c r="AR2137" s="227"/>
      <c r="AS2137" s="227"/>
      <c r="AT2137" s="227"/>
      <c r="AU2137" s="227"/>
    </row>
    <row r="2138" spans="27:47" ht="12.95" customHeight="1">
      <c r="AA2138" s="227"/>
      <c r="AB2138" s="227"/>
      <c r="AC2138" s="227"/>
      <c r="AD2138" s="227"/>
      <c r="AE2138" s="227"/>
      <c r="AF2138" s="293"/>
      <c r="AG2138" s="19"/>
      <c r="AN2138" s="227"/>
      <c r="AO2138" s="227"/>
      <c r="AP2138" s="227"/>
      <c r="AQ2138" s="227"/>
      <c r="AR2138" s="227"/>
      <c r="AS2138" s="227"/>
      <c r="AT2138" s="227"/>
      <c r="AU2138" s="227"/>
    </row>
    <row r="2139" spans="27:47" ht="12.95" customHeight="1">
      <c r="AA2139" s="227"/>
      <c r="AB2139" s="227"/>
      <c r="AC2139" s="227"/>
      <c r="AD2139" s="227"/>
      <c r="AE2139" s="227"/>
      <c r="AF2139" s="293"/>
      <c r="AG2139" s="19"/>
      <c r="AN2139" s="227"/>
      <c r="AO2139" s="227"/>
      <c r="AP2139" s="227"/>
      <c r="AQ2139" s="227"/>
      <c r="AR2139" s="227"/>
      <c r="AS2139" s="227"/>
      <c r="AT2139" s="227"/>
      <c r="AU2139" s="227"/>
    </row>
    <row r="2140" spans="27:47" ht="12.95" customHeight="1">
      <c r="AA2140" s="227"/>
      <c r="AB2140" s="227"/>
      <c r="AC2140" s="227"/>
      <c r="AD2140" s="227"/>
      <c r="AE2140" s="227"/>
      <c r="AF2140" s="293"/>
      <c r="AG2140" s="19"/>
      <c r="AN2140" s="227"/>
      <c r="AO2140" s="227"/>
      <c r="AP2140" s="227"/>
      <c r="AQ2140" s="227"/>
      <c r="AR2140" s="227"/>
      <c r="AS2140" s="227"/>
      <c r="AT2140" s="227"/>
      <c r="AU2140" s="227"/>
    </row>
    <row r="2141" spans="27:47" ht="12.95" customHeight="1">
      <c r="AA2141" s="227"/>
      <c r="AB2141" s="227"/>
      <c r="AC2141" s="227"/>
      <c r="AD2141" s="227"/>
      <c r="AE2141" s="227"/>
      <c r="AF2141" s="293"/>
      <c r="AG2141" s="19"/>
      <c r="AN2141" s="227"/>
      <c r="AO2141" s="227"/>
      <c r="AP2141" s="227"/>
      <c r="AQ2141" s="227"/>
      <c r="AR2141" s="227"/>
      <c r="AS2141" s="227"/>
      <c r="AT2141" s="227"/>
      <c r="AU2141" s="227"/>
    </row>
    <row r="2142" spans="27:47" ht="12.95" customHeight="1">
      <c r="AA2142" s="227"/>
      <c r="AB2142" s="227"/>
      <c r="AC2142" s="227"/>
      <c r="AD2142" s="227"/>
      <c r="AE2142" s="227"/>
      <c r="AF2142" s="293"/>
      <c r="AG2142" s="19"/>
      <c r="AN2142" s="227"/>
      <c r="AO2142" s="227"/>
      <c r="AP2142" s="227"/>
      <c r="AQ2142" s="227"/>
      <c r="AR2142" s="227"/>
      <c r="AS2142" s="227"/>
      <c r="AT2142" s="227"/>
      <c r="AU2142" s="227"/>
    </row>
    <row r="2143" spans="27:47" ht="12.95" customHeight="1">
      <c r="AA2143" s="227"/>
      <c r="AB2143" s="227"/>
      <c r="AC2143" s="227"/>
      <c r="AD2143" s="227"/>
      <c r="AE2143" s="227"/>
      <c r="AF2143" s="293"/>
      <c r="AG2143" s="19"/>
      <c r="AN2143" s="227"/>
      <c r="AO2143" s="227"/>
      <c r="AP2143" s="227"/>
      <c r="AQ2143" s="227"/>
      <c r="AR2143" s="227"/>
      <c r="AS2143" s="227"/>
      <c r="AT2143" s="227"/>
      <c r="AU2143" s="227"/>
    </row>
    <row r="2144" spans="27:47" ht="12.95" customHeight="1">
      <c r="AA2144" s="227"/>
      <c r="AB2144" s="227"/>
      <c r="AC2144" s="227"/>
      <c r="AD2144" s="227"/>
      <c r="AE2144" s="227"/>
      <c r="AF2144" s="293"/>
      <c r="AG2144" s="19"/>
      <c r="AN2144" s="227"/>
      <c r="AO2144" s="227"/>
      <c r="AP2144" s="227"/>
      <c r="AQ2144" s="227"/>
      <c r="AR2144" s="227"/>
      <c r="AS2144" s="227"/>
      <c r="AT2144" s="227"/>
      <c r="AU2144" s="227"/>
    </row>
    <row r="2145" spans="27:47" ht="12.95" customHeight="1">
      <c r="AA2145" s="227"/>
      <c r="AB2145" s="227"/>
      <c r="AC2145" s="227"/>
      <c r="AD2145" s="227"/>
      <c r="AE2145" s="227"/>
      <c r="AF2145" s="293"/>
      <c r="AG2145" s="19"/>
      <c r="AN2145" s="227"/>
      <c r="AO2145" s="227"/>
      <c r="AP2145" s="227"/>
      <c r="AQ2145" s="227"/>
      <c r="AR2145" s="227"/>
      <c r="AS2145" s="227"/>
      <c r="AT2145" s="227"/>
      <c r="AU2145" s="227"/>
    </row>
    <row r="2146" spans="27:47" ht="12.95" customHeight="1">
      <c r="AA2146" s="227"/>
      <c r="AB2146" s="227"/>
      <c r="AC2146" s="227"/>
      <c r="AD2146" s="227"/>
      <c r="AE2146" s="227"/>
      <c r="AF2146" s="293"/>
      <c r="AG2146" s="19"/>
      <c r="AN2146" s="227"/>
      <c r="AO2146" s="227"/>
      <c r="AP2146" s="227"/>
      <c r="AQ2146" s="227"/>
      <c r="AR2146" s="227"/>
      <c r="AS2146" s="227"/>
      <c r="AT2146" s="227"/>
      <c r="AU2146" s="227"/>
    </row>
    <row r="2147" spans="27:47" ht="12.95" customHeight="1">
      <c r="AA2147" s="227"/>
      <c r="AB2147" s="227"/>
      <c r="AC2147" s="227"/>
      <c r="AD2147" s="227"/>
      <c r="AE2147" s="227"/>
      <c r="AF2147" s="293"/>
      <c r="AG2147" s="19"/>
      <c r="AN2147" s="227"/>
      <c r="AO2147" s="227"/>
      <c r="AP2147" s="227"/>
      <c r="AQ2147" s="227"/>
      <c r="AR2147" s="227"/>
      <c r="AS2147" s="227"/>
      <c r="AT2147" s="227"/>
      <c r="AU2147" s="227"/>
    </row>
    <row r="2148" spans="27:47" ht="12.95" customHeight="1">
      <c r="AA2148" s="227"/>
      <c r="AB2148" s="227"/>
      <c r="AC2148" s="227"/>
      <c r="AD2148" s="227"/>
      <c r="AE2148" s="227"/>
      <c r="AF2148" s="293"/>
      <c r="AG2148" s="19"/>
      <c r="AN2148" s="227"/>
      <c r="AO2148" s="227"/>
      <c r="AP2148" s="227"/>
      <c r="AQ2148" s="227"/>
      <c r="AR2148" s="227"/>
      <c r="AS2148" s="227"/>
      <c r="AT2148" s="227"/>
      <c r="AU2148" s="227"/>
    </row>
    <row r="2149" spans="27:47" ht="12.95" customHeight="1">
      <c r="AA2149" s="227"/>
      <c r="AB2149" s="227"/>
      <c r="AC2149" s="227"/>
      <c r="AD2149" s="227"/>
      <c r="AE2149" s="227"/>
      <c r="AF2149" s="293"/>
      <c r="AG2149" s="19"/>
      <c r="AN2149" s="227"/>
      <c r="AO2149" s="227"/>
      <c r="AP2149" s="227"/>
      <c r="AQ2149" s="227"/>
      <c r="AR2149" s="227"/>
      <c r="AS2149" s="227"/>
      <c r="AT2149" s="227"/>
      <c r="AU2149" s="227"/>
    </row>
    <row r="2150" spans="27:47" ht="12.95" customHeight="1">
      <c r="AA2150" s="227"/>
      <c r="AB2150" s="227"/>
      <c r="AC2150" s="227"/>
      <c r="AD2150" s="227"/>
      <c r="AE2150" s="227"/>
      <c r="AF2150" s="293"/>
      <c r="AG2150" s="19"/>
      <c r="AN2150" s="227"/>
      <c r="AO2150" s="227"/>
      <c r="AP2150" s="227"/>
      <c r="AQ2150" s="227"/>
      <c r="AR2150" s="227"/>
      <c r="AS2150" s="227"/>
      <c r="AT2150" s="227"/>
      <c r="AU2150" s="227"/>
    </row>
    <row r="2151" spans="27:47" ht="12.95" customHeight="1">
      <c r="AA2151" s="227"/>
      <c r="AB2151" s="227"/>
      <c r="AC2151" s="227"/>
      <c r="AD2151" s="227"/>
      <c r="AE2151" s="227"/>
      <c r="AF2151" s="293"/>
      <c r="AG2151" s="19"/>
      <c r="AN2151" s="227"/>
      <c r="AO2151" s="227"/>
      <c r="AP2151" s="227"/>
      <c r="AQ2151" s="227"/>
      <c r="AR2151" s="227"/>
      <c r="AS2151" s="227"/>
      <c r="AT2151" s="227"/>
      <c r="AU2151" s="227"/>
    </row>
    <row r="2152" spans="27:47" ht="12.95" customHeight="1">
      <c r="AA2152" s="227"/>
      <c r="AB2152" s="227"/>
      <c r="AC2152" s="227"/>
      <c r="AD2152" s="227"/>
      <c r="AE2152" s="227"/>
      <c r="AF2152" s="293"/>
      <c r="AG2152" s="19"/>
      <c r="AN2152" s="227"/>
      <c r="AO2152" s="227"/>
      <c r="AP2152" s="227"/>
      <c r="AQ2152" s="227"/>
      <c r="AR2152" s="227"/>
      <c r="AS2152" s="227"/>
      <c r="AT2152" s="227"/>
      <c r="AU2152" s="227"/>
    </row>
    <row r="2153" spans="27:47" ht="12.95" customHeight="1">
      <c r="AA2153" s="227"/>
      <c r="AB2153" s="227"/>
      <c r="AC2153" s="227"/>
      <c r="AD2153" s="227"/>
      <c r="AE2153" s="227"/>
      <c r="AF2153" s="293"/>
      <c r="AG2153" s="19"/>
      <c r="AN2153" s="227"/>
      <c r="AO2153" s="227"/>
      <c r="AP2153" s="227"/>
      <c r="AQ2153" s="227"/>
      <c r="AR2153" s="227"/>
      <c r="AS2153" s="227"/>
      <c r="AT2153" s="227"/>
      <c r="AU2153" s="227"/>
    </row>
    <row r="2154" spans="27:47" ht="12.95" customHeight="1">
      <c r="AA2154" s="227"/>
      <c r="AB2154" s="227"/>
      <c r="AC2154" s="227"/>
      <c r="AD2154" s="227"/>
      <c r="AE2154" s="227"/>
      <c r="AF2154" s="293"/>
      <c r="AG2154" s="19"/>
      <c r="AN2154" s="227"/>
      <c r="AO2154" s="227"/>
      <c r="AP2154" s="227"/>
      <c r="AQ2154" s="227"/>
      <c r="AR2154" s="227"/>
      <c r="AS2154" s="227"/>
      <c r="AT2154" s="227"/>
      <c r="AU2154" s="227"/>
    </row>
    <row r="2155" spans="27:47" ht="12.95" customHeight="1">
      <c r="AA2155" s="227"/>
      <c r="AB2155" s="227"/>
      <c r="AC2155" s="227"/>
      <c r="AD2155" s="227"/>
      <c r="AE2155" s="227"/>
      <c r="AF2155" s="293"/>
      <c r="AG2155" s="19"/>
      <c r="AN2155" s="227"/>
      <c r="AO2155" s="227"/>
      <c r="AP2155" s="227"/>
      <c r="AQ2155" s="227"/>
      <c r="AR2155" s="227"/>
      <c r="AS2155" s="227"/>
      <c r="AT2155" s="227"/>
      <c r="AU2155" s="227"/>
    </row>
    <row r="2156" spans="27:47" ht="12.95" customHeight="1">
      <c r="AA2156" s="227"/>
      <c r="AB2156" s="227"/>
      <c r="AC2156" s="227"/>
      <c r="AD2156" s="227"/>
      <c r="AE2156" s="227"/>
      <c r="AF2156" s="293"/>
      <c r="AG2156" s="19"/>
      <c r="AN2156" s="227"/>
      <c r="AO2156" s="227"/>
      <c r="AP2156" s="227"/>
      <c r="AQ2156" s="227"/>
      <c r="AR2156" s="227"/>
      <c r="AS2156" s="227"/>
      <c r="AT2156" s="227"/>
      <c r="AU2156" s="227"/>
    </row>
    <row r="2157" spans="27:47" ht="12.95" customHeight="1">
      <c r="AA2157" s="227"/>
      <c r="AB2157" s="227"/>
      <c r="AC2157" s="227"/>
      <c r="AD2157" s="227"/>
      <c r="AE2157" s="227"/>
      <c r="AF2157" s="293"/>
      <c r="AG2157" s="19"/>
      <c r="AN2157" s="227"/>
      <c r="AO2157" s="227"/>
      <c r="AP2157" s="227"/>
      <c r="AQ2157" s="227"/>
      <c r="AR2157" s="227"/>
      <c r="AS2157" s="227"/>
      <c r="AT2157" s="227"/>
      <c r="AU2157" s="227"/>
    </row>
    <row r="2158" spans="27:47" ht="12.95" customHeight="1">
      <c r="AA2158" s="227"/>
      <c r="AB2158" s="227"/>
      <c r="AC2158" s="227"/>
      <c r="AD2158" s="227"/>
      <c r="AE2158" s="227"/>
      <c r="AF2158" s="293"/>
      <c r="AG2158" s="19"/>
      <c r="AN2158" s="227"/>
      <c r="AO2158" s="227"/>
      <c r="AP2158" s="227"/>
      <c r="AQ2158" s="227"/>
      <c r="AR2158" s="227"/>
      <c r="AS2158" s="227"/>
      <c r="AT2158" s="227"/>
      <c r="AU2158" s="227"/>
    </row>
    <row r="2159" spans="27:47" ht="12.95" customHeight="1">
      <c r="AA2159" s="227"/>
      <c r="AB2159" s="227"/>
      <c r="AC2159" s="227"/>
      <c r="AD2159" s="227"/>
      <c r="AE2159" s="227"/>
      <c r="AF2159" s="293"/>
      <c r="AG2159" s="19"/>
      <c r="AN2159" s="227"/>
      <c r="AO2159" s="227"/>
      <c r="AP2159" s="227"/>
      <c r="AQ2159" s="227"/>
      <c r="AR2159" s="227"/>
      <c r="AS2159" s="227"/>
      <c r="AT2159" s="227"/>
      <c r="AU2159" s="227"/>
    </row>
    <row r="2160" spans="27:47" ht="12.95" customHeight="1">
      <c r="AA2160" s="227"/>
      <c r="AB2160" s="227"/>
      <c r="AC2160" s="227"/>
      <c r="AD2160" s="227"/>
      <c r="AE2160" s="227"/>
      <c r="AF2160" s="293"/>
      <c r="AG2160" s="19"/>
      <c r="AN2160" s="227"/>
      <c r="AO2160" s="227"/>
      <c r="AP2160" s="227"/>
      <c r="AQ2160" s="227"/>
      <c r="AR2160" s="227"/>
      <c r="AS2160" s="227"/>
      <c r="AT2160" s="227"/>
      <c r="AU2160" s="227"/>
    </row>
    <row r="2161" spans="27:47" ht="12.95" customHeight="1">
      <c r="AA2161" s="227"/>
      <c r="AB2161" s="227"/>
      <c r="AC2161" s="227"/>
      <c r="AD2161" s="227"/>
      <c r="AE2161" s="227"/>
      <c r="AF2161" s="293"/>
      <c r="AG2161" s="19"/>
      <c r="AN2161" s="227"/>
      <c r="AO2161" s="227"/>
      <c r="AP2161" s="227"/>
      <c r="AQ2161" s="227"/>
      <c r="AR2161" s="227"/>
      <c r="AS2161" s="227"/>
      <c r="AT2161" s="227"/>
      <c r="AU2161" s="227"/>
    </row>
    <row r="2162" spans="27:47" ht="12.95" customHeight="1">
      <c r="AA2162" s="227"/>
      <c r="AB2162" s="227"/>
      <c r="AC2162" s="227"/>
      <c r="AD2162" s="227"/>
      <c r="AE2162" s="227"/>
      <c r="AF2162" s="293"/>
      <c r="AG2162" s="19"/>
      <c r="AN2162" s="227"/>
      <c r="AO2162" s="227"/>
      <c r="AP2162" s="227"/>
      <c r="AQ2162" s="227"/>
      <c r="AR2162" s="227"/>
      <c r="AS2162" s="227"/>
      <c r="AT2162" s="227"/>
      <c r="AU2162" s="227"/>
    </row>
    <row r="2163" spans="27:47" ht="12.95" customHeight="1">
      <c r="AA2163" s="227"/>
      <c r="AB2163" s="227"/>
      <c r="AC2163" s="227"/>
      <c r="AD2163" s="227"/>
      <c r="AE2163" s="227"/>
      <c r="AF2163" s="293"/>
      <c r="AG2163" s="19"/>
      <c r="AN2163" s="227"/>
      <c r="AO2163" s="227"/>
      <c r="AP2163" s="227"/>
      <c r="AQ2163" s="227"/>
      <c r="AR2163" s="227"/>
      <c r="AS2163" s="227"/>
      <c r="AT2163" s="227"/>
      <c r="AU2163" s="227"/>
    </row>
    <row r="2164" spans="27:47" ht="12.95" customHeight="1">
      <c r="AA2164" s="227"/>
      <c r="AB2164" s="227"/>
      <c r="AC2164" s="227"/>
      <c r="AD2164" s="227"/>
      <c r="AE2164" s="227"/>
      <c r="AF2164" s="293"/>
      <c r="AG2164" s="19"/>
      <c r="AN2164" s="227"/>
      <c r="AO2164" s="227"/>
      <c r="AP2164" s="227"/>
      <c r="AQ2164" s="227"/>
      <c r="AR2164" s="227"/>
      <c r="AS2164" s="227"/>
      <c r="AT2164" s="227"/>
      <c r="AU2164" s="227"/>
    </row>
    <row r="2165" spans="27:47" ht="12.95" customHeight="1">
      <c r="AA2165" s="227"/>
      <c r="AB2165" s="227"/>
      <c r="AC2165" s="227"/>
      <c r="AD2165" s="227"/>
      <c r="AE2165" s="227"/>
      <c r="AF2165" s="293"/>
      <c r="AG2165" s="19"/>
      <c r="AN2165" s="227"/>
      <c r="AO2165" s="227"/>
      <c r="AP2165" s="227"/>
      <c r="AQ2165" s="227"/>
      <c r="AR2165" s="227"/>
      <c r="AS2165" s="227"/>
      <c r="AT2165" s="227"/>
      <c r="AU2165" s="227"/>
    </row>
    <row r="2166" spans="27:47" ht="12.95" customHeight="1">
      <c r="AA2166" s="227"/>
      <c r="AB2166" s="227"/>
      <c r="AC2166" s="227"/>
      <c r="AD2166" s="227"/>
      <c r="AE2166" s="227"/>
      <c r="AF2166" s="293"/>
      <c r="AG2166" s="19"/>
      <c r="AN2166" s="227"/>
      <c r="AO2166" s="227"/>
      <c r="AP2166" s="227"/>
      <c r="AQ2166" s="227"/>
      <c r="AR2166" s="227"/>
      <c r="AS2166" s="227"/>
      <c r="AT2166" s="227"/>
      <c r="AU2166" s="227"/>
    </row>
    <row r="2167" spans="27:47" ht="12.95" customHeight="1">
      <c r="AA2167" s="227"/>
      <c r="AB2167" s="227"/>
      <c r="AC2167" s="227"/>
      <c r="AD2167" s="227"/>
      <c r="AE2167" s="227"/>
      <c r="AF2167" s="293"/>
      <c r="AG2167" s="19"/>
      <c r="AN2167" s="227"/>
      <c r="AO2167" s="227"/>
      <c r="AP2167" s="227"/>
      <c r="AQ2167" s="227"/>
      <c r="AR2167" s="227"/>
      <c r="AS2167" s="227"/>
      <c r="AT2167" s="227"/>
      <c r="AU2167" s="227"/>
    </row>
    <row r="2168" spans="27:47" ht="12.95" customHeight="1">
      <c r="AA2168" s="227"/>
      <c r="AB2168" s="227"/>
      <c r="AC2168" s="227"/>
      <c r="AD2168" s="227"/>
      <c r="AE2168" s="227"/>
      <c r="AF2168" s="293"/>
      <c r="AG2168" s="19"/>
      <c r="AN2168" s="227"/>
      <c r="AO2168" s="227"/>
      <c r="AP2168" s="227"/>
      <c r="AQ2168" s="227"/>
      <c r="AR2168" s="227"/>
      <c r="AS2168" s="227"/>
      <c r="AT2168" s="227"/>
      <c r="AU2168" s="227"/>
    </row>
    <row r="2169" spans="27:47" ht="12.95" customHeight="1">
      <c r="AA2169" s="227"/>
      <c r="AB2169" s="227"/>
      <c r="AC2169" s="227"/>
      <c r="AD2169" s="227"/>
      <c r="AE2169" s="227"/>
      <c r="AF2169" s="293"/>
      <c r="AG2169" s="19"/>
      <c r="AN2169" s="227"/>
      <c r="AO2169" s="227"/>
      <c r="AP2169" s="227"/>
      <c r="AQ2169" s="227"/>
      <c r="AR2169" s="227"/>
      <c r="AS2169" s="227"/>
      <c r="AT2169" s="227"/>
      <c r="AU2169" s="227"/>
    </row>
    <row r="2170" spans="27:47" ht="12.95" customHeight="1">
      <c r="AA2170" s="227"/>
      <c r="AB2170" s="227"/>
      <c r="AC2170" s="227"/>
      <c r="AD2170" s="227"/>
      <c r="AE2170" s="227"/>
      <c r="AF2170" s="293"/>
      <c r="AG2170" s="19"/>
      <c r="AN2170" s="227"/>
      <c r="AO2170" s="227"/>
      <c r="AP2170" s="227"/>
      <c r="AQ2170" s="227"/>
      <c r="AR2170" s="227"/>
      <c r="AS2170" s="227"/>
      <c r="AT2170" s="227"/>
      <c r="AU2170" s="227"/>
    </row>
    <row r="2171" spans="27:47" ht="12.95" customHeight="1">
      <c r="AA2171" s="227"/>
      <c r="AB2171" s="227"/>
      <c r="AC2171" s="227"/>
      <c r="AD2171" s="227"/>
      <c r="AE2171" s="227"/>
      <c r="AF2171" s="293"/>
      <c r="AG2171" s="19"/>
      <c r="AN2171" s="227"/>
      <c r="AO2171" s="227"/>
      <c r="AP2171" s="227"/>
      <c r="AQ2171" s="227"/>
      <c r="AR2171" s="227"/>
      <c r="AS2171" s="227"/>
      <c r="AT2171" s="227"/>
      <c r="AU2171" s="227"/>
    </row>
    <row r="2172" spans="27:47" ht="12.95" customHeight="1">
      <c r="AA2172" s="227"/>
      <c r="AB2172" s="227"/>
      <c r="AC2172" s="227"/>
      <c r="AD2172" s="227"/>
      <c r="AE2172" s="227"/>
      <c r="AF2172" s="293"/>
      <c r="AG2172" s="19"/>
      <c r="AN2172" s="227"/>
      <c r="AO2172" s="227"/>
      <c r="AP2172" s="227"/>
      <c r="AQ2172" s="227"/>
      <c r="AR2172" s="227"/>
      <c r="AS2172" s="227"/>
      <c r="AT2172" s="227"/>
      <c r="AU2172" s="227"/>
    </row>
    <row r="2173" spans="27:47" ht="12.95" customHeight="1">
      <c r="AA2173" s="227"/>
      <c r="AB2173" s="227"/>
      <c r="AC2173" s="227"/>
      <c r="AD2173" s="227"/>
      <c r="AE2173" s="227"/>
      <c r="AF2173" s="293"/>
      <c r="AG2173" s="19"/>
      <c r="AN2173" s="227"/>
      <c r="AO2173" s="227"/>
      <c r="AP2173" s="227"/>
      <c r="AQ2173" s="227"/>
      <c r="AR2173" s="227"/>
      <c r="AS2173" s="227"/>
      <c r="AT2173" s="227"/>
      <c r="AU2173" s="227"/>
    </row>
    <row r="2174" spans="27:47" ht="12.95" customHeight="1">
      <c r="AA2174" s="227"/>
      <c r="AB2174" s="227"/>
      <c r="AC2174" s="227"/>
      <c r="AD2174" s="227"/>
      <c r="AE2174" s="227"/>
      <c r="AF2174" s="293"/>
      <c r="AG2174" s="19"/>
      <c r="AN2174" s="227"/>
      <c r="AO2174" s="227"/>
      <c r="AP2174" s="227"/>
      <c r="AQ2174" s="227"/>
      <c r="AR2174" s="227"/>
      <c r="AS2174" s="227"/>
      <c r="AT2174" s="227"/>
      <c r="AU2174" s="227"/>
    </row>
    <row r="2175" spans="27:47" ht="12.95" customHeight="1">
      <c r="AA2175" s="227"/>
      <c r="AB2175" s="227"/>
      <c r="AC2175" s="227"/>
      <c r="AD2175" s="227"/>
      <c r="AE2175" s="227"/>
      <c r="AF2175" s="293"/>
      <c r="AG2175" s="19"/>
      <c r="AN2175" s="227"/>
      <c r="AO2175" s="227"/>
      <c r="AP2175" s="227"/>
      <c r="AQ2175" s="227"/>
      <c r="AR2175" s="227"/>
      <c r="AS2175" s="227"/>
      <c r="AT2175" s="227"/>
      <c r="AU2175" s="227"/>
    </row>
    <row r="2176" spans="27:47" ht="12.95" customHeight="1">
      <c r="AA2176" s="227"/>
      <c r="AB2176" s="227"/>
      <c r="AC2176" s="227"/>
      <c r="AD2176" s="227"/>
      <c r="AE2176" s="227"/>
      <c r="AF2176" s="293"/>
      <c r="AG2176" s="19"/>
      <c r="AN2176" s="227"/>
      <c r="AO2176" s="227"/>
      <c r="AP2176" s="227"/>
      <c r="AQ2176" s="227"/>
      <c r="AR2176" s="227"/>
      <c r="AS2176" s="227"/>
      <c r="AT2176" s="227"/>
      <c r="AU2176" s="227"/>
    </row>
    <row r="2177" spans="27:47" ht="12.95" customHeight="1">
      <c r="AA2177" s="227"/>
      <c r="AB2177" s="227"/>
      <c r="AC2177" s="227"/>
      <c r="AD2177" s="227"/>
      <c r="AE2177" s="227"/>
      <c r="AF2177" s="293"/>
      <c r="AG2177" s="19"/>
      <c r="AN2177" s="227"/>
      <c r="AO2177" s="227"/>
      <c r="AP2177" s="227"/>
      <c r="AQ2177" s="227"/>
      <c r="AR2177" s="227"/>
      <c r="AS2177" s="227"/>
      <c r="AT2177" s="227"/>
      <c r="AU2177" s="227"/>
    </row>
    <row r="2178" spans="27:47" ht="12.95" customHeight="1">
      <c r="AA2178" s="227"/>
      <c r="AB2178" s="227"/>
      <c r="AC2178" s="227"/>
      <c r="AD2178" s="227"/>
      <c r="AE2178" s="227"/>
      <c r="AF2178" s="293"/>
      <c r="AG2178" s="19"/>
      <c r="AN2178" s="227"/>
      <c r="AO2178" s="227"/>
      <c r="AP2178" s="227"/>
      <c r="AQ2178" s="227"/>
      <c r="AR2178" s="227"/>
      <c r="AS2178" s="227"/>
      <c r="AT2178" s="227"/>
      <c r="AU2178" s="227"/>
    </row>
    <row r="2179" spans="27:47" ht="12.95" customHeight="1">
      <c r="AA2179" s="227"/>
      <c r="AB2179" s="227"/>
      <c r="AC2179" s="227"/>
      <c r="AD2179" s="227"/>
      <c r="AE2179" s="227"/>
      <c r="AF2179" s="293"/>
      <c r="AG2179" s="19"/>
      <c r="AN2179" s="227"/>
      <c r="AO2179" s="227"/>
      <c r="AP2179" s="227"/>
      <c r="AQ2179" s="227"/>
      <c r="AR2179" s="227"/>
      <c r="AS2179" s="227"/>
      <c r="AT2179" s="227"/>
      <c r="AU2179" s="227"/>
    </row>
    <row r="2180" spans="27:47" ht="12.95" customHeight="1">
      <c r="AA2180" s="227"/>
      <c r="AB2180" s="227"/>
      <c r="AC2180" s="227"/>
      <c r="AD2180" s="227"/>
      <c r="AE2180" s="227"/>
      <c r="AF2180" s="293"/>
      <c r="AG2180" s="19"/>
      <c r="AN2180" s="227"/>
      <c r="AO2180" s="227"/>
      <c r="AP2180" s="227"/>
      <c r="AQ2180" s="227"/>
      <c r="AR2180" s="227"/>
      <c r="AS2180" s="227"/>
      <c r="AT2180" s="227"/>
      <c r="AU2180" s="227"/>
    </row>
    <row r="2181" spans="27:47" ht="12.95" customHeight="1">
      <c r="AA2181" s="227"/>
      <c r="AB2181" s="227"/>
      <c r="AC2181" s="227"/>
      <c r="AD2181" s="227"/>
      <c r="AE2181" s="227"/>
      <c r="AF2181" s="293"/>
      <c r="AG2181" s="19"/>
      <c r="AN2181" s="227"/>
      <c r="AO2181" s="227"/>
      <c r="AP2181" s="227"/>
      <c r="AQ2181" s="227"/>
      <c r="AR2181" s="227"/>
      <c r="AS2181" s="227"/>
      <c r="AT2181" s="227"/>
      <c r="AU2181" s="227"/>
    </row>
    <row r="2182" spans="27:47" ht="12.95" customHeight="1">
      <c r="AA2182" s="227"/>
      <c r="AB2182" s="227"/>
      <c r="AC2182" s="227"/>
      <c r="AD2182" s="227"/>
      <c r="AE2182" s="227"/>
      <c r="AF2182" s="293"/>
      <c r="AG2182" s="19"/>
      <c r="AN2182" s="227"/>
      <c r="AO2182" s="227"/>
      <c r="AP2182" s="227"/>
      <c r="AQ2182" s="227"/>
      <c r="AR2182" s="227"/>
      <c r="AS2182" s="227"/>
      <c r="AT2182" s="227"/>
      <c r="AU2182" s="227"/>
    </row>
    <row r="2183" spans="27:47" ht="12.95" customHeight="1">
      <c r="AA2183" s="227"/>
      <c r="AB2183" s="227"/>
      <c r="AC2183" s="227"/>
      <c r="AD2183" s="227"/>
      <c r="AE2183" s="227"/>
      <c r="AF2183" s="293"/>
      <c r="AG2183" s="19"/>
      <c r="AN2183" s="227"/>
      <c r="AO2183" s="227"/>
      <c r="AP2183" s="227"/>
      <c r="AQ2183" s="227"/>
      <c r="AR2183" s="227"/>
      <c r="AS2183" s="227"/>
      <c r="AT2183" s="227"/>
      <c r="AU2183" s="227"/>
    </row>
    <row r="2184" spans="27:47" ht="12.95" customHeight="1">
      <c r="AA2184" s="227"/>
      <c r="AB2184" s="227"/>
      <c r="AC2184" s="227"/>
      <c r="AD2184" s="227"/>
      <c r="AE2184" s="227"/>
      <c r="AF2184" s="293"/>
      <c r="AG2184" s="19"/>
      <c r="AN2184" s="227"/>
      <c r="AO2184" s="227"/>
      <c r="AP2184" s="227"/>
      <c r="AQ2184" s="227"/>
      <c r="AR2184" s="227"/>
      <c r="AS2184" s="227"/>
      <c r="AT2184" s="227"/>
      <c r="AU2184" s="227"/>
    </row>
    <row r="2185" spans="27:47" ht="12.95" customHeight="1">
      <c r="AA2185" s="227"/>
      <c r="AB2185" s="227"/>
      <c r="AC2185" s="227"/>
      <c r="AD2185" s="227"/>
      <c r="AE2185" s="227"/>
      <c r="AF2185" s="293"/>
      <c r="AG2185" s="19"/>
      <c r="AN2185" s="227"/>
      <c r="AO2185" s="227"/>
      <c r="AP2185" s="227"/>
      <c r="AQ2185" s="227"/>
      <c r="AR2185" s="227"/>
      <c r="AS2185" s="227"/>
      <c r="AT2185" s="227"/>
      <c r="AU2185" s="227"/>
    </row>
    <row r="2186" spans="27:47" ht="12.95" customHeight="1">
      <c r="AA2186" s="227"/>
      <c r="AB2186" s="227"/>
      <c r="AC2186" s="227"/>
      <c r="AD2186" s="227"/>
      <c r="AE2186" s="227"/>
      <c r="AF2186" s="293"/>
      <c r="AG2186" s="19"/>
      <c r="AN2186" s="227"/>
      <c r="AO2186" s="227"/>
      <c r="AP2186" s="227"/>
      <c r="AQ2186" s="227"/>
      <c r="AR2186" s="227"/>
      <c r="AS2186" s="227"/>
      <c r="AT2186" s="227"/>
      <c r="AU2186" s="227"/>
    </row>
    <row r="2187" spans="27:47" ht="12.95" customHeight="1">
      <c r="AA2187" s="227"/>
      <c r="AB2187" s="227"/>
      <c r="AC2187" s="227"/>
      <c r="AD2187" s="227"/>
      <c r="AE2187" s="227"/>
      <c r="AF2187" s="293"/>
      <c r="AG2187" s="19"/>
      <c r="AN2187" s="227"/>
      <c r="AO2187" s="227"/>
      <c r="AP2187" s="227"/>
      <c r="AQ2187" s="227"/>
      <c r="AR2187" s="227"/>
      <c r="AS2187" s="227"/>
      <c r="AT2187" s="227"/>
      <c r="AU2187" s="227"/>
    </row>
    <row r="2188" spans="27:47" ht="12.95" customHeight="1">
      <c r="AA2188" s="227"/>
      <c r="AB2188" s="227"/>
      <c r="AC2188" s="227"/>
      <c r="AD2188" s="227"/>
      <c r="AE2188" s="227"/>
      <c r="AF2188" s="293"/>
      <c r="AG2188" s="19"/>
      <c r="AN2188" s="227"/>
      <c r="AO2188" s="227"/>
      <c r="AP2188" s="227"/>
      <c r="AQ2188" s="227"/>
      <c r="AR2188" s="227"/>
      <c r="AS2188" s="227"/>
      <c r="AT2188" s="227"/>
      <c r="AU2188" s="227"/>
    </row>
    <row r="2189" spans="27:47" ht="12.95" customHeight="1">
      <c r="AA2189" s="227"/>
      <c r="AB2189" s="227"/>
      <c r="AC2189" s="227"/>
      <c r="AD2189" s="227"/>
      <c r="AE2189" s="227"/>
      <c r="AF2189" s="293"/>
      <c r="AG2189" s="19"/>
      <c r="AN2189" s="227"/>
      <c r="AO2189" s="227"/>
      <c r="AP2189" s="227"/>
      <c r="AQ2189" s="227"/>
      <c r="AR2189" s="227"/>
      <c r="AS2189" s="227"/>
      <c r="AT2189" s="227"/>
      <c r="AU2189" s="227"/>
    </row>
    <row r="2190" spans="27:47" ht="12.95" customHeight="1">
      <c r="AA2190" s="227"/>
      <c r="AB2190" s="227"/>
      <c r="AC2190" s="227"/>
      <c r="AD2190" s="227"/>
      <c r="AE2190" s="227"/>
      <c r="AF2190" s="293"/>
      <c r="AG2190" s="19"/>
      <c r="AN2190" s="227"/>
      <c r="AO2190" s="227"/>
      <c r="AP2190" s="227"/>
      <c r="AQ2190" s="227"/>
      <c r="AR2190" s="227"/>
      <c r="AS2190" s="227"/>
      <c r="AT2190" s="227"/>
      <c r="AU2190" s="227"/>
    </row>
    <row r="2191" spans="27:47" ht="12.95" customHeight="1">
      <c r="AA2191" s="227"/>
      <c r="AB2191" s="227"/>
      <c r="AC2191" s="227"/>
      <c r="AD2191" s="227"/>
      <c r="AE2191" s="227"/>
      <c r="AF2191" s="293"/>
      <c r="AG2191" s="19"/>
      <c r="AN2191" s="227"/>
      <c r="AO2191" s="227"/>
      <c r="AP2191" s="227"/>
      <c r="AQ2191" s="227"/>
      <c r="AR2191" s="227"/>
      <c r="AS2191" s="227"/>
      <c r="AT2191" s="227"/>
      <c r="AU2191" s="227"/>
    </row>
    <row r="2192" spans="27:47" ht="12.95" customHeight="1">
      <c r="AA2192" s="227"/>
      <c r="AB2192" s="227"/>
      <c r="AC2192" s="227"/>
      <c r="AD2192" s="227"/>
      <c r="AE2192" s="227"/>
      <c r="AF2192" s="293"/>
      <c r="AG2192" s="19"/>
      <c r="AN2192" s="227"/>
      <c r="AO2192" s="227"/>
      <c r="AP2192" s="227"/>
      <c r="AQ2192" s="227"/>
      <c r="AR2192" s="227"/>
      <c r="AS2192" s="227"/>
      <c r="AT2192" s="227"/>
      <c r="AU2192" s="227"/>
    </row>
    <row r="2193" spans="27:47" ht="12.95" customHeight="1">
      <c r="AA2193" s="227"/>
      <c r="AB2193" s="227"/>
      <c r="AC2193" s="227"/>
      <c r="AD2193" s="227"/>
      <c r="AE2193" s="227"/>
      <c r="AF2193" s="293"/>
      <c r="AG2193" s="19"/>
      <c r="AN2193" s="227"/>
      <c r="AO2193" s="227"/>
      <c r="AP2193" s="227"/>
      <c r="AQ2193" s="227"/>
      <c r="AR2193" s="227"/>
      <c r="AS2193" s="227"/>
      <c r="AT2193" s="227"/>
      <c r="AU2193" s="227"/>
    </row>
    <row r="2194" spans="27:47" ht="12.95" customHeight="1">
      <c r="AA2194" s="227"/>
      <c r="AB2194" s="227"/>
      <c r="AC2194" s="227"/>
      <c r="AD2194" s="227"/>
      <c r="AE2194" s="227"/>
      <c r="AF2194" s="293"/>
      <c r="AG2194" s="19"/>
      <c r="AN2194" s="227"/>
      <c r="AO2194" s="227"/>
      <c r="AP2194" s="227"/>
      <c r="AQ2194" s="227"/>
      <c r="AR2194" s="227"/>
      <c r="AS2194" s="227"/>
      <c r="AT2194" s="227"/>
      <c r="AU2194" s="227"/>
    </row>
    <row r="2195" spans="27:47" ht="12.95" customHeight="1">
      <c r="AA2195" s="227"/>
      <c r="AB2195" s="227"/>
      <c r="AC2195" s="227"/>
      <c r="AD2195" s="227"/>
      <c r="AE2195" s="227"/>
      <c r="AF2195" s="293"/>
      <c r="AG2195" s="19"/>
      <c r="AN2195" s="227"/>
      <c r="AO2195" s="227"/>
      <c r="AP2195" s="227"/>
      <c r="AQ2195" s="227"/>
      <c r="AR2195" s="227"/>
      <c r="AS2195" s="227"/>
      <c r="AT2195" s="227"/>
      <c r="AU2195" s="227"/>
    </row>
    <row r="2196" spans="27:47" ht="12.95" customHeight="1">
      <c r="AA2196" s="227"/>
      <c r="AB2196" s="227"/>
      <c r="AC2196" s="227"/>
      <c r="AD2196" s="227"/>
      <c r="AE2196" s="227"/>
      <c r="AF2196" s="293"/>
      <c r="AG2196" s="19"/>
      <c r="AN2196" s="227"/>
      <c r="AO2196" s="227"/>
      <c r="AP2196" s="227"/>
      <c r="AQ2196" s="227"/>
      <c r="AR2196" s="227"/>
      <c r="AS2196" s="227"/>
      <c r="AT2196" s="227"/>
      <c r="AU2196" s="227"/>
    </row>
    <row r="2197" spans="27:47" ht="12.95" customHeight="1">
      <c r="AA2197" s="227"/>
      <c r="AB2197" s="227"/>
      <c r="AC2197" s="227"/>
      <c r="AD2197" s="227"/>
      <c r="AE2197" s="227"/>
      <c r="AF2197" s="293"/>
      <c r="AG2197" s="19"/>
      <c r="AN2197" s="227"/>
      <c r="AO2197" s="227"/>
      <c r="AP2197" s="227"/>
      <c r="AQ2197" s="227"/>
      <c r="AR2197" s="227"/>
      <c r="AS2197" s="227"/>
      <c r="AT2197" s="227"/>
      <c r="AU2197" s="227"/>
    </row>
    <row r="2198" spans="27:47" ht="12.95" customHeight="1">
      <c r="AA2198" s="227"/>
      <c r="AB2198" s="227"/>
      <c r="AC2198" s="227"/>
      <c r="AD2198" s="227"/>
      <c r="AE2198" s="227"/>
      <c r="AF2198" s="293"/>
      <c r="AG2198" s="19"/>
      <c r="AN2198" s="227"/>
      <c r="AO2198" s="227"/>
      <c r="AP2198" s="227"/>
      <c r="AQ2198" s="227"/>
      <c r="AR2198" s="227"/>
      <c r="AS2198" s="227"/>
      <c r="AT2198" s="227"/>
      <c r="AU2198" s="227"/>
    </row>
    <row r="2199" spans="27:47" ht="12.95" customHeight="1">
      <c r="AA2199" s="227"/>
      <c r="AB2199" s="227"/>
      <c r="AC2199" s="227"/>
      <c r="AD2199" s="227"/>
      <c r="AE2199" s="227"/>
      <c r="AF2199" s="293"/>
      <c r="AG2199" s="19"/>
      <c r="AN2199" s="227"/>
      <c r="AO2199" s="227"/>
      <c r="AP2199" s="227"/>
      <c r="AQ2199" s="227"/>
      <c r="AR2199" s="227"/>
      <c r="AS2199" s="227"/>
      <c r="AT2199" s="227"/>
      <c r="AU2199" s="227"/>
    </row>
    <row r="2200" spans="27:47" ht="12.95" customHeight="1">
      <c r="AA2200" s="227"/>
      <c r="AB2200" s="227"/>
      <c r="AC2200" s="227"/>
      <c r="AD2200" s="227"/>
      <c r="AE2200" s="227"/>
      <c r="AF2200" s="293"/>
      <c r="AG2200" s="19"/>
      <c r="AN2200" s="227"/>
      <c r="AO2200" s="227"/>
      <c r="AP2200" s="227"/>
      <c r="AQ2200" s="227"/>
      <c r="AR2200" s="227"/>
      <c r="AS2200" s="227"/>
      <c r="AT2200" s="227"/>
      <c r="AU2200" s="227"/>
    </row>
    <row r="2201" spans="27:47" ht="12.95" customHeight="1">
      <c r="AA2201" s="227"/>
      <c r="AB2201" s="227"/>
      <c r="AC2201" s="227"/>
      <c r="AD2201" s="227"/>
      <c r="AE2201" s="227"/>
      <c r="AF2201" s="293"/>
      <c r="AG2201" s="19"/>
      <c r="AN2201" s="227"/>
      <c r="AO2201" s="227"/>
      <c r="AP2201" s="227"/>
      <c r="AQ2201" s="227"/>
      <c r="AR2201" s="227"/>
      <c r="AS2201" s="227"/>
      <c r="AT2201" s="227"/>
      <c r="AU2201" s="227"/>
    </row>
    <row r="2202" spans="27:47" ht="12.95" customHeight="1">
      <c r="AA2202" s="227"/>
      <c r="AB2202" s="227"/>
      <c r="AC2202" s="227"/>
      <c r="AD2202" s="227"/>
      <c r="AE2202" s="227"/>
      <c r="AF2202" s="293"/>
      <c r="AG2202" s="19"/>
      <c r="AN2202" s="227"/>
      <c r="AO2202" s="227"/>
      <c r="AP2202" s="227"/>
      <c r="AQ2202" s="227"/>
      <c r="AR2202" s="227"/>
      <c r="AS2202" s="227"/>
      <c r="AT2202" s="227"/>
      <c r="AU2202" s="227"/>
    </row>
    <row r="2203" spans="27:47" ht="12.95" customHeight="1">
      <c r="AA2203" s="227"/>
      <c r="AB2203" s="227"/>
      <c r="AC2203" s="227"/>
      <c r="AD2203" s="227"/>
      <c r="AE2203" s="227"/>
      <c r="AF2203" s="293"/>
      <c r="AG2203" s="19"/>
      <c r="AN2203" s="227"/>
      <c r="AO2203" s="227"/>
      <c r="AP2203" s="227"/>
      <c r="AQ2203" s="227"/>
      <c r="AR2203" s="227"/>
      <c r="AS2203" s="227"/>
      <c r="AT2203" s="227"/>
      <c r="AU2203" s="227"/>
    </row>
    <row r="2204" spans="27:47" ht="12.95" customHeight="1">
      <c r="AA2204" s="227"/>
      <c r="AB2204" s="227"/>
      <c r="AC2204" s="227"/>
      <c r="AD2204" s="227"/>
      <c r="AE2204" s="227"/>
      <c r="AF2204" s="293"/>
      <c r="AG2204" s="19"/>
      <c r="AN2204" s="227"/>
      <c r="AO2204" s="227"/>
      <c r="AP2204" s="227"/>
      <c r="AQ2204" s="227"/>
      <c r="AR2204" s="227"/>
      <c r="AS2204" s="227"/>
      <c r="AT2204" s="227"/>
      <c r="AU2204" s="227"/>
    </row>
    <row r="2205" spans="27:47" ht="12.95" customHeight="1">
      <c r="AA2205" s="227"/>
      <c r="AB2205" s="227"/>
      <c r="AC2205" s="227"/>
      <c r="AD2205" s="227"/>
      <c r="AE2205" s="227"/>
      <c r="AF2205" s="293"/>
      <c r="AG2205" s="19"/>
      <c r="AN2205" s="227"/>
      <c r="AO2205" s="227"/>
      <c r="AP2205" s="227"/>
      <c r="AQ2205" s="227"/>
      <c r="AR2205" s="227"/>
      <c r="AS2205" s="227"/>
      <c r="AT2205" s="227"/>
      <c r="AU2205" s="227"/>
    </row>
    <row r="2206" spans="27:47" ht="12.95" customHeight="1">
      <c r="AA2206" s="227"/>
      <c r="AB2206" s="227"/>
      <c r="AC2206" s="227"/>
      <c r="AD2206" s="227"/>
      <c r="AE2206" s="227"/>
      <c r="AF2206" s="293"/>
      <c r="AG2206" s="19"/>
      <c r="AN2206" s="227"/>
      <c r="AO2206" s="227"/>
      <c r="AP2206" s="227"/>
      <c r="AQ2206" s="227"/>
      <c r="AR2206" s="227"/>
      <c r="AS2206" s="227"/>
      <c r="AT2206" s="227"/>
      <c r="AU2206" s="227"/>
    </row>
    <row r="2207" spans="27:47" ht="12.95" customHeight="1">
      <c r="AA2207" s="227"/>
      <c r="AB2207" s="227"/>
      <c r="AC2207" s="227"/>
      <c r="AD2207" s="227"/>
      <c r="AE2207" s="227"/>
      <c r="AF2207" s="293"/>
      <c r="AG2207" s="19"/>
      <c r="AN2207" s="227"/>
      <c r="AO2207" s="227"/>
      <c r="AP2207" s="227"/>
      <c r="AQ2207" s="227"/>
      <c r="AR2207" s="227"/>
      <c r="AS2207" s="227"/>
      <c r="AT2207" s="227"/>
      <c r="AU2207" s="227"/>
    </row>
    <row r="2208" spans="27:47" ht="12.95" customHeight="1">
      <c r="AA2208" s="227"/>
      <c r="AB2208" s="227"/>
      <c r="AC2208" s="227"/>
      <c r="AD2208" s="227"/>
      <c r="AE2208" s="227"/>
      <c r="AF2208" s="293"/>
      <c r="AG2208" s="19"/>
      <c r="AN2208" s="227"/>
      <c r="AO2208" s="227"/>
      <c r="AP2208" s="227"/>
      <c r="AQ2208" s="227"/>
      <c r="AR2208" s="227"/>
      <c r="AS2208" s="227"/>
      <c r="AT2208" s="227"/>
      <c r="AU2208" s="227"/>
    </row>
    <row r="2209" spans="27:47" ht="12.95" customHeight="1">
      <c r="AA2209" s="227"/>
      <c r="AB2209" s="227"/>
      <c r="AC2209" s="227"/>
      <c r="AD2209" s="227"/>
      <c r="AE2209" s="227"/>
      <c r="AF2209" s="293"/>
      <c r="AG2209" s="19"/>
      <c r="AN2209" s="227"/>
      <c r="AO2209" s="227"/>
      <c r="AP2209" s="227"/>
      <c r="AQ2209" s="227"/>
      <c r="AR2209" s="227"/>
      <c r="AS2209" s="227"/>
      <c r="AT2209" s="227"/>
      <c r="AU2209" s="227"/>
    </row>
    <row r="2210" spans="27:47" ht="12.95" customHeight="1">
      <c r="AA2210" s="227"/>
      <c r="AB2210" s="227"/>
      <c r="AC2210" s="227"/>
      <c r="AD2210" s="227"/>
      <c r="AE2210" s="227"/>
      <c r="AF2210" s="293"/>
      <c r="AG2210" s="19"/>
      <c r="AN2210" s="227"/>
      <c r="AO2210" s="227"/>
      <c r="AP2210" s="227"/>
      <c r="AQ2210" s="227"/>
      <c r="AR2210" s="227"/>
      <c r="AS2210" s="227"/>
      <c r="AT2210" s="227"/>
      <c r="AU2210" s="227"/>
    </row>
    <row r="2211" spans="27:47" ht="12.95" customHeight="1">
      <c r="AA2211" s="227"/>
      <c r="AB2211" s="227"/>
      <c r="AC2211" s="227"/>
      <c r="AD2211" s="227"/>
      <c r="AE2211" s="227"/>
      <c r="AF2211" s="293"/>
      <c r="AG2211" s="19"/>
      <c r="AN2211" s="227"/>
      <c r="AO2211" s="227"/>
      <c r="AP2211" s="227"/>
      <c r="AQ2211" s="227"/>
      <c r="AR2211" s="227"/>
      <c r="AS2211" s="227"/>
      <c r="AT2211" s="227"/>
      <c r="AU2211" s="227"/>
    </row>
    <row r="2212" spans="27:47" ht="12.95" customHeight="1">
      <c r="AA2212" s="227"/>
      <c r="AB2212" s="227"/>
      <c r="AC2212" s="227"/>
      <c r="AD2212" s="227"/>
      <c r="AE2212" s="227"/>
      <c r="AF2212" s="293"/>
      <c r="AG2212" s="19"/>
      <c r="AN2212" s="227"/>
      <c r="AO2212" s="227"/>
      <c r="AP2212" s="227"/>
      <c r="AQ2212" s="227"/>
      <c r="AR2212" s="227"/>
      <c r="AS2212" s="227"/>
      <c r="AT2212" s="227"/>
      <c r="AU2212" s="227"/>
    </row>
    <row r="2213" spans="27:47" ht="12.95" customHeight="1">
      <c r="AA2213" s="227"/>
      <c r="AB2213" s="227"/>
      <c r="AC2213" s="227"/>
      <c r="AD2213" s="227"/>
      <c r="AE2213" s="227"/>
      <c r="AF2213" s="293"/>
      <c r="AG2213" s="19"/>
      <c r="AN2213" s="227"/>
      <c r="AO2213" s="227"/>
      <c r="AP2213" s="227"/>
      <c r="AQ2213" s="227"/>
      <c r="AR2213" s="227"/>
      <c r="AS2213" s="227"/>
      <c r="AT2213" s="227"/>
      <c r="AU2213" s="227"/>
    </row>
    <row r="2214" spans="27:47" ht="12.95" customHeight="1">
      <c r="AA2214" s="227"/>
      <c r="AB2214" s="227"/>
      <c r="AC2214" s="227"/>
      <c r="AD2214" s="227"/>
      <c r="AE2214" s="227"/>
      <c r="AF2214" s="293"/>
      <c r="AG2214" s="19"/>
      <c r="AN2214" s="227"/>
      <c r="AO2214" s="227"/>
      <c r="AP2214" s="227"/>
      <c r="AQ2214" s="227"/>
      <c r="AR2214" s="227"/>
      <c r="AS2214" s="227"/>
      <c r="AT2214" s="227"/>
      <c r="AU2214" s="227"/>
    </row>
    <row r="2215" spans="27:47" ht="12.95" customHeight="1">
      <c r="AA2215" s="227"/>
      <c r="AB2215" s="227"/>
      <c r="AC2215" s="227"/>
      <c r="AD2215" s="227"/>
      <c r="AE2215" s="227"/>
      <c r="AF2215" s="293"/>
      <c r="AG2215" s="19"/>
      <c r="AN2215" s="227"/>
      <c r="AO2215" s="227"/>
      <c r="AP2215" s="227"/>
      <c r="AQ2215" s="227"/>
      <c r="AR2215" s="227"/>
      <c r="AS2215" s="227"/>
      <c r="AT2215" s="227"/>
      <c r="AU2215" s="227"/>
    </row>
    <row r="2216" spans="27:47" ht="12.95" customHeight="1">
      <c r="AA2216" s="227"/>
      <c r="AB2216" s="227"/>
      <c r="AC2216" s="227"/>
      <c r="AD2216" s="227"/>
      <c r="AE2216" s="227"/>
      <c r="AF2216" s="293"/>
      <c r="AG2216" s="19"/>
      <c r="AN2216" s="227"/>
      <c r="AO2216" s="227"/>
      <c r="AP2216" s="227"/>
      <c r="AQ2216" s="227"/>
      <c r="AR2216" s="227"/>
      <c r="AS2216" s="227"/>
      <c r="AT2216" s="227"/>
      <c r="AU2216" s="227"/>
    </row>
    <row r="2217" spans="27:47" ht="12.95" customHeight="1">
      <c r="AA2217" s="227"/>
      <c r="AB2217" s="227"/>
      <c r="AC2217" s="227"/>
      <c r="AD2217" s="227"/>
      <c r="AE2217" s="227"/>
      <c r="AF2217" s="293"/>
      <c r="AG2217" s="19"/>
      <c r="AN2217" s="227"/>
      <c r="AO2217" s="227"/>
      <c r="AP2217" s="227"/>
      <c r="AQ2217" s="227"/>
      <c r="AR2217" s="227"/>
      <c r="AS2217" s="227"/>
      <c r="AT2217" s="227"/>
      <c r="AU2217" s="227"/>
    </row>
    <row r="2218" spans="27:47" ht="12.95" customHeight="1">
      <c r="AA2218" s="227"/>
      <c r="AB2218" s="227"/>
      <c r="AC2218" s="227"/>
      <c r="AD2218" s="227"/>
      <c r="AE2218" s="227"/>
      <c r="AF2218" s="293"/>
      <c r="AG2218" s="19"/>
      <c r="AN2218" s="227"/>
      <c r="AO2218" s="227"/>
      <c r="AP2218" s="227"/>
      <c r="AQ2218" s="227"/>
      <c r="AR2218" s="227"/>
      <c r="AS2218" s="227"/>
      <c r="AT2218" s="227"/>
      <c r="AU2218" s="227"/>
    </row>
    <row r="2219" spans="27:47" ht="12.95" customHeight="1">
      <c r="AA2219" s="227"/>
      <c r="AB2219" s="227"/>
      <c r="AC2219" s="227"/>
      <c r="AD2219" s="227"/>
      <c r="AE2219" s="227"/>
      <c r="AF2219" s="293"/>
      <c r="AG2219" s="19"/>
      <c r="AN2219" s="227"/>
      <c r="AO2219" s="227"/>
      <c r="AP2219" s="227"/>
      <c r="AQ2219" s="227"/>
      <c r="AR2219" s="227"/>
      <c r="AS2219" s="227"/>
      <c r="AT2219" s="227"/>
      <c r="AU2219" s="227"/>
    </row>
    <row r="2220" spans="27:47" ht="12.95" customHeight="1">
      <c r="AA2220" s="227"/>
      <c r="AB2220" s="227"/>
      <c r="AC2220" s="227"/>
      <c r="AD2220" s="227"/>
      <c r="AE2220" s="227"/>
      <c r="AF2220" s="293"/>
      <c r="AG2220" s="19"/>
      <c r="AN2220" s="227"/>
      <c r="AO2220" s="227"/>
      <c r="AP2220" s="227"/>
      <c r="AQ2220" s="227"/>
      <c r="AR2220" s="227"/>
      <c r="AS2220" s="227"/>
      <c r="AT2220" s="227"/>
      <c r="AU2220" s="227"/>
    </row>
    <row r="2221" spans="27:47" ht="12.95" customHeight="1">
      <c r="AA2221" s="227"/>
      <c r="AB2221" s="227"/>
      <c r="AC2221" s="227"/>
      <c r="AD2221" s="227"/>
      <c r="AE2221" s="227"/>
      <c r="AF2221" s="293"/>
      <c r="AG2221" s="19"/>
      <c r="AN2221" s="227"/>
      <c r="AO2221" s="227"/>
      <c r="AP2221" s="227"/>
      <c r="AQ2221" s="227"/>
      <c r="AR2221" s="227"/>
      <c r="AS2221" s="227"/>
      <c r="AT2221" s="227"/>
      <c r="AU2221" s="227"/>
    </row>
    <row r="2222" spans="27:47" ht="12.95" customHeight="1">
      <c r="AA2222" s="227"/>
      <c r="AB2222" s="227"/>
      <c r="AC2222" s="227"/>
      <c r="AD2222" s="227"/>
      <c r="AE2222" s="227"/>
      <c r="AF2222" s="293"/>
      <c r="AG2222" s="19"/>
      <c r="AN2222" s="227"/>
      <c r="AO2222" s="227"/>
      <c r="AP2222" s="227"/>
      <c r="AQ2222" s="227"/>
      <c r="AR2222" s="227"/>
      <c r="AS2222" s="227"/>
      <c r="AT2222" s="227"/>
      <c r="AU2222" s="227"/>
    </row>
    <row r="2223" spans="27:47" ht="12.95" customHeight="1">
      <c r="AA2223" s="227"/>
      <c r="AB2223" s="227"/>
      <c r="AC2223" s="227"/>
      <c r="AD2223" s="227"/>
      <c r="AE2223" s="227"/>
      <c r="AF2223" s="293"/>
      <c r="AG2223" s="19"/>
      <c r="AN2223" s="227"/>
      <c r="AO2223" s="227"/>
      <c r="AP2223" s="227"/>
      <c r="AQ2223" s="227"/>
      <c r="AR2223" s="227"/>
      <c r="AS2223" s="227"/>
      <c r="AT2223" s="227"/>
      <c r="AU2223" s="227"/>
    </row>
    <row r="2224" spans="27:47" ht="12.95" customHeight="1">
      <c r="AA2224" s="227"/>
      <c r="AB2224" s="227"/>
      <c r="AC2224" s="227"/>
      <c r="AD2224" s="227"/>
      <c r="AE2224" s="227"/>
      <c r="AF2224" s="293"/>
      <c r="AG2224" s="19"/>
      <c r="AN2224" s="227"/>
      <c r="AO2224" s="227"/>
      <c r="AP2224" s="227"/>
      <c r="AQ2224" s="227"/>
      <c r="AR2224" s="227"/>
      <c r="AS2224" s="227"/>
      <c r="AT2224" s="227"/>
      <c r="AU2224" s="227"/>
    </row>
    <row r="2225" spans="27:47" ht="12.95" customHeight="1">
      <c r="AA2225" s="227"/>
      <c r="AB2225" s="227"/>
      <c r="AC2225" s="227"/>
      <c r="AD2225" s="227"/>
      <c r="AE2225" s="227"/>
      <c r="AF2225" s="293"/>
      <c r="AG2225" s="19"/>
      <c r="AN2225" s="227"/>
      <c r="AO2225" s="227"/>
      <c r="AP2225" s="227"/>
      <c r="AQ2225" s="227"/>
      <c r="AR2225" s="227"/>
      <c r="AS2225" s="227"/>
      <c r="AT2225" s="227"/>
      <c r="AU2225" s="227"/>
    </row>
    <row r="2226" spans="27:47" ht="12.95" customHeight="1">
      <c r="AA2226" s="227"/>
      <c r="AB2226" s="227"/>
      <c r="AC2226" s="227"/>
      <c r="AD2226" s="227"/>
      <c r="AE2226" s="227"/>
      <c r="AF2226" s="293"/>
      <c r="AG2226" s="19"/>
      <c r="AN2226" s="227"/>
      <c r="AO2226" s="227"/>
      <c r="AP2226" s="227"/>
      <c r="AQ2226" s="227"/>
      <c r="AR2226" s="227"/>
      <c r="AS2226" s="227"/>
      <c r="AT2226" s="227"/>
      <c r="AU2226" s="227"/>
    </row>
    <row r="2227" spans="27:47" ht="12.95" customHeight="1">
      <c r="AA2227" s="227"/>
      <c r="AB2227" s="227"/>
      <c r="AC2227" s="227"/>
      <c r="AD2227" s="227"/>
      <c r="AE2227" s="227"/>
      <c r="AF2227" s="293"/>
      <c r="AG2227" s="19"/>
      <c r="AN2227" s="227"/>
      <c r="AO2227" s="227"/>
      <c r="AP2227" s="227"/>
      <c r="AQ2227" s="227"/>
      <c r="AR2227" s="227"/>
      <c r="AS2227" s="227"/>
      <c r="AT2227" s="227"/>
      <c r="AU2227" s="227"/>
    </row>
    <row r="2228" spans="27:47" ht="12.95" customHeight="1">
      <c r="AA2228" s="227"/>
      <c r="AB2228" s="227"/>
      <c r="AC2228" s="227"/>
      <c r="AD2228" s="227"/>
      <c r="AE2228" s="227"/>
      <c r="AF2228" s="293"/>
      <c r="AG2228" s="19"/>
      <c r="AN2228" s="227"/>
      <c r="AO2228" s="227"/>
      <c r="AP2228" s="227"/>
      <c r="AQ2228" s="227"/>
      <c r="AR2228" s="227"/>
      <c r="AS2228" s="227"/>
      <c r="AT2228" s="227"/>
      <c r="AU2228" s="227"/>
    </row>
    <row r="2229" spans="27:47" ht="12.95" customHeight="1">
      <c r="AA2229" s="227"/>
      <c r="AB2229" s="227"/>
      <c r="AC2229" s="227"/>
      <c r="AD2229" s="227"/>
      <c r="AE2229" s="227"/>
      <c r="AF2229" s="293"/>
      <c r="AG2229" s="19"/>
      <c r="AN2229" s="227"/>
      <c r="AO2229" s="227"/>
      <c r="AP2229" s="227"/>
      <c r="AQ2229" s="227"/>
      <c r="AR2229" s="227"/>
      <c r="AS2229" s="227"/>
      <c r="AT2229" s="227"/>
      <c r="AU2229" s="227"/>
    </row>
    <row r="2230" spans="27:47" ht="12.95" customHeight="1">
      <c r="AA2230" s="227"/>
      <c r="AB2230" s="227"/>
      <c r="AC2230" s="227"/>
      <c r="AD2230" s="227"/>
      <c r="AE2230" s="227"/>
      <c r="AF2230" s="293"/>
      <c r="AG2230" s="19"/>
      <c r="AN2230" s="227"/>
      <c r="AO2230" s="227"/>
      <c r="AP2230" s="227"/>
      <c r="AQ2230" s="227"/>
      <c r="AR2230" s="227"/>
      <c r="AS2230" s="227"/>
      <c r="AT2230" s="227"/>
      <c r="AU2230" s="227"/>
    </row>
    <row r="2231" spans="27:47" ht="12.95" customHeight="1">
      <c r="AA2231" s="227"/>
      <c r="AB2231" s="227"/>
      <c r="AC2231" s="227"/>
      <c r="AD2231" s="227"/>
      <c r="AE2231" s="227"/>
      <c r="AF2231" s="293"/>
      <c r="AG2231" s="19"/>
      <c r="AN2231" s="227"/>
      <c r="AO2231" s="227"/>
      <c r="AP2231" s="227"/>
      <c r="AQ2231" s="227"/>
      <c r="AR2231" s="227"/>
      <c r="AS2231" s="227"/>
      <c r="AT2231" s="227"/>
      <c r="AU2231" s="227"/>
    </row>
    <row r="2232" spans="27:47" ht="12.95" customHeight="1">
      <c r="AA2232" s="227"/>
      <c r="AB2232" s="227"/>
      <c r="AC2232" s="227"/>
      <c r="AD2232" s="227"/>
      <c r="AE2232" s="227"/>
      <c r="AF2232" s="293"/>
      <c r="AG2232" s="19"/>
      <c r="AN2232" s="227"/>
      <c r="AO2232" s="227"/>
      <c r="AP2232" s="227"/>
      <c r="AQ2232" s="227"/>
      <c r="AR2232" s="227"/>
      <c r="AS2232" s="227"/>
      <c r="AT2232" s="227"/>
      <c r="AU2232" s="227"/>
    </row>
    <row r="2233" spans="27:47" ht="12.95" customHeight="1">
      <c r="AA2233" s="227"/>
      <c r="AB2233" s="227"/>
      <c r="AC2233" s="227"/>
      <c r="AD2233" s="227"/>
      <c r="AE2233" s="227"/>
      <c r="AF2233" s="293"/>
      <c r="AG2233" s="19"/>
      <c r="AN2233" s="227"/>
      <c r="AO2233" s="227"/>
      <c r="AP2233" s="227"/>
      <c r="AQ2233" s="227"/>
      <c r="AR2233" s="227"/>
      <c r="AS2233" s="227"/>
      <c r="AT2233" s="227"/>
      <c r="AU2233" s="227"/>
    </row>
    <row r="2234" spans="27:47" ht="12.95" customHeight="1">
      <c r="AA2234" s="227"/>
      <c r="AB2234" s="227"/>
      <c r="AC2234" s="227"/>
      <c r="AD2234" s="227"/>
      <c r="AE2234" s="227"/>
      <c r="AF2234" s="293"/>
      <c r="AG2234" s="19"/>
      <c r="AN2234" s="227"/>
      <c r="AO2234" s="227"/>
      <c r="AP2234" s="227"/>
      <c r="AQ2234" s="227"/>
      <c r="AR2234" s="227"/>
      <c r="AS2234" s="227"/>
      <c r="AT2234" s="227"/>
      <c r="AU2234" s="227"/>
    </row>
    <row r="2235" spans="27:47" ht="12.95" customHeight="1">
      <c r="AA2235" s="227"/>
      <c r="AB2235" s="227"/>
      <c r="AC2235" s="227"/>
      <c r="AD2235" s="227"/>
      <c r="AE2235" s="227"/>
      <c r="AF2235" s="293"/>
      <c r="AG2235" s="19"/>
      <c r="AN2235" s="227"/>
      <c r="AO2235" s="227"/>
      <c r="AP2235" s="227"/>
      <c r="AQ2235" s="227"/>
      <c r="AR2235" s="227"/>
      <c r="AS2235" s="227"/>
      <c r="AT2235" s="227"/>
      <c r="AU2235" s="227"/>
    </row>
    <row r="2236" spans="27:47" ht="12.95" customHeight="1">
      <c r="AA2236" s="227"/>
      <c r="AB2236" s="227"/>
      <c r="AC2236" s="227"/>
      <c r="AD2236" s="227"/>
      <c r="AE2236" s="227"/>
      <c r="AF2236" s="293"/>
      <c r="AG2236" s="19"/>
      <c r="AN2236" s="227"/>
      <c r="AO2236" s="227"/>
      <c r="AP2236" s="227"/>
      <c r="AQ2236" s="227"/>
      <c r="AR2236" s="227"/>
      <c r="AS2236" s="227"/>
      <c r="AT2236" s="227"/>
      <c r="AU2236" s="227"/>
    </row>
    <row r="2237" spans="27:47" ht="12.95" customHeight="1">
      <c r="AA2237" s="227"/>
      <c r="AB2237" s="227"/>
      <c r="AC2237" s="227"/>
      <c r="AD2237" s="227"/>
      <c r="AE2237" s="227"/>
      <c r="AF2237" s="293"/>
      <c r="AG2237" s="19"/>
      <c r="AN2237" s="227"/>
      <c r="AO2237" s="227"/>
      <c r="AP2237" s="227"/>
      <c r="AQ2237" s="227"/>
      <c r="AR2237" s="227"/>
      <c r="AS2237" s="227"/>
      <c r="AT2237" s="227"/>
      <c r="AU2237" s="227"/>
    </row>
    <row r="2238" spans="27:47" ht="12.95" customHeight="1">
      <c r="AA2238" s="227"/>
      <c r="AB2238" s="227"/>
      <c r="AC2238" s="227"/>
      <c r="AD2238" s="227"/>
      <c r="AE2238" s="227"/>
      <c r="AF2238" s="293"/>
      <c r="AG2238" s="19"/>
      <c r="AN2238" s="227"/>
      <c r="AO2238" s="227"/>
      <c r="AP2238" s="227"/>
      <c r="AQ2238" s="227"/>
      <c r="AR2238" s="227"/>
      <c r="AS2238" s="227"/>
      <c r="AT2238" s="227"/>
      <c r="AU2238" s="227"/>
    </row>
    <row r="2239" spans="27:47" ht="12.95" customHeight="1">
      <c r="AA2239" s="227"/>
      <c r="AB2239" s="227"/>
      <c r="AC2239" s="227"/>
      <c r="AD2239" s="227"/>
      <c r="AE2239" s="227"/>
      <c r="AF2239" s="293"/>
      <c r="AG2239" s="19"/>
      <c r="AN2239" s="227"/>
      <c r="AO2239" s="227"/>
      <c r="AP2239" s="227"/>
      <c r="AQ2239" s="227"/>
      <c r="AR2239" s="227"/>
      <c r="AS2239" s="227"/>
      <c r="AT2239" s="227"/>
      <c r="AU2239" s="227"/>
    </row>
    <row r="2240" spans="27:47" ht="12.95" customHeight="1">
      <c r="AA2240" s="227"/>
      <c r="AB2240" s="227"/>
      <c r="AC2240" s="227"/>
      <c r="AD2240" s="227"/>
      <c r="AE2240" s="227"/>
      <c r="AF2240" s="293"/>
      <c r="AG2240" s="19"/>
      <c r="AN2240" s="227"/>
      <c r="AO2240" s="227"/>
      <c r="AP2240" s="227"/>
      <c r="AQ2240" s="227"/>
      <c r="AR2240" s="227"/>
      <c r="AS2240" s="227"/>
      <c r="AT2240" s="227"/>
      <c r="AU2240" s="227"/>
    </row>
    <row r="2241" spans="27:47" ht="12.95" customHeight="1">
      <c r="AA2241" s="227"/>
      <c r="AB2241" s="227"/>
      <c r="AC2241" s="227"/>
      <c r="AD2241" s="227"/>
      <c r="AE2241" s="227"/>
      <c r="AF2241" s="293"/>
      <c r="AG2241" s="19"/>
      <c r="AN2241" s="227"/>
      <c r="AO2241" s="227"/>
      <c r="AP2241" s="227"/>
      <c r="AQ2241" s="227"/>
      <c r="AR2241" s="227"/>
      <c r="AS2241" s="227"/>
      <c r="AT2241" s="227"/>
      <c r="AU2241" s="227"/>
    </row>
    <row r="2242" spans="27:47" ht="12.95" customHeight="1">
      <c r="AA2242" s="227"/>
      <c r="AB2242" s="227"/>
      <c r="AC2242" s="227"/>
      <c r="AD2242" s="227"/>
      <c r="AE2242" s="227"/>
      <c r="AF2242" s="293"/>
      <c r="AG2242" s="19"/>
      <c r="AN2242" s="227"/>
      <c r="AO2242" s="227"/>
      <c r="AP2242" s="227"/>
      <c r="AQ2242" s="227"/>
      <c r="AR2242" s="227"/>
      <c r="AS2242" s="227"/>
      <c r="AT2242" s="227"/>
      <c r="AU2242" s="227"/>
    </row>
    <row r="2243" spans="27:47" ht="12.95" customHeight="1">
      <c r="AA2243" s="227"/>
      <c r="AB2243" s="227"/>
      <c r="AC2243" s="227"/>
      <c r="AD2243" s="227"/>
      <c r="AE2243" s="227"/>
      <c r="AF2243" s="293"/>
      <c r="AG2243" s="19"/>
      <c r="AN2243" s="227"/>
      <c r="AO2243" s="227"/>
      <c r="AP2243" s="227"/>
      <c r="AQ2243" s="227"/>
      <c r="AR2243" s="227"/>
      <c r="AS2243" s="227"/>
      <c r="AT2243" s="227"/>
      <c r="AU2243" s="227"/>
    </row>
    <row r="2244" spans="27:47" ht="12.95" customHeight="1">
      <c r="AA2244" s="227"/>
      <c r="AB2244" s="227"/>
      <c r="AC2244" s="227"/>
      <c r="AD2244" s="227"/>
      <c r="AE2244" s="227"/>
      <c r="AF2244" s="293"/>
      <c r="AG2244" s="19"/>
      <c r="AN2244" s="227"/>
      <c r="AO2244" s="227"/>
      <c r="AP2244" s="227"/>
      <c r="AQ2244" s="227"/>
      <c r="AR2244" s="227"/>
      <c r="AS2244" s="227"/>
      <c r="AT2244" s="227"/>
      <c r="AU2244" s="227"/>
    </row>
    <row r="2245" spans="27:47" ht="12.95" customHeight="1">
      <c r="AA2245" s="227"/>
      <c r="AB2245" s="227"/>
      <c r="AC2245" s="227"/>
      <c r="AD2245" s="227"/>
      <c r="AE2245" s="227"/>
      <c r="AF2245" s="293"/>
      <c r="AG2245" s="19"/>
      <c r="AN2245" s="227"/>
      <c r="AO2245" s="227"/>
      <c r="AP2245" s="227"/>
      <c r="AQ2245" s="227"/>
      <c r="AR2245" s="227"/>
      <c r="AS2245" s="227"/>
      <c r="AT2245" s="227"/>
      <c r="AU2245" s="227"/>
    </row>
    <row r="2246" spans="27:47" ht="12.95" customHeight="1">
      <c r="AA2246" s="227"/>
      <c r="AB2246" s="227"/>
      <c r="AC2246" s="227"/>
      <c r="AD2246" s="227"/>
      <c r="AE2246" s="227"/>
      <c r="AF2246" s="293"/>
      <c r="AG2246" s="19"/>
      <c r="AN2246" s="227"/>
      <c r="AO2246" s="227"/>
      <c r="AP2246" s="227"/>
      <c r="AQ2246" s="227"/>
      <c r="AR2246" s="227"/>
      <c r="AS2246" s="227"/>
      <c r="AT2246" s="227"/>
      <c r="AU2246" s="227"/>
    </row>
    <row r="2247" spans="27:47" ht="12.95" customHeight="1">
      <c r="AA2247" s="227"/>
      <c r="AB2247" s="227"/>
      <c r="AC2247" s="227"/>
      <c r="AD2247" s="227"/>
      <c r="AE2247" s="227"/>
      <c r="AF2247" s="293"/>
      <c r="AG2247" s="19"/>
      <c r="AN2247" s="227"/>
      <c r="AO2247" s="227"/>
      <c r="AP2247" s="227"/>
      <c r="AQ2247" s="227"/>
      <c r="AR2247" s="227"/>
      <c r="AS2247" s="227"/>
      <c r="AT2247" s="227"/>
      <c r="AU2247" s="227"/>
    </row>
    <row r="2248" spans="27:47" ht="12.95" customHeight="1">
      <c r="AA2248" s="227"/>
      <c r="AB2248" s="227"/>
      <c r="AC2248" s="227"/>
      <c r="AD2248" s="227"/>
      <c r="AE2248" s="227"/>
      <c r="AF2248" s="293"/>
      <c r="AG2248" s="19"/>
      <c r="AN2248" s="227"/>
      <c r="AO2248" s="227"/>
      <c r="AP2248" s="227"/>
      <c r="AQ2248" s="227"/>
      <c r="AR2248" s="227"/>
      <c r="AS2248" s="227"/>
      <c r="AT2248" s="227"/>
      <c r="AU2248" s="227"/>
    </row>
    <row r="2249" spans="27:47" ht="12.95" customHeight="1">
      <c r="AA2249" s="227"/>
      <c r="AB2249" s="227"/>
      <c r="AC2249" s="227"/>
      <c r="AD2249" s="227"/>
      <c r="AE2249" s="227"/>
      <c r="AF2249" s="293"/>
      <c r="AG2249" s="19"/>
      <c r="AN2249" s="227"/>
      <c r="AO2249" s="227"/>
      <c r="AP2249" s="227"/>
      <c r="AQ2249" s="227"/>
      <c r="AR2249" s="227"/>
      <c r="AS2249" s="227"/>
      <c r="AT2249" s="227"/>
      <c r="AU2249" s="227"/>
    </row>
    <row r="2250" spans="27:47" ht="12.95" customHeight="1">
      <c r="AA2250" s="227"/>
      <c r="AB2250" s="227"/>
      <c r="AC2250" s="227"/>
      <c r="AD2250" s="227"/>
      <c r="AE2250" s="227"/>
      <c r="AF2250" s="293"/>
      <c r="AG2250" s="19"/>
      <c r="AN2250" s="227"/>
      <c r="AO2250" s="227"/>
      <c r="AP2250" s="227"/>
      <c r="AQ2250" s="227"/>
      <c r="AR2250" s="227"/>
      <c r="AS2250" s="227"/>
      <c r="AT2250" s="227"/>
      <c r="AU2250" s="227"/>
    </row>
    <row r="2251" spans="27:47" ht="12.95" customHeight="1">
      <c r="AA2251" s="227"/>
      <c r="AB2251" s="227"/>
      <c r="AC2251" s="227"/>
      <c r="AD2251" s="227"/>
      <c r="AE2251" s="227"/>
      <c r="AF2251" s="293"/>
      <c r="AG2251" s="19"/>
      <c r="AN2251" s="227"/>
      <c r="AO2251" s="227"/>
      <c r="AP2251" s="227"/>
      <c r="AQ2251" s="227"/>
      <c r="AR2251" s="227"/>
      <c r="AS2251" s="227"/>
      <c r="AT2251" s="227"/>
      <c r="AU2251" s="227"/>
    </row>
    <row r="2252" spans="27:47" ht="12.95" customHeight="1">
      <c r="AA2252" s="227"/>
      <c r="AB2252" s="227"/>
      <c r="AC2252" s="227"/>
      <c r="AD2252" s="227"/>
      <c r="AE2252" s="227"/>
      <c r="AF2252" s="293"/>
      <c r="AG2252" s="19"/>
      <c r="AN2252" s="227"/>
      <c r="AO2252" s="227"/>
      <c r="AP2252" s="227"/>
      <c r="AQ2252" s="227"/>
      <c r="AR2252" s="227"/>
      <c r="AS2252" s="227"/>
      <c r="AT2252" s="227"/>
      <c r="AU2252" s="227"/>
    </row>
    <row r="2253" spans="27:47" ht="12.95" customHeight="1">
      <c r="AA2253" s="227"/>
      <c r="AB2253" s="227"/>
      <c r="AC2253" s="227"/>
      <c r="AD2253" s="227"/>
      <c r="AE2253" s="227"/>
      <c r="AF2253" s="293"/>
      <c r="AG2253" s="19"/>
      <c r="AN2253" s="227"/>
      <c r="AO2253" s="227"/>
      <c r="AP2253" s="227"/>
      <c r="AQ2253" s="227"/>
      <c r="AR2253" s="227"/>
      <c r="AS2253" s="227"/>
      <c r="AT2253" s="227"/>
      <c r="AU2253" s="227"/>
    </row>
    <row r="2254" spans="27:47" ht="12.95" customHeight="1">
      <c r="AA2254" s="227"/>
      <c r="AB2254" s="227"/>
      <c r="AC2254" s="227"/>
      <c r="AD2254" s="227"/>
      <c r="AE2254" s="227"/>
      <c r="AF2254" s="293"/>
      <c r="AG2254" s="19"/>
      <c r="AN2254" s="227"/>
      <c r="AO2254" s="227"/>
      <c r="AP2254" s="227"/>
      <c r="AQ2254" s="227"/>
      <c r="AR2254" s="227"/>
      <c r="AS2254" s="227"/>
      <c r="AT2254" s="227"/>
      <c r="AU2254" s="227"/>
    </row>
    <row r="2255" spans="27:47" ht="12.95" customHeight="1">
      <c r="AA2255" s="227"/>
      <c r="AB2255" s="227"/>
      <c r="AC2255" s="227"/>
      <c r="AD2255" s="227"/>
      <c r="AE2255" s="227"/>
      <c r="AF2255" s="293"/>
      <c r="AG2255" s="19"/>
      <c r="AN2255" s="227"/>
      <c r="AO2255" s="227"/>
      <c r="AP2255" s="227"/>
      <c r="AQ2255" s="227"/>
      <c r="AR2255" s="227"/>
      <c r="AS2255" s="227"/>
      <c r="AT2255" s="227"/>
      <c r="AU2255" s="227"/>
    </row>
    <row r="2256" spans="27:47" ht="12.95" customHeight="1">
      <c r="AA2256" s="227"/>
      <c r="AB2256" s="227"/>
      <c r="AC2256" s="227"/>
      <c r="AD2256" s="227"/>
      <c r="AE2256" s="227"/>
      <c r="AF2256" s="293"/>
      <c r="AG2256" s="19"/>
      <c r="AN2256" s="227"/>
      <c r="AO2256" s="227"/>
      <c r="AP2256" s="227"/>
      <c r="AQ2256" s="227"/>
      <c r="AR2256" s="227"/>
      <c r="AS2256" s="227"/>
      <c r="AT2256" s="227"/>
      <c r="AU2256" s="227"/>
    </row>
    <row r="2257" spans="27:47" ht="12.95" customHeight="1">
      <c r="AA2257" s="227"/>
      <c r="AB2257" s="227"/>
      <c r="AC2257" s="227"/>
      <c r="AD2257" s="227"/>
      <c r="AE2257" s="227"/>
      <c r="AF2257" s="293"/>
      <c r="AG2257" s="19"/>
      <c r="AN2257" s="227"/>
      <c r="AO2257" s="227"/>
      <c r="AP2257" s="227"/>
      <c r="AQ2257" s="227"/>
      <c r="AR2257" s="227"/>
      <c r="AS2257" s="227"/>
      <c r="AT2257" s="227"/>
      <c r="AU2257" s="227"/>
    </row>
    <row r="2258" spans="27:47" ht="12.95" customHeight="1">
      <c r="AA2258" s="227"/>
      <c r="AB2258" s="227"/>
      <c r="AC2258" s="227"/>
      <c r="AD2258" s="227"/>
      <c r="AE2258" s="227"/>
      <c r="AF2258" s="293"/>
      <c r="AG2258" s="19"/>
      <c r="AN2258" s="227"/>
      <c r="AO2258" s="227"/>
      <c r="AP2258" s="227"/>
      <c r="AQ2258" s="227"/>
      <c r="AR2258" s="227"/>
      <c r="AS2258" s="227"/>
      <c r="AT2258" s="227"/>
      <c r="AU2258" s="227"/>
    </row>
    <row r="2259" spans="27:47" ht="12.95" customHeight="1">
      <c r="AA2259" s="227"/>
      <c r="AB2259" s="227"/>
      <c r="AC2259" s="227"/>
      <c r="AD2259" s="227"/>
      <c r="AE2259" s="227"/>
      <c r="AF2259" s="293"/>
      <c r="AG2259" s="19"/>
      <c r="AN2259" s="227"/>
      <c r="AO2259" s="227"/>
      <c r="AP2259" s="227"/>
      <c r="AQ2259" s="227"/>
      <c r="AR2259" s="227"/>
      <c r="AS2259" s="227"/>
      <c r="AT2259" s="227"/>
      <c r="AU2259" s="227"/>
    </row>
    <row r="2260" spans="27:47" ht="12.95" customHeight="1">
      <c r="AA2260" s="227"/>
      <c r="AB2260" s="227"/>
      <c r="AC2260" s="227"/>
      <c r="AD2260" s="227"/>
      <c r="AE2260" s="227"/>
      <c r="AF2260" s="293"/>
      <c r="AG2260" s="19"/>
      <c r="AN2260" s="227"/>
      <c r="AO2260" s="227"/>
      <c r="AP2260" s="227"/>
      <c r="AQ2260" s="227"/>
      <c r="AR2260" s="227"/>
      <c r="AS2260" s="227"/>
      <c r="AT2260" s="227"/>
      <c r="AU2260" s="227"/>
    </row>
    <row r="2261" spans="27:47" ht="12.95" customHeight="1">
      <c r="AA2261" s="227"/>
      <c r="AB2261" s="227"/>
      <c r="AC2261" s="227"/>
      <c r="AD2261" s="227"/>
      <c r="AE2261" s="227"/>
      <c r="AF2261" s="293"/>
      <c r="AG2261" s="19"/>
      <c r="AN2261" s="227"/>
      <c r="AO2261" s="227"/>
      <c r="AP2261" s="227"/>
      <c r="AQ2261" s="227"/>
      <c r="AR2261" s="227"/>
      <c r="AS2261" s="227"/>
      <c r="AT2261" s="227"/>
      <c r="AU2261" s="227"/>
    </row>
    <row r="2262" spans="27:47" ht="12.95" customHeight="1">
      <c r="AA2262" s="227"/>
      <c r="AB2262" s="227"/>
      <c r="AC2262" s="227"/>
      <c r="AD2262" s="227"/>
      <c r="AE2262" s="227"/>
      <c r="AF2262" s="293"/>
      <c r="AG2262" s="19"/>
      <c r="AN2262" s="227"/>
      <c r="AO2262" s="227"/>
      <c r="AP2262" s="227"/>
      <c r="AQ2262" s="227"/>
      <c r="AR2262" s="227"/>
      <c r="AS2262" s="227"/>
      <c r="AT2262" s="227"/>
      <c r="AU2262" s="227"/>
    </row>
    <row r="2263" spans="27:47" ht="12.95" customHeight="1">
      <c r="AA2263" s="227"/>
      <c r="AB2263" s="227"/>
      <c r="AC2263" s="227"/>
      <c r="AD2263" s="227"/>
      <c r="AE2263" s="227"/>
      <c r="AF2263" s="293"/>
      <c r="AG2263" s="19"/>
      <c r="AN2263" s="227"/>
      <c r="AO2263" s="227"/>
      <c r="AP2263" s="227"/>
      <c r="AQ2263" s="227"/>
      <c r="AR2263" s="227"/>
      <c r="AS2263" s="227"/>
      <c r="AT2263" s="227"/>
      <c r="AU2263" s="227"/>
    </row>
    <row r="2264" spans="27:47" ht="12.95" customHeight="1">
      <c r="AA2264" s="227"/>
      <c r="AB2264" s="227"/>
      <c r="AC2264" s="227"/>
      <c r="AD2264" s="227"/>
      <c r="AE2264" s="227"/>
      <c r="AF2264" s="293"/>
      <c r="AG2264" s="19"/>
      <c r="AN2264" s="227"/>
      <c r="AO2264" s="227"/>
      <c r="AP2264" s="227"/>
      <c r="AQ2264" s="227"/>
      <c r="AR2264" s="227"/>
      <c r="AS2264" s="227"/>
      <c r="AT2264" s="227"/>
      <c r="AU2264" s="227"/>
    </row>
    <row r="2265" spans="27:47" ht="12.95" customHeight="1">
      <c r="AA2265" s="227"/>
      <c r="AB2265" s="227"/>
      <c r="AC2265" s="227"/>
      <c r="AD2265" s="227"/>
      <c r="AE2265" s="227"/>
      <c r="AF2265" s="293"/>
      <c r="AG2265" s="19"/>
      <c r="AN2265" s="227"/>
      <c r="AO2265" s="227"/>
      <c r="AP2265" s="227"/>
      <c r="AQ2265" s="227"/>
      <c r="AR2265" s="227"/>
      <c r="AS2265" s="227"/>
      <c r="AT2265" s="227"/>
      <c r="AU2265" s="227"/>
    </row>
    <row r="2266" spans="27:47" ht="12.95" customHeight="1">
      <c r="AA2266" s="227"/>
      <c r="AB2266" s="227"/>
      <c r="AC2266" s="227"/>
      <c r="AD2266" s="227"/>
      <c r="AE2266" s="227"/>
      <c r="AF2266" s="293"/>
      <c r="AG2266" s="19"/>
      <c r="AN2266" s="227"/>
      <c r="AO2266" s="227"/>
      <c r="AP2266" s="227"/>
      <c r="AQ2266" s="227"/>
      <c r="AR2266" s="227"/>
      <c r="AS2266" s="227"/>
      <c r="AT2266" s="227"/>
      <c r="AU2266" s="227"/>
    </row>
    <row r="2267" spans="27:47" ht="12.95" customHeight="1">
      <c r="AA2267" s="227"/>
      <c r="AB2267" s="227"/>
      <c r="AC2267" s="227"/>
      <c r="AD2267" s="227"/>
      <c r="AE2267" s="227"/>
      <c r="AF2267" s="293"/>
      <c r="AG2267" s="19"/>
      <c r="AN2267" s="227"/>
      <c r="AO2267" s="227"/>
      <c r="AP2267" s="227"/>
      <c r="AQ2267" s="227"/>
      <c r="AR2267" s="227"/>
      <c r="AS2267" s="227"/>
      <c r="AT2267" s="227"/>
      <c r="AU2267" s="227"/>
    </row>
    <row r="2268" spans="27:47" ht="12.95" customHeight="1">
      <c r="AA2268" s="227"/>
      <c r="AB2268" s="227"/>
      <c r="AC2268" s="227"/>
      <c r="AD2268" s="227"/>
      <c r="AE2268" s="227"/>
      <c r="AF2268" s="293"/>
      <c r="AG2268" s="19"/>
      <c r="AN2268" s="227"/>
      <c r="AO2268" s="227"/>
      <c r="AP2268" s="227"/>
      <c r="AQ2268" s="227"/>
      <c r="AR2268" s="227"/>
      <c r="AS2268" s="227"/>
      <c r="AT2268" s="227"/>
      <c r="AU2268" s="227"/>
    </row>
    <row r="2269" spans="27:47" ht="12.95" customHeight="1">
      <c r="AA2269" s="227"/>
      <c r="AB2269" s="227"/>
      <c r="AC2269" s="227"/>
      <c r="AD2269" s="227"/>
      <c r="AE2269" s="227"/>
      <c r="AF2269" s="293"/>
      <c r="AG2269" s="19"/>
      <c r="AN2269" s="227"/>
      <c r="AO2269" s="227"/>
      <c r="AP2269" s="227"/>
      <c r="AQ2269" s="227"/>
      <c r="AR2269" s="227"/>
      <c r="AS2269" s="227"/>
      <c r="AT2269" s="227"/>
      <c r="AU2269" s="227"/>
    </row>
    <row r="2270" spans="27:47" ht="12.95" customHeight="1">
      <c r="AA2270" s="227"/>
      <c r="AB2270" s="227"/>
      <c r="AC2270" s="227"/>
      <c r="AD2270" s="227"/>
      <c r="AE2270" s="227"/>
      <c r="AF2270" s="293"/>
      <c r="AG2270" s="19"/>
      <c r="AN2270" s="227"/>
      <c r="AO2270" s="227"/>
      <c r="AP2270" s="227"/>
      <c r="AQ2270" s="227"/>
      <c r="AR2270" s="227"/>
      <c r="AS2270" s="227"/>
      <c r="AT2270" s="227"/>
      <c r="AU2270" s="227"/>
    </row>
    <row r="2271" spans="27:47" ht="12.95" customHeight="1">
      <c r="AA2271" s="227"/>
      <c r="AB2271" s="227"/>
      <c r="AC2271" s="227"/>
      <c r="AD2271" s="227"/>
      <c r="AE2271" s="227"/>
      <c r="AF2271" s="293"/>
      <c r="AG2271" s="19"/>
      <c r="AN2271" s="227"/>
      <c r="AO2271" s="227"/>
      <c r="AP2271" s="227"/>
      <c r="AQ2271" s="227"/>
      <c r="AR2271" s="227"/>
      <c r="AS2271" s="227"/>
      <c r="AT2271" s="227"/>
      <c r="AU2271" s="227"/>
    </row>
    <row r="2272" spans="27:47" ht="12.95" customHeight="1">
      <c r="AA2272" s="227"/>
      <c r="AB2272" s="227"/>
      <c r="AC2272" s="227"/>
      <c r="AD2272" s="227"/>
      <c r="AE2272" s="227"/>
      <c r="AF2272" s="293"/>
      <c r="AG2272" s="19"/>
      <c r="AN2272" s="227"/>
      <c r="AO2272" s="227"/>
      <c r="AP2272" s="227"/>
      <c r="AQ2272" s="227"/>
      <c r="AR2272" s="227"/>
      <c r="AS2272" s="227"/>
      <c r="AT2272" s="227"/>
      <c r="AU2272" s="227"/>
    </row>
    <row r="2273" spans="27:47" ht="12.95" customHeight="1">
      <c r="AA2273" s="227"/>
      <c r="AB2273" s="227"/>
      <c r="AC2273" s="227"/>
      <c r="AD2273" s="227"/>
      <c r="AE2273" s="227"/>
      <c r="AF2273" s="293"/>
      <c r="AG2273" s="19"/>
      <c r="AN2273" s="227"/>
      <c r="AO2273" s="227"/>
      <c r="AP2273" s="227"/>
      <c r="AQ2273" s="227"/>
      <c r="AR2273" s="227"/>
      <c r="AS2273" s="227"/>
      <c r="AT2273" s="227"/>
      <c r="AU2273" s="227"/>
    </row>
    <row r="2274" spans="27:47" ht="12.95" customHeight="1">
      <c r="AA2274" s="227"/>
      <c r="AB2274" s="227"/>
      <c r="AC2274" s="227"/>
      <c r="AD2274" s="227"/>
      <c r="AE2274" s="227"/>
      <c r="AF2274" s="293"/>
      <c r="AG2274" s="19"/>
      <c r="AN2274" s="227"/>
      <c r="AO2274" s="227"/>
      <c r="AP2274" s="227"/>
      <c r="AQ2274" s="227"/>
      <c r="AR2274" s="227"/>
      <c r="AS2274" s="227"/>
      <c r="AT2274" s="227"/>
      <c r="AU2274" s="227"/>
    </row>
    <row r="2275" spans="27:47" ht="12.95" customHeight="1">
      <c r="AA2275" s="227"/>
      <c r="AB2275" s="227"/>
      <c r="AC2275" s="227"/>
      <c r="AD2275" s="227"/>
      <c r="AE2275" s="227"/>
      <c r="AF2275" s="293"/>
      <c r="AG2275" s="19"/>
      <c r="AN2275" s="227"/>
      <c r="AO2275" s="227"/>
      <c r="AP2275" s="227"/>
      <c r="AQ2275" s="227"/>
      <c r="AR2275" s="227"/>
      <c r="AS2275" s="227"/>
      <c r="AT2275" s="227"/>
      <c r="AU2275" s="227"/>
    </row>
    <row r="2276" spans="27:47" ht="12.95" customHeight="1">
      <c r="AA2276" s="227"/>
      <c r="AB2276" s="227"/>
      <c r="AC2276" s="227"/>
      <c r="AD2276" s="227"/>
      <c r="AE2276" s="227"/>
      <c r="AF2276" s="293"/>
      <c r="AG2276" s="19"/>
      <c r="AN2276" s="227"/>
      <c r="AO2276" s="227"/>
      <c r="AP2276" s="227"/>
      <c r="AQ2276" s="227"/>
      <c r="AR2276" s="227"/>
      <c r="AS2276" s="227"/>
      <c r="AT2276" s="227"/>
      <c r="AU2276" s="227"/>
    </row>
    <row r="2277" spans="27:47" ht="12.95" customHeight="1">
      <c r="AA2277" s="227"/>
      <c r="AB2277" s="227"/>
      <c r="AC2277" s="227"/>
      <c r="AD2277" s="227"/>
      <c r="AE2277" s="227"/>
      <c r="AF2277" s="293"/>
      <c r="AG2277" s="19"/>
      <c r="AN2277" s="227"/>
      <c r="AO2277" s="227"/>
      <c r="AP2277" s="227"/>
      <c r="AQ2277" s="227"/>
      <c r="AR2277" s="227"/>
      <c r="AS2277" s="227"/>
      <c r="AT2277" s="227"/>
      <c r="AU2277" s="227"/>
    </row>
    <row r="2278" spans="27:47" ht="12.95" customHeight="1">
      <c r="AA2278" s="227"/>
      <c r="AB2278" s="227"/>
      <c r="AC2278" s="227"/>
      <c r="AD2278" s="227"/>
      <c r="AE2278" s="227"/>
      <c r="AF2278" s="293"/>
      <c r="AG2278" s="19"/>
      <c r="AN2278" s="227"/>
      <c r="AO2278" s="227"/>
      <c r="AP2278" s="227"/>
      <c r="AQ2278" s="227"/>
      <c r="AR2278" s="227"/>
      <c r="AS2278" s="227"/>
      <c r="AT2278" s="227"/>
      <c r="AU2278" s="227"/>
    </row>
    <row r="2279" spans="27:47" ht="12.95" customHeight="1">
      <c r="AA2279" s="227"/>
      <c r="AB2279" s="227"/>
      <c r="AC2279" s="227"/>
      <c r="AD2279" s="227"/>
      <c r="AE2279" s="227"/>
      <c r="AF2279" s="293"/>
      <c r="AG2279" s="19"/>
      <c r="AN2279" s="227"/>
      <c r="AO2279" s="227"/>
      <c r="AP2279" s="227"/>
      <c r="AQ2279" s="227"/>
      <c r="AR2279" s="227"/>
      <c r="AS2279" s="227"/>
      <c r="AT2279" s="227"/>
      <c r="AU2279" s="227"/>
    </row>
    <row r="2280" spans="27:47" ht="12.95" customHeight="1">
      <c r="AA2280" s="227"/>
      <c r="AB2280" s="227"/>
      <c r="AC2280" s="227"/>
      <c r="AD2280" s="227"/>
      <c r="AE2280" s="227"/>
      <c r="AF2280" s="293"/>
      <c r="AG2280" s="19"/>
      <c r="AN2280" s="227"/>
      <c r="AO2280" s="227"/>
      <c r="AP2280" s="227"/>
      <c r="AQ2280" s="227"/>
      <c r="AR2280" s="227"/>
      <c r="AS2280" s="227"/>
      <c r="AT2280" s="227"/>
      <c r="AU2280" s="227"/>
    </row>
    <row r="2281" spans="27:47" ht="12.95" customHeight="1">
      <c r="AA2281" s="227"/>
      <c r="AB2281" s="227"/>
      <c r="AC2281" s="227"/>
      <c r="AD2281" s="227"/>
      <c r="AE2281" s="227"/>
      <c r="AF2281" s="293"/>
      <c r="AG2281" s="19"/>
      <c r="AN2281" s="227"/>
      <c r="AO2281" s="227"/>
      <c r="AP2281" s="227"/>
      <c r="AQ2281" s="227"/>
      <c r="AR2281" s="227"/>
      <c r="AS2281" s="227"/>
      <c r="AT2281" s="227"/>
      <c r="AU2281" s="227"/>
    </row>
    <row r="2282" spans="27:47" ht="12.95" customHeight="1">
      <c r="AA2282" s="227"/>
      <c r="AB2282" s="227"/>
      <c r="AC2282" s="227"/>
      <c r="AD2282" s="227"/>
      <c r="AE2282" s="227"/>
      <c r="AF2282" s="293"/>
      <c r="AG2282" s="19"/>
      <c r="AN2282" s="227"/>
      <c r="AO2282" s="227"/>
      <c r="AP2282" s="227"/>
      <c r="AQ2282" s="227"/>
      <c r="AR2282" s="227"/>
      <c r="AS2282" s="227"/>
      <c r="AT2282" s="227"/>
      <c r="AU2282" s="227"/>
    </row>
    <row r="2283" spans="27:47" ht="12.95" customHeight="1">
      <c r="AA2283" s="227"/>
      <c r="AB2283" s="227"/>
      <c r="AC2283" s="227"/>
      <c r="AD2283" s="227"/>
      <c r="AE2283" s="227"/>
      <c r="AF2283" s="293"/>
      <c r="AG2283" s="19"/>
      <c r="AN2283" s="227"/>
      <c r="AO2283" s="227"/>
      <c r="AP2283" s="227"/>
      <c r="AQ2283" s="227"/>
      <c r="AR2283" s="227"/>
      <c r="AS2283" s="227"/>
      <c r="AT2283" s="227"/>
      <c r="AU2283" s="227"/>
    </row>
    <row r="2284" spans="27:47" ht="12.95" customHeight="1">
      <c r="AA2284" s="227"/>
      <c r="AB2284" s="227"/>
      <c r="AC2284" s="227"/>
      <c r="AD2284" s="227"/>
      <c r="AE2284" s="227"/>
      <c r="AF2284" s="293"/>
      <c r="AG2284" s="19"/>
      <c r="AN2284" s="227"/>
      <c r="AO2284" s="227"/>
      <c r="AP2284" s="227"/>
      <c r="AQ2284" s="227"/>
      <c r="AR2284" s="227"/>
      <c r="AS2284" s="227"/>
      <c r="AT2284" s="227"/>
      <c r="AU2284" s="227"/>
    </row>
    <row r="2285" spans="27:47" ht="12.95" customHeight="1">
      <c r="AA2285" s="227"/>
      <c r="AB2285" s="227"/>
      <c r="AC2285" s="227"/>
      <c r="AD2285" s="227"/>
      <c r="AE2285" s="227"/>
      <c r="AF2285" s="293"/>
      <c r="AG2285" s="19"/>
      <c r="AN2285" s="227"/>
      <c r="AO2285" s="227"/>
      <c r="AP2285" s="227"/>
      <c r="AQ2285" s="227"/>
      <c r="AR2285" s="227"/>
      <c r="AS2285" s="227"/>
      <c r="AT2285" s="227"/>
      <c r="AU2285" s="227"/>
    </row>
    <row r="2286" spans="27:47" ht="12.95" customHeight="1">
      <c r="AA2286" s="227"/>
      <c r="AB2286" s="227"/>
      <c r="AC2286" s="227"/>
      <c r="AD2286" s="227"/>
      <c r="AE2286" s="227"/>
      <c r="AF2286" s="293"/>
      <c r="AG2286" s="19"/>
      <c r="AN2286" s="227"/>
      <c r="AO2286" s="227"/>
      <c r="AP2286" s="227"/>
      <c r="AQ2286" s="227"/>
      <c r="AR2286" s="227"/>
      <c r="AS2286" s="227"/>
      <c r="AT2286" s="227"/>
      <c r="AU2286" s="227"/>
    </row>
    <row r="2287" spans="27:47" ht="12.95" customHeight="1">
      <c r="AA2287" s="227"/>
      <c r="AB2287" s="227"/>
      <c r="AC2287" s="227"/>
      <c r="AD2287" s="227"/>
      <c r="AE2287" s="227"/>
      <c r="AF2287" s="293"/>
      <c r="AG2287" s="19"/>
      <c r="AN2287" s="227"/>
      <c r="AO2287" s="227"/>
      <c r="AP2287" s="227"/>
      <c r="AQ2287" s="227"/>
      <c r="AR2287" s="227"/>
      <c r="AS2287" s="227"/>
      <c r="AT2287" s="227"/>
      <c r="AU2287" s="227"/>
    </row>
    <row r="2288" spans="27:47" ht="12.95" customHeight="1">
      <c r="AA2288" s="227"/>
      <c r="AB2288" s="227"/>
      <c r="AC2288" s="227"/>
      <c r="AD2288" s="227"/>
      <c r="AE2288" s="227"/>
      <c r="AF2288" s="293"/>
      <c r="AG2288" s="19"/>
      <c r="AN2288" s="227"/>
      <c r="AO2288" s="227"/>
      <c r="AP2288" s="227"/>
      <c r="AQ2288" s="227"/>
      <c r="AR2288" s="227"/>
      <c r="AS2288" s="227"/>
      <c r="AT2288" s="227"/>
      <c r="AU2288" s="227"/>
    </row>
    <row r="2289" spans="27:47" ht="12.95" customHeight="1">
      <c r="AA2289" s="227"/>
      <c r="AB2289" s="227"/>
      <c r="AC2289" s="227"/>
      <c r="AD2289" s="227"/>
      <c r="AE2289" s="227"/>
      <c r="AF2289" s="293"/>
      <c r="AG2289" s="19"/>
      <c r="AN2289" s="227"/>
      <c r="AO2289" s="227"/>
      <c r="AP2289" s="227"/>
      <c r="AQ2289" s="227"/>
      <c r="AR2289" s="227"/>
      <c r="AS2289" s="227"/>
      <c r="AT2289" s="227"/>
      <c r="AU2289" s="227"/>
    </row>
    <row r="2290" spans="27:47" ht="12.95" customHeight="1">
      <c r="AA2290" s="227"/>
      <c r="AB2290" s="227"/>
      <c r="AC2290" s="227"/>
      <c r="AD2290" s="227"/>
      <c r="AE2290" s="227"/>
      <c r="AF2290" s="293"/>
      <c r="AG2290" s="19"/>
      <c r="AN2290" s="227"/>
      <c r="AO2290" s="227"/>
      <c r="AP2290" s="227"/>
      <c r="AQ2290" s="227"/>
      <c r="AR2290" s="227"/>
      <c r="AS2290" s="227"/>
      <c r="AT2290" s="227"/>
      <c r="AU2290" s="227"/>
    </row>
    <row r="2291" spans="27:47" ht="12.95" customHeight="1">
      <c r="AA2291" s="227"/>
      <c r="AB2291" s="227"/>
      <c r="AC2291" s="227"/>
      <c r="AD2291" s="227"/>
      <c r="AE2291" s="227"/>
      <c r="AF2291" s="293"/>
      <c r="AG2291" s="19"/>
      <c r="AN2291" s="227"/>
      <c r="AO2291" s="227"/>
      <c r="AP2291" s="227"/>
      <c r="AQ2291" s="227"/>
      <c r="AR2291" s="227"/>
      <c r="AS2291" s="227"/>
      <c r="AT2291" s="227"/>
      <c r="AU2291" s="227"/>
    </row>
    <row r="2292" spans="27:47" ht="12.95" customHeight="1">
      <c r="AA2292" s="227"/>
      <c r="AB2292" s="227"/>
      <c r="AC2292" s="227"/>
      <c r="AD2292" s="227"/>
      <c r="AE2292" s="227"/>
      <c r="AF2292" s="293"/>
      <c r="AG2292" s="19"/>
      <c r="AN2292" s="227"/>
      <c r="AO2292" s="227"/>
      <c r="AP2292" s="227"/>
      <c r="AQ2292" s="227"/>
      <c r="AR2292" s="227"/>
      <c r="AS2292" s="227"/>
      <c r="AT2292" s="227"/>
      <c r="AU2292" s="227"/>
    </row>
    <row r="2293" spans="27:47" ht="12.95" customHeight="1">
      <c r="AA2293" s="227"/>
      <c r="AB2293" s="227"/>
      <c r="AC2293" s="227"/>
      <c r="AD2293" s="227"/>
      <c r="AE2293" s="227"/>
      <c r="AF2293" s="293"/>
      <c r="AG2293" s="19"/>
      <c r="AN2293" s="227"/>
      <c r="AO2293" s="227"/>
      <c r="AP2293" s="227"/>
      <c r="AQ2293" s="227"/>
      <c r="AR2293" s="227"/>
      <c r="AS2293" s="227"/>
      <c r="AT2293" s="227"/>
      <c r="AU2293" s="227"/>
    </row>
    <row r="2294" spans="27:47" ht="12.95" customHeight="1">
      <c r="AA2294" s="227"/>
      <c r="AB2294" s="227"/>
      <c r="AC2294" s="227"/>
      <c r="AD2294" s="227"/>
      <c r="AE2294" s="227"/>
      <c r="AF2294" s="293"/>
      <c r="AG2294" s="19"/>
      <c r="AN2294" s="227"/>
      <c r="AO2294" s="227"/>
      <c r="AP2294" s="227"/>
      <c r="AQ2294" s="227"/>
      <c r="AR2294" s="227"/>
      <c r="AS2294" s="227"/>
      <c r="AT2294" s="227"/>
      <c r="AU2294" s="227"/>
    </row>
    <row r="2295" spans="27:47" ht="12.95" customHeight="1">
      <c r="AA2295" s="227"/>
      <c r="AB2295" s="227"/>
      <c r="AC2295" s="227"/>
      <c r="AD2295" s="227"/>
      <c r="AE2295" s="227"/>
      <c r="AF2295" s="293"/>
      <c r="AG2295" s="19"/>
      <c r="AN2295" s="227"/>
      <c r="AO2295" s="227"/>
      <c r="AP2295" s="227"/>
      <c r="AQ2295" s="227"/>
      <c r="AR2295" s="227"/>
      <c r="AS2295" s="227"/>
      <c r="AT2295" s="227"/>
      <c r="AU2295" s="227"/>
    </row>
    <row r="2296" spans="27:47" ht="12.95" customHeight="1">
      <c r="AA2296" s="227"/>
      <c r="AB2296" s="227"/>
      <c r="AC2296" s="227"/>
      <c r="AD2296" s="227"/>
      <c r="AE2296" s="227"/>
      <c r="AF2296" s="293"/>
      <c r="AG2296" s="19"/>
      <c r="AN2296" s="227"/>
      <c r="AO2296" s="227"/>
      <c r="AP2296" s="227"/>
      <c r="AQ2296" s="227"/>
      <c r="AR2296" s="227"/>
      <c r="AS2296" s="227"/>
      <c r="AT2296" s="227"/>
      <c r="AU2296" s="227"/>
    </row>
    <row r="2297" spans="27:47" ht="12.95" customHeight="1">
      <c r="AA2297" s="227"/>
      <c r="AB2297" s="227"/>
      <c r="AC2297" s="227"/>
      <c r="AD2297" s="227"/>
      <c r="AE2297" s="227"/>
      <c r="AF2297" s="293"/>
      <c r="AG2297" s="19"/>
      <c r="AN2297" s="227"/>
      <c r="AO2297" s="227"/>
      <c r="AP2297" s="227"/>
      <c r="AQ2297" s="227"/>
      <c r="AR2297" s="227"/>
      <c r="AS2297" s="227"/>
      <c r="AT2297" s="227"/>
      <c r="AU2297" s="227"/>
    </row>
    <row r="2298" spans="27:47" ht="12.95" customHeight="1">
      <c r="AA2298" s="227"/>
      <c r="AB2298" s="227"/>
      <c r="AC2298" s="227"/>
      <c r="AD2298" s="227"/>
      <c r="AE2298" s="227"/>
      <c r="AF2298" s="293"/>
      <c r="AG2298" s="19"/>
      <c r="AN2298" s="227"/>
      <c r="AO2298" s="227"/>
      <c r="AP2298" s="227"/>
      <c r="AQ2298" s="227"/>
      <c r="AR2298" s="227"/>
      <c r="AS2298" s="227"/>
      <c r="AT2298" s="227"/>
      <c r="AU2298" s="227"/>
    </row>
    <row r="2299" spans="27:47" ht="12.95" customHeight="1">
      <c r="AA2299" s="227"/>
      <c r="AB2299" s="227"/>
      <c r="AC2299" s="227"/>
      <c r="AD2299" s="227"/>
      <c r="AE2299" s="227"/>
      <c r="AF2299" s="293"/>
      <c r="AG2299" s="19"/>
      <c r="AN2299" s="227"/>
      <c r="AO2299" s="227"/>
      <c r="AP2299" s="227"/>
      <c r="AQ2299" s="227"/>
      <c r="AR2299" s="227"/>
      <c r="AS2299" s="227"/>
      <c r="AT2299" s="227"/>
      <c r="AU2299" s="227"/>
    </row>
    <row r="2300" spans="27:47" ht="12.95" customHeight="1">
      <c r="AA2300" s="227"/>
      <c r="AB2300" s="227"/>
      <c r="AC2300" s="227"/>
      <c r="AD2300" s="227"/>
      <c r="AE2300" s="227"/>
      <c r="AF2300" s="293"/>
      <c r="AG2300" s="19"/>
      <c r="AN2300" s="227"/>
      <c r="AO2300" s="227"/>
      <c r="AP2300" s="227"/>
      <c r="AQ2300" s="227"/>
      <c r="AR2300" s="227"/>
      <c r="AS2300" s="227"/>
      <c r="AT2300" s="227"/>
      <c r="AU2300" s="227"/>
    </row>
    <row r="2301" spans="27:47" ht="12.95" customHeight="1">
      <c r="AA2301" s="227"/>
      <c r="AB2301" s="227"/>
      <c r="AC2301" s="227"/>
      <c r="AD2301" s="227"/>
      <c r="AE2301" s="227"/>
      <c r="AF2301" s="293"/>
      <c r="AG2301" s="19"/>
      <c r="AN2301" s="227"/>
      <c r="AO2301" s="227"/>
      <c r="AP2301" s="227"/>
      <c r="AQ2301" s="227"/>
      <c r="AR2301" s="227"/>
      <c r="AS2301" s="227"/>
      <c r="AT2301" s="227"/>
      <c r="AU2301" s="227"/>
    </row>
    <row r="2302" spans="27:47" ht="12.95" customHeight="1">
      <c r="AA2302" s="227"/>
      <c r="AB2302" s="227"/>
      <c r="AC2302" s="227"/>
      <c r="AD2302" s="227"/>
      <c r="AE2302" s="227"/>
      <c r="AF2302" s="293"/>
      <c r="AG2302" s="19"/>
      <c r="AN2302" s="227"/>
      <c r="AO2302" s="227"/>
      <c r="AP2302" s="227"/>
      <c r="AQ2302" s="227"/>
      <c r="AR2302" s="227"/>
      <c r="AS2302" s="227"/>
      <c r="AT2302" s="227"/>
      <c r="AU2302" s="227"/>
    </row>
    <row r="2303" spans="27:47" ht="12.95" customHeight="1">
      <c r="AA2303" s="227"/>
      <c r="AB2303" s="227"/>
      <c r="AC2303" s="227"/>
      <c r="AD2303" s="227"/>
      <c r="AE2303" s="227"/>
      <c r="AF2303" s="293"/>
      <c r="AG2303" s="19"/>
      <c r="AN2303" s="227"/>
      <c r="AO2303" s="227"/>
      <c r="AP2303" s="227"/>
      <c r="AQ2303" s="227"/>
      <c r="AR2303" s="227"/>
      <c r="AS2303" s="227"/>
      <c r="AT2303" s="227"/>
      <c r="AU2303" s="227"/>
    </row>
    <row r="2304" spans="27:47" ht="12.95" customHeight="1">
      <c r="AA2304" s="227"/>
      <c r="AB2304" s="227"/>
      <c r="AC2304" s="227"/>
      <c r="AD2304" s="227"/>
      <c r="AE2304" s="227"/>
      <c r="AF2304" s="293"/>
      <c r="AG2304" s="19"/>
      <c r="AN2304" s="227"/>
      <c r="AO2304" s="227"/>
      <c r="AP2304" s="227"/>
      <c r="AQ2304" s="227"/>
      <c r="AR2304" s="227"/>
      <c r="AS2304" s="227"/>
      <c r="AT2304" s="227"/>
      <c r="AU2304" s="227"/>
    </row>
    <row r="2305" spans="27:47" ht="12.95" customHeight="1">
      <c r="AA2305" s="227"/>
      <c r="AB2305" s="227"/>
      <c r="AC2305" s="227"/>
      <c r="AD2305" s="227"/>
      <c r="AE2305" s="227"/>
      <c r="AF2305" s="293"/>
      <c r="AG2305" s="19"/>
      <c r="AN2305" s="227"/>
      <c r="AO2305" s="227"/>
      <c r="AP2305" s="227"/>
      <c r="AQ2305" s="227"/>
      <c r="AR2305" s="227"/>
      <c r="AS2305" s="227"/>
      <c r="AT2305" s="227"/>
      <c r="AU2305" s="227"/>
    </row>
    <row r="2306" spans="27:47" ht="12.95" customHeight="1">
      <c r="AA2306" s="227"/>
      <c r="AB2306" s="227"/>
      <c r="AC2306" s="227"/>
      <c r="AD2306" s="227"/>
      <c r="AE2306" s="227"/>
      <c r="AF2306" s="293"/>
      <c r="AG2306" s="19"/>
      <c r="AN2306" s="227"/>
      <c r="AO2306" s="227"/>
      <c r="AP2306" s="227"/>
      <c r="AQ2306" s="227"/>
      <c r="AR2306" s="227"/>
      <c r="AS2306" s="227"/>
      <c r="AT2306" s="227"/>
      <c r="AU2306" s="227"/>
    </row>
    <row r="2307" spans="27:47" ht="12.95" customHeight="1">
      <c r="AA2307" s="227"/>
      <c r="AB2307" s="227"/>
      <c r="AC2307" s="227"/>
      <c r="AD2307" s="227"/>
      <c r="AE2307" s="227"/>
      <c r="AF2307" s="293"/>
      <c r="AG2307" s="19"/>
      <c r="AN2307" s="227"/>
      <c r="AO2307" s="227"/>
      <c r="AP2307" s="227"/>
      <c r="AQ2307" s="227"/>
      <c r="AR2307" s="227"/>
      <c r="AS2307" s="227"/>
      <c r="AT2307" s="227"/>
      <c r="AU2307" s="227"/>
    </row>
    <row r="2308" spans="27:47" ht="12.95" customHeight="1">
      <c r="AA2308" s="227"/>
      <c r="AB2308" s="227"/>
      <c r="AC2308" s="227"/>
      <c r="AD2308" s="227"/>
      <c r="AE2308" s="227"/>
      <c r="AF2308" s="293"/>
      <c r="AG2308" s="19"/>
      <c r="AN2308" s="227"/>
      <c r="AO2308" s="227"/>
      <c r="AP2308" s="227"/>
      <c r="AQ2308" s="227"/>
      <c r="AR2308" s="227"/>
      <c r="AS2308" s="227"/>
      <c r="AT2308" s="227"/>
      <c r="AU2308" s="227"/>
    </row>
    <row r="2309" spans="27:47" ht="12.95" customHeight="1">
      <c r="AA2309" s="227"/>
      <c r="AB2309" s="227"/>
      <c r="AC2309" s="227"/>
      <c r="AD2309" s="227"/>
      <c r="AE2309" s="227"/>
      <c r="AF2309" s="293"/>
      <c r="AG2309" s="19"/>
      <c r="AN2309" s="227"/>
      <c r="AO2309" s="227"/>
      <c r="AP2309" s="227"/>
      <c r="AQ2309" s="227"/>
      <c r="AR2309" s="227"/>
      <c r="AS2309" s="227"/>
      <c r="AT2309" s="227"/>
      <c r="AU2309" s="227"/>
    </row>
    <row r="2310" spans="27:47" ht="12.95" customHeight="1">
      <c r="AA2310" s="227"/>
      <c r="AB2310" s="227"/>
      <c r="AC2310" s="227"/>
      <c r="AD2310" s="227"/>
      <c r="AE2310" s="227"/>
      <c r="AF2310" s="293"/>
      <c r="AG2310" s="19"/>
      <c r="AN2310" s="227"/>
      <c r="AO2310" s="227"/>
      <c r="AP2310" s="227"/>
      <c r="AQ2310" s="227"/>
      <c r="AR2310" s="227"/>
      <c r="AS2310" s="227"/>
      <c r="AT2310" s="227"/>
      <c r="AU2310" s="227"/>
    </row>
    <row r="2311" spans="27:47" ht="12.95" customHeight="1">
      <c r="AA2311" s="227"/>
      <c r="AB2311" s="227"/>
      <c r="AC2311" s="227"/>
      <c r="AD2311" s="227"/>
      <c r="AE2311" s="227"/>
      <c r="AF2311" s="293"/>
      <c r="AG2311" s="19"/>
      <c r="AN2311" s="227"/>
      <c r="AO2311" s="227"/>
      <c r="AP2311" s="227"/>
      <c r="AQ2311" s="227"/>
      <c r="AR2311" s="227"/>
      <c r="AS2311" s="227"/>
      <c r="AT2311" s="227"/>
      <c r="AU2311" s="227"/>
    </row>
    <row r="2312" spans="27:47" ht="12.95" customHeight="1">
      <c r="AA2312" s="227"/>
      <c r="AB2312" s="227"/>
      <c r="AC2312" s="227"/>
      <c r="AD2312" s="227"/>
      <c r="AE2312" s="227"/>
      <c r="AF2312" s="293"/>
      <c r="AG2312" s="19"/>
      <c r="AN2312" s="227"/>
      <c r="AO2312" s="227"/>
      <c r="AP2312" s="227"/>
      <c r="AQ2312" s="227"/>
      <c r="AR2312" s="227"/>
      <c r="AS2312" s="227"/>
      <c r="AT2312" s="227"/>
      <c r="AU2312" s="227"/>
    </row>
    <row r="2313" spans="27:47" ht="12.95" customHeight="1">
      <c r="AA2313" s="227"/>
      <c r="AB2313" s="227"/>
      <c r="AC2313" s="227"/>
      <c r="AD2313" s="227"/>
      <c r="AE2313" s="227"/>
      <c r="AF2313" s="293"/>
      <c r="AG2313" s="19"/>
      <c r="AN2313" s="227"/>
      <c r="AO2313" s="227"/>
      <c r="AP2313" s="227"/>
      <c r="AQ2313" s="227"/>
      <c r="AR2313" s="227"/>
      <c r="AS2313" s="227"/>
      <c r="AT2313" s="227"/>
      <c r="AU2313" s="227"/>
    </row>
    <row r="2314" spans="27:47" ht="12.95" customHeight="1">
      <c r="AA2314" s="227"/>
      <c r="AB2314" s="227"/>
      <c r="AC2314" s="227"/>
      <c r="AD2314" s="227"/>
      <c r="AE2314" s="227"/>
      <c r="AF2314" s="293"/>
      <c r="AG2314" s="19"/>
      <c r="AN2314" s="227"/>
      <c r="AO2314" s="227"/>
      <c r="AP2314" s="227"/>
      <c r="AQ2314" s="227"/>
      <c r="AR2314" s="227"/>
      <c r="AS2314" s="227"/>
      <c r="AT2314" s="227"/>
      <c r="AU2314" s="227"/>
    </row>
    <row r="2315" spans="27:47" ht="12.95" customHeight="1">
      <c r="AA2315" s="227"/>
      <c r="AB2315" s="227"/>
      <c r="AC2315" s="227"/>
      <c r="AD2315" s="227"/>
      <c r="AE2315" s="227"/>
      <c r="AF2315" s="293"/>
      <c r="AG2315" s="19"/>
      <c r="AN2315" s="227"/>
      <c r="AO2315" s="227"/>
      <c r="AP2315" s="227"/>
      <c r="AQ2315" s="227"/>
      <c r="AR2315" s="227"/>
      <c r="AS2315" s="227"/>
      <c r="AT2315" s="227"/>
      <c r="AU2315" s="227"/>
    </row>
    <row r="2316" spans="27:47" ht="12.95" customHeight="1">
      <c r="AA2316" s="227"/>
      <c r="AB2316" s="227"/>
      <c r="AC2316" s="227"/>
      <c r="AD2316" s="227"/>
      <c r="AE2316" s="227"/>
      <c r="AF2316" s="293"/>
      <c r="AG2316" s="19"/>
      <c r="AN2316" s="227"/>
      <c r="AO2316" s="227"/>
      <c r="AP2316" s="227"/>
      <c r="AQ2316" s="227"/>
      <c r="AR2316" s="227"/>
      <c r="AS2316" s="227"/>
      <c r="AT2316" s="227"/>
      <c r="AU2316" s="227"/>
    </row>
    <row r="2317" spans="27:47" ht="12.95" customHeight="1">
      <c r="AA2317" s="227"/>
      <c r="AB2317" s="227"/>
      <c r="AC2317" s="227"/>
      <c r="AD2317" s="227"/>
      <c r="AE2317" s="227"/>
      <c r="AF2317" s="293"/>
      <c r="AG2317" s="19"/>
      <c r="AN2317" s="227"/>
      <c r="AO2317" s="227"/>
      <c r="AP2317" s="227"/>
      <c r="AQ2317" s="227"/>
      <c r="AR2317" s="227"/>
      <c r="AS2317" s="227"/>
      <c r="AT2317" s="227"/>
      <c r="AU2317" s="227"/>
    </row>
    <row r="2318" spans="27:47" ht="12.95" customHeight="1">
      <c r="AA2318" s="227"/>
      <c r="AB2318" s="227"/>
      <c r="AC2318" s="227"/>
      <c r="AD2318" s="227"/>
      <c r="AE2318" s="227"/>
      <c r="AF2318" s="293"/>
      <c r="AG2318" s="19"/>
      <c r="AN2318" s="227"/>
      <c r="AO2318" s="227"/>
      <c r="AP2318" s="227"/>
      <c r="AQ2318" s="227"/>
      <c r="AR2318" s="227"/>
      <c r="AS2318" s="227"/>
      <c r="AT2318" s="227"/>
      <c r="AU2318" s="227"/>
    </row>
    <row r="2319" spans="27:47" ht="12.95" customHeight="1">
      <c r="AA2319" s="227"/>
      <c r="AB2319" s="227"/>
      <c r="AC2319" s="227"/>
      <c r="AD2319" s="227"/>
      <c r="AE2319" s="227"/>
      <c r="AF2319" s="293"/>
      <c r="AG2319" s="19"/>
      <c r="AN2319" s="227"/>
      <c r="AO2319" s="227"/>
      <c r="AP2319" s="227"/>
      <c r="AQ2319" s="227"/>
      <c r="AR2319" s="227"/>
      <c r="AS2319" s="227"/>
      <c r="AT2319" s="227"/>
      <c r="AU2319" s="227"/>
    </row>
    <row r="2320" spans="27:47" ht="12.95" customHeight="1">
      <c r="AA2320" s="227"/>
      <c r="AB2320" s="227"/>
      <c r="AC2320" s="227"/>
      <c r="AD2320" s="227"/>
      <c r="AE2320" s="227"/>
      <c r="AF2320" s="293"/>
      <c r="AG2320" s="19"/>
      <c r="AN2320" s="227"/>
      <c r="AO2320" s="227"/>
      <c r="AP2320" s="227"/>
      <c r="AQ2320" s="227"/>
      <c r="AR2320" s="227"/>
      <c r="AS2320" s="227"/>
      <c r="AT2320" s="227"/>
      <c r="AU2320" s="227"/>
    </row>
    <row r="2321" spans="27:47" ht="12.95" customHeight="1">
      <c r="AA2321" s="227"/>
      <c r="AB2321" s="227"/>
      <c r="AC2321" s="227"/>
      <c r="AD2321" s="227"/>
      <c r="AE2321" s="227"/>
      <c r="AF2321" s="293"/>
      <c r="AG2321" s="19"/>
      <c r="AN2321" s="227"/>
      <c r="AO2321" s="227"/>
      <c r="AP2321" s="227"/>
      <c r="AQ2321" s="227"/>
      <c r="AR2321" s="227"/>
      <c r="AS2321" s="227"/>
      <c r="AT2321" s="227"/>
      <c r="AU2321" s="227"/>
    </row>
    <row r="2322" spans="27:47" ht="12.95" customHeight="1">
      <c r="AA2322" s="227"/>
      <c r="AB2322" s="227"/>
      <c r="AC2322" s="227"/>
      <c r="AD2322" s="227"/>
      <c r="AE2322" s="227"/>
      <c r="AF2322" s="293"/>
      <c r="AG2322" s="19"/>
      <c r="AN2322" s="227"/>
      <c r="AO2322" s="227"/>
      <c r="AP2322" s="227"/>
      <c r="AQ2322" s="227"/>
      <c r="AR2322" s="227"/>
      <c r="AS2322" s="227"/>
      <c r="AT2322" s="227"/>
      <c r="AU2322" s="227"/>
    </row>
    <row r="2323" spans="27:47" ht="12.95" customHeight="1">
      <c r="AA2323" s="227"/>
      <c r="AB2323" s="227"/>
      <c r="AC2323" s="227"/>
      <c r="AD2323" s="227"/>
      <c r="AE2323" s="227"/>
      <c r="AF2323" s="293"/>
      <c r="AG2323" s="19"/>
      <c r="AN2323" s="227"/>
      <c r="AO2323" s="227"/>
      <c r="AP2323" s="227"/>
      <c r="AQ2323" s="227"/>
      <c r="AR2323" s="227"/>
      <c r="AS2323" s="227"/>
      <c r="AT2323" s="227"/>
      <c r="AU2323" s="227"/>
    </row>
    <row r="2324" spans="27:47" ht="12.95" customHeight="1">
      <c r="AA2324" s="227"/>
      <c r="AB2324" s="227"/>
      <c r="AC2324" s="227"/>
      <c r="AD2324" s="227"/>
      <c r="AE2324" s="227"/>
      <c r="AF2324" s="293"/>
      <c r="AG2324" s="19"/>
      <c r="AN2324" s="227"/>
      <c r="AO2324" s="227"/>
      <c r="AP2324" s="227"/>
      <c r="AQ2324" s="227"/>
      <c r="AR2324" s="227"/>
      <c r="AS2324" s="227"/>
      <c r="AT2324" s="227"/>
      <c r="AU2324" s="227"/>
    </row>
    <row r="2325" spans="27:47" ht="12.95" customHeight="1">
      <c r="AA2325" s="227"/>
      <c r="AB2325" s="227"/>
      <c r="AC2325" s="227"/>
      <c r="AD2325" s="227"/>
      <c r="AE2325" s="227"/>
      <c r="AF2325" s="293"/>
      <c r="AG2325" s="19"/>
      <c r="AN2325" s="227"/>
      <c r="AO2325" s="227"/>
      <c r="AP2325" s="227"/>
      <c r="AQ2325" s="227"/>
      <c r="AR2325" s="227"/>
      <c r="AS2325" s="227"/>
      <c r="AT2325" s="227"/>
      <c r="AU2325" s="227"/>
    </row>
    <row r="2326" spans="27:47" ht="12.95" customHeight="1">
      <c r="AA2326" s="227"/>
      <c r="AB2326" s="227"/>
      <c r="AC2326" s="227"/>
      <c r="AD2326" s="227"/>
      <c r="AE2326" s="227"/>
      <c r="AF2326" s="293"/>
      <c r="AG2326" s="19"/>
      <c r="AN2326" s="227"/>
      <c r="AO2326" s="227"/>
      <c r="AP2326" s="227"/>
      <c r="AQ2326" s="227"/>
      <c r="AR2326" s="227"/>
      <c r="AS2326" s="227"/>
      <c r="AT2326" s="227"/>
      <c r="AU2326" s="227"/>
    </row>
    <row r="2327" spans="27:47" ht="12.95" customHeight="1">
      <c r="AA2327" s="227"/>
      <c r="AB2327" s="227"/>
      <c r="AC2327" s="227"/>
      <c r="AD2327" s="227"/>
      <c r="AE2327" s="227"/>
      <c r="AF2327" s="293"/>
      <c r="AG2327" s="19"/>
      <c r="AN2327" s="227"/>
      <c r="AO2327" s="227"/>
      <c r="AP2327" s="227"/>
      <c r="AQ2327" s="227"/>
      <c r="AR2327" s="227"/>
      <c r="AS2327" s="227"/>
      <c r="AT2327" s="227"/>
      <c r="AU2327" s="227"/>
    </row>
    <row r="2328" spans="27:47" ht="12.95" customHeight="1">
      <c r="AA2328" s="227"/>
      <c r="AB2328" s="227"/>
      <c r="AC2328" s="227"/>
      <c r="AD2328" s="227"/>
      <c r="AE2328" s="227"/>
      <c r="AF2328" s="293"/>
      <c r="AG2328" s="19"/>
      <c r="AN2328" s="227"/>
      <c r="AO2328" s="227"/>
      <c r="AP2328" s="227"/>
      <c r="AQ2328" s="227"/>
      <c r="AR2328" s="227"/>
      <c r="AS2328" s="227"/>
      <c r="AT2328" s="227"/>
      <c r="AU2328" s="227"/>
    </row>
    <row r="2329" spans="27:47" ht="12.95" customHeight="1">
      <c r="AA2329" s="227"/>
      <c r="AB2329" s="227"/>
      <c r="AC2329" s="227"/>
      <c r="AD2329" s="227"/>
      <c r="AE2329" s="227"/>
      <c r="AF2329" s="293"/>
      <c r="AG2329" s="19"/>
      <c r="AN2329" s="227"/>
      <c r="AO2329" s="227"/>
      <c r="AP2329" s="227"/>
      <c r="AQ2329" s="227"/>
      <c r="AR2329" s="227"/>
      <c r="AS2329" s="227"/>
      <c r="AT2329" s="227"/>
      <c r="AU2329" s="227"/>
    </row>
    <row r="2330" spans="27:47" ht="12.95" customHeight="1">
      <c r="AA2330" s="227"/>
      <c r="AB2330" s="227"/>
      <c r="AC2330" s="227"/>
      <c r="AD2330" s="227"/>
      <c r="AE2330" s="227"/>
      <c r="AF2330" s="293"/>
      <c r="AG2330" s="19"/>
      <c r="AN2330" s="227"/>
      <c r="AO2330" s="227"/>
      <c r="AP2330" s="227"/>
      <c r="AQ2330" s="227"/>
      <c r="AR2330" s="227"/>
      <c r="AS2330" s="227"/>
      <c r="AT2330" s="227"/>
      <c r="AU2330" s="227"/>
    </row>
    <row r="2331" spans="27:47" ht="12.95" customHeight="1">
      <c r="AA2331" s="227"/>
      <c r="AB2331" s="227"/>
      <c r="AC2331" s="227"/>
      <c r="AD2331" s="227"/>
      <c r="AE2331" s="227"/>
      <c r="AF2331" s="293"/>
      <c r="AG2331" s="19"/>
      <c r="AN2331" s="227"/>
      <c r="AO2331" s="227"/>
      <c r="AP2331" s="227"/>
      <c r="AQ2331" s="227"/>
      <c r="AR2331" s="227"/>
      <c r="AS2331" s="227"/>
      <c r="AT2331" s="227"/>
      <c r="AU2331" s="227"/>
    </row>
    <row r="2332" spans="27:47" ht="12.95" customHeight="1">
      <c r="AA2332" s="227"/>
      <c r="AB2332" s="227"/>
      <c r="AC2332" s="227"/>
      <c r="AD2332" s="227"/>
      <c r="AE2332" s="227"/>
      <c r="AF2332" s="293"/>
      <c r="AG2332" s="19"/>
      <c r="AN2332" s="227"/>
      <c r="AO2332" s="227"/>
      <c r="AP2332" s="227"/>
      <c r="AQ2332" s="227"/>
      <c r="AR2332" s="227"/>
      <c r="AS2332" s="227"/>
      <c r="AT2332" s="227"/>
      <c r="AU2332" s="227"/>
    </row>
    <row r="2333" spans="27:47" ht="12.95" customHeight="1">
      <c r="AA2333" s="227"/>
      <c r="AB2333" s="227"/>
      <c r="AC2333" s="227"/>
      <c r="AD2333" s="227"/>
      <c r="AE2333" s="227"/>
      <c r="AF2333" s="293"/>
      <c r="AG2333" s="19"/>
      <c r="AN2333" s="227"/>
      <c r="AO2333" s="227"/>
      <c r="AP2333" s="227"/>
      <c r="AQ2333" s="227"/>
      <c r="AR2333" s="227"/>
      <c r="AS2333" s="227"/>
      <c r="AT2333" s="227"/>
      <c r="AU2333" s="227"/>
    </row>
    <row r="2334" spans="27:47" ht="12.95" customHeight="1">
      <c r="AA2334" s="227"/>
      <c r="AB2334" s="227"/>
      <c r="AC2334" s="227"/>
      <c r="AD2334" s="227"/>
      <c r="AE2334" s="227"/>
      <c r="AF2334" s="293"/>
      <c r="AG2334" s="19"/>
      <c r="AN2334" s="227"/>
      <c r="AO2334" s="227"/>
      <c r="AP2334" s="227"/>
      <c r="AQ2334" s="227"/>
      <c r="AR2334" s="227"/>
      <c r="AS2334" s="227"/>
      <c r="AT2334" s="227"/>
      <c r="AU2334" s="227"/>
    </row>
    <row r="2335" spans="27:47" ht="12.95" customHeight="1">
      <c r="AA2335" s="227"/>
      <c r="AB2335" s="227"/>
      <c r="AC2335" s="227"/>
      <c r="AD2335" s="227"/>
      <c r="AE2335" s="227"/>
      <c r="AF2335" s="293"/>
      <c r="AG2335" s="19"/>
      <c r="AN2335" s="227"/>
      <c r="AO2335" s="227"/>
      <c r="AP2335" s="227"/>
      <c r="AQ2335" s="227"/>
      <c r="AR2335" s="227"/>
      <c r="AS2335" s="227"/>
      <c r="AT2335" s="227"/>
      <c r="AU2335" s="227"/>
    </row>
    <row r="2336" spans="27:47" ht="12.95" customHeight="1">
      <c r="AA2336" s="227"/>
      <c r="AB2336" s="227"/>
      <c r="AC2336" s="227"/>
      <c r="AD2336" s="227"/>
      <c r="AE2336" s="227"/>
      <c r="AF2336" s="293"/>
      <c r="AG2336" s="19"/>
      <c r="AN2336" s="227"/>
      <c r="AO2336" s="227"/>
      <c r="AP2336" s="227"/>
      <c r="AQ2336" s="227"/>
      <c r="AR2336" s="227"/>
      <c r="AS2336" s="227"/>
      <c r="AT2336" s="227"/>
      <c r="AU2336" s="227"/>
    </row>
    <row r="2337" spans="27:47" ht="12.95" customHeight="1">
      <c r="AA2337" s="227"/>
      <c r="AB2337" s="227"/>
      <c r="AC2337" s="227"/>
      <c r="AD2337" s="227"/>
      <c r="AE2337" s="227"/>
      <c r="AF2337" s="293"/>
      <c r="AG2337" s="19"/>
      <c r="AN2337" s="227"/>
      <c r="AO2337" s="227"/>
      <c r="AP2337" s="227"/>
      <c r="AQ2337" s="227"/>
      <c r="AR2337" s="227"/>
      <c r="AS2337" s="227"/>
      <c r="AT2337" s="227"/>
      <c r="AU2337" s="227"/>
    </row>
    <row r="2338" spans="27:47" ht="12.95" customHeight="1">
      <c r="AA2338" s="227"/>
      <c r="AB2338" s="227"/>
      <c r="AC2338" s="227"/>
      <c r="AD2338" s="227"/>
      <c r="AE2338" s="227"/>
      <c r="AF2338" s="293"/>
      <c r="AG2338" s="19"/>
      <c r="AN2338" s="227"/>
      <c r="AO2338" s="227"/>
      <c r="AP2338" s="227"/>
      <c r="AQ2338" s="227"/>
      <c r="AR2338" s="227"/>
      <c r="AS2338" s="227"/>
      <c r="AT2338" s="227"/>
      <c r="AU2338" s="227"/>
    </row>
    <row r="2339" spans="27:47" ht="12.95" customHeight="1">
      <c r="AA2339" s="227"/>
      <c r="AB2339" s="227"/>
      <c r="AC2339" s="227"/>
      <c r="AD2339" s="227"/>
      <c r="AE2339" s="227"/>
      <c r="AF2339" s="293"/>
      <c r="AG2339" s="19"/>
      <c r="AN2339" s="227"/>
      <c r="AO2339" s="227"/>
      <c r="AP2339" s="227"/>
      <c r="AQ2339" s="227"/>
      <c r="AR2339" s="227"/>
      <c r="AS2339" s="227"/>
      <c r="AT2339" s="227"/>
      <c r="AU2339" s="227"/>
    </row>
    <row r="2340" spans="27:47" ht="12.95" customHeight="1">
      <c r="AA2340" s="227"/>
      <c r="AB2340" s="227"/>
      <c r="AC2340" s="227"/>
      <c r="AD2340" s="227"/>
      <c r="AE2340" s="227"/>
      <c r="AF2340" s="293"/>
      <c r="AG2340" s="19"/>
      <c r="AN2340" s="227"/>
      <c r="AO2340" s="227"/>
      <c r="AP2340" s="227"/>
      <c r="AQ2340" s="227"/>
      <c r="AR2340" s="227"/>
      <c r="AS2340" s="227"/>
      <c r="AT2340" s="227"/>
      <c r="AU2340" s="227"/>
    </row>
    <row r="2341" spans="27:47" ht="12.95" customHeight="1">
      <c r="AA2341" s="227"/>
      <c r="AB2341" s="227"/>
      <c r="AC2341" s="227"/>
      <c r="AD2341" s="227"/>
      <c r="AE2341" s="227"/>
      <c r="AF2341" s="293"/>
      <c r="AG2341" s="19"/>
      <c r="AN2341" s="227"/>
      <c r="AO2341" s="227"/>
      <c r="AP2341" s="227"/>
      <c r="AQ2341" s="227"/>
      <c r="AR2341" s="227"/>
      <c r="AS2341" s="227"/>
      <c r="AT2341" s="227"/>
      <c r="AU2341" s="227"/>
    </row>
    <row r="2342" spans="27:47" ht="12.95" customHeight="1">
      <c r="AA2342" s="227"/>
      <c r="AB2342" s="227"/>
      <c r="AC2342" s="227"/>
      <c r="AD2342" s="227"/>
      <c r="AE2342" s="227"/>
      <c r="AF2342" s="293"/>
      <c r="AG2342" s="19"/>
      <c r="AN2342" s="227"/>
      <c r="AO2342" s="227"/>
      <c r="AP2342" s="227"/>
      <c r="AQ2342" s="227"/>
      <c r="AR2342" s="227"/>
      <c r="AS2342" s="227"/>
      <c r="AT2342" s="227"/>
      <c r="AU2342" s="227"/>
    </row>
    <row r="2343" spans="27:47" ht="12.95" customHeight="1">
      <c r="AA2343" s="227"/>
      <c r="AB2343" s="227"/>
      <c r="AC2343" s="227"/>
      <c r="AD2343" s="227"/>
      <c r="AE2343" s="227"/>
      <c r="AF2343" s="293"/>
      <c r="AG2343" s="19"/>
      <c r="AN2343" s="227"/>
      <c r="AO2343" s="227"/>
      <c r="AP2343" s="227"/>
      <c r="AQ2343" s="227"/>
      <c r="AR2343" s="227"/>
      <c r="AS2343" s="227"/>
      <c r="AT2343" s="227"/>
      <c r="AU2343" s="227"/>
    </row>
    <row r="2344" spans="27:47" ht="12.95" customHeight="1">
      <c r="AA2344" s="227"/>
      <c r="AB2344" s="227"/>
      <c r="AC2344" s="227"/>
      <c r="AD2344" s="227"/>
      <c r="AE2344" s="227"/>
      <c r="AF2344" s="293"/>
      <c r="AG2344" s="19"/>
      <c r="AN2344" s="227"/>
      <c r="AO2344" s="227"/>
      <c r="AP2344" s="227"/>
      <c r="AQ2344" s="227"/>
      <c r="AR2344" s="227"/>
      <c r="AS2344" s="227"/>
      <c r="AT2344" s="227"/>
      <c r="AU2344" s="227"/>
    </row>
    <row r="2345" spans="27:47" ht="12.95" customHeight="1">
      <c r="AA2345" s="227"/>
      <c r="AB2345" s="227"/>
      <c r="AC2345" s="227"/>
      <c r="AD2345" s="227"/>
      <c r="AE2345" s="227"/>
      <c r="AF2345" s="293"/>
      <c r="AG2345" s="19"/>
      <c r="AN2345" s="227"/>
      <c r="AO2345" s="227"/>
      <c r="AP2345" s="227"/>
      <c r="AQ2345" s="227"/>
      <c r="AR2345" s="227"/>
      <c r="AS2345" s="227"/>
      <c r="AT2345" s="227"/>
      <c r="AU2345" s="227"/>
    </row>
    <row r="2346" spans="27:47" ht="12.95" customHeight="1">
      <c r="AA2346" s="227"/>
      <c r="AB2346" s="227"/>
      <c r="AC2346" s="227"/>
      <c r="AD2346" s="227"/>
      <c r="AE2346" s="227"/>
      <c r="AF2346" s="293"/>
      <c r="AG2346" s="19"/>
      <c r="AN2346" s="227"/>
      <c r="AO2346" s="227"/>
      <c r="AP2346" s="227"/>
      <c r="AQ2346" s="227"/>
      <c r="AR2346" s="227"/>
      <c r="AS2346" s="227"/>
      <c r="AT2346" s="227"/>
      <c r="AU2346" s="227"/>
    </row>
    <row r="2347" spans="27:47" ht="12.95" customHeight="1">
      <c r="AA2347" s="227"/>
      <c r="AB2347" s="227"/>
      <c r="AC2347" s="227"/>
      <c r="AD2347" s="227"/>
      <c r="AE2347" s="227"/>
      <c r="AF2347" s="293"/>
      <c r="AG2347" s="19"/>
      <c r="AN2347" s="227"/>
      <c r="AO2347" s="227"/>
      <c r="AP2347" s="227"/>
      <c r="AQ2347" s="227"/>
      <c r="AR2347" s="227"/>
      <c r="AS2347" s="227"/>
      <c r="AT2347" s="227"/>
      <c r="AU2347" s="227"/>
    </row>
    <row r="2348" spans="27:47" ht="12.95" customHeight="1">
      <c r="AA2348" s="227"/>
      <c r="AB2348" s="227"/>
      <c r="AC2348" s="227"/>
      <c r="AD2348" s="227"/>
      <c r="AE2348" s="227"/>
      <c r="AF2348" s="293"/>
      <c r="AG2348" s="19"/>
      <c r="AN2348" s="227"/>
      <c r="AO2348" s="227"/>
      <c r="AP2348" s="227"/>
      <c r="AQ2348" s="227"/>
      <c r="AR2348" s="227"/>
      <c r="AS2348" s="227"/>
      <c r="AT2348" s="227"/>
      <c r="AU2348" s="227"/>
    </row>
    <row r="2349" spans="27:47" ht="12.95" customHeight="1">
      <c r="AA2349" s="227"/>
      <c r="AB2349" s="227"/>
      <c r="AC2349" s="227"/>
      <c r="AD2349" s="227"/>
      <c r="AE2349" s="227"/>
      <c r="AF2349" s="293"/>
      <c r="AG2349" s="19"/>
      <c r="AN2349" s="227"/>
      <c r="AO2349" s="227"/>
      <c r="AP2349" s="227"/>
      <c r="AQ2349" s="227"/>
      <c r="AR2349" s="227"/>
      <c r="AS2349" s="227"/>
      <c r="AT2349" s="227"/>
      <c r="AU2349" s="227"/>
    </row>
    <row r="2350" spans="27:47" ht="12.95" customHeight="1">
      <c r="AA2350" s="227"/>
      <c r="AB2350" s="227"/>
      <c r="AC2350" s="227"/>
      <c r="AD2350" s="227"/>
      <c r="AE2350" s="227"/>
      <c r="AF2350" s="293"/>
      <c r="AG2350" s="19"/>
      <c r="AN2350" s="227"/>
      <c r="AO2350" s="227"/>
      <c r="AP2350" s="227"/>
      <c r="AQ2350" s="227"/>
      <c r="AR2350" s="227"/>
      <c r="AS2350" s="227"/>
      <c r="AT2350" s="227"/>
      <c r="AU2350" s="227"/>
    </row>
    <row r="2351" spans="27:47" ht="12.95" customHeight="1">
      <c r="AA2351" s="227"/>
      <c r="AB2351" s="227"/>
      <c r="AC2351" s="227"/>
      <c r="AD2351" s="227"/>
      <c r="AE2351" s="227"/>
      <c r="AF2351" s="293"/>
      <c r="AG2351" s="19"/>
      <c r="AN2351" s="227"/>
      <c r="AO2351" s="227"/>
      <c r="AP2351" s="227"/>
      <c r="AQ2351" s="227"/>
      <c r="AR2351" s="227"/>
      <c r="AS2351" s="227"/>
      <c r="AT2351" s="227"/>
      <c r="AU2351" s="227"/>
    </row>
    <row r="2352" spans="27:47" ht="12.95" customHeight="1">
      <c r="AA2352" s="227"/>
      <c r="AB2352" s="227"/>
      <c r="AC2352" s="227"/>
      <c r="AD2352" s="227"/>
      <c r="AE2352" s="227"/>
      <c r="AF2352" s="293"/>
      <c r="AG2352" s="19"/>
      <c r="AN2352" s="227"/>
      <c r="AO2352" s="227"/>
      <c r="AP2352" s="227"/>
      <c r="AQ2352" s="227"/>
      <c r="AR2352" s="227"/>
      <c r="AS2352" s="227"/>
      <c r="AT2352" s="227"/>
      <c r="AU2352" s="227"/>
    </row>
    <row r="2353" spans="27:47" ht="12.95" customHeight="1">
      <c r="AA2353" s="227"/>
      <c r="AB2353" s="227"/>
      <c r="AC2353" s="227"/>
      <c r="AD2353" s="227"/>
      <c r="AE2353" s="227"/>
      <c r="AF2353" s="293"/>
      <c r="AG2353" s="19"/>
      <c r="AN2353" s="227"/>
      <c r="AO2353" s="227"/>
      <c r="AP2353" s="227"/>
      <c r="AQ2353" s="227"/>
      <c r="AR2353" s="227"/>
      <c r="AS2353" s="227"/>
      <c r="AT2353" s="227"/>
      <c r="AU2353" s="227"/>
    </row>
    <row r="2354" spans="27:47" ht="12.95" customHeight="1">
      <c r="AA2354" s="227"/>
      <c r="AB2354" s="227"/>
      <c r="AC2354" s="227"/>
      <c r="AD2354" s="227"/>
      <c r="AE2354" s="227"/>
      <c r="AF2354" s="293"/>
      <c r="AG2354" s="19"/>
      <c r="AN2354" s="227"/>
      <c r="AO2354" s="227"/>
      <c r="AP2354" s="227"/>
      <c r="AQ2354" s="227"/>
      <c r="AR2354" s="227"/>
      <c r="AS2354" s="227"/>
      <c r="AT2354" s="227"/>
      <c r="AU2354" s="227"/>
    </row>
    <row r="2355" spans="27:47" ht="12.95" customHeight="1">
      <c r="AA2355" s="227"/>
      <c r="AB2355" s="227"/>
      <c r="AC2355" s="227"/>
      <c r="AD2355" s="227"/>
      <c r="AE2355" s="227"/>
      <c r="AF2355" s="293"/>
      <c r="AG2355" s="19"/>
      <c r="AN2355" s="227"/>
      <c r="AO2355" s="227"/>
      <c r="AP2355" s="227"/>
      <c r="AQ2355" s="227"/>
      <c r="AR2355" s="227"/>
      <c r="AS2355" s="227"/>
      <c r="AT2355" s="227"/>
      <c r="AU2355" s="227"/>
    </row>
    <row r="2356" spans="27:47" ht="12.95" customHeight="1">
      <c r="AA2356" s="227"/>
      <c r="AB2356" s="227"/>
      <c r="AC2356" s="227"/>
      <c r="AD2356" s="227"/>
      <c r="AE2356" s="227"/>
      <c r="AF2356" s="293"/>
      <c r="AG2356" s="19"/>
      <c r="AN2356" s="227"/>
      <c r="AO2356" s="227"/>
      <c r="AP2356" s="227"/>
      <c r="AQ2356" s="227"/>
      <c r="AR2356" s="227"/>
      <c r="AS2356" s="227"/>
      <c r="AT2356" s="227"/>
      <c r="AU2356" s="227"/>
    </row>
    <row r="2357" spans="27:47" ht="12.95" customHeight="1">
      <c r="AA2357" s="227"/>
      <c r="AB2357" s="227"/>
      <c r="AC2357" s="227"/>
      <c r="AD2357" s="227"/>
      <c r="AE2357" s="227"/>
      <c r="AF2357" s="293"/>
      <c r="AG2357" s="19"/>
      <c r="AN2357" s="227"/>
      <c r="AO2357" s="227"/>
      <c r="AP2357" s="227"/>
      <c r="AQ2357" s="227"/>
      <c r="AR2357" s="227"/>
      <c r="AS2357" s="227"/>
      <c r="AT2357" s="227"/>
      <c r="AU2357" s="227"/>
    </row>
    <row r="2358" spans="27:47" ht="12.95" customHeight="1">
      <c r="AA2358" s="227"/>
      <c r="AB2358" s="227"/>
      <c r="AC2358" s="227"/>
      <c r="AD2358" s="227"/>
      <c r="AE2358" s="227"/>
      <c r="AF2358" s="293"/>
      <c r="AG2358" s="19"/>
      <c r="AN2358" s="227"/>
      <c r="AO2358" s="227"/>
      <c r="AP2358" s="227"/>
      <c r="AQ2358" s="227"/>
      <c r="AR2358" s="227"/>
      <c r="AS2358" s="227"/>
      <c r="AT2358" s="227"/>
      <c r="AU2358" s="227"/>
    </row>
    <row r="2359" spans="27:47" ht="12.95" customHeight="1">
      <c r="AA2359" s="227"/>
      <c r="AB2359" s="227"/>
      <c r="AC2359" s="227"/>
      <c r="AD2359" s="227"/>
      <c r="AE2359" s="227"/>
      <c r="AF2359" s="293"/>
      <c r="AG2359" s="19"/>
      <c r="AN2359" s="227"/>
      <c r="AO2359" s="227"/>
      <c r="AP2359" s="227"/>
      <c r="AQ2359" s="227"/>
      <c r="AR2359" s="227"/>
      <c r="AS2359" s="227"/>
      <c r="AT2359" s="227"/>
      <c r="AU2359" s="227"/>
    </row>
    <row r="2360" spans="27:47" ht="12.95" customHeight="1">
      <c r="AA2360" s="227"/>
      <c r="AB2360" s="227"/>
      <c r="AC2360" s="227"/>
      <c r="AD2360" s="227"/>
      <c r="AE2360" s="227"/>
      <c r="AF2360" s="293"/>
      <c r="AG2360" s="19"/>
      <c r="AN2360" s="227"/>
      <c r="AO2360" s="227"/>
      <c r="AP2360" s="227"/>
      <c r="AQ2360" s="227"/>
      <c r="AR2360" s="227"/>
      <c r="AS2360" s="227"/>
      <c r="AT2360" s="227"/>
      <c r="AU2360" s="227"/>
    </row>
    <row r="2361" spans="27:47" ht="12.95" customHeight="1">
      <c r="AA2361" s="227"/>
      <c r="AB2361" s="227"/>
      <c r="AC2361" s="227"/>
      <c r="AD2361" s="227"/>
      <c r="AE2361" s="227"/>
      <c r="AF2361" s="293"/>
      <c r="AG2361" s="19"/>
      <c r="AN2361" s="227"/>
      <c r="AO2361" s="227"/>
      <c r="AP2361" s="227"/>
      <c r="AQ2361" s="227"/>
      <c r="AR2361" s="227"/>
      <c r="AS2361" s="227"/>
      <c r="AT2361" s="227"/>
      <c r="AU2361" s="227"/>
    </row>
    <row r="2362" spans="27:47" ht="12.95" customHeight="1">
      <c r="AA2362" s="227"/>
      <c r="AB2362" s="227"/>
      <c r="AC2362" s="227"/>
      <c r="AD2362" s="227"/>
      <c r="AE2362" s="227"/>
      <c r="AF2362" s="293"/>
      <c r="AG2362" s="19"/>
      <c r="AN2362" s="227"/>
      <c r="AO2362" s="227"/>
      <c r="AP2362" s="227"/>
      <c r="AQ2362" s="227"/>
      <c r="AR2362" s="227"/>
      <c r="AS2362" s="227"/>
      <c r="AT2362" s="227"/>
      <c r="AU2362" s="227"/>
    </row>
    <row r="2363" spans="27:47" ht="12.95" customHeight="1">
      <c r="AA2363" s="227"/>
      <c r="AB2363" s="227"/>
      <c r="AC2363" s="227"/>
      <c r="AD2363" s="227"/>
      <c r="AE2363" s="227"/>
      <c r="AF2363" s="293"/>
      <c r="AG2363" s="19"/>
      <c r="AN2363" s="227"/>
      <c r="AO2363" s="227"/>
      <c r="AP2363" s="227"/>
      <c r="AQ2363" s="227"/>
      <c r="AR2363" s="227"/>
      <c r="AS2363" s="227"/>
      <c r="AT2363" s="227"/>
      <c r="AU2363" s="227"/>
    </row>
    <row r="2364" spans="27:47" ht="12.95" customHeight="1">
      <c r="AA2364" s="227"/>
      <c r="AB2364" s="227"/>
      <c r="AC2364" s="227"/>
      <c r="AD2364" s="227"/>
      <c r="AE2364" s="227"/>
      <c r="AF2364" s="293"/>
      <c r="AG2364" s="19"/>
      <c r="AN2364" s="227"/>
      <c r="AO2364" s="227"/>
      <c r="AP2364" s="227"/>
      <c r="AQ2364" s="227"/>
      <c r="AR2364" s="227"/>
      <c r="AS2364" s="227"/>
      <c r="AT2364" s="227"/>
      <c r="AU2364" s="227"/>
    </row>
    <row r="2365" spans="27:47" ht="12.95" customHeight="1">
      <c r="AA2365" s="227"/>
      <c r="AB2365" s="227"/>
      <c r="AC2365" s="227"/>
      <c r="AD2365" s="227"/>
      <c r="AE2365" s="227"/>
      <c r="AF2365" s="293"/>
      <c r="AG2365" s="19"/>
      <c r="AN2365" s="227"/>
      <c r="AO2365" s="227"/>
      <c r="AP2365" s="227"/>
      <c r="AQ2365" s="227"/>
      <c r="AR2365" s="227"/>
      <c r="AS2365" s="227"/>
      <c r="AT2365" s="227"/>
      <c r="AU2365" s="227"/>
    </row>
    <row r="2366" spans="27:47" ht="12.95" customHeight="1">
      <c r="AA2366" s="227"/>
      <c r="AB2366" s="227"/>
      <c r="AC2366" s="227"/>
      <c r="AD2366" s="227"/>
      <c r="AE2366" s="227"/>
      <c r="AF2366" s="293"/>
      <c r="AG2366" s="19"/>
      <c r="AN2366" s="227"/>
      <c r="AO2366" s="227"/>
      <c r="AP2366" s="227"/>
      <c r="AQ2366" s="227"/>
      <c r="AR2366" s="227"/>
      <c r="AS2366" s="227"/>
      <c r="AT2366" s="227"/>
      <c r="AU2366" s="227"/>
    </row>
    <row r="2367" spans="27:47" ht="12.95" customHeight="1">
      <c r="AA2367" s="227"/>
      <c r="AB2367" s="227"/>
      <c r="AC2367" s="227"/>
      <c r="AD2367" s="227"/>
      <c r="AE2367" s="227"/>
      <c r="AF2367" s="293"/>
      <c r="AG2367" s="19"/>
      <c r="AN2367" s="227"/>
      <c r="AO2367" s="227"/>
      <c r="AP2367" s="227"/>
      <c r="AQ2367" s="227"/>
      <c r="AR2367" s="227"/>
      <c r="AS2367" s="227"/>
      <c r="AT2367" s="227"/>
      <c r="AU2367" s="227"/>
    </row>
    <row r="2368" spans="27:47" ht="12.95" customHeight="1">
      <c r="AA2368" s="227"/>
      <c r="AB2368" s="227"/>
      <c r="AC2368" s="227"/>
      <c r="AD2368" s="227"/>
      <c r="AE2368" s="227"/>
      <c r="AF2368" s="293"/>
      <c r="AG2368" s="19"/>
      <c r="AN2368" s="227"/>
      <c r="AO2368" s="227"/>
      <c r="AP2368" s="227"/>
      <c r="AQ2368" s="227"/>
      <c r="AR2368" s="227"/>
      <c r="AS2368" s="227"/>
      <c r="AT2368" s="227"/>
      <c r="AU2368" s="227"/>
    </row>
    <row r="2369" spans="27:47" ht="12.95" customHeight="1">
      <c r="AA2369" s="227"/>
      <c r="AB2369" s="227"/>
      <c r="AC2369" s="227"/>
      <c r="AD2369" s="227"/>
      <c r="AE2369" s="227"/>
      <c r="AF2369" s="293"/>
      <c r="AG2369" s="19"/>
      <c r="AN2369" s="227"/>
      <c r="AO2369" s="227"/>
      <c r="AP2369" s="227"/>
      <c r="AQ2369" s="227"/>
      <c r="AR2369" s="227"/>
      <c r="AS2369" s="227"/>
      <c r="AT2369" s="227"/>
      <c r="AU2369" s="227"/>
    </row>
    <row r="2370" spans="27:47" ht="12.95" customHeight="1">
      <c r="AA2370" s="227"/>
      <c r="AB2370" s="227"/>
      <c r="AC2370" s="227"/>
      <c r="AD2370" s="227"/>
      <c r="AE2370" s="227"/>
      <c r="AF2370" s="293"/>
      <c r="AG2370" s="19"/>
      <c r="AN2370" s="227"/>
      <c r="AO2370" s="227"/>
      <c r="AP2370" s="227"/>
      <c r="AQ2370" s="227"/>
      <c r="AR2370" s="227"/>
      <c r="AS2370" s="227"/>
      <c r="AT2370" s="227"/>
      <c r="AU2370" s="227"/>
    </row>
    <row r="2371" spans="27:47" ht="12.95" customHeight="1">
      <c r="AA2371" s="227"/>
      <c r="AB2371" s="227"/>
      <c r="AC2371" s="227"/>
      <c r="AD2371" s="227"/>
      <c r="AE2371" s="227"/>
      <c r="AF2371" s="293"/>
      <c r="AG2371" s="19"/>
      <c r="AN2371" s="227"/>
      <c r="AO2371" s="227"/>
      <c r="AP2371" s="227"/>
      <c r="AQ2371" s="227"/>
      <c r="AR2371" s="227"/>
      <c r="AS2371" s="227"/>
      <c r="AT2371" s="227"/>
      <c r="AU2371" s="227"/>
    </row>
    <row r="2372" spans="27:47" ht="12.95" customHeight="1">
      <c r="AA2372" s="227"/>
      <c r="AB2372" s="227"/>
      <c r="AC2372" s="227"/>
      <c r="AD2372" s="227"/>
      <c r="AE2372" s="227"/>
      <c r="AF2372" s="293"/>
      <c r="AG2372" s="19"/>
      <c r="AN2372" s="227"/>
      <c r="AO2372" s="227"/>
      <c r="AP2372" s="227"/>
      <c r="AQ2372" s="227"/>
      <c r="AR2372" s="227"/>
      <c r="AS2372" s="227"/>
      <c r="AT2372" s="227"/>
      <c r="AU2372" s="227"/>
    </row>
    <row r="2373" spans="27:47" ht="12.95" customHeight="1">
      <c r="AA2373" s="227"/>
      <c r="AB2373" s="227"/>
      <c r="AC2373" s="227"/>
      <c r="AD2373" s="227"/>
      <c r="AE2373" s="227"/>
      <c r="AF2373" s="293"/>
      <c r="AG2373" s="19"/>
      <c r="AN2373" s="227"/>
      <c r="AO2373" s="227"/>
      <c r="AP2373" s="227"/>
      <c r="AQ2373" s="227"/>
      <c r="AR2373" s="227"/>
      <c r="AS2373" s="227"/>
      <c r="AT2373" s="227"/>
      <c r="AU2373" s="227"/>
    </row>
    <row r="2374" spans="27:47" ht="12.95" customHeight="1">
      <c r="AA2374" s="227"/>
      <c r="AB2374" s="227"/>
      <c r="AC2374" s="227"/>
      <c r="AD2374" s="227"/>
      <c r="AE2374" s="227"/>
      <c r="AF2374" s="293"/>
      <c r="AG2374" s="19"/>
      <c r="AN2374" s="227"/>
      <c r="AO2374" s="227"/>
      <c r="AP2374" s="227"/>
      <c r="AQ2374" s="227"/>
      <c r="AR2374" s="227"/>
      <c r="AS2374" s="227"/>
      <c r="AT2374" s="227"/>
      <c r="AU2374" s="227"/>
    </row>
    <row r="2375" spans="27:47" ht="12.95" customHeight="1">
      <c r="AA2375" s="227"/>
      <c r="AB2375" s="227"/>
      <c r="AC2375" s="227"/>
      <c r="AD2375" s="227"/>
      <c r="AE2375" s="227"/>
      <c r="AF2375" s="293"/>
      <c r="AG2375" s="19"/>
      <c r="AN2375" s="227"/>
      <c r="AO2375" s="227"/>
      <c r="AP2375" s="227"/>
      <c r="AQ2375" s="227"/>
      <c r="AR2375" s="227"/>
      <c r="AS2375" s="227"/>
      <c r="AT2375" s="227"/>
      <c r="AU2375" s="227"/>
    </row>
    <row r="2376" spans="27:47" ht="12.95" customHeight="1">
      <c r="AA2376" s="227"/>
      <c r="AB2376" s="227"/>
      <c r="AC2376" s="227"/>
      <c r="AD2376" s="227"/>
      <c r="AE2376" s="227"/>
      <c r="AF2376" s="293"/>
      <c r="AG2376" s="19"/>
      <c r="AN2376" s="227"/>
      <c r="AO2376" s="227"/>
      <c r="AP2376" s="227"/>
      <c r="AQ2376" s="227"/>
      <c r="AR2376" s="227"/>
      <c r="AS2376" s="227"/>
      <c r="AT2376" s="227"/>
      <c r="AU2376" s="227"/>
    </row>
    <row r="2377" spans="27:47" ht="12.95" customHeight="1">
      <c r="AA2377" s="227"/>
      <c r="AB2377" s="227"/>
      <c r="AC2377" s="227"/>
      <c r="AD2377" s="227"/>
      <c r="AE2377" s="227"/>
      <c r="AF2377" s="293"/>
      <c r="AG2377" s="19"/>
      <c r="AN2377" s="227"/>
      <c r="AO2377" s="227"/>
      <c r="AP2377" s="227"/>
      <c r="AQ2377" s="227"/>
      <c r="AR2377" s="227"/>
      <c r="AS2377" s="227"/>
      <c r="AT2377" s="227"/>
      <c r="AU2377" s="227"/>
    </row>
    <row r="2378" spans="27:47" ht="12.95" customHeight="1">
      <c r="AA2378" s="227"/>
      <c r="AB2378" s="227"/>
      <c r="AC2378" s="227"/>
      <c r="AD2378" s="227"/>
      <c r="AE2378" s="227"/>
      <c r="AF2378" s="293"/>
      <c r="AG2378" s="19"/>
      <c r="AN2378" s="227"/>
      <c r="AO2378" s="227"/>
      <c r="AP2378" s="227"/>
      <c r="AQ2378" s="227"/>
      <c r="AR2378" s="227"/>
      <c r="AS2378" s="227"/>
      <c r="AT2378" s="227"/>
      <c r="AU2378" s="227"/>
    </row>
    <row r="2379" spans="27:47" ht="12.95" customHeight="1">
      <c r="AA2379" s="227"/>
      <c r="AB2379" s="227"/>
      <c r="AC2379" s="227"/>
      <c r="AD2379" s="227"/>
      <c r="AE2379" s="227"/>
      <c r="AF2379" s="293"/>
      <c r="AG2379" s="19"/>
      <c r="AN2379" s="227"/>
      <c r="AO2379" s="227"/>
      <c r="AP2379" s="227"/>
      <c r="AQ2379" s="227"/>
      <c r="AR2379" s="227"/>
      <c r="AS2379" s="227"/>
      <c r="AT2379" s="227"/>
      <c r="AU2379" s="227"/>
    </row>
    <row r="2380" spans="27:47" ht="12.95" customHeight="1">
      <c r="AA2380" s="227"/>
      <c r="AB2380" s="227"/>
      <c r="AC2380" s="227"/>
      <c r="AD2380" s="227"/>
      <c r="AE2380" s="227"/>
      <c r="AF2380" s="293"/>
      <c r="AG2380" s="19"/>
      <c r="AN2380" s="227"/>
      <c r="AO2380" s="227"/>
      <c r="AP2380" s="227"/>
      <c r="AQ2380" s="227"/>
      <c r="AR2380" s="227"/>
      <c r="AS2380" s="227"/>
      <c r="AT2380" s="227"/>
      <c r="AU2380" s="227"/>
    </row>
    <row r="2381" spans="27:47" ht="12.95" customHeight="1">
      <c r="AA2381" s="227"/>
      <c r="AB2381" s="227"/>
      <c r="AC2381" s="227"/>
      <c r="AD2381" s="227"/>
      <c r="AE2381" s="227"/>
      <c r="AF2381" s="293"/>
      <c r="AG2381" s="19"/>
      <c r="AN2381" s="227"/>
      <c r="AO2381" s="227"/>
      <c r="AP2381" s="227"/>
      <c r="AQ2381" s="227"/>
      <c r="AR2381" s="227"/>
      <c r="AS2381" s="227"/>
      <c r="AT2381" s="227"/>
      <c r="AU2381" s="227"/>
    </row>
    <row r="2382" spans="27:47" ht="12.95" customHeight="1">
      <c r="AA2382" s="227"/>
      <c r="AB2382" s="227"/>
      <c r="AC2382" s="227"/>
      <c r="AD2382" s="227"/>
      <c r="AE2382" s="227"/>
      <c r="AF2382" s="293"/>
      <c r="AG2382" s="19"/>
      <c r="AN2382" s="227"/>
      <c r="AO2382" s="227"/>
      <c r="AP2382" s="227"/>
      <c r="AQ2382" s="227"/>
      <c r="AR2382" s="227"/>
      <c r="AS2382" s="227"/>
      <c r="AT2382" s="227"/>
      <c r="AU2382" s="227"/>
    </row>
    <row r="2383" spans="27:47" ht="12.95" customHeight="1">
      <c r="AA2383" s="227"/>
      <c r="AB2383" s="227"/>
      <c r="AC2383" s="227"/>
      <c r="AD2383" s="227"/>
      <c r="AE2383" s="227"/>
      <c r="AF2383" s="293"/>
      <c r="AG2383" s="19"/>
      <c r="AN2383" s="227"/>
      <c r="AO2383" s="227"/>
      <c r="AP2383" s="227"/>
      <c r="AQ2383" s="227"/>
      <c r="AR2383" s="227"/>
      <c r="AS2383" s="227"/>
      <c r="AT2383" s="227"/>
      <c r="AU2383" s="227"/>
    </row>
    <row r="2384" spans="27:47" ht="12.95" customHeight="1">
      <c r="AA2384" s="227"/>
      <c r="AB2384" s="227"/>
      <c r="AC2384" s="227"/>
      <c r="AD2384" s="227"/>
      <c r="AE2384" s="227"/>
      <c r="AF2384" s="293"/>
      <c r="AG2384" s="19"/>
      <c r="AN2384" s="227"/>
      <c r="AO2384" s="227"/>
      <c r="AP2384" s="227"/>
      <c r="AQ2384" s="227"/>
      <c r="AR2384" s="227"/>
      <c r="AS2384" s="227"/>
      <c r="AT2384" s="227"/>
      <c r="AU2384" s="227"/>
    </row>
    <row r="2385" spans="27:47" ht="12.95" customHeight="1">
      <c r="AA2385" s="227"/>
      <c r="AB2385" s="227"/>
      <c r="AC2385" s="227"/>
      <c r="AD2385" s="227"/>
      <c r="AE2385" s="227"/>
      <c r="AF2385" s="293"/>
      <c r="AG2385" s="19"/>
      <c r="AN2385" s="227"/>
      <c r="AO2385" s="227"/>
      <c r="AP2385" s="227"/>
      <c r="AQ2385" s="227"/>
      <c r="AR2385" s="227"/>
      <c r="AS2385" s="227"/>
      <c r="AT2385" s="227"/>
      <c r="AU2385" s="227"/>
    </row>
    <row r="2386" spans="27:47" ht="12.95" customHeight="1">
      <c r="AA2386" s="227"/>
      <c r="AB2386" s="227"/>
      <c r="AC2386" s="227"/>
      <c r="AD2386" s="227"/>
      <c r="AE2386" s="227"/>
      <c r="AF2386" s="293"/>
      <c r="AG2386" s="19"/>
      <c r="AN2386" s="227"/>
      <c r="AO2386" s="227"/>
      <c r="AP2386" s="227"/>
      <c r="AQ2386" s="227"/>
      <c r="AR2386" s="227"/>
      <c r="AS2386" s="227"/>
      <c r="AT2386" s="227"/>
      <c r="AU2386" s="227"/>
    </row>
    <row r="2387" spans="27:47" ht="12.95" customHeight="1">
      <c r="AA2387" s="227"/>
      <c r="AB2387" s="227"/>
      <c r="AC2387" s="227"/>
      <c r="AD2387" s="227"/>
      <c r="AE2387" s="227"/>
      <c r="AF2387" s="293"/>
      <c r="AG2387" s="19"/>
      <c r="AN2387" s="227"/>
      <c r="AO2387" s="227"/>
      <c r="AP2387" s="227"/>
      <c r="AQ2387" s="227"/>
      <c r="AR2387" s="227"/>
      <c r="AS2387" s="227"/>
      <c r="AT2387" s="227"/>
      <c r="AU2387" s="227"/>
    </row>
    <row r="2388" spans="27:47" ht="12.95" customHeight="1">
      <c r="AA2388" s="227"/>
      <c r="AB2388" s="227"/>
      <c r="AC2388" s="227"/>
      <c r="AD2388" s="227"/>
      <c r="AE2388" s="227"/>
      <c r="AF2388" s="293"/>
      <c r="AG2388" s="19"/>
      <c r="AN2388" s="227"/>
      <c r="AO2388" s="227"/>
      <c r="AP2388" s="227"/>
      <c r="AQ2388" s="227"/>
      <c r="AR2388" s="227"/>
      <c r="AS2388" s="227"/>
      <c r="AT2388" s="227"/>
      <c r="AU2388" s="227"/>
    </row>
    <row r="2389" spans="27:47" ht="12.95" customHeight="1">
      <c r="AA2389" s="227"/>
      <c r="AB2389" s="227"/>
      <c r="AC2389" s="227"/>
      <c r="AD2389" s="227"/>
      <c r="AE2389" s="227"/>
      <c r="AF2389" s="293"/>
      <c r="AG2389" s="19"/>
      <c r="AN2389" s="227"/>
      <c r="AO2389" s="227"/>
      <c r="AP2389" s="227"/>
      <c r="AQ2389" s="227"/>
      <c r="AR2389" s="227"/>
      <c r="AS2389" s="227"/>
      <c r="AT2389" s="227"/>
      <c r="AU2389" s="227"/>
    </row>
    <row r="2390" spans="27:47" ht="12.95" customHeight="1">
      <c r="AA2390" s="227"/>
      <c r="AB2390" s="227"/>
      <c r="AC2390" s="227"/>
      <c r="AD2390" s="227"/>
      <c r="AE2390" s="227"/>
      <c r="AF2390" s="293"/>
      <c r="AG2390" s="19"/>
      <c r="AN2390" s="227"/>
      <c r="AO2390" s="227"/>
      <c r="AP2390" s="227"/>
      <c r="AQ2390" s="227"/>
      <c r="AR2390" s="227"/>
      <c r="AS2390" s="227"/>
      <c r="AT2390" s="227"/>
      <c r="AU2390" s="227"/>
    </row>
    <row r="2391" spans="27:47" ht="12.95" customHeight="1">
      <c r="AA2391" s="227"/>
      <c r="AB2391" s="227"/>
      <c r="AC2391" s="227"/>
      <c r="AD2391" s="227"/>
      <c r="AE2391" s="227"/>
      <c r="AF2391" s="293"/>
      <c r="AG2391" s="19"/>
      <c r="AN2391" s="227"/>
      <c r="AO2391" s="227"/>
      <c r="AP2391" s="227"/>
      <c r="AQ2391" s="227"/>
      <c r="AR2391" s="227"/>
      <c r="AS2391" s="227"/>
      <c r="AT2391" s="227"/>
      <c r="AU2391" s="227"/>
    </row>
    <row r="2392" spans="27:47" ht="12.95" customHeight="1">
      <c r="AA2392" s="227"/>
      <c r="AB2392" s="227"/>
      <c r="AC2392" s="227"/>
      <c r="AD2392" s="227"/>
      <c r="AE2392" s="227"/>
      <c r="AF2392" s="293"/>
      <c r="AG2392" s="19"/>
      <c r="AN2392" s="227"/>
      <c r="AO2392" s="227"/>
      <c r="AP2392" s="227"/>
      <c r="AQ2392" s="227"/>
      <c r="AR2392" s="227"/>
      <c r="AS2392" s="227"/>
      <c r="AT2392" s="227"/>
      <c r="AU2392" s="227"/>
    </row>
    <row r="2393" spans="27:47" ht="12.95" customHeight="1">
      <c r="AA2393" s="227"/>
      <c r="AB2393" s="227"/>
      <c r="AC2393" s="227"/>
      <c r="AD2393" s="227"/>
      <c r="AE2393" s="227"/>
      <c r="AF2393" s="293"/>
      <c r="AG2393" s="19"/>
      <c r="AN2393" s="227"/>
      <c r="AO2393" s="227"/>
      <c r="AP2393" s="227"/>
      <c r="AQ2393" s="227"/>
      <c r="AR2393" s="227"/>
      <c r="AS2393" s="227"/>
      <c r="AT2393" s="227"/>
      <c r="AU2393" s="227"/>
    </row>
    <row r="2394" spans="27:47" ht="12.95" customHeight="1">
      <c r="AA2394" s="227"/>
      <c r="AB2394" s="227"/>
      <c r="AC2394" s="227"/>
      <c r="AD2394" s="227"/>
      <c r="AE2394" s="227"/>
      <c r="AF2394" s="293"/>
      <c r="AG2394" s="19"/>
      <c r="AN2394" s="227"/>
      <c r="AO2394" s="227"/>
      <c r="AP2394" s="227"/>
      <c r="AQ2394" s="227"/>
      <c r="AR2394" s="227"/>
      <c r="AS2394" s="227"/>
      <c r="AT2394" s="227"/>
      <c r="AU2394" s="227"/>
    </row>
    <row r="2395" spans="27:47" ht="12.95" customHeight="1">
      <c r="AA2395" s="227"/>
      <c r="AB2395" s="227"/>
      <c r="AC2395" s="227"/>
      <c r="AD2395" s="227"/>
      <c r="AE2395" s="227"/>
      <c r="AF2395" s="293"/>
      <c r="AG2395" s="19"/>
      <c r="AN2395" s="227"/>
      <c r="AO2395" s="227"/>
      <c r="AP2395" s="227"/>
      <c r="AQ2395" s="227"/>
      <c r="AR2395" s="227"/>
      <c r="AS2395" s="227"/>
      <c r="AT2395" s="227"/>
      <c r="AU2395" s="227"/>
    </row>
    <row r="2396" spans="27:47" ht="12.95" customHeight="1">
      <c r="AA2396" s="227"/>
      <c r="AB2396" s="227"/>
      <c r="AC2396" s="227"/>
      <c r="AD2396" s="227"/>
      <c r="AE2396" s="227"/>
      <c r="AF2396" s="293"/>
      <c r="AG2396" s="19"/>
      <c r="AN2396" s="227"/>
      <c r="AO2396" s="227"/>
      <c r="AP2396" s="227"/>
      <c r="AQ2396" s="227"/>
      <c r="AR2396" s="227"/>
      <c r="AS2396" s="227"/>
      <c r="AT2396" s="227"/>
      <c r="AU2396" s="227"/>
    </row>
    <row r="2397" spans="27:47" ht="12.95" customHeight="1">
      <c r="AA2397" s="227"/>
      <c r="AB2397" s="227"/>
      <c r="AC2397" s="227"/>
      <c r="AD2397" s="227"/>
      <c r="AE2397" s="227"/>
      <c r="AF2397" s="293"/>
      <c r="AG2397" s="19"/>
      <c r="AN2397" s="227"/>
      <c r="AO2397" s="227"/>
      <c r="AP2397" s="227"/>
      <c r="AQ2397" s="227"/>
      <c r="AR2397" s="227"/>
      <c r="AS2397" s="227"/>
      <c r="AT2397" s="227"/>
      <c r="AU2397" s="227"/>
    </row>
    <row r="2398" spans="27:47" ht="12.95" customHeight="1">
      <c r="AA2398" s="227"/>
      <c r="AB2398" s="227"/>
      <c r="AC2398" s="227"/>
      <c r="AD2398" s="227"/>
      <c r="AE2398" s="227"/>
      <c r="AF2398" s="293"/>
      <c r="AG2398" s="19"/>
      <c r="AN2398" s="227"/>
      <c r="AO2398" s="227"/>
      <c r="AP2398" s="227"/>
      <c r="AQ2398" s="227"/>
      <c r="AR2398" s="227"/>
      <c r="AS2398" s="227"/>
      <c r="AT2398" s="227"/>
      <c r="AU2398" s="227"/>
    </row>
    <row r="2399" spans="27:47" ht="12.95" customHeight="1">
      <c r="AA2399" s="227"/>
      <c r="AB2399" s="227"/>
      <c r="AC2399" s="227"/>
      <c r="AD2399" s="227"/>
      <c r="AE2399" s="227"/>
      <c r="AF2399" s="293"/>
      <c r="AG2399" s="19"/>
      <c r="AN2399" s="227"/>
      <c r="AO2399" s="227"/>
      <c r="AP2399" s="227"/>
      <c r="AQ2399" s="227"/>
      <c r="AR2399" s="227"/>
      <c r="AS2399" s="227"/>
      <c r="AT2399" s="227"/>
      <c r="AU2399" s="227"/>
    </row>
    <row r="2400" spans="27:47" ht="12.95" customHeight="1">
      <c r="AA2400" s="227"/>
      <c r="AB2400" s="227"/>
      <c r="AC2400" s="227"/>
      <c r="AD2400" s="227"/>
      <c r="AE2400" s="227"/>
      <c r="AF2400" s="293"/>
      <c r="AG2400" s="19"/>
      <c r="AN2400" s="227"/>
      <c r="AO2400" s="227"/>
      <c r="AP2400" s="227"/>
      <c r="AQ2400" s="227"/>
      <c r="AR2400" s="227"/>
      <c r="AS2400" s="227"/>
      <c r="AT2400" s="227"/>
      <c r="AU2400" s="227"/>
    </row>
    <row r="2401" spans="27:47" ht="12.95" customHeight="1">
      <c r="AA2401" s="227"/>
      <c r="AB2401" s="227"/>
      <c r="AC2401" s="227"/>
      <c r="AD2401" s="227"/>
      <c r="AE2401" s="227"/>
      <c r="AF2401" s="293"/>
      <c r="AG2401" s="19"/>
      <c r="AN2401" s="227"/>
      <c r="AO2401" s="227"/>
      <c r="AP2401" s="227"/>
      <c r="AQ2401" s="227"/>
      <c r="AR2401" s="227"/>
      <c r="AS2401" s="227"/>
      <c r="AT2401" s="227"/>
      <c r="AU2401" s="227"/>
    </row>
    <row r="2402" spans="27:47" ht="12.95" customHeight="1">
      <c r="AA2402" s="227"/>
      <c r="AB2402" s="227"/>
      <c r="AC2402" s="227"/>
      <c r="AD2402" s="227"/>
      <c r="AE2402" s="227"/>
      <c r="AF2402" s="293"/>
      <c r="AG2402" s="19"/>
      <c r="AN2402" s="227"/>
      <c r="AO2402" s="227"/>
      <c r="AP2402" s="227"/>
      <c r="AQ2402" s="227"/>
      <c r="AR2402" s="227"/>
      <c r="AS2402" s="227"/>
      <c r="AT2402" s="227"/>
      <c r="AU2402" s="227"/>
    </row>
    <row r="2403" spans="27:47" ht="12.95" customHeight="1">
      <c r="AA2403" s="227"/>
      <c r="AB2403" s="227"/>
      <c r="AC2403" s="227"/>
      <c r="AD2403" s="227"/>
      <c r="AE2403" s="227"/>
      <c r="AF2403" s="293"/>
      <c r="AG2403" s="19"/>
      <c r="AN2403" s="227"/>
      <c r="AO2403" s="227"/>
      <c r="AP2403" s="227"/>
      <c r="AQ2403" s="227"/>
      <c r="AR2403" s="227"/>
      <c r="AS2403" s="227"/>
      <c r="AT2403" s="227"/>
      <c r="AU2403" s="227"/>
    </row>
    <row r="2404" spans="27:47" ht="12.95" customHeight="1">
      <c r="AA2404" s="227"/>
      <c r="AB2404" s="227"/>
      <c r="AC2404" s="227"/>
      <c r="AD2404" s="227"/>
      <c r="AE2404" s="227"/>
      <c r="AF2404" s="293"/>
      <c r="AG2404" s="19"/>
      <c r="AN2404" s="227"/>
      <c r="AO2404" s="227"/>
      <c r="AP2404" s="227"/>
      <c r="AQ2404" s="227"/>
      <c r="AR2404" s="227"/>
      <c r="AS2404" s="227"/>
      <c r="AT2404" s="227"/>
      <c r="AU2404" s="227"/>
    </row>
    <row r="2405" spans="27:47" ht="12.95" customHeight="1">
      <c r="AA2405" s="227"/>
      <c r="AB2405" s="227"/>
      <c r="AC2405" s="227"/>
      <c r="AD2405" s="227"/>
      <c r="AE2405" s="227"/>
      <c r="AF2405" s="293"/>
      <c r="AG2405" s="19"/>
      <c r="AN2405" s="227"/>
      <c r="AO2405" s="227"/>
      <c r="AP2405" s="227"/>
      <c r="AQ2405" s="227"/>
      <c r="AR2405" s="227"/>
      <c r="AS2405" s="227"/>
      <c r="AT2405" s="227"/>
      <c r="AU2405" s="227"/>
    </row>
    <row r="2406" spans="27:47" ht="12.95" customHeight="1">
      <c r="AA2406" s="227"/>
      <c r="AB2406" s="227"/>
      <c r="AC2406" s="227"/>
      <c r="AD2406" s="227"/>
      <c r="AE2406" s="227"/>
      <c r="AF2406" s="293"/>
      <c r="AG2406" s="19"/>
      <c r="AN2406" s="227"/>
      <c r="AO2406" s="227"/>
      <c r="AP2406" s="227"/>
      <c r="AQ2406" s="227"/>
      <c r="AR2406" s="227"/>
      <c r="AS2406" s="227"/>
      <c r="AT2406" s="227"/>
      <c r="AU2406" s="227"/>
    </row>
    <row r="2407" spans="27:47" ht="12.95" customHeight="1">
      <c r="AA2407" s="227"/>
      <c r="AB2407" s="227"/>
      <c r="AC2407" s="227"/>
      <c r="AD2407" s="227"/>
      <c r="AE2407" s="227"/>
      <c r="AF2407" s="293"/>
      <c r="AG2407" s="19"/>
      <c r="AN2407" s="227"/>
      <c r="AO2407" s="227"/>
      <c r="AP2407" s="227"/>
      <c r="AQ2407" s="227"/>
      <c r="AR2407" s="227"/>
      <c r="AS2407" s="227"/>
      <c r="AT2407" s="227"/>
      <c r="AU2407" s="227"/>
    </row>
    <row r="2408" spans="27:47" ht="12.95" customHeight="1">
      <c r="AA2408" s="227"/>
      <c r="AB2408" s="227"/>
      <c r="AC2408" s="227"/>
      <c r="AD2408" s="227"/>
      <c r="AE2408" s="227"/>
      <c r="AF2408" s="293"/>
      <c r="AG2408" s="19"/>
      <c r="AN2408" s="227"/>
      <c r="AO2408" s="227"/>
      <c r="AP2408" s="227"/>
      <c r="AQ2408" s="227"/>
      <c r="AR2408" s="227"/>
      <c r="AS2408" s="227"/>
      <c r="AT2408" s="227"/>
      <c r="AU2408" s="227"/>
    </row>
    <row r="2409" spans="27:47" ht="12.95" customHeight="1">
      <c r="AA2409" s="227"/>
      <c r="AB2409" s="227"/>
      <c r="AC2409" s="227"/>
      <c r="AD2409" s="227"/>
      <c r="AE2409" s="227"/>
      <c r="AF2409" s="293"/>
      <c r="AG2409" s="19"/>
      <c r="AN2409" s="227"/>
      <c r="AO2409" s="227"/>
      <c r="AP2409" s="227"/>
      <c r="AQ2409" s="227"/>
      <c r="AR2409" s="227"/>
      <c r="AS2409" s="227"/>
      <c r="AT2409" s="227"/>
      <c r="AU2409" s="227"/>
    </row>
    <row r="2410" spans="27:47" ht="12.95" customHeight="1">
      <c r="AA2410" s="227"/>
      <c r="AB2410" s="227"/>
      <c r="AC2410" s="227"/>
      <c r="AD2410" s="227"/>
      <c r="AE2410" s="227"/>
      <c r="AF2410" s="293"/>
      <c r="AG2410" s="19"/>
      <c r="AN2410" s="227"/>
      <c r="AO2410" s="227"/>
      <c r="AP2410" s="227"/>
      <c r="AQ2410" s="227"/>
      <c r="AR2410" s="227"/>
      <c r="AS2410" s="227"/>
      <c r="AT2410" s="227"/>
      <c r="AU2410" s="227"/>
    </row>
    <row r="2411" spans="27:47" ht="12.95" customHeight="1">
      <c r="AA2411" s="227"/>
      <c r="AB2411" s="227"/>
      <c r="AC2411" s="227"/>
      <c r="AD2411" s="227"/>
      <c r="AE2411" s="227"/>
      <c r="AF2411" s="293"/>
      <c r="AG2411" s="19"/>
      <c r="AN2411" s="227"/>
      <c r="AO2411" s="227"/>
      <c r="AP2411" s="227"/>
      <c r="AQ2411" s="227"/>
      <c r="AR2411" s="227"/>
      <c r="AS2411" s="227"/>
      <c r="AT2411" s="227"/>
      <c r="AU2411" s="227"/>
    </row>
    <row r="2412" spans="27:47" ht="12.95" customHeight="1">
      <c r="AA2412" s="227"/>
      <c r="AB2412" s="227"/>
      <c r="AC2412" s="227"/>
      <c r="AD2412" s="227"/>
      <c r="AE2412" s="227"/>
      <c r="AF2412" s="293"/>
      <c r="AG2412" s="19"/>
      <c r="AN2412" s="227"/>
      <c r="AO2412" s="227"/>
      <c r="AP2412" s="227"/>
      <c r="AQ2412" s="227"/>
      <c r="AR2412" s="227"/>
      <c r="AS2412" s="227"/>
      <c r="AT2412" s="227"/>
      <c r="AU2412" s="227"/>
    </row>
    <row r="2413" spans="27:47" ht="12.95" customHeight="1">
      <c r="AA2413" s="227"/>
      <c r="AB2413" s="227"/>
      <c r="AC2413" s="227"/>
      <c r="AD2413" s="227"/>
      <c r="AE2413" s="227"/>
      <c r="AF2413" s="293"/>
      <c r="AG2413" s="19"/>
      <c r="AN2413" s="227"/>
      <c r="AO2413" s="227"/>
      <c r="AP2413" s="227"/>
      <c r="AQ2413" s="227"/>
      <c r="AR2413" s="227"/>
      <c r="AS2413" s="227"/>
      <c r="AT2413" s="227"/>
      <c r="AU2413" s="227"/>
    </row>
    <row r="2414" spans="27:47" ht="12.95" customHeight="1">
      <c r="AA2414" s="227"/>
      <c r="AB2414" s="227"/>
      <c r="AC2414" s="227"/>
      <c r="AD2414" s="227"/>
      <c r="AE2414" s="227"/>
      <c r="AF2414" s="293"/>
      <c r="AG2414" s="19"/>
      <c r="AN2414" s="227"/>
      <c r="AO2414" s="227"/>
      <c r="AP2414" s="227"/>
      <c r="AQ2414" s="227"/>
      <c r="AR2414" s="227"/>
      <c r="AS2414" s="227"/>
      <c r="AT2414" s="227"/>
      <c r="AU2414" s="227"/>
    </row>
    <row r="2415" spans="27:47" ht="12.95" customHeight="1">
      <c r="AA2415" s="227"/>
      <c r="AB2415" s="227"/>
      <c r="AC2415" s="227"/>
      <c r="AD2415" s="227"/>
      <c r="AE2415" s="227"/>
      <c r="AF2415" s="293"/>
      <c r="AG2415" s="19"/>
      <c r="AN2415" s="227"/>
      <c r="AO2415" s="227"/>
      <c r="AP2415" s="227"/>
      <c r="AQ2415" s="227"/>
      <c r="AR2415" s="227"/>
      <c r="AS2415" s="227"/>
      <c r="AT2415" s="227"/>
      <c r="AU2415" s="227"/>
    </row>
    <row r="2416" spans="27:47" ht="12.95" customHeight="1">
      <c r="AA2416" s="227"/>
      <c r="AB2416" s="227"/>
      <c r="AC2416" s="227"/>
      <c r="AD2416" s="227"/>
      <c r="AE2416" s="227"/>
      <c r="AF2416" s="293"/>
      <c r="AG2416" s="19"/>
      <c r="AN2416" s="227"/>
      <c r="AO2416" s="227"/>
      <c r="AP2416" s="227"/>
      <c r="AQ2416" s="227"/>
      <c r="AR2416" s="227"/>
      <c r="AS2416" s="227"/>
      <c r="AT2416" s="227"/>
      <c r="AU2416" s="227"/>
    </row>
    <row r="2417" spans="27:47" ht="12.95" customHeight="1">
      <c r="AA2417" s="227"/>
      <c r="AB2417" s="227"/>
      <c r="AC2417" s="227"/>
      <c r="AD2417" s="227"/>
      <c r="AE2417" s="227"/>
      <c r="AF2417" s="293"/>
      <c r="AG2417" s="19"/>
      <c r="AN2417" s="227"/>
      <c r="AO2417" s="227"/>
      <c r="AP2417" s="227"/>
      <c r="AQ2417" s="227"/>
      <c r="AR2417" s="227"/>
      <c r="AS2417" s="227"/>
      <c r="AT2417" s="227"/>
      <c r="AU2417" s="227"/>
    </row>
    <row r="2418" spans="27:47" ht="12.95" customHeight="1">
      <c r="AA2418" s="227"/>
      <c r="AB2418" s="227"/>
      <c r="AC2418" s="227"/>
      <c r="AD2418" s="227"/>
      <c r="AE2418" s="227"/>
      <c r="AF2418" s="293"/>
      <c r="AG2418" s="19"/>
      <c r="AN2418" s="227"/>
      <c r="AO2418" s="227"/>
      <c r="AP2418" s="227"/>
      <c r="AQ2418" s="227"/>
      <c r="AR2418" s="227"/>
      <c r="AS2418" s="227"/>
      <c r="AT2418" s="227"/>
      <c r="AU2418" s="227"/>
    </row>
    <row r="2419" spans="27:47" ht="12.95" customHeight="1">
      <c r="AA2419" s="227"/>
      <c r="AB2419" s="227"/>
      <c r="AC2419" s="227"/>
      <c r="AD2419" s="227"/>
      <c r="AE2419" s="227"/>
      <c r="AF2419" s="293"/>
      <c r="AG2419" s="19"/>
      <c r="AN2419" s="227"/>
      <c r="AO2419" s="227"/>
      <c r="AP2419" s="227"/>
      <c r="AQ2419" s="227"/>
      <c r="AR2419" s="227"/>
      <c r="AS2419" s="227"/>
      <c r="AT2419" s="227"/>
      <c r="AU2419" s="227"/>
    </row>
    <row r="2420" spans="27:47" ht="12.95" customHeight="1">
      <c r="AA2420" s="227"/>
      <c r="AB2420" s="227"/>
      <c r="AC2420" s="227"/>
      <c r="AD2420" s="227"/>
      <c r="AE2420" s="227"/>
      <c r="AF2420" s="293"/>
      <c r="AG2420" s="19"/>
      <c r="AN2420" s="227"/>
      <c r="AO2420" s="227"/>
      <c r="AP2420" s="227"/>
      <c r="AQ2420" s="227"/>
      <c r="AR2420" s="227"/>
      <c r="AS2420" s="227"/>
      <c r="AT2420" s="227"/>
      <c r="AU2420" s="227"/>
    </row>
    <row r="2421" spans="27:47" ht="12.95" customHeight="1">
      <c r="AA2421" s="227"/>
      <c r="AB2421" s="227"/>
      <c r="AC2421" s="227"/>
      <c r="AD2421" s="227"/>
      <c r="AE2421" s="227"/>
      <c r="AF2421" s="293"/>
      <c r="AG2421" s="19"/>
      <c r="AN2421" s="227"/>
      <c r="AO2421" s="227"/>
      <c r="AP2421" s="227"/>
      <c r="AQ2421" s="227"/>
      <c r="AR2421" s="227"/>
      <c r="AS2421" s="227"/>
      <c r="AT2421" s="227"/>
      <c r="AU2421" s="227"/>
    </row>
    <row r="2422" spans="27:47" ht="12.95" customHeight="1">
      <c r="AA2422" s="227"/>
      <c r="AB2422" s="227"/>
      <c r="AC2422" s="227"/>
      <c r="AD2422" s="227"/>
      <c r="AE2422" s="227"/>
      <c r="AF2422" s="293"/>
      <c r="AG2422" s="19"/>
      <c r="AN2422" s="227"/>
      <c r="AO2422" s="227"/>
      <c r="AP2422" s="227"/>
      <c r="AQ2422" s="227"/>
      <c r="AR2422" s="227"/>
      <c r="AS2422" s="227"/>
      <c r="AT2422" s="227"/>
      <c r="AU2422" s="227"/>
    </row>
    <row r="2423" spans="27:47" ht="12.95" customHeight="1">
      <c r="AA2423" s="227"/>
      <c r="AB2423" s="227"/>
      <c r="AC2423" s="227"/>
      <c r="AD2423" s="227"/>
      <c r="AE2423" s="227"/>
      <c r="AF2423" s="293"/>
      <c r="AG2423" s="19"/>
      <c r="AN2423" s="227"/>
      <c r="AO2423" s="227"/>
      <c r="AP2423" s="227"/>
      <c r="AQ2423" s="227"/>
      <c r="AR2423" s="227"/>
      <c r="AS2423" s="227"/>
      <c r="AT2423" s="227"/>
      <c r="AU2423" s="227"/>
    </row>
    <row r="2424" spans="27:47" ht="12.95" customHeight="1">
      <c r="AA2424" s="227"/>
      <c r="AB2424" s="227"/>
      <c r="AC2424" s="227"/>
      <c r="AD2424" s="227"/>
      <c r="AE2424" s="227"/>
      <c r="AF2424" s="293"/>
      <c r="AG2424" s="19"/>
      <c r="AN2424" s="227"/>
      <c r="AO2424" s="227"/>
      <c r="AP2424" s="227"/>
      <c r="AQ2424" s="227"/>
      <c r="AR2424" s="227"/>
      <c r="AS2424" s="227"/>
      <c r="AT2424" s="227"/>
      <c r="AU2424" s="227"/>
    </row>
    <row r="2425" spans="27:47" ht="12.95" customHeight="1">
      <c r="AA2425" s="227"/>
      <c r="AB2425" s="227"/>
      <c r="AC2425" s="227"/>
      <c r="AD2425" s="227"/>
      <c r="AE2425" s="227"/>
      <c r="AF2425" s="293"/>
      <c r="AG2425" s="19"/>
      <c r="AN2425" s="227"/>
      <c r="AO2425" s="227"/>
      <c r="AP2425" s="227"/>
      <c r="AQ2425" s="227"/>
      <c r="AR2425" s="227"/>
      <c r="AS2425" s="227"/>
      <c r="AT2425" s="227"/>
      <c r="AU2425" s="227"/>
    </row>
    <row r="2426" spans="27:47" ht="12.95" customHeight="1">
      <c r="AA2426" s="227"/>
      <c r="AB2426" s="227"/>
      <c r="AC2426" s="227"/>
      <c r="AD2426" s="227"/>
      <c r="AE2426" s="227"/>
      <c r="AF2426" s="293"/>
      <c r="AG2426" s="19"/>
      <c r="AN2426" s="227"/>
      <c r="AO2426" s="227"/>
      <c r="AP2426" s="227"/>
      <c r="AQ2426" s="227"/>
      <c r="AR2426" s="227"/>
      <c r="AS2426" s="227"/>
      <c r="AT2426" s="227"/>
      <c r="AU2426" s="227"/>
    </row>
    <row r="2427" spans="27:47" ht="12.95" customHeight="1">
      <c r="AA2427" s="227"/>
      <c r="AB2427" s="227"/>
      <c r="AC2427" s="227"/>
      <c r="AD2427" s="227"/>
      <c r="AE2427" s="227"/>
      <c r="AF2427" s="293"/>
      <c r="AG2427" s="19"/>
      <c r="AN2427" s="227"/>
      <c r="AO2427" s="227"/>
      <c r="AP2427" s="227"/>
      <c r="AQ2427" s="227"/>
      <c r="AR2427" s="227"/>
      <c r="AS2427" s="227"/>
      <c r="AT2427" s="227"/>
      <c r="AU2427" s="227"/>
    </row>
    <row r="2428" spans="27:47" ht="12.95" customHeight="1">
      <c r="AA2428" s="227"/>
      <c r="AB2428" s="227"/>
      <c r="AC2428" s="227"/>
      <c r="AD2428" s="227"/>
      <c r="AE2428" s="227"/>
      <c r="AF2428" s="293"/>
      <c r="AG2428" s="19"/>
      <c r="AN2428" s="227"/>
      <c r="AO2428" s="227"/>
      <c r="AP2428" s="227"/>
      <c r="AQ2428" s="227"/>
      <c r="AR2428" s="227"/>
      <c r="AS2428" s="227"/>
      <c r="AT2428" s="227"/>
      <c r="AU2428" s="227"/>
    </row>
    <row r="2429" spans="27:47" ht="12.95" customHeight="1">
      <c r="AA2429" s="227"/>
      <c r="AB2429" s="227"/>
      <c r="AC2429" s="227"/>
      <c r="AD2429" s="227"/>
      <c r="AE2429" s="227"/>
      <c r="AF2429" s="293"/>
      <c r="AG2429" s="19"/>
      <c r="AN2429" s="227"/>
      <c r="AO2429" s="227"/>
      <c r="AP2429" s="227"/>
      <c r="AQ2429" s="227"/>
      <c r="AR2429" s="227"/>
      <c r="AS2429" s="227"/>
      <c r="AT2429" s="227"/>
      <c r="AU2429" s="227"/>
    </row>
    <row r="2430" spans="27:47" ht="12.95" customHeight="1">
      <c r="AA2430" s="227"/>
      <c r="AB2430" s="227"/>
      <c r="AC2430" s="227"/>
      <c r="AD2430" s="227"/>
      <c r="AE2430" s="227"/>
      <c r="AF2430" s="293"/>
      <c r="AG2430" s="19"/>
      <c r="AN2430" s="227"/>
      <c r="AO2430" s="227"/>
      <c r="AP2430" s="227"/>
      <c r="AQ2430" s="227"/>
      <c r="AR2430" s="227"/>
      <c r="AS2430" s="227"/>
      <c r="AT2430" s="227"/>
      <c r="AU2430" s="227"/>
    </row>
    <row r="2431" spans="27:47" ht="12.95" customHeight="1">
      <c r="AA2431" s="227"/>
      <c r="AB2431" s="227"/>
      <c r="AC2431" s="227"/>
      <c r="AD2431" s="227"/>
      <c r="AE2431" s="227"/>
      <c r="AF2431" s="293"/>
      <c r="AG2431" s="19"/>
      <c r="AN2431" s="227"/>
      <c r="AO2431" s="227"/>
      <c r="AP2431" s="227"/>
      <c r="AQ2431" s="227"/>
      <c r="AR2431" s="227"/>
      <c r="AS2431" s="227"/>
      <c r="AT2431" s="227"/>
      <c r="AU2431" s="227"/>
    </row>
    <row r="2432" spans="27:47" ht="12.95" customHeight="1">
      <c r="AA2432" s="227"/>
      <c r="AB2432" s="227"/>
      <c r="AC2432" s="227"/>
      <c r="AD2432" s="227"/>
      <c r="AE2432" s="227"/>
      <c r="AF2432" s="293"/>
      <c r="AG2432" s="19"/>
      <c r="AN2432" s="227"/>
      <c r="AO2432" s="227"/>
      <c r="AP2432" s="227"/>
      <c r="AQ2432" s="227"/>
      <c r="AR2432" s="227"/>
      <c r="AS2432" s="227"/>
      <c r="AT2432" s="227"/>
      <c r="AU2432" s="227"/>
    </row>
    <row r="2433" spans="27:47" ht="12.95" customHeight="1">
      <c r="AA2433" s="227"/>
      <c r="AB2433" s="227"/>
      <c r="AC2433" s="227"/>
      <c r="AD2433" s="227"/>
      <c r="AE2433" s="227"/>
      <c r="AF2433" s="293"/>
      <c r="AG2433" s="19"/>
      <c r="AN2433" s="227"/>
      <c r="AO2433" s="227"/>
      <c r="AP2433" s="227"/>
      <c r="AQ2433" s="227"/>
      <c r="AR2433" s="227"/>
      <c r="AS2433" s="227"/>
      <c r="AT2433" s="227"/>
      <c r="AU2433" s="227"/>
    </row>
    <row r="2434" spans="27:47" ht="12.95" customHeight="1">
      <c r="AA2434" s="227"/>
      <c r="AB2434" s="227"/>
      <c r="AC2434" s="227"/>
      <c r="AD2434" s="227"/>
      <c r="AE2434" s="227"/>
      <c r="AF2434" s="293"/>
      <c r="AG2434" s="19"/>
      <c r="AN2434" s="227"/>
      <c r="AO2434" s="227"/>
      <c r="AP2434" s="227"/>
      <c r="AQ2434" s="227"/>
      <c r="AR2434" s="227"/>
      <c r="AS2434" s="227"/>
      <c r="AT2434" s="227"/>
      <c r="AU2434" s="227"/>
    </row>
    <row r="2435" spans="27:47" ht="12.95" customHeight="1">
      <c r="AA2435" s="227"/>
      <c r="AB2435" s="227"/>
      <c r="AC2435" s="227"/>
      <c r="AD2435" s="227"/>
      <c r="AE2435" s="227"/>
      <c r="AF2435" s="293"/>
      <c r="AG2435" s="19"/>
      <c r="AN2435" s="227"/>
      <c r="AO2435" s="227"/>
      <c r="AP2435" s="227"/>
      <c r="AQ2435" s="227"/>
      <c r="AR2435" s="227"/>
      <c r="AS2435" s="227"/>
      <c r="AT2435" s="227"/>
      <c r="AU2435" s="227"/>
    </row>
    <row r="2436" spans="27:47" ht="12.95" customHeight="1">
      <c r="AA2436" s="227"/>
      <c r="AB2436" s="227"/>
      <c r="AC2436" s="227"/>
      <c r="AD2436" s="227"/>
      <c r="AE2436" s="227"/>
      <c r="AF2436" s="293"/>
      <c r="AG2436" s="19"/>
      <c r="AN2436" s="227"/>
      <c r="AO2436" s="227"/>
      <c r="AP2436" s="227"/>
      <c r="AQ2436" s="227"/>
      <c r="AR2436" s="227"/>
      <c r="AS2436" s="227"/>
      <c r="AT2436" s="227"/>
      <c r="AU2436" s="227"/>
    </row>
    <row r="2437" spans="27:47" ht="12.95" customHeight="1">
      <c r="AA2437" s="227"/>
      <c r="AB2437" s="227"/>
      <c r="AC2437" s="227"/>
      <c r="AD2437" s="227"/>
      <c r="AE2437" s="227"/>
      <c r="AF2437" s="293"/>
      <c r="AG2437" s="19"/>
      <c r="AN2437" s="227"/>
      <c r="AO2437" s="227"/>
      <c r="AP2437" s="227"/>
      <c r="AQ2437" s="227"/>
      <c r="AR2437" s="227"/>
      <c r="AS2437" s="227"/>
      <c r="AT2437" s="227"/>
      <c r="AU2437" s="227"/>
    </row>
    <row r="2438" spans="27:47" ht="12.95" customHeight="1">
      <c r="AA2438" s="227"/>
      <c r="AB2438" s="227"/>
      <c r="AC2438" s="227"/>
      <c r="AD2438" s="227"/>
      <c r="AE2438" s="227"/>
      <c r="AF2438" s="293"/>
      <c r="AG2438" s="19"/>
      <c r="AN2438" s="227"/>
      <c r="AO2438" s="227"/>
      <c r="AP2438" s="227"/>
      <c r="AQ2438" s="227"/>
      <c r="AR2438" s="227"/>
      <c r="AS2438" s="227"/>
      <c r="AT2438" s="227"/>
      <c r="AU2438" s="227"/>
    </row>
    <row r="2439" spans="27:47" ht="12.95" customHeight="1">
      <c r="AA2439" s="227"/>
      <c r="AB2439" s="227"/>
      <c r="AC2439" s="227"/>
      <c r="AD2439" s="227"/>
      <c r="AE2439" s="227"/>
      <c r="AF2439" s="293"/>
      <c r="AG2439" s="19"/>
      <c r="AN2439" s="227"/>
      <c r="AO2439" s="227"/>
      <c r="AP2439" s="227"/>
      <c r="AQ2439" s="227"/>
      <c r="AR2439" s="227"/>
      <c r="AS2439" s="227"/>
      <c r="AT2439" s="227"/>
      <c r="AU2439" s="227"/>
    </row>
    <row r="2440" spans="27:47" ht="12.95" customHeight="1">
      <c r="AA2440" s="227"/>
      <c r="AB2440" s="227"/>
      <c r="AC2440" s="227"/>
      <c r="AD2440" s="227"/>
      <c r="AE2440" s="227"/>
      <c r="AF2440" s="293"/>
      <c r="AG2440" s="19"/>
      <c r="AN2440" s="227"/>
      <c r="AO2440" s="227"/>
      <c r="AP2440" s="227"/>
      <c r="AQ2440" s="227"/>
      <c r="AR2440" s="227"/>
      <c r="AS2440" s="227"/>
      <c r="AT2440" s="227"/>
      <c r="AU2440" s="227"/>
    </row>
    <row r="2441" spans="27:47" ht="12.95" customHeight="1">
      <c r="AA2441" s="227"/>
      <c r="AB2441" s="227"/>
      <c r="AC2441" s="227"/>
      <c r="AD2441" s="227"/>
      <c r="AE2441" s="227"/>
      <c r="AF2441" s="293"/>
      <c r="AG2441" s="19"/>
      <c r="AN2441" s="227"/>
      <c r="AO2441" s="227"/>
      <c r="AP2441" s="227"/>
      <c r="AQ2441" s="227"/>
      <c r="AR2441" s="227"/>
      <c r="AS2441" s="227"/>
      <c r="AT2441" s="227"/>
      <c r="AU2441" s="227"/>
    </row>
    <row r="2442" spans="27:47" ht="12.95" customHeight="1">
      <c r="AA2442" s="227"/>
      <c r="AB2442" s="227"/>
      <c r="AC2442" s="227"/>
      <c r="AD2442" s="227"/>
      <c r="AE2442" s="227"/>
      <c r="AF2442" s="293"/>
      <c r="AG2442" s="19"/>
      <c r="AN2442" s="227"/>
      <c r="AO2442" s="227"/>
      <c r="AP2442" s="227"/>
      <c r="AQ2442" s="227"/>
      <c r="AR2442" s="227"/>
      <c r="AS2442" s="227"/>
      <c r="AT2442" s="227"/>
      <c r="AU2442" s="227"/>
    </row>
    <row r="2443" spans="27:47" ht="12.95" customHeight="1">
      <c r="AA2443" s="227"/>
      <c r="AB2443" s="227"/>
      <c r="AC2443" s="227"/>
      <c r="AD2443" s="227"/>
      <c r="AE2443" s="227"/>
      <c r="AF2443" s="293"/>
      <c r="AG2443" s="19"/>
      <c r="AN2443" s="227"/>
      <c r="AO2443" s="227"/>
      <c r="AP2443" s="227"/>
      <c r="AQ2443" s="227"/>
      <c r="AR2443" s="227"/>
      <c r="AS2443" s="227"/>
      <c r="AT2443" s="227"/>
      <c r="AU2443" s="227"/>
    </row>
    <row r="2444" spans="27:47" ht="12.95" customHeight="1">
      <c r="AA2444" s="227"/>
      <c r="AB2444" s="227"/>
      <c r="AC2444" s="227"/>
      <c r="AD2444" s="227"/>
      <c r="AE2444" s="227"/>
      <c r="AF2444" s="293"/>
      <c r="AG2444" s="19"/>
      <c r="AN2444" s="227"/>
      <c r="AO2444" s="227"/>
      <c r="AP2444" s="227"/>
      <c r="AQ2444" s="227"/>
      <c r="AR2444" s="227"/>
      <c r="AS2444" s="227"/>
      <c r="AT2444" s="227"/>
      <c r="AU2444" s="227"/>
    </row>
    <row r="2445" spans="27:47" ht="12.95" customHeight="1">
      <c r="AA2445" s="227"/>
      <c r="AB2445" s="227"/>
      <c r="AC2445" s="227"/>
      <c r="AD2445" s="227"/>
      <c r="AE2445" s="227"/>
      <c r="AF2445" s="293"/>
      <c r="AG2445" s="19"/>
      <c r="AN2445" s="227"/>
      <c r="AO2445" s="227"/>
      <c r="AP2445" s="227"/>
      <c r="AQ2445" s="227"/>
      <c r="AR2445" s="227"/>
      <c r="AS2445" s="227"/>
      <c r="AT2445" s="227"/>
      <c r="AU2445" s="227"/>
    </row>
    <row r="2446" spans="27:47" ht="12.95" customHeight="1">
      <c r="AA2446" s="227"/>
      <c r="AB2446" s="227"/>
      <c r="AC2446" s="227"/>
      <c r="AD2446" s="227"/>
      <c r="AE2446" s="227"/>
      <c r="AF2446" s="293"/>
      <c r="AG2446" s="19"/>
      <c r="AN2446" s="227"/>
      <c r="AO2446" s="227"/>
      <c r="AP2446" s="227"/>
      <c r="AQ2446" s="227"/>
      <c r="AR2446" s="227"/>
      <c r="AS2446" s="227"/>
      <c r="AT2446" s="227"/>
      <c r="AU2446" s="227"/>
    </row>
    <row r="2447" spans="27:47" ht="12.95" customHeight="1">
      <c r="AA2447" s="227"/>
      <c r="AB2447" s="227"/>
      <c r="AC2447" s="227"/>
      <c r="AD2447" s="227"/>
      <c r="AE2447" s="227"/>
      <c r="AF2447" s="293"/>
      <c r="AG2447" s="19"/>
      <c r="AN2447" s="227"/>
      <c r="AO2447" s="227"/>
      <c r="AP2447" s="227"/>
      <c r="AQ2447" s="227"/>
      <c r="AR2447" s="227"/>
      <c r="AS2447" s="227"/>
      <c r="AT2447" s="227"/>
      <c r="AU2447" s="227"/>
    </row>
    <row r="2448" spans="27:47" ht="12.95" customHeight="1">
      <c r="AA2448" s="227"/>
      <c r="AB2448" s="227"/>
      <c r="AC2448" s="227"/>
      <c r="AD2448" s="227"/>
      <c r="AE2448" s="227"/>
      <c r="AF2448" s="293"/>
      <c r="AG2448" s="19"/>
      <c r="AN2448" s="227"/>
      <c r="AO2448" s="227"/>
      <c r="AP2448" s="227"/>
      <c r="AQ2448" s="227"/>
      <c r="AR2448" s="227"/>
      <c r="AS2448" s="227"/>
      <c r="AT2448" s="227"/>
      <c r="AU2448" s="227"/>
    </row>
    <row r="2449" spans="27:47" ht="12.95" customHeight="1">
      <c r="AA2449" s="227"/>
      <c r="AB2449" s="227"/>
      <c r="AC2449" s="227"/>
      <c r="AD2449" s="227"/>
      <c r="AE2449" s="227"/>
      <c r="AF2449" s="293"/>
      <c r="AG2449" s="19"/>
      <c r="AN2449" s="227"/>
      <c r="AO2449" s="227"/>
      <c r="AP2449" s="227"/>
      <c r="AQ2449" s="227"/>
      <c r="AR2449" s="227"/>
      <c r="AS2449" s="227"/>
      <c r="AT2449" s="227"/>
      <c r="AU2449" s="227"/>
    </row>
    <row r="2450" spans="27:47" ht="12.95" customHeight="1">
      <c r="AA2450" s="227"/>
      <c r="AB2450" s="227"/>
      <c r="AC2450" s="227"/>
      <c r="AD2450" s="227"/>
      <c r="AE2450" s="227"/>
      <c r="AF2450" s="293"/>
      <c r="AG2450" s="19"/>
      <c r="AN2450" s="227"/>
      <c r="AO2450" s="227"/>
      <c r="AP2450" s="227"/>
      <c r="AQ2450" s="227"/>
      <c r="AR2450" s="227"/>
      <c r="AS2450" s="227"/>
      <c r="AT2450" s="227"/>
      <c r="AU2450" s="227"/>
    </row>
    <row r="2451" spans="27:47" ht="12.95" customHeight="1">
      <c r="AA2451" s="227"/>
      <c r="AB2451" s="227"/>
      <c r="AC2451" s="227"/>
      <c r="AD2451" s="227"/>
      <c r="AE2451" s="227"/>
      <c r="AF2451" s="293"/>
      <c r="AG2451" s="19"/>
      <c r="AN2451" s="227"/>
      <c r="AO2451" s="227"/>
      <c r="AP2451" s="227"/>
      <c r="AQ2451" s="227"/>
      <c r="AR2451" s="227"/>
      <c r="AS2451" s="227"/>
      <c r="AT2451" s="227"/>
      <c r="AU2451" s="227"/>
    </row>
    <row r="2452" spans="27:47" ht="12.95" customHeight="1">
      <c r="AA2452" s="227"/>
      <c r="AB2452" s="227"/>
      <c r="AC2452" s="227"/>
      <c r="AD2452" s="227"/>
      <c r="AE2452" s="227"/>
      <c r="AF2452" s="293"/>
      <c r="AG2452" s="19"/>
      <c r="AN2452" s="227"/>
      <c r="AO2452" s="227"/>
      <c r="AP2452" s="227"/>
      <c r="AQ2452" s="227"/>
      <c r="AR2452" s="227"/>
      <c r="AS2452" s="227"/>
      <c r="AT2452" s="227"/>
      <c r="AU2452" s="227"/>
    </row>
    <row r="2453" spans="27:47" ht="12.95" customHeight="1">
      <c r="AA2453" s="227"/>
      <c r="AB2453" s="227"/>
      <c r="AC2453" s="227"/>
      <c r="AD2453" s="227"/>
      <c r="AE2453" s="227"/>
      <c r="AF2453" s="293"/>
      <c r="AG2453" s="19"/>
      <c r="AN2453" s="227"/>
      <c r="AO2453" s="227"/>
      <c r="AP2453" s="227"/>
      <c r="AQ2453" s="227"/>
      <c r="AR2453" s="227"/>
      <c r="AS2453" s="227"/>
      <c r="AT2453" s="227"/>
      <c r="AU2453" s="227"/>
    </row>
    <row r="2454" spans="27:47" ht="12.95" customHeight="1">
      <c r="AA2454" s="227"/>
      <c r="AB2454" s="227"/>
      <c r="AC2454" s="227"/>
      <c r="AD2454" s="227"/>
      <c r="AE2454" s="227"/>
      <c r="AF2454" s="293"/>
      <c r="AG2454" s="19"/>
      <c r="AN2454" s="227"/>
      <c r="AO2454" s="227"/>
      <c r="AP2454" s="227"/>
      <c r="AQ2454" s="227"/>
      <c r="AR2454" s="227"/>
      <c r="AS2454" s="227"/>
      <c r="AT2454" s="227"/>
      <c r="AU2454" s="227"/>
    </row>
    <row r="2455" spans="27:47" ht="12.95" customHeight="1">
      <c r="AA2455" s="227"/>
      <c r="AB2455" s="227"/>
      <c r="AC2455" s="227"/>
      <c r="AD2455" s="227"/>
      <c r="AE2455" s="227"/>
      <c r="AF2455" s="293"/>
      <c r="AG2455" s="19"/>
      <c r="AN2455" s="227"/>
      <c r="AO2455" s="227"/>
      <c r="AP2455" s="227"/>
      <c r="AQ2455" s="227"/>
      <c r="AR2455" s="227"/>
      <c r="AS2455" s="227"/>
      <c r="AT2455" s="227"/>
      <c r="AU2455" s="227"/>
    </row>
    <row r="2456" spans="27:47" ht="12.95" customHeight="1">
      <c r="AA2456" s="227"/>
      <c r="AB2456" s="227"/>
      <c r="AC2456" s="227"/>
      <c r="AD2456" s="227"/>
      <c r="AE2456" s="227"/>
      <c r="AF2456" s="293"/>
      <c r="AG2456" s="19"/>
      <c r="AN2456" s="227"/>
      <c r="AO2456" s="227"/>
      <c r="AP2456" s="227"/>
      <c r="AQ2456" s="227"/>
      <c r="AR2456" s="227"/>
      <c r="AS2456" s="227"/>
      <c r="AT2456" s="227"/>
      <c r="AU2456" s="227"/>
    </row>
    <row r="2457" spans="27:47" ht="12.95" customHeight="1">
      <c r="AA2457" s="227"/>
      <c r="AB2457" s="227"/>
      <c r="AC2457" s="227"/>
      <c r="AD2457" s="227"/>
      <c r="AE2457" s="227"/>
      <c r="AF2457" s="293"/>
      <c r="AG2457" s="19"/>
      <c r="AN2457" s="227"/>
      <c r="AO2457" s="227"/>
      <c r="AP2457" s="227"/>
      <c r="AQ2457" s="227"/>
      <c r="AR2457" s="227"/>
      <c r="AS2457" s="227"/>
      <c r="AT2457" s="227"/>
      <c r="AU2457" s="227"/>
    </row>
    <row r="2458" spans="27:47" ht="12.95" customHeight="1">
      <c r="AA2458" s="227"/>
      <c r="AB2458" s="227"/>
      <c r="AC2458" s="227"/>
      <c r="AD2458" s="227"/>
      <c r="AE2458" s="227"/>
      <c r="AF2458" s="293"/>
      <c r="AG2458" s="19"/>
      <c r="AN2458" s="227"/>
      <c r="AO2458" s="227"/>
      <c r="AP2458" s="227"/>
      <c r="AQ2458" s="227"/>
      <c r="AR2458" s="227"/>
      <c r="AS2458" s="227"/>
      <c r="AT2458" s="227"/>
      <c r="AU2458" s="227"/>
    </row>
    <row r="2459" spans="27:47" ht="12.95" customHeight="1">
      <c r="AA2459" s="227"/>
      <c r="AB2459" s="227"/>
      <c r="AC2459" s="227"/>
      <c r="AD2459" s="227"/>
      <c r="AE2459" s="227"/>
      <c r="AF2459" s="293"/>
      <c r="AG2459" s="19"/>
      <c r="AN2459" s="227"/>
      <c r="AO2459" s="227"/>
      <c r="AP2459" s="227"/>
      <c r="AQ2459" s="227"/>
      <c r="AR2459" s="227"/>
      <c r="AS2459" s="227"/>
      <c r="AT2459" s="227"/>
      <c r="AU2459" s="227"/>
    </row>
    <row r="2460" spans="27:47" ht="12.95" customHeight="1">
      <c r="AA2460" s="227"/>
      <c r="AB2460" s="227"/>
      <c r="AC2460" s="227"/>
      <c r="AD2460" s="227"/>
      <c r="AE2460" s="227"/>
      <c r="AF2460" s="293"/>
      <c r="AG2460" s="19"/>
      <c r="AN2460" s="227"/>
      <c r="AO2460" s="227"/>
      <c r="AP2460" s="227"/>
      <c r="AQ2460" s="227"/>
      <c r="AR2460" s="227"/>
      <c r="AS2460" s="227"/>
      <c r="AT2460" s="227"/>
      <c r="AU2460" s="227"/>
    </row>
    <row r="2461" spans="27:47" ht="12.95" customHeight="1">
      <c r="AA2461" s="227"/>
      <c r="AB2461" s="227"/>
      <c r="AC2461" s="227"/>
      <c r="AD2461" s="227"/>
      <c r="AE2461" s="227"/>
      <c r="AF2461" s="293"/>
      <c r="AG2461" s="19"/>
      <c r="AN2461" s="227"/>
      <c r="AO2461" s="227"/>
      <c r="AP2461" s="227"/>
      <c r="AQ2461" s="227"/>
      <c r="AR2461" s="227"/>
      <c r="AS2461" s="227"/>
      <c r="AT2461" s="227"/>
      <c r="AU2461" s="227"/>
    </row>
    <row r="2462" spans="27:47" ht="12.95" customHeight="1">
      <c r="AA2462" s="227"/>
      <c r="AB2462" s="227"/>
      <c r="AC2462" s="227"/>
      <c r="AD2462" s="227"/>
      <c r="AE2462" s="227"/>
      <c r="AF2462" s="293"/>
      <c r="AG2462" s="19"/>
      <c r="AN2462" s="227"/>
      <c r="AO2462" s="227"/>
      <c r="AP2462" s="227"/>
      <c r="AQ2462" s="227"/>
      <c r="AR2462" s="227"/>
      <c r="AS2462" s="227"/>
      <c r="AT2462" s="227"/>
      <c r="AU2462" s="227"/>
    </row>
    <row r="2463" spans="27:47" ht="12.95" customHeight="1">
      <c r="AA2463" s="227"/>
      <c r="AB2463" s="227"/>
      <c r="AC2463" s="227"/>
      <c r="AD2463" s="227"/>
      <c r="AE2463" s="227"/>
      <c r="AF2463" s="293"/>
      <c r="AG2463" s="19"/>
      <c r="AN2463" s="227"/>
      <c r="AO2463" s="227"/>
      <c r="AP2463" s="227"/>
      <c r="AQ2463" s="227"/>
      <c r="AR2463" s="227"/>
      <c r="AS2463" s="227"/>
      <c r="AT2463" s="227"/>
      <c r="AU2463" s="227"/>
    </row>
    <row r="2464" spans="27:47" ht="12.95" customHeight="1">
      <c r="AA2464" s="227"/>
      <c r="AB2464" s="227"/>
      <c r="AC2464" s="227"/>
      <c r="AD2464" s="227"/>
      <c r="AE2464" s="227"/>
      <c r="AF2464" s="293"/>
      <c r="AG2464" s="19"/>
      <c r="AN2464" s="227"/>
      <c r="AO2464" s="227"/>
      <c r="AP2464" s="227"/>
      <c r="AQ2464" s="227"/>
      <c r="AR2464" s="227"/>
      <c r="AS2464" s="227"/>
      <c r="AT2464" s="227"/>
      <c r="AU2464" s="227"/>
    </row>
    <row r="2465" spans="27:47" ht="12.95" customHeight="1">
      <c r="AA2465" s="227"/>
      <c r="AB2465" s="227"/>
      <c r="AC2465" s="227"/>
      <c r="AD2465" s="227"/>
      <c r="AE2465" s="227"/>
      <c r="AF2465" s="293"/>
      <c r="AG2465" s="19"/>
      <c r="AN2465" s="227"/>
      <c r="AO2465" s="227"/>
      <c r="AP2465" s="227"/>
      <c r="AQ2465" s="227"/>
      <c r="AR2465" s="227"/>
      <c r="AS2465" s="227"/>
      <c r="AT2465" s="227"/>
      <c r="AU2465" s="227"/>
    </row>
    <row r="2466" spans="27:47" ht="12.95" customHeight="1">
      <c r="AA2466" s="227"/>
      <c r="AB2466" s="227"/>
      <c r="AC2466" s="227"/>
      <c r="AD2466" s="227"/>
      <c r="AE2466" s="227"/>
      <c r="AF2466" s="293"/>
      <c r="AG2466" s="19"/>
      <c r="AN2466" s="227"/>
      <c r="AO2466" s="227"/>
      <c r="AP2466" s="227"/>
      <c r="AQ2466" s="227"/>
      <c r="AR2466" s="227"/>
      <c r="AS2466" s="227"/>
      <c r="AT2466" s="227"/>
      <c r="AU2466" s="227"/>
    </row>
    <row r="2467" spans="27:47" ht="12.95" customHeight="1">
      <c r="AA2467" s="227"/>
      <c r="AB2467" s="227"/>
      <c r="AC2467" s="227"/>
      <c r="AD2467" s="227"/>
      <c r="AE2467" s="227"/>
      <c r="AF2467" s="293"/>
      <c r="AG2467" s="19"/>
      <c r="AN2467" s="227"/>
      <c r="AO2467" s="227"/>
      <c r="AP2467" s="227"/>
      <c r="AQ2467" s="227"/>
      <c r="AR2467" s="227"/>
      <c r="AS2467" s="227"/>
      <c r="AT2467" s="227"/>
      <c r="AU2467" s="227"/>
    </row>
    <row r="2468" spans="27:47" ht="12.95" customHeight="1">
      <c r="AA2468" s="227"/>
      <c r="AB2468" s="227"/>
      <c r="AC2468" s="227"/>
      <c r="AD2468" s="227"/>
      <c r="AE2468" s="227"/>
      <c r="AF2468" s="293"/>
      <c r="AG2468" s="19"/>
      <c r="AN2468" s="227"/>
      <c r="AO2468" s="227"/>
      <c r="AP2468" s="227"/>
      <c r="AQ2468" s="227"/>
      <c r="AR2468" s="227"/>
      <c r="AS2468" s="227"/>
      <c r="AT2468" s="227"/>
      <c r="AU2468" s="227"/>
    </row>
    <row r="2469" spans="27:47" ht="12.95" customHeight="1">
      <c r="AA2469" s="227"/>
      <c r="AB2469" s="227"/>
      <c r="AC2469" s="227"/>
      <c r="AD2469" s="227"/>
      <c r="AE2469" s="227"/>
      <c r="AF2469" s="293"/>
      <c r="AG2469" s="19"/>
      <c r="AN2469" s="227"/>
      <c r="AO2469" s="227"/>
      <c r="AP2469" s="227"/>
      <c r="AQ2469" s="227"/>
      <c r="AR2469" s="227"/>
      <c r="AS2469" s="227"/>
      <c r="AT2469" s="227"/>
      <c r="AU2469" s="227"/>
    </row>
    <row r="2470" spans="27:47" ht="12.95" customHeight="1">
      <c r="AA2470" s="227"/>
      <c r="AB2470" s="227"/>
      <c r="AC2470" s="227"/>
      <c r="AD2470" s="227"/>
      <c r="AE2470" s="227"/>
      <c r="AF2470" s="293"/>
      <c r="AG2470" s="19"/>
      <c r="AN2470" s="227"/>
      <c r="AO2470" s="227"/>
      <c r="AP2470" s="227"/>
      <c r="AQ2470" s="227"/>
      <c r="AR2470" s="227"/>
      <c r="AS2470" s="227"/>
      <c r="AT2470" s="227"/>
      <c r="AU2470" s="227"/>
    </row>
    <row r="2471" spans="27:47" ht="12.95" customHeight="1">
      <c r="AA2471" s="227"/>
      <c r="AB2471" s="227"/>
      <c r="AC2471" s="227"/>
      <c r="AD2471" s="227"/>
      <c r="AE2471" s="227"/>
      <c r="AF2471" s="293"/>
      <c r="AG2471" s="19"/>
      <c r="AN2471" s="227"/>
      <c r="AO2471" s="227"/>
      <c r="AP2471" s="227"/>
      <c r="AQ2471" s="227"/>
      <c r="AR2471" s="227"/>
      <c r="AS2471" s="227"/>
      <c r="AT2471" s="227"/>
      <c r="AU2471" s="227"/>
    </row>
    <row r="2472" spans="27:47" ht="12.95" customHeight="1">
      <c r="AA2472" s="227"/>
      <c r="AB2472" s="227"/>
      <c r="AC2472" s="227"/>
      <c r="AD2472" s="227"/>
      <c r="AE2472" s="227"/>
      <c r="AF2472" s="293"/>
      <c r="AG2472" s="19"/>
      <c r="AN2472" s="227"/>
      <c r="AO2472" s="227"/>
      <c r="AP2472" s="227"/>
      <c r="AQ2472" s="227"/>
      <c r="AR2472" s="227"/>
      <c r="AS2472" s="227"/>
      <c r="AT2472" s="227"/>
      <c r="AU2472" s="227"/>
    </row>
    <row r="2473" spans="27:47" ht="12.95" customHeight="1">
      <c r="AA2473" s="227"/>
      <c r="AB2473" s="227"/>
      <c r="AC2473" s="227"/>
      <c r="AD2473" s="227"/>
      <c r="AE2473" s="227"/>
      <c r="AF2473" s="293"/>
      <c r="AG2473" s="19"/>
      <c r="AN2473" s="227"/>
      <c r="AO2473" s="227"/>
      <c r="AP2473" s="227"/>
      <c r="AQ2473" s="227"/>
      <c r="AR2473" s="227"/>
      <c r="AS2473" s="227"/>
      <c r="AT2473" s="227"/>
      <c r="AU2473" s="227"/>
    </row>
    <row r="2474" spans="27:47" ht="12.95" customHeight="1">
      <c r="AA2474" s="227"/>
      <c r="AB2474" s="227"/>
      <c r="AC2474" s="227"/>
      <c r="AD2474" s="227"/>
      <c r="AE2474" s="227"/>
      <c r="AF2474" s="293"/>
      <c r="AG2474" s="19"/>
      <c r="AN2474" s="227"/>
      <c r="AO2474" s="227"/>
      <c r="AP2474" s="227"/>
      <c r="AQ2474" s="227"/>
      <c r="AR2474" s="227"/>
      <c r="AS2474" s="227"/>
      <c r="AT2474" s="227"/>
      <c r="AU2474" s="227"/>
    </row>
    <row r="2475" spans="27:47" ht="12.95" customHeight="1">
      <c r="AA2475" s="227"/>
      <c r="AB2475" s="227"/>
      <c r="AC2475" s="227"/>
      <c r="AD2475" s="227"/>
      <c r="AE2475" s="227"/>
      <c r="AF2475" s="293"/>
      <c r="AG2475" s="19"/>
      <c r="AN2475" s="227"/>
      <c r="AO2475" s="227"/>
      <c r="AP2475" s="227"/>
      <c r="AQ2475" s="227"/>
      <c r="AR2475" s="227"/>
      <c r="AS2475" s="227"/>
      <c r="AT2475" s="227"/>
      <c r="AU2475" s="227"/>
    </row>
    <row r="2476" spans="27:47" ht="12.95" customHeight="1">
      <c r="AA2476" s="227"/>
      <c r="AB2476" s="227"/>
      <c r="AC2476" s="227"/>
      <c r="AD2476" s="227"/>
      <c r="AE2476" s="227"/>
      <c r="AF2476" s="293"/>
      <c r="AG2476" s="19"/>
      <c r="AN2476" s="227"/>
      <c r="AO2476" s="227"/>
      <c r="AP2476" s="227"/>
      <c r="AQ2476" s="227"/>
      <c r="AR2476" s="227"/>
      <c r="AS2476" s="227"/>
      <c r="AT2476" s="227"/>
      <c r="AU2476" s="227"/>
    </row>
    <row r="2477" spans="27:47" ht="12.95" customHeight="1">
      <c r="AA2477" s="227"/>
      <c r="AB2477" s="227"/>
      <c r="AC2477" s="227"/>
      <c r="AD2477" s="227"/>
      <c r="AE2477" s="227"/>
      <c r="AF2477" s="293"/>
      <c r="AG2477" s="19"/>
      <c r="AN2477" s="227"/>
      <c r="AO2477" s="227"/>
      <c r="AP2477" s="227"/>
      <c r="AQ2477" s="227"/>
      <c r="AR2477" s="227"/>
      <c r="AS2477" s="227"/>
      <c r="AT2477" s="227"/>
      <c r="AU2477" s="227"/>
    </row>
    <row r="2478" spans="27:47" ht="12.95" customHeight="1">
      <c r="AA2478" s="227"/>
      <c r="AB2478" s="227"/>
      <c r="AC2478" s="227"/>
      <c r="AD2478" s="227"/>
      <c r="AE2478" s="227"/>
      <c r="AF2478" s="293"/>
      <c r="AG2478" s="19"/>
      <c r="AN2478" s="227"/>
      <c r="AO2478" s="227"/>
      <c r="AP2478" s="227"/>
      <c r="AQ2478" s="227"/>
      <c r="AR2478" s="227"/>
      <c r="AS2478" s="227"/>
      <c r="AT2478" s="227"/>
      <c r="AU2478" s="227"/>
    </row>
    <row r="2479" spans="27:47" ht="12.95" customHeight="1">
      <c r="AA2479" s="227"/>
      <c r="AB2479" s="227"/>
      <c r="AC2479" s="227"/>
      <c r="AD2479" s="227"/>
      <c r="AE2479" s="227"/>
      <c r="AF2479" s="293"/>
      <c r="AG2479" s="19"/>
      <c r="AN2479" s="227"/>
      <c r="AO2479" s="227"/>
      <c r="AP2479" s="227"/>
      <c r="AQ2479" s="227"/>
      <c r="AR2479" s="227"/>
      <c r="AS2479" s="227"/>
      <c r="AT2479" s="227"/>
      <c r="AU2479" s="227"/>
    </row>
    <row r="2480" spans="27:47" ht="12.95" customHeight="1">
      <c r="AA2480" s="227"/>
      <c r="AB2480" s="227"/>
      <c r="AC2480" s="227"/>
      <c r="AD2480" s="227"/>
      <c r="AE2480" s="227"/>
      <c r="AF2480" s="293"/>
      <c r="AG2480" s="19"/>
      <c r="AN2480" s="227"/>
      <c r="AO2480" s="227"/>
      <c r="AP2480" s="227"/>
      <c r="AQ2480" s="227"/>
      <c r="AR2480" s="227"/>
      <c r="AS2480" s="227"/>
      <c r="AT2480" s="227"/>
      <c r="AU2480" s="227"/>
    </row>
    <row r="2481" spans="27:47" ht="12.95" customHeight="1">
      <c r="AA2481" s="227"/>
      <c r="AB2481" s="227"/>
      <c r="AC2481" s="227"/>
      <c r="AD2481" s="227"/>
      <c r="AE2481" s="227"/>
      <c r="AF2481" s="293"/>
      <c r="AG2481" s="19"/>
      <c r="AN2481" s="227"/>
      <c r="AO2481" s="227"/>
      <c r="AP2481" s="227"/>
      <c r="AQ2481" s="227"/>
      <c r="AR2481" s="227"/>
      <c r="AS2481" s="227"/>
      <c r="AT2481" s="227"/>
      <c r="AU2481" s="227"/>
    </row>
    <row r="2482" spans="27:47" ht="12.95" customHeight="1">
      <c r="AA2482" s="227"/>
      <c r="AB2482" s="227"/>
      <c r="AC2482" s="227"/>
      <c r="AD2482" s="227"/>
      <c r="AE2482" s="227"/>
      <c r="AF2482" s="293"/>
      <c r="AG2482" s="19"/>
      <c r="AN2482" s="227"/>
      <c r="AO2482" s="227"/>
      <c r="AP2482" s="227"/>
      <c r="AQ2482" s="227"/>
      <c r="AR2482" s="227"/>
      <c r="AS2482" s="227"/>
      <c r="AT2482" s="227"/>
      <c r="AU2482" s="227"/>
    </row>
    <row r="2483" spans="27:47" ht="12.95" customHeight="1">
      <c r="AA2483" s="227"/>
      <c r="AB2483" s="227"/>
      <c r="AC2483" s="227"/>
      <c r="AD2483" s="227"/>
      <c r="AE2483" s="227"/>
      <c r="AF2483" s="293"/>
      <c r="AG2483" s="19"/>
      <c r="AN2483" s="227"/>
      <c r="AO2483" s="227"/>
      <c r="AP2483" s="227"/>
      <c r="AQ2483" s="227"/>
      <c r="AR2483" s="227"/>
      <c r="AS2483" s="227"/>
      <c r="AT2483" s="227"/>
      <c r="AU2483" s="227"/>
    </row>
    <row r="2484" spans="27:47" ht="12.95" customHeight="1">
      <c r="AA2484" s="227"/>
      <c r="AB2484" s="227"/>
      <c r="AC2484" s="227"/>
      <c r="AD2484" s="227"/>
      <c r="AE2484" s="227"/>
      <c r="AF2484" s="293"/>
      <c r="AG2484" s="19"/>
      <c r="AN2484" s="227"/>
      <c r="AO2484" s="227"/>
      <c r="AP2484" s="227"/>
      <c r="AQ2484" s="227"/>
      <c r="AR2484" s="227"/>
      <c r="AS2484" s="227"/>
      <c r="AT2484" s="227"/>
      <c r="AU2484" s="227"/>
    </row>
    <row r="2485" spans="27:47" ht="12.95" customHeight="1">
      <c r="AA2485" s="227"/>
      <c r="AB2485" s="227"/>
      <c r="AC2485" s="227"/>
      <c r="AD2485" s="227"/>
      <c r="AE2485" s="227"/>
      <c r="AF2485" s="293"/>
      <c r="AG2485" s="19"/>
      <c r="AN2485" s="227"/>
      <c r="AO2485" s="227"/>
      <c r="AP2485" s="227"/>
      <c r="AQ2485" s="227"/>
      <c r="AR2485" s="227"/>
      <c r="AS2485" s="227"/>
      <c r="AT2485" s="227"/>
      <c r="AU2485" s="227"/>
    </row>
    <row r="2486" spans="27:47" ht="12.95" customHeight="1">
      <c r="AA2486" s="227"/>
      <c r="AB2486" s="227"/>
      <c r="AC2486" s="227"/>
      <c r="AD2486" s="227"/>
      <c r="AE2486" s="227"/>
      <c r="AF2486" s="293"/>
      <c r="AG2486" s="19"/>
      <c r="AN2486" s="227"/>
      <c r="AO2486" s="227"/>
      <c r="AP2486" s="227"/>
      <c r="AQ2486" s="227"/>
      <c r="AR2486" s="227"/>
      <c r="AS2486" s="227"/>
      <c r="AT2486" s="227"/>
      <c r="AU2486" s="227"/>
    </row>
    <row r="2487" spans="27:47" ht="12.95" customHeight="1">
      <c r="AA2487" s="227"/>
      <c r="AB2487" s="227"/>
      <c r="AC2487" s="227"/>
      <c r="AD2487" s="227"/>
      <c r="AE2487" s="227"/>
      <c r="AF2487" s="293"/>
      <c r="AG2487" s="19"/>
      <c r="AN2487" s="227"/>
      <c r="AO2487" s="227"/>
      <c r="AP2487" s="227"/>
      <c r="AQ2487" s="227"/>
      <c r="AR2487" s="227"/>
      <c r="AS2487" s="227"/>
      <c r="AT2487" s="227"/>
      <c r="AU2487" s="227"/>
    </row>
    <row r="2488" spans="27:47" ht="12.95" customHeight="1">
      <c r="AA2488" s="227"/>
      <c r="AB2488" s="227"/>
      <c r="AC2488" s="227"/>
      <c r="AD2488" s="227"/>
      <c r="AE2488" s="227"/>
      <c r="AF2488" s="293"/>
      <c r="AG2488" s="19"/>
      <c r="AN2488" s="227"/>
      <c r="AO2488" s="227"/>
      <c r="AP2488" s="227"/>
      <c r="AQ2488" s="227"/>
      <c r="AR2488" s="227"/>
      <c r="AS2488" s="227"/>
      <c r="AT2488" s="227"/>
      <c r="AU2488" s="227"/>
    </row>
    <row r="2489" spans="27:47" ht="12.95" customHeight="1">
      <c r="AA2489" s="227"/>
      <c r="AB2489" s="227"/>
      <c r="AC2489" s="227"/>
      <c r="AD2489" s="227"/>
      <c r="AE2489" s="227"/>
      <c r="AF2489" s="293"/>
      <c r="AG2489" s="19"/>
      <c r="AN2489" s="227"/>
      <c r="AO2489" s="227"/>
      <c r="AP2489" s="227"/>
      <c r="AQ2489" s="227"/>
      <c r="AR2489" s="227"/>
      <c r="AS2489" s="227"/>
      <c r="AT2489" s="227"/>
      <c r="AU2489" s="227"/>
    </row>
    <row r="2490" spans="27:47" ht="12.95" customHeight="1">
      <c r="AA2490" s="227"/>
      <c r="AB2490" s="227"/>
      <c r="AC2490" s="227"/>
      <c r="AD2490" s="227"/>
      <c r="AE2490" s="227"/>
      <c r="AF2490" s="293"/>
      <c r="AG2490" s="19"/>
      <c r="AN2490" s="227"/>
      <c r="AO2490" s="227"/>
      <c r="AP2490" s="227"/>
      <c r="AQ2490" s="227"/>
      <c r="AR2490" s="227"/>
      <c r="AS2490" s="227"/>
      <c r="AT2490" s="227"/>
      <c r="AU2490" s="227"/>
    </row>
    <row r="2491" spans="27:47" ht="12.95" customHeight="1">
      <c r="AA2491" s="227"/>
      <c r="AB2491" s="227"/>
      <c r="AC2491" s="227"/>
      <c r="AD2491" s="227"/>
      <c r="AE2491" s="227"/>
      <c r="AF2491" s="293"/>
      <c r="AG2491" s="19"/>
      <c r="AN2491" s="227"/>
      <c r="AO2491" s="227"/>
      <c r="AP2491" s="227"/>
      <c r="AQ2491" s="227"/>
      <c r="AR2491" s="227"/>
      <c r="AS2491" s="227"/>
      <c r="AT2491" s="227"/>
      <c r="AU2491" s="227"/>
    </row>
    <row r="2492" spans="27:47" ht="12.95" customHeight="1">
      <c r="AA2492" s="227"/>
      <c r="AB2492" s="227"/>
      <c r="AC2492" s="227"/>
      <c r="AD2492" s="227"/>
      <c r="AE2492" s="227"/>
      <c r="AF2492" s="293"/>
      <c r="AG2492" s="19"/>
      <c r="AN2492" s="227"/>
      <c r="AO2492" s="227"/>
      <c r="AP2492" s="227"/>
      <c r="AQ2492" s="227"/>
      <c r="AR2492" s="227"/>
      <c r="AS2492" s="227"/>
      <c r="AT2492" s="227"/>
      <c r="AU2492" s="227"/>
    </row>
    <row r="2493" spans="27:47" ht="12.95" customHeight="1">
      <c r="AA2493" s="227"/>
      <c r="AB2493" s="227"/>
      <c r="AC2493" s="227"/>
      <c r="AD2493" s="227"/>
      <c r="AE2493" s="227"/>
      <c r="AF2493" s="293"/>
      <c r="AG2493" s="19"/>
      <c r="AN2493" s="227"/>
      <c r="AO2493" s="227"/>
      <c r="AP2493" s="227"/>
      <c r="AQ2493" s="227"/>
      <c r="AR2493" s="227"/>
      <c r="AS2493" s="227"/>
      <c r="AT2493" s="227"/>
      <c r="AU2493" s="227"/>
    </row>
    <row r="2494" spans="27:47" ht="12.95" customHeight="1">
      <c r="AA2494" s="227"/>
      <c r="AB2494" s="227"/>
      <c r="AC2494" s="227"/>
      <c r="AD2494" s="227"/>
      <c r="AE2494" s="227"/>
      <c r="AF2494" s="293"/>
      <c r="AG2494" s="19"/>
      <c r="AN2494" s="227"/>
      <c r="AO2494" s="227"/>
      <c r="AP2494" s="227"/>
      <c r="AQ2494" s="227"/>
      <c r="AR2494" s="227"/>
      <c r="AS2494" s="227"/>
      <c r="AT2494" s="227"/>
      <c r="AU2494" s="227"/>
    </row>
    <row r="2495" spans="27:47" ht="12.95" customHeight="1">
      <c r="AA2495" s="227"/>
      <c r="AB2495" s="227"/>
      <c r="AC2495" s="227"/>
      <c r="AD2495" s="227"/>
      <c r="AE2495" s="227"/>
      <c r="AF2495" s="293"/>
      <c r="AG2495" s="19"/>
      <c r="AN2495" s="227"/>
      <c r="AO2495" s="227"/>
      <c r="AP2495" s="227"/>
      <c r="AQ2495" s="227"/>
      <c r="AR2495" s="227"/>
      <c r="AS2495" s="227"/>
      <c r="AT2495" s="227"/>
      <c r="AU2495" s="227"/>
    </row>
    <row r="2496" spans="27:47" ht="12.95" customHeight="1">
      <c r="AA2496" s="227"/>
      <c r="AB2496" s="227"/>
      <c r="AC2496" s="227"/>
      <c r="AD2496" s="227"/>
      <c r="AE2496" s="227"/>
      <c r="AF2496" s="293"/>
      <c r="AG2496" s="19"/>
      <c r="AN2496" s="227"/>
      <c r="AO2496" s="227"/>
      <c r="AP2496" s="227"/>
      <c r="AQ2496" s="227"/>
      <c r="AR2496" s="227"/>
      <c r="AS2496" s="227"/>
      <c r="AT2496" s="227"/>
      <c r="AU2496" s="227"/>
    </row>
    <row r="2497" spans="27:47" ht="12.95" customHeight="1">
      <c r="AA2497" s="227"/>
      <c r="AB2497" s="227"/>
      <c r="AC2497" s="227"/>
      <c r="AD2497" s="227"/>
      <c r="AE2497" s="227"/>
      <c r="AF2497" s="293"/>
      <c r="AG2497" s="19"/>
      <c r="AN2497" s="227"/>
      <c r="AO2497" s="227"/>
      <c r="AP2497" s="227"/>
      <c r="AQ2497" s="227"/>
      <c r="AR2497" s="227"/>
      <c r="AS2497" s="227"/>
      <c r="AT2497" s="227"/>
      <c r="AU2497" s="227"/>
    </row>
    <row r="2498" spans="27:47" ht="12.95" customHeight="1">
      <c r="AA2498" s="227"/>
      <c r="AB2498" s="227"/>
      <c r="AC2498" s="227"/>
      <c r="AD2498" s="227"/>
      <c r="AE2498" s="227"/>
      <c r="AF2498" s="293"/>
      <c r="AG2498" s="19"/>
      <c r="AN2498" s="227"/>
      <c r="AO2498" s="227"/>
      <c r="AP2498" s="227"/>
      <c r="AQ2498" s="227"/>
      <c r="AR2498" s="227"/>
      <c r="AS2498" s="227"/>
      <c r="AT2498" s="227"/>
      <c r="AU2498" s="227"/>
    </row>
    <row r="2499" spans="27:47" ht="12.95" customHeight="1">
      <c r="AA2499" s="227"/>
      <c r="AB2499" s="227"/>
      <c r="AC2499" s="227"/>
      <c r="AD2499" s="227"/>
      <c r="AE2499" s="227"/>
      <c r="AF2499" s="293"/>
      <c r="AG2499" s="19"/>
      <c r="AN2499" s="227"/>
      <c r="AO2499" s="227"/>
      <c r="AP2499" s="227"/>
      <c r="AQ2499" s="227"/>
      <c r="AR2499" s="227"/>
      <c r="AS2499" s="227"/>
      <c r="AT2499" s="227"/>
      <c r="AU2499" s="227"/>
    </row>
    <row r="2500" spans="27:47" ht="12.95" customHeight="1">
      <c r="AA2500" s="227"/>
      <c r="AB2500" s="227"/>
      <c r="AC2500" s="227"/>
      <c r="AD2500" s="227"/>
      <c r="AE2500" s="227"/>
      <c r="AF2500" s="293"/>
      <c r="AG2500" s="19"/>
      <c r="AN2500" s="227"/>
      <c r="AO2500" s="227"/>
      <c r="AP2500" s="227"/>
      <c r="AQ2500" s="227"/>
      <c r="AR2500" s="227"/>
      <c r="AS2500" s="227"/>
      <c r="AT2500" s="227"/>
      <c r="AU2500" s="227"/>
    </row>
    <row r="2501" spans="27:47" ht="12.95" customHeight="1">
      <c r="AA2501" s="227"/>
      <c r="AB2501" s="227"/>
      <c r="AC2501" s="227"/>
      <c r="AD2501" s="227"/>
      <c r="AE2501" s="227"/>
      <c r="AF2501" s="293"/>
      <c r="AG2501" s="19"/>
      <c r="AN2501" s="227"/>
      <c r="AO2501" s="227"/>
      <c r="AP2501" s="227"/>
      <c r="AQ2501" s="227"/>
      <c r="AR2501" s="227"/>
      <c r="AS2501" s="227"/>
      <c r="AT2501" s="227"/>
      <c r="AU2501" s="227"/>
    </row>
    <row r="2502" spans="27:47" ht="12.95" customHeight="1">
      <c r="AA2502" s="227"/>
      <c r="AB2502" s="227"/>
      <c r="AC2502" s="227"/>
      <c r="AD2502" s="227"/>
      <c r="AE2502" s="227"/>
      <c r="AF2502" s="293"/>
      <c r="AG2502" s="19"/>
      <c r="AN2502" s="227"/>
      <c r="AO2502" s="227"/>
      <c r="AP2502" s="227"/>
      <c r="AQ2502" s="227"/>
      <c r="AR2502" s="227"/>
      <c r="AS2502" s="227"/>
      <c r="AT2502" s="227"/>
      <c r="AU2502" s="227"/>
    </row>
    <row r="2503" spans="27:47" ht="12.95" customHeight="1">
      <c r="AA2503" s="227"/>
      <c r="AB2503" s="227"/>
      <c r="AC2503" s="227"/>
      <c r="AD2503" s="227"/>
      <c r="AE2503" s="227"/>
      <c r="AF2503" s="293"/>
      <c r="AG2503" s="19"/>
      <c r="AN2503" s="227"/>
      <c r="AO2503" s="227"/>
      <c r="AP2503" s="227"/>
      <c r="AQ2503" s="227"/>
      <c r="AR2503" s="227"/>
      <c r="AS2503" s="227"/>
      <c r="AT2503" s="227"/>
      <c r="AU2503" s="227"/>
    </row>
    <row r="2504" spans="27:47" ht="12.95" customHeight="1">
      <c r="AA2504" s="227"/>
      <c r="AB2504" s="227"/>
      <c r="AC2504" s="227"/>
      <c r="AD2504" s="227"/>
      <c r="AE2504" s="227"/>
      <c r="AF2504" s="293"/>
      <c r="AG2504" s="19"/>
      <c r="AN2504" s="227"/>
      <c r="AO2504" s="227"/>
      <c r="AP2504" s="227"/>
      <c r="AQ2504" s="227"/>
      <c r="AR2504" s="227"/>
      <c r="AS2504" s="227"/>
      <c r="AT2504" s="227"/>
      <c r="AU2504" s="227"/>
    </row>
    <row r="2505" spans="27:47" ht="12.95" customHeight="1">
      <c r="AA2505" s="227"/>
      <c r="AB2505" s="227"/>
      <c r="AC2505" s="227"/>
      <c r="AD2505" s="227"/>
      <c r="AE2505" s="227"/>
      <c r="AF2505" s="293"/>
      <c r="AG2505" s="19"/>
      <c r="AN2505" s="227"/>
      <c r="AO2505" s="227"/>
      <c r="AP2505" s="227"/>
      <c r="AQ2505" s="227"/>
      <c r="AR2505" s="227"/>
      <c r="AS2505" s="227"/>
      <c r="AT2505" s="227"/>
      <c r="AU2505" s="227"/>
    </row>
    <row r="2506" spans="27:47" ht="12.95" customHeight="1">
      <c r="AA2506" s="227"/>
      <c r="AB2506" s="227"/>
      <c r="AC2506" s="227"/>
      <c r="AD2506" s="227"/>
      <c r="AE2506" s="227"/>
      <c r="AF2506" s="293"/>
      <c r="AG2506" s="19"/>
      <c r="AN2506" s="227"/>
      <c r="AO2506" s="227"/>
      <c r="AP2506" s="227"/>
      <c r="AQ2506" s="227"/>
      <c r="AR2506" s="227"/>
      <c r="AS2506" s="227"/>
      <c r="AT2506" s="227"/>
      <c r="AU2506" s="227"/>
    </row>
    <row r="2507" spans="27:47" ht="12.95" customHeight="1">
      <c r="AA2507" s="227"/>
      <c r="AB2507" s="227"/>
      <c r="AC2507" s="227"/>
      <c r="AD2507" s="227"/>
      <c r="AE2507" s="227"/>
      <c r="AF2507" s="293"/>
      <c r="AG2507" s="19"/>
      <c r="AN2507" s="227"/>
      <c r="AO2507" s="227"/>
      <c r="AP2507" s="227"/>
      <c r="AQ2507" s="227"/>
      <c r="AR2507" s="227"/>
      <c r="AS2507" s="227"/>
      <c r="AT2507" s="227"/>
      <c r="AU2507" s="227"/>
    </row>
    <row r="2508" spans="27:47" ht="12.95" customHeight="1">
      <c r="AA2508" s="227"/>
      <c r="AB2508" s="227"/>
      <c r="AC2508" s="227"/>
      <c r="AD2508" s="227"/>
      <c r="AE2508" s="227"/>
      <c r="AF2508" s="293"/>
      <c r="AG2508" s="19"/>
      <c r="AN2508" s="227"/>
      <c r="AO2508" s="227"/>
      <c r="AP2508" s="227"/>
      <c r="AQ2508" s="227"/>
      <c r="AR2508" s="227"/>
      <c r="AS2508" s="227"/>
      <c r="AT2508" s="227"/>
      <c r="AU2508" s="227"/>
    </row>
    <row r="2509" spans="27:47" ht="12.95" customHeight="1">
      <c r="AA2509" s="227"/>
      <c r="AB2509" s="227"/>
      <c r="AC2509" s="227"/>
      <c r="AD2509" s="227"/>
      <c r="AE2509" s="227"/>
      <c r="AF2509" s="293"/>
      <c r="AG2509" s="19"/>
      <c r="AN2509" s="227"/>
      <c r="AO2509" s="227"/>
      <c r="AP2509" s="227"/>
      <c r="AQ2509" s="227"/>
      <c r="AR2509" s="227"/>
      <c r="AS2509" s="227"/>
      <c r="AT2509" s="227"/>
      <c r="AU2509" s="227"/>
    </row>
    <row r="2510" spans="27:47" ht="12.95" customHeight="1">
      <c r="AA2510" s="227"/>
      <c r="AB2510" s="227"/>
      <c r="AC2510" s="227"/>
      <c r="AD2510" s="227"/>
      <c r="AE2510" s="227"/>
      <c r="AF2510" s="293"/>
      <c r="AG2510" s="19"/>
      <c r="AN2510" s="227"/>
      <c r="AO2510" s="227"/>
      <c r="AP2510" s="227"/>
      <c r="AQ2510" s="227"/>
      <c r="AR2510" s="227"/>
      <c r="AS2510" s="227"/>
      <c r="AT2510" s="227"/>
      <c r="AU2510" s="227"/>
    </row>
    <row r="2511" spans="27:47" ht="12.95" customHeight="1">
      <c r="AA2511" s="227"/>
      <c r="AB2511" s="227"/>
      <c r="AC2511" s="227"/>
      <c r="AD2511" s="227"/>
      <c r="AE2511" s="227"/>
      <c r="AF2511" s="293"/>
      <c r="AG2511" s="19"/>
      <c r="AN2511" s="227"/>
      <c r="AO2511" s="227"/>
      <c r="AP2511" s="227"/>
      <c r="AQ2511" s="227"/>
      <c r="AR2511" s="227"/>
      <c r="AS2511" s="227"/>
      <c r="AT2511" s="227"/>
      <c r="AU2511" s="227"/>
    </row>
    <row r="2512" spans="27:47" ht="12.95" customHeight="1">
      <c r="AA2512" s="227"/>
      <c r="AB2512" s="227"/>
      <c r="AC2512" s="227"/>
      <c r="AD2512" s="227"/>
      <c r="AE2512" s="227"/>
      <c r="AF2512" s="293"/>
      <c r="AG2512" s="19"/>
      <c r="AN2512" s="227"/>
      <c r="AO2512" s="227"/>
      <c r="AP2512" s="227"/>
      <c r="AQ2512" s="227"/>
      <c r="AR2512" s="227"/>
      <c r="AS2512" s="227"/>
      <c r="AT2512" s="227"/>
      <c r="AU2512" s="227"/>
    </row>
    <row r="2513" spans="27:47" ht="12.95" customHeight="1">
      <c r="AA2513" s="227"/>
      <c r="AB2513" s="227"/>
      <c r="AC2513" s="227"/>
      <c r="AD2513" s="227"/>
      <c r="AE2513" s="227"/>
      <c r="AF2513" s="293"/>
      <c r="AG2513" s="19"/>
      <c r="AN2513" s="227"/>
      <c r="AO2513" s="227"/>
      <c r="AP2513" s="227"/>
      <c r="AQ2513" s="227"/>
      <c r="AR2513" s="227"/>
      <c r="AS2513" s="227"/>
      <c r="AT2513" s="227"/>
      <c r="AU2513" s="227"/>
    </row>
    <row r="2514" spans="27:47" ht="12.95" customHeight="1">
      <c r="AA2514" s="227"/>
      <c r="AB2514" s="227"/>
      <c r="AC2514" s="227"/>
      <c r="AD2514" s="227"/>
      <c r="AE2514" s="227"/>
      <c r="AF2514" s="293"/>
      <c r="AG2514" s="19"/>
      <c r="AN2514" s="227"/>
      <c r="AO2514" s="227"/>
      <c r="AP2514" s="227"/>
      <c r="AQ2514" s="227"/>
      <c r="AR2514" s="227"/>
      <c r="AS2514" s="227"/>
      <c r="AT2514" s="227"/>
      <c r="AU2514" s="227"/>
    </row>
    <row r="2515" spans="27:47" ht="12.95" customHeight="1">
      <c r="AA2515" s="227"/>
      <c r="AB2515" s="227"/>
      <c r="AC2515" s="227"/>
      <c r="AD2515" s="227"/>
      <c r="AE2515" s="227"/>
      <c r="AF2515" s="293"/>
      <c r="AG2515" s="19"/>
      <c r="AN2515" s="227"/>
      <c r="AO2515" s="227"/>
      <c r="AP2515" s="227"/>
      <c r="AQ2515" s="227"/>
      <c r="AR2515" s="227"/>
      <c r="AS2515" s="227"/>
      <c r="AT2515" s="227"/>
      <c r="AU2515" s="227"/>
    </row>
    <row r="2516" spans="27:47" ht="12.95" customHeight="1">
      <c r="AA2516" s="227"/>
      <c r="AB2516" s="227"/>
      <c r="AC2516" s="227"/>
      <c r="AD2516" s="227"/>
      <c r="AE2516" s="227"/>
      <c r="AF2516" s="293"/>
      <c r="AG2516" s="19"/>
      <c r="AN2516" s="227"/>
      <c r="AO2516" s="227"/>
      <c r="AP2516" s="227"/>
      <c r="AQ2516" s="227"/>
      <c r="AR2516" s="227"/>
      <c r="AS2516" s="227"/>
      <c r="AT2516" s="227"/>
      <c r="AU2516" s="227"/>
    </row>
    <row r="2517" spans="27:47" ht="12.95" customHeight="1">
      <c r="AA2517" s="227"/>
      <c r="AB2517" s="227"/>
      <c r="AC2517" s="227"/>
      <c r="AD2517" s="227"/>
      <c r="AE2517" s="227"/>
      <c r="AF2517" s="293"/>
      <c r="AG2517" s="19"/>
      <c r="AN2517" s="227"/>
      <c r="AO2517" s="227"/>
      <c r="AP2517" s="227"/>
      <c r="AQ2517" s="227"/>
      <c r="AR2517" s="227"/>
      <c r="AS2517" s="227"/>
      <c r="AT2517" s="227"/>
      <c r="AU2517" s="227"/>
    </row>
    <row r="2518" spans="27:47" ht="12.95" customHeight="1">
      <c r="AA2518" s="227"/>
      <c r="AB2518" s="227"/>
      <c r="AC2518" s="227"/>
      <c r="AD2518" s="227"/>
      <c r="AE2518" s="227"/>
      <c r="AF2518" s="293"/>
      <c r="AG2518" s="19"/>
      <c r="AN2518" s="227"/>
      <c r="AO2518" s="227"/>
      <c r="AP2518" s="227"/>
      <c r="AQ2518" s="227"/>
      <c r="AR2518" s="227"/>
      <c r="AS2518" s="227"/>
      <c r="AT2518" s="227"/>
      <c r="AU2518" s="227"/>
    </row>
    <row r="2519" spans="27:47" ht="12.95" customHeight="1">
      <c r="AA2519" s="227"/>
      <c r="AB2519" s="227"/>
      <c r="AC2519" s="227"/>
      <c r="AD2519" s="227"/>
      <c r="AE2519" s="227"/>
      <c r="AF2519" s="293"/>
      <c r="AG2519" s="19"/>
      <c r="AN2519" s="227"/>
      <c r="AO2519" s="227"/>
      <c r="AP2519" s="227"/>
      <c r="AQ2519" s="227"/>
      <c r="AR2519" s="227"/>
      <c r="AS2519" s="227"/>
      <c r="AT2519" s="227"/>
      <c r="AU2519" s="227"/>
    </row>
    <row r="2520" spans="27:47" ht="12.95" customHeight="1">
      <c r="AA2520" s="227"/>
      <c r="AB2520" s="227"/>
      <c r="AC2520" s="227"/>
      <c r="AD2520" s="227"/>
      <c r="AE2520" s="227"/>
      <c r="AF2520" s="293"/>
      <c r="AG2520" s="19"/>
      <c r="AN2520" s="227"/>
      <c r="AO2520" s="227"/>
      <c r="AP2520" s="227"/>
      <c r="AQ2520" s="227"/>
      <c r="AR2520" s="227"/>
      <c r="AS2520" s="227"/>
      <c r="AT2520" s="227"/>
      <c r="AU2520" s="227"/>
    </row>
    <row r="2521" spans="27:47" ht="12.95" customHeight="1">
      <c r="AA2521" s="227"/>
      <c r="AB2521" s="227"/>
      <c r="AC2521" s="227"/>
      <c r="AD2521" s="227"/>
      <c r="AE2521" s="227"/>
      <c r="AF2521" s="293"/>
      <c r="AG2521" s="19"/>
      <c r="AN2521" s="227"/>
      <c r="AO2521" s="227"/>
      <c r="AP2521" s="227"/>
      <c r="AQ2521" s="227"/>
      <c r="AR2521" s="227"/>
      <c r="AS2521" s="227"/>
      <c r="AT2521" s="227"/>
      <c r="AU2521" s="227"/>
    </row>
    <row r="2522" spans="27:47" ht="12.95" customHeight="1">
      <c r="AA2522" s="227"/>
      <c r="AB2522" s="227"/>
      <c r="AC2522" s="227"/>
      <c r="AD2522" s="227"/>
      <c r="AE2522" s="227"/>
      <c r="AF2522" s="293"/>
      <c r="AG2522" s="19"/>
      <c r="AN2522" s="227"/>
      <c r="AO2522" s="227"/>
      <c r="AP2522" s="227"/>
      <c r="AQ2522" s="227"/>
      <c r="AR2522" s="227"/>
      <c r="AS2522" s="227"/>
      <c r="AT2522" s="227"/>
      <c r="AU2522" s="227"/>
    </row>
    <row r="2523" spans="27:47" ht="12.95" customHeight="1">
      <c r="AA2523" s="227"/>
      <c r="AB2523" s="227"/>
      <c r="AC2523" s="227"/>
      <c r="AD2523" s="227"/>
      <c r="AE2523" s="227"/>
      <c r="AF2523" s="293"/>
      <c r="AG2523" s="19"/>
      <c r="AN2523" s="227"/>
      <c r="AO2523" s="227"/>
      <c r="AP2523" s="227"/>
      <c r="AQ2523" s="227"/>
      <c r="AR2523" s="227"/>
      <c r="AS2523" s="227"/>
      <c r="AT2523" s="227"/>
      <c r="AU2523" s="227"/>
    </row>
    <row r="2524" spans="27:47" ht="12.95" customHeight="1">
      <c r="AA2524" s="227"/>
      <c r="AB2524" s="227"/>
      <c r="AC2524" s="227"/>
      <c r="AD2524" s="227"/>
      <c r="AE2524" s="227"/>
      <c r="AF2524" s="293"/>
      <c r="AG2524" s="19"/>
      <c r="AN2524" s="227"/>
      <c r="AO2524" s="227"/>
      <c r="AP2524" s="227"/>
      <c r="AQ2524" s="227"/>
      <c r="AR2524" s="227"/>
      <c r="AS2524" s="227"/>
      <c r="AT2524" s="227"/>
      <c r="AU2524" s="227"/>
    </row>
    <row r="2525" spans="27:47" ht="12.95" customHeight="1">
      <c r="AA2525" s="227"/>
      <c r="AB2525" s="227"/>
      <c r="AC2525" s="227"/>
      <c r="AD2525" s="227"/>
      <c r="AE2525" s="227"/>
      <c r="AF2525" s="293"/>
      <c r="AG2525" s="19"/>
      <c r="AN2525" s="227"/>
      <c r="AO2525" s="227"/>
      <c r="AP2525" s="227"/>
      <c r="AQ2525" s="227"/>
      <c r="AR2525" s="227"/>
      <c r="AS2525" s="227"/>
      <c r="AT2525" s="227"/>
      <c r="AU2525" s="227"/>
    </row>
    <row r="2526" spans="27:47" ht="12.95" customHeight="1">
      <c r="AA2526" s="227"/>
      <c r="AB2526" s="227"/>
      <c r="AC2526" s="227"/>
      <c r="AD2526" s="227"/>
      <c r="AE2526" s="227"/>
      <c r="AF2526" s="293"/>
      <c r="AG2526" s="19"/>
      <c r="AN2526" s="227"/>
      <c r="AO2526" s="227"/>
      <c r="AP2526" s="227"/>
      <c r="AQ2526" s="227"/>
      <c r="AR2526" s="227"/>
      <c r="AS2526" s="227"/>
      <c r="AT2526" s="227"/>
      <c r="AU2526" s="227"/>
    </row>
    <row r="2527" spans="27:47" ht="12.95" customHeight="1">
      <c r="AA2527" s="227"/>
      <c r="AB2527" s="227"/>
      <c r="AC2527" s="227"/>
      <c r="AD2527" s="227"/>
      <c r="AE2527" s="227"/>
      <c r="AF2527" s="293"/>
      <c r="AG2527" s="19"/>
      <c r="AN2527" s="227"/>
      <c r="AO2527" s="227"/>
      <c r="AP2527" s="227"/>
      <c r="AQ2527" s="227"/>
      <c r="AR2527" s="227"/>
      <c r="AS2527" s="227"/>
      <c r="AT2527" s="227"/>
      <c r="AU2527" s="227"/>
    </row>
    <row r="2528" spans="27:47" ht="12.95" customHeight="1">
      <c r="AA2528" s="227"/>
      <c r="AB2528" s="227"/>
      <c r="AC2528" s="227"/>
      <c r="AD2528" s="227"/>
      <c r="AE2528" s="227"/>
      <c r="AF2528" s="293"/>
      <c r="AG2528" s="19"/>
      <c r="AN2528" s="227"/>
      <c r="AO2528" s="227"/>
      <c r="AP2528" s="227"/>
      <c r="AQ2528" s="227"/>
      <c r="AR2528" s="227"/>
      <c r="AS2528" s="227"/>
      <c r="AT2528" s="227"/>
      <c r="AU2528" s="227"/>
    </row>
    <row r="2529" spans="27:47" ht="12.95" customHeight="1">
      <c r="AA2529" s="227"/>
      <c r="AB2529" s="227"/>
      <c r="AC2529" s="227"/>
      <c r="AD2529" s="227"/>
      <c r="AE2529" s="227"/>
      <c r="AF2529" s="293"/>
      <c r="AG2529" s="19"/>
      <c r="AN2529" s="227"/>
      <c r="AO2529" s="227"/>
      <c r="AP2529" s="227"/>
      <c r="AQ2529" s="227"/>
      <c r="AR2529" s="227"/>
      <c r="AS2529" s="227"/>
      <c r="AT2529" s="227"/>
      <c r="AU2529" s="227"/>
    </row>
    <row r="2530" spans="27:47" ht="12.95" customHeight="1">
      <c r="AA2530" s="227"/>
      <c r="AB2530" s="227"/>
      <c r="AC2530" s="227"/>
      <c r="AD2530" s="227"/>
      <c r="AE2530" s="227"/>
      <c r="AF2530" s="293"/>
      <c r="AG2530" s="19"/>
      <c r="AN2530" s="227"/>
      <c r="AO2530" s="227"/>
      <c r="AP2530" s="227"/>
      <c r="AQ2530" s="227"/>
      <c r="AR2530" s="227"/>
      <c r="AS2530" s="227"/>
      <c r="AT2530" s="227"/>
      <c r="AU2530" s="227"/>
    </row>
    <row r="2531" spans="27:47" ht="12.95" customHeight="1">
      <c r="AA2531" s="227"/>
      <c r="AB2531" s="227"/>
      <c r="AC2531" s="227"/>
      <c r="AD2531" s="227"/>
      <c r="AE2531" s="227"/>
      <c r="AF2531" s="293"/>
      <c r="AG2531" s="19"/>
      <c r="AN2531" s="227"/>
      <c r="AO2531" s="227"/>
      <c r="AP2531" s="227"/>
      <c r="AQ2531" s="227"/>
      <c r="AR2531" s="227"/>
      <c r="AS2531" s="227"/>
      <c r="AT2531" s="227"/>
      <c r="AU2531" s="227"/>
    </row>
    <row r="2532" spans="27:47" ht="12.95" customHeight="1">
      <c r="AA2532" s="227"/>
      <c r="AB2532" s="227"/>
      <c r="AC2532" s="227"/>
      <c r="AD2532" s="227"/>
      <c r="AE2532" s="227"/>
      <c r="AF2532" s="293"/>
      <c r="AG2532" s="19"/>
      <c r="AN2532" s="227"/>
      <c r="AO2532" s="227"/>
      <c r="AP2532" s="227"/>
      <c r="AQ2532" s="227"/>
      <c r="AR2532" s="227"/>
      <c r="AS2532" s="227"/>
      <c r="AT2532" s="227"/>
      <c r="AU2532" s="227"/>
    </row>
    <row r="2533" spans="27:47" ht="12.95" customHeight="1">
      <c r="AA2533" s="227"/>
      <c r="AB2533" s="227"/>
      <c r="AC2533" s="227"/>
      <c r="AD2533" s="227"/>
      <c r="AE2533" s="227"/>
      <c r="AF2533" s="293"/>
      <c r="AG2533" s="19"/>
      <c r="AN2533" s="227"/>
      <c r="AO2533" s="227"/>
      <c r="AP2533" s="227"/>
      <c r="AQ2533" s="227"/>
      <c r="AR2533" s="227"/>
      <c r="AS2533" s="227"/>
      <c r="AT2533" s="227"/>
      <c r="AU2533" s="227"/>
    </row>
    <row r="2534" spans="27:47" ht="12.95" customHeight="1">
      <c r="AA2534" s="227"/>
      <c r="AB2534" s="227"/>
      <c r="AC2534" s="227"/>
      <c r="AD2534" s="227"/>
      <c r="AE2534" s="227"/>
      <c r="AF2534" s="293"/>
      <c r="AG2534" s="19"/>
      <c r="AN2534" s="227"/>
      <c r="AO2534" s="227"/>
      <c r="AP2534" s="227"/>
      <c r="AQ2534" s="227"/>
      <c r="AR2534" s="227"/>
      <c r="AS2534" s="227"/>
      <c r="AT2534" s="227"/>
      <c r="AU2534" s="227"/>
    </row>
  </sheetData>
  <protectedRanges>
    <protectedRange sqref="A194:D194" name="Range1"/>
  </protectedRanges>
  <sortState xmlns:xlrd2="http://schemas.microsoft.com/office/spreadsheetml/2017/richdata2" ref="A21:AU204">
    <sortCondition ref="C21:C204"/>
  </sortState>
  <phoneticPr fontId="26" type="noConversion"/>
  <hyperlinks>
    <hyperlink ref="H2864" r:id="rId1" display="http://vsolj.cetus-net.org/bulletin.html" xr:uid="{00000000-0004-0000-0000-000000000000}"/>
    <hyperlink ref="H64968" r:id="rId2" display="http://vsolj.cetus-net.org/bulletin.html" xr:uid="{00000000-0004-0000-0000-000001000000}"/>
    <hyperlink ref="H64961" r:id="rId3" display="https://www.aavso.org/ejaavso" xr:uid="{00000000-0004-0000-0000-000002000000}"/>
    <hyperlink ref="I64968" r:id="rId4" display="http://vsolj.cetus-net.org/bulletin.html" xr:uid="{00000000-0004-0000-0000-000003000000}"/>
    <hyperlink ref="H64965" r:id="rId5" display="https://www.aavso.org/ejaavso" xr:uid="{00000000-0004-0000-0000-000004000000}"/>
    <hyperlink ref="I3089" r:id="rId6" display="http://vsolj.cetus-net.org/bulletin.html" xr:uid="{00000000-0004-0000-0000-000005000000}"/>
    <hyperlink ref="H3089" r:id="rId7" display="http://vsolj.cetus-net.org/bulletin.html" xr:uid="{00000000-0004-0000-0000-000006000000}"/>
    <hyperlink ref="AP4455" r:id="rId8" display="http://cdsbib.u-strasbg.fr/cgi-bin/cdsbib?1990RMxAA..21..381G" xr:uid="{00000000-0004-0000-0000-000007000000}"/>
    <hyperlink ref="AP4458" r:id="rId9" display="http://cdsbib.u-strasbg.fr/cgi-bin/cdsbib?1990RMxAA..21..381G" xr:uid="{00000000-0004-0000-0000-000008000000}"/>
    <hyperlink ref="AP4456" r:id="rId10" display="http://cdsbib.u-strasbg.fr/cgi-bin/cdsbib?1990RMxAA..21..381G" xr:uid="{00000000-0004-0000-0000-000009000000}"/>
    <hyperlink ref="AP4434" r:id="rId11" display="http://cdsbib.u-strasbg.fr/cgi-bin/cdsbib?1990RMxAA..21..381G" xr:uid="{00000000-0004-0000-0000-00000A000000}"/>
    <hyperlink ref="AQ4568" r:id="rId12" display="http://cdsbib.u-strasbg.fr/cgi-bin/cdsbib?1990RMxAA..21..381G" xr:uid="{00000000-0004-0000-0000-00000B000000}"/>
    <hyperlink ref="AQ2837" r:id="rId13" display="http://cdsbib.u-strasbg.fr/cgi-bin/cdsbib?1990RMxAA..21..381G" xr:uid="{00000000-0004-0000-0000-00000C000000}"/>
    <hyperlink ref="AQ4569" r:id="rId14" display="http://cdsbib.u-strasbg.fr/cgi-bin/cdsbib?1990RMxAA..21..381G" xr:uid="{00000000-0004-0000-0000-00000D000000}"/>
    <hyperlink ref="AT3742" r:id="rId15" display="http://cdsbib.u-strasbg.fr/cgi-bin/cdsbib?1990RMxAA..21..381G" xr:uid="{00000000-0004-0000-0000-00000E000000}"/>
    <hyperlink ref="AT3739" r:id="rId16" display="http://cdsbib.u-strasbg.fr/cgi-bin/cdsbib?1990RMxAA..21..381G" xr:uid="{00000000-0004-0000-0000-00000F000000}"/>
    <hyperlink ref="AT3741" r:id="rId17" display="http://cdsbib.u-strasbg.fr/cgi-bin/cdsbib?1990RMxAA..21..381G" xr:uid="{00000000-0004-0000-0000-000010000000}"/>
    <hyperlink ref="AT3717" r:id="rId18" display="http://cdsbib.u-strasbg.fr/cgi-bin/cdsbib?1990RMxAA..21..381G" xr:uid="{00000000-0004-0000-0000-000011000000}"/>
    <hyperlink ref="AU3878" r:id="rId19" display="http://cdsbib.u-strasbg.fr/cgi-bin/cdsbib?1990RMxAA..21..381G" xr:uid="{00000000-0004-0000-0000-000012000000}"/>
    <hyperlink ref="AU5522" r:id="rId20" display="http://cdsbib.u-strasbg.fr/cgi-bin/cdsbib?1990RMxAA..21..381G" xr:uid="{00000000-0004-0000-0000-000013000000}"/>
    <hyperlink ref="AU3879" r:id="rId21" display="http://cdsbib.u-strasbg.fr/cgi-bin/cdsbib?1990RMxAA..21..381G" xr:uid="{00000000-0004-0000-0000-000014000000}"/>
    <hyperlink ref="AT7967" r:id="rId22" display="http://cdsbib.u-strasbg.fr/cgi-bin/cdsbib?1990RMxAA..21..381G" xr:uid="{00000000-0004-0000-0000-000015000000}"/>
    <hyperlink ref="AT7970" r:id="rId23" display="http://cdsbib.u-strasbg.fr/cgi-bin/cdsbib?1990RMxAA..21..381G" xr:uid="{00000000-0004-0000-0000-000016000000}"/>
    <hyperlink ref="AT7968" r:id="rId24" display="http://cdsbib.u-strasbg.fr/cgi-bin/cdsbib?1990RMxAA..21..381G" xr:uid="{00000000-0004-0000-0000-000017000000}"/>
    <hyperlink ref="AT7946" r:id="rId25" display="http://cdsbib.u-strasbg.fr/cgi-bin/cdsbib?1990RMxAA..21..381G" xr:uid="{00000000-0004-0000-0000-000018000000}"/>
    <hyperlink ref="AU8080" r:id="rId26" display="http://cdsbib.u-strasbg.fr/cgi-bin/cdsbib?1990RMxAA..21..381G" xr:uid="{00000000-0004-0000-0000-000019000000}"/>
    <hyperlink ref="AU2632" r:id="rId27" display="http://cdsbib.u-strasbg.fr/cgi-bin/cdsbib?1990RMxAA..21..381G" xr:uid="{00000000-0004-0000-0000-00001A000000}"/>
    <hyperlink ref="AU8081" r:id="rId28" display="http://cdsbib.u-strasbg.fr/cgi-bin/cdsbib?1990RMxAA..21..381G" xr:uid="{00000000-0004-0000-0000-00001B000000}"/>
    <hyperlink ref="AQ60634" r:id="rId29" display="http://cdsbib.u-strasbg.fr/cgi-bin/cdsbib?1990RMxAA..21..381G" xr:uid="{00000000-0004-0000-0000-00001C000000}"/>
    <hyperlink ref="AP7998" r:id="rId30" display="http://cdsbib.u-strasbg.fr/cgi-bin/cdsbib?1990RMxAA..21..381G" xr:uid="{00000000-0004-0000-0000-00001D000000}"/>
    <hyperlink ref="AP8001" r:id="rId31" display="http://cdsbib.u-strasbg.fr/cgi-bin/cdsbib?1990RMxAA..21..381G" xr:uid="{00000000-0004-0000-0000-00001E000000}"/>
    <hyperlink ref="AP7999" r:id="rId32" display="http://cdsbib.u-strasbg.fr/cgi-bin/cdsbib?1990RMxAA..21..381G" xr:uid="{00000000-0004-0000-0000-00001F000000}"/>
    <hyperlink ref="AP7983" r:id="rId33" display="http://cdsbib.u-strasbg.fr/cgi-bin/cdsbib?1990RMxAA..21..381G" xr:uid="{00000000-0004-0000-0000-000020000000}"/>
    <hyperlink ref="AQ8212" r:id="rId34" display="http://cdsbib.u-strasbg.fr/cgi-bin/cdsbib?1990RMxAA..21..381G" xr:uid="{00000000-0004-0000-0000-000021000000}"/>
    <hyperlink ref="AQ8216" r:id="rId35" display="http://cdsbib.u-strasbg.fr/cgi-bin/cdsbib?1990RMxAA..21..381G" xr:uid="{00000000-0004-0000-0000-000022000000}"/>
    <hyperlink ref="AQ2721" r:id="rId36" display="http://cdsbib.u-strasbg.fr/cgi-bin/cdsbib?1990RMxAA..21..381G" xr:uid="{00000000-0004-0000-0000-000023000000}"/>
    <hyperlink ref="AQ4284" r:id="rId37" display="http://cdsbib.u-strasbg.fr/cgi-bin/cdsbib?1990RMxAA..21..381G" xr:uid="{00000000-0004-0000-0000-000024000000}"/>
    <hyperlink ref="AQ4283" r:id="rId38" display="http://cdsbib.u-strasbg.fr/cgi-bin/cdsbib?1990RMxAA..21..381G" xr:uid="{00000000-0004-0000-0000-000025000000}"/>
    <hyperlink ref="AP4038" r:id="rId39" display="http://cdsbib.u-strasbg.fr/cgi-bin/cdsbib?1990RMxAA..21..381G" xr:uid="{00000000-0004-0000-0000-000026000000}"/>
    <hyperlink ref="AP4064" r:id="rId40" display="http://cdsbib.u-strasbg.fr/cgi-bin/cdsbib?1990RMxAA..21..381G" xr:uid="{00000000-0004-0000-0000-000027000000}"/>
    <hyperlink ref="AP4065" r:id="rId41" display="http://cdsbib.u-strasbg.fr/cgi-bin/cdsbib?1990RMxAA..21..381G" xr:uid="{00000000-0004-0000-0000-000028000000}"/>
    <hyperlink ref="AP4061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8E71-6586-49F5-92B6-A98F7E22C30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I947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1.7109375" customWidth="1"/>
  </cols>
  <sheetData>
    <row r="1" spans="1:35" ht="18.75" thickBot="1">
      <c r="A1" s="55" t="s">
        <v>149</v>
      </c>
      <c r="B1" s="24"/>
      <c r="C1" s="24"/>
      <c r="D1" s="56" t="s">
        <v>217</v>
      </c>
      <c r="E1" s="24"/>
      <c r="F1" s="24"/>
      <c r="G1" s="24"/>
      <c r="H1" s="24"/>
      <c r="I1" s="24"/>
      <c r="J1" s="24"/>
      <c r="K1" s="24"/>
      <c r="L1" s="24"/>
      <c r="M1" s="57" t="s">
        <v>150</v>
      </c>
      <c r="N1" s="24" t="s">
        <v>151</v>
      </c>
      <c r="O1" s="24">
        <f ca="1">H18*J18-I18*I18</f>
        <v>41709.010643582325</v>
      </c>
      <c r="P1" s="24" t="s">
        <v>238</v>
      </c>
      <c r="Q1" s="24"/>
      <c r="R1" s="24"/>
      <c r="S1" s="24"/>
      <c r="T1" s="24"/>
      <c r="U1" s="8" t="s">
        <v>205</v>
      </c>
      <c r="V1" s="86" t="s">
        <v>207</v>
      </c>
      <c r="W1" s="24"/>
      <c r="X1" s="24"/>
      <c r="Y1" s="24"/>
      <c r="Z1" s="24"/>
      <c r="AA1" s="24">
        <v>1</v>
      </c>
      <c r="AB1" s="24" t="s">
        <v>152</v>
      </c>
      <c r="AC1" s="24"/>
      <c r="AD1" s="24"/>
      <c r="AE1" s="24"/>
      <c r="AF1" s="24"/>
      <c r="AG1" s="24"/>
      <c r="AH1" s="24"/>
      <c r="AI1" s="24"/>
    </row>
    <row r="2" spans="1: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57" t="s">
        <v>153</v>
      </c>
      <c r="N2" s="24" t="s">
        <v>154</v>
      </c>
      <c r="O2" s="24">
        <f ca="1">+F18*J18-H18*I18</f>
        <v>30555.08426067722</v>
      </c>
      <c r="P2" s="24" t="s">
        <v>239</v>
      </c>
      <c r="Q2" s="24"/>
      <c r="R2" s="24"/>
      <c r="S2" s="24"/>
      <c r="T2" s="24"/>
      <c r="U2" s="24">
        <v>2</v>
      </c>
      <c r="V2" s="24">
        <f t="shared" ref="V2:V24" ca="1" si="0">+E$4+E$5*U2+E$6*U2^2</f>
        <v>2.613374139991087E-2</v>
      </c>
      <c r="W2" s="24"/>
      <c r="X2" s="24"/>
      <c r="Y2" s="24"/>
      <c r="Z2" s="24"/>
      <c r="AA2" s="24">
        <v>2</v>
      </c>
      <c r="AB2" s="24" t="s">
        <v>137</v>
      </c>
      <c r="AC2" s="24"/>
      <c r="AD2" s="24"/>
      <c r="AE2" s="24"/>
      <c r="AF2" s="24"/>
      <c r="AG2" s="24"/>
      <c r="AH2" s="24"/>
      <c r="AI2" s="24"/>
    </row>
    <row r="3" spans="1:35" ht="13.5" thickBot="1">
      <c r="A3" s="24" t="s">
        <v>155</v>
      </c>
      <c r="B3" s="24" t="s">
        <v>156</v>
      </c>
      <c r="C3" s="24"/>
      <c r="D3" s="24"/>
      <c r="E3" s="58" t="s">
        <v>157</v>
      </c>
      <c r="F3" s="58" t="s">
        <v>158</v>
      </c>
      <c r="G3" s="58" t="s">
        <v>159</v>
      </c>
      <c r="H3" s="58" t="s">
        <v>160</v>
      </c>
      <c r="I3" s="24"/>
      <c r="J3" s="24"/>
      <c r="K3" s="24"/>
      <c r="L3" s="24"/>
      <c r="M3" s="57" t="s">
        <v>161</v>
      </c>
      <c r="N3" s="24" t="s">
        <v>162</v>
      </c>
      <c r="O3" s="24">
        <f ca="1">+F18*I18-H18*H18</f>
        <v>5457.2741567390622</v>
      </c>
      <c r="P3" s="24" t="s">
        <v>240</v>
      </c>
      <c r="Q3" s="24"/>
      <c r="R3" s="24"/>
      <c r="S3" s="24"/>
      <c r="T3" s="24"/>
      <c r="U3" s="24">
        <v>2.0499999999999998</v>
      </c>
      <c r="V3" s="24">
        <f t="shared" ca="1" si="0"/>
        <v>2.6742009762246756E-2</v>
      </c>
      <c r="W3" s="24"/>
      <c r="X3" s="24"/>
      <c r="Y3" s="24"/>
      <c r="Z3" s="24"/>
      <c r="AA3" s="24">
        <v>3</v>
      </c>
      <c r="AB3" s="24" t="s">
        <v>163</v>
      </c>
      <c r="AC3" s="24"/>
      <c r="AD3" s="24"/>
      <c r="AE3" s="24"/>
      <c r="AF3" s="24"/>
      <c r="AG3" s="24"/>
      <c r="AH3" s="24"/>
      <c r="AI3" s="24"/>
    </row>
    <row r="4" spans="1:35">
      <c r="A4" s="24" t="s">
        <v>164</v>
      </c>
      <c r="B4" s="24" t="s">
        <v>165</v>
      </c>
      <c r="C4" s="24"/>
      <c r="D4" s="59" t="s">
        <v>166</v>
      </c>
      <c r="E4" s="60">
        <f ca="1">(G18*O1-K18*O2+L18*O3)/O7</f>
        <v>-5.8445097233074013E-2</v>
      </c>
      <c r="F4" s="61">
        <f ca="1">+E7/O7*O18</f>
        <v>7.0001151515348466E-3</v>
      </c>
      <c r="G4" s="62">
        <f>+B18</f>
        <v>1</v>
      </c>
      <c r="H4" s="63">
        <f ca="1">ABS(F4/E4)</f>
        <v>0.11977249560590156</v>
      </c>
      <c r="I4" s="24"/>
      <c r="J4" s="24"/>
      <c r="K4" s="24"/>
      <c r="L4" s="24"/>
      <c r="M4" s="57" t="s">
        <v>167</v>
      </c>
      <c r="N4" s="24" t="s">
        <v>168</v>
      </c>
      <c r="O4" s="24">
        <f ca="1">+C18*J18-H18*H18</f>
        <v>22507.960384011967</v>
      </c>
      <c r="P4" s="24" t="s">
        <v>241</v>
      </c>
      <c r="Q4" s="24"/>
      <c r="R4" s="24"/>
      <c r="S4" s="24"/>
      <c r="T4" s="24"/>
      <c r="U4" s="24">
        <v>2.1</v>
      </c>
      <c r="V4" s="24">
        <f t="shared" ca="1" si="0"/>
        <v>2.7276804826851506E-2</v>
      </c>
      <c r="W4" s="24"/>
      <c r="X4" s="24"/>
      <c r="Y4" s="24"/>
      <c r="Z4" s="24"/>
      <c r="AA4" s="24">
        <v>4</v>
      </c>
      <c r="AB4" s="24" t="s">
        <v>169</v>
      </c>
      <c r="AC4" s="24"/>
      <c r="AD4" s="24"/>
      <c r="AE4" s="24"/>
      <c r="AF4" s="24"/>
      <c r="AG4" s="24"/>
      <c r="AH4" s="24"/>
      <c r="AI4" s="24"/>
    </row>
    <row r="5" spans="1:35">
      <c r="A5" s="24" t="s">
        <v>170</v>
      </c>
      <c r="B5" s="64">
        <v>40323</v>
      </c>
      <c r="C5" s="24"/>
      <c r="D5" s="65" t="s">
        <v>171</v>
      </c>
      <c r="E5" s="66">
        <f ca="1">+(-G18*O2+K18*O4-L18*O5)/O7</f>
        <v>7.1678738408955375E-2</v>
      </c>
      <c r="F5" s="67">
        <f ca="1">P18*E7/O7</f>
        <v>5.1575431251726801E-3</v>
      </c>
      <c r="G5" s="68">
        <f>+B18/A18</f>
        <v>1E-4</v>
      </c>
      <c r="H5" s="63">
        <f ca="1">ABS(F5/E5)</f>
        <v>7.1953597951834328E-2</v>
      </c>
      <c r="I5" s="24"/>
      <c r="J5" s="24"/>
      <c r="K5" s="24"/>
      <c r="L5" s="24"/>
      <c r="M5" s="57" t="s">
        <v>172</v>
      </c>
      <c r="N5" s="24" t="s">
        <v>173</v>
      </c>
      <c r="O5" s="24">
        <f ca="1">+C18*I18-F18*H18</f>
        <v>4038.6699253121769</v>
      </c>
      <c r="P5" s="24" t="s">
        <v>242</v>
      </c>
      <c r="Q5" s="24"/>
      <c r="R5" s="24"/>
      <c r="S5" s="24"/>
      <c r="T5" s="24"/>
      <c r="U5" s="24">
        <v>2.15</v>
      </c>
      <c r="V5" s="24">
        <f t="shared" ca="1" si="0"/>
        <v>2.7738126593725085E-2</v>
      </c>
      <c r="W5" s="24"/>
      <c r="X5" s="24"/>
      <c r="Y5" s="24"/>
      <c r="Z5" s="24"/>
      <c r="AA5" s="24">
        <v>5</v>
      </c>
      <c r="AB5" s="24" t="s">
        <v>174</v>
      </c>
      <c r="AC5" s="24"/>
      <c r="AD5" s="24"/>
      <c r="AE5" s="24"/>
      <c r="AF5" s="24"/>
      <c r="AG5" s="24"/>
      <c r="AH5" s="24"/>
      <c r="AI5" s="24"/>
    </row>
    <row r="6" spans="1:35" ht="13.5" thickBot="1">
      <c r="A6" s="24"/>
      <c r="B6" s="24"/>
      <c r="C6" s="24"/>
      <c r="D6" s="69" t="s">
        <v>175</v>
      </c>
      <c r="E6" s="70">
        <f ca="1">+(G18*O3-K18*O5+L18*O6)/O7</f>
        <v>-1.4694659546231469E-2</v>
      </c>
      <c r="F6" s="71">
        <f ca="1">Q18*E7/O7</f>
        <v>9.295759516884316E-4</v>
      </c>
      <c r="G6" s="72">
        <f>+B18/A18^2</f>
        <v>1E-8</v>
      </c>
      <c r="H6" s="63">
        <f ca="1">ABS(F6/E6)</f>
        <v>6.3259441211540479E-2</v>
      </c>
      <c r="I6" s="24"/>
      <c r="J6" s="24"/>
      <c r="K6" s="24"/>
      <c r="L6" s="24"/>
      <c r="M6" s="73" t="s">
        <v>176</v>
      </c>
      <c r="N6" s="74" t="s">
        <v>177</v>
      </c>
      <c r="O6" s="74">
        <f ca="1">+C18*H18-F18*F18</f>
        <v>727.69960490259473</v>
      </c>
      <c r="P6" s="24" t="s">
        <v>243</v>
      </c>
      <c r="Q6" s="24"/>
      <c r="R6" s="24"/>
      <c r="S6" s="24"/>
      <c r="T6" s="24"/>
      <c r="U6" s="24">
        <v>2.2000000000000002</v>
      </c>
      <c r="V6" s="24">
        <f t="shared" ca="1" si="0"/>
        <v>2.81259750628675E-2</v>
      </c>
      <c r="W6" s="24"/>
      <c r="X6" s="24"/>
      <c r="Y6" s="24"/>
      <c r="Z6" s="24"/>
      <c r="AA6" s="24">
        <v>6</v>
      </c>
      <c r="AB6" s="24" t="s">
        <v>178</v>
      </c>
      <c r="AC6" s="24"/>
      <c r="AD6" s="24"/>
      <c r="AE6" s="24"/>
      <c r="AF6" s="24"/>
      <c r="AG6" s="24"/>
      <c r="AH6" s="24"/>
      <c r="AI6" s="24"/>
    </row>
    <row r="7" spans="1:35">
      <c r="A7" s="24"/>
      <c r="B7" s="24"/>
      <c r="C7" s="24"/>
      <c r="D7" s="56" t="s">
        <v>179</v>
      </c>
      <c r="E7" s="75">
        <f ca="1">SQRT(N18/(B15-3))</f>
        <v>1.1905472973932686E-3</v>
      </c>
      <c r="F7" s="24"/>
      <c r="G7" s="76">
        <f>+B22</f>
        <v>2.5821267990977503E-2</v>
      </c>
      <c r="H7" s="24"/>
      <c r="I7" s="24"/>
      <c r="J7" s="24"/>
      <c r="K7" s="24"/>
      <c r="L7" s="24"/>
      <c r="M7" s="57" t="s">
        <v>180</v>
      </c>
      <c r="N7" s="24" t="s">
        <v>181</v>
      </c>
      <c r="O7" s="24">
        <f ca="1">+C18*O1-F18*O2+H18*O3</f>
        <v>1114.0377939064056</v>
      </c>
      <c r="P7" s="24"/>
      <c r="Q7" s="24"/>
      <c r="R7" s="24"/>
      <c r="S7" s="24"/>
      <c r="T7" s="24"/>
      <c r="U7" s="24">
        <v>2.25</v>
      </c>
      <c r="V7" s="24">
        <f t="shared" ca="1" si="0"/>
        <v>2.8440350234278766E-2</v>
      </c>
      <c r="W7" s="24"/>
      <c r="X7" s="24"/>
      <c r="Y7" s="24"/>
      <c r="Z7" s="24"/>
      <c r="AA7" s="24">
        <v>7</v>
      </c>
      <c r="AB7" s="24" t="s">
        <v>182</v>
      </c>
      <c r="AC7" s="24"/>
      <c r="AD7" s="24"/>
      <c r="AE7" s="24"/>
      <c r="AF7" s="24"/>
      <c r="AG7" s="24"/>
      <c r="AH7" s="24"/>
      <c r="AI7" s="24"/>
    </row>
    <row r="8" spans="1:35">
      <c r="A8" s="81">
        <v>21</v>
      </c>
      <c r="B8" s="24" t="s">
        <v>185</v>
      </c>
      <c r="C8" s="109">
        <v>21</v>
      </c>
      <c r="D8" s="56" t="s">
        <v>235</v>
      </c>
      <c r="E8" s="24"/>
      <c r="F8" s="110">
        <f ca="1">CORREL(INDIRECT(E12):INDIRECT(E13),INDIRECT(M12):INDIRECT(M13))</f>
        <v>0.92329011886790402</v>
      </c>
      <c r="G8" s="75"/>
      <c r="H8" s="24"/>
      <c r="I8" s="24"/>
      <c r="J8" s="24"/>
      <c r="K8" s="76"/>
      <c r="L8" s="24"/>
      <c r="M8" s="24"/>
      <c r="N8" s="24"/>
      <c r="O8" s="24"/>
      <c r="P8" s="24"/>
      <c r="Q8" s="24"/>
      <c r="R8" s="24"/>
      <c r="S8" s="24"/>
      <c r="T8" s="24"/>
      <c r="U8" s="24">
        <v>2.2999999999999998</v>
      </c>
      <c r="V8" s="24">
        <f t="shared" ca="1" si="0"/>
        <v>2.8681252107958882E-2</v>
      </c>
      <c r="W8" s="24"/>
      <c r="X8" s="24"/>
      <c r="Y8" s="24"/>
      <c r="Z8" s="24"/>
      <c r="AA8" s="24">
        <v>8</v>
      </c>
      <c r="AB8" s="24" t="s">
        <v>183</v>
      </c>
      <c r="AC8" s="24"/>
      <c r="AD8" s="24"/>
      <c r="AE8" s="24"/>
      <c r="AF8" s="24"/>
      <c r="AG8" s="24"/>
      <c r="AH8" s="24"/>
      <c r="AI8" s="24"/>
    </row>
    <row r="9" spans="1:35">
      <c r="A9" s="81">
        <f>20+COUNT(A21:A1442)</f>
        <v>97</v>
      </c>
      <c r="B9" s="24" t="s">
        <v>187</v>
      </c>
      <c r="C9" s="109">
        <f>A9</f>
        <v>97</v>
      </c>
      <c r="D9" s="24"/>
      <c r="E9" s="77">
        <f ca="1">E6*G6</f>
        <v>-1.4694659546231468E-10</v>
      </c>
      <c r="F9" s="78">
        <f ca="1">H6</f>
        <v>6.3259441211540479E-2</v>
      </c>
      <c r="G9" s="79">
        <f ca="1">F8</f>
        <v>0.92329011886790402</v>
      </c>
      <c r="H9" s="24"/>
      <c r="I9" s="24"/>
      <c r="J9" s="24"/>
      <c r="K9" s="76"/>
      <c r="L9" s="24"/>
      <c r="M9" s="24"/>
      <c r="N9" s="24"/>
      <c r="O9" s="24"/>
      <c r="P9" s="24"/>
      <c r="Q9" s="24"/>
      <c r="R9" s="24"/>
      <c r="S9" s="24"/>
      <c r="T9" s="24"/>
      <c r="U9" s="24">
        <v>2.35</v>
      </c>
      <c r="V9" s="24">
        <f t="shared" ca="1" si="0"/>
        <v>2.8848680683907849E-2</v>
      </c>
      <c r="W9" s="24"/>
      <c r="X9" s="24"/>
      <c r="Y9" s="24"/>
      <c r="Z9" s="24"/>
      <c r="AA9" s="24">
        <v>9</v>
      </c>
      <c r="AB9" s="24" t="s">
        <v>87</v>
      </c>
      <c r="AC9" s="24"/>
      <c r="AD9" s="24"/>
      <c r="AE9" s="24"/>
      <c r="AF9" s="24"/>
      <c r="AG9" s="24"/>
      <c r="AH9" s="24"/>
      <c r="AI9" s="24"/>
    </row>
    <row r="10" spans="1:35">
      <c r="A10" s="50" t="s">
        <v>59</v>
      </c>
      <c r="B10" s="45">
        <f>'Active 1'!C8</f>
        <v>0.32990348200000003</v>
      </c>
      <c r="C10" s="24"/>
      <c r="D10" s="24" t="s">
        <v>236</v>
      </c>
      <c r="E10" s="24">
        <f ca="1">2*E9*365.2422/B10</f>
        <v>-3.2537454581437748E-7</v>
      </c>
      <c r="F10" s="24" t="s">
        <v>237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2.4</v>
      </c>
      <c r="V10" s="24">
        <f t="shared" ca="1" si="0"/>
        <v>2.8942635962125651E-2</v>
      </c>
      <c r="W10" s="24"/>
      <c r="X10" s="24"/>
      <c r="Y10" s="24"/>
      <c r="Z10" s="24"/>
      <c r="AA10" s="24">
        <v>10</v>
      </c>
      <c r="AB10" s="24" t="s">
        <v>184</v>
      </c>
      <c r="AC10" s="24"/>
      <c r="AD10" s="24"/>
      <c r="AE10" s="24"/>
      <c r="AF10" s="24"/>
      <c r="AG10" s="24"/>
      <c r="AH10" s="24"/>
      <c r="AI10" s="24"/>
    </row>
    <row r="11" spans="1: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>
        <v>2.4500000000000002</v>
      </c>
      <c r="V11" s="24">
        <f t="shared" ca="1" si="0"/>
        <v>2.8963117942612276E-2</v>
      </c>
      <c r="W11" s="24"/>
      <c r="X11" s="24"/>
      <c r="Y11" s="24"/>
      <c r="Z11" s="24"/>
      <c r="AA11" s="24">
        <v>11</v>
      </c>
      <c r="AB11" s="24" t="s">
        <v>140</v>
      </c>
      <c r="AC11" s="24"/>
      <c r="AD11" s="24"/>
      <c r="AE11" s="24"/>
      <c r="AF11" s="24"/>
      <c r="AG11" s="24"/>
      <c r="AH11" s="24"/>
      <c r="AI11" s="24"/>
    </row>
    <row r="12" spans="1:35">
      <c r="A12" s="24"/>
      <c r="B12" s="24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4"/>
      <c r="S12" s="24"/>
      <c r="T12" s="24"/>
      <c r="U12" s="24">
        <v>2.5</v>
      </c>
      <c r="V12" s="24">
        <f t="shared" ca="1" si="0"/>
        <v>2.8910126625367766E-2</v>
      </c>
      <c r="W12" s="24"/>
      <c r="X12" s="24"/>
      <c r="Y12" s="24"/>
      <c r="Z12" s="24"/>
      <c r="AA12" s="24">
        <v>12</v>
      </c>
      <c r="AB12" s="24" t="s">
        <v>186</v>
      </c>
      <c r="AC12" s="24"/>
      <c r="AD12" s="24"/>
      <c r="AE12" s="24"/>
      <c r="AF12" s="24"/>
      <c r="AG12" s="24"/>
      <c r="AH12" s="24"/>
      <c r="AI12" s="24"/>
    </row>
    <row r="13" spans="1:35">
      <c r="A13" s="24"/>
      <c r="B13" s="24"/>
      <c r="C13" s="5" t="str">
        <f t="shared" si="1"/>
        <v>C97</v>
      </c>
      <c r="D13" s="5" t="str">
        <f t="shared" si="1"/>
        <v>D97</v>
      </c>
      <c r="E13" s="5" t="str">
        <f t="shared" si="1"/>
        <v>E97</v>
      </c>
      <c r="F13" s="5" t="str">
        <f t="shared" si="1"/>
        <v>F97</v>
      </c>
      <c r="G13" s="5" t="str">
        <f t="shared" si="1"/>
        <v>G97</v>
      </c>
      <c r="H13" s="5" t="str">
        <f t="shared" si="1"/>
        <v>H97</v>
      </c>
      <c r="I13" s="5" t="str">
        <f t="shared" si="1"/>
        <v>I97</v>
      </c>
      <c r="J13" s="5" t="str">
        <f t="shared" si="1"/>
        <v>J97</v>
      </c>
      <c r="K13" s="5" t="str">
        <f t="shared" si="1"/>
        <v>K97</v>
      </c>
      <c r="L13" s="5" t="str">
        <f t="shared" si="1"/>
        <v>L97</v>
      </c>
      <c r="M13" s="5" t="str">
        <f t="shared" si="1"/>
        <v>M97</v>
      </c>
      <c r="N13" s="5" t="str">
        <f t="shared" si="1"/>
        <v>N97</v>
      </c>
      <c r="O13" s="5" t="str">
        <f t="shared" si="1"/>
        <v>O97</v>
      </c>
      <c r="P13" s="5" t="str">
        <f t="shared" si="1"/>
        <v>P97</v>
      </c>
      <c r="Q13" s="5" t="str">
        <f t="shared" si="1"/>
        <v>Q97</v>
      </c>
      <c r="R13" s="24"/>
      <c r="S13" s="24"/>
      <c r="T13" s="24"/>
      <c r="U13" s="24">
        <v>2.5499999999999998</v>
      </c>
      <c r="V13" s="24">
        <f t="shared" ca="1" si="0"/>
        <v>2.8783662010392078E-2</v>
      </c>
      <c r="W13" s="24"/>
      <c r="X13" s="24"/>
      <c r="Y13" s="24"/>
      <c r="Z13" s="24"/>
      <c r="AA13" s="24">
        <v>13</v>
      </c>
      <c r="AB13" s="24" t="s">
        <v>188</v>
      </c>
      <c r="AC13" s="24"/>
      <c r="AD13" s="24"/>
      <c r="AE13" s="24"/>
      <c r="AF13" s="24"/>
      <c r="AG13" s="24"/>
      <c r="AH13" s="24"/>
      <c r="AI13" s="24"/>
    </row>
    <row r="14" spans="1: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>
        <v>2.6</v>
      </c>
      <c r="V14" s="24">
        <f t="shared" ca="1" si="0"/>
        <v>2.858372409768524E-2</v>
      </c>
      <c r="W14" s="24"/>
      <c r="X14" s="24"/>
      <c r="Y14" s="24"/>
      <c r="Z14" s="24"/>
      <c r="AA14" s="24">
        <v>14</v>
      </c>
      <c r="AB14" s="24" t="s">
        <v>189</v>
      </c>
      <c r="AC14" s="24"/>
      <c r="AD14" s="24"/>
      <c r="AE14" s="24"/>
      <c r="AF14" s="24"/>
      <c r="AG14" s="24"/>
      <c r="AH14" s="24"/>
      <c r="AI14" s="24"/>
    </row>
    <row r="15" spans="1:35">
      <c r="A15" s="56" t="s">
        <v>193</v>
      </c>
      <c r="B15" s="56">
        <f>C9-C8+1</f>
        <v>77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24"/>
      <c r="S15" s="24"/>
      <c r="T15" s="24"/>
      <c r="U15" s="24">
        <v>2.65</v>
      </c>
      <c r="V15" s="24">
        <f t="shared" ca="1" si="0"/>
        <v>2.8310312887247252E-2</v>
      </c>
      <c r="W15" s="24"/>
      <c r="X15" s="24"/>
      <c r="Y15" s="24"/>
      <c r="Z15" s="24"/>
      <c r="AA15" s="24">
        <v>15</v>
      </c>
      <c r="AB15" s="24" t="s">
        <v>190</v>
      </c>
      <c r="AC15" s="24"/>
      <c r="AD15" s="24"/>
      <c r="AE15" s="24"/>
      <c r="AF15" s="24"/>
      <c r="AG15" s="24"/>
      <c r="AH15" s="24"/>
      <c r="AI15" s="24"/>
    </row>
    <row r="16" spans="1:35">
      <c r="A16" s="5"/>
      <c r="B16" s="24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4"/>
      <c r="S16" s="24"/>
      <c r="T16" s="24"/>
      <c r="U16" s="24">
        <v>2.7</v>
      </c>
      <c r="V16" s="24">
        <f t="shared" ca="1" si="0"/>
        <v>2.7963428379078101E-2</v>
      </c>
      <c r="W16" s="24"/>
      <c r="X16" s="24"/>
      <c r="Y16" s="24"/>
      <c r="Z16" s="24"/>
      <c r="AA16" s="24">
        <v>16</v>
      </c>
      <c r="AB16" s="24" t="s">
        <v>191</v>
      </c>
      <c r="AC16" s="24"/>
      <c r="AD16" s="24"/>
      <c r="AE16" s="24"/>
      <c r="AF16" s="24"/>
      <c r="AG16" s="24"/>
      <c r="AH16" s="24"/>
      <c r="AI16" s="24"/>
    </row>
    <row r="17" spans="1:35">
      <c r="A17" s="56" t="s">
        <v>192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>
        <v>2.75</v>
      </c>
      <c r="V17" s="24">
        <f t="shared" ca="1" si="0"/>
        <v>2.7543070573177786E-2</v>
      </c>
      <c r="W17" s="24"/>
      <c r="X17" s="24"/>
      <c r="Y17" s="24"/>
      <c r="Z17" s="24"/>
      <c r="AA17" s="24">
        <v>17</v>
      </c>
      <c r="AB17" s="24" t="s">
        <v>194</v>
      </c>
      <c r="AC17" s="24"/>
      <c r="AD17" s="24"/>
      <c r="AE17" s="24"/>
      <c r="AF17" s="24"/>
      <c r="AG17" s="24"/>
      <c r="AH17" s="24"/>
      <c r="AI17" s="24"/>
    </row>
    <row r="18" spans="1:35">
      <c r="A18" s="82">
        <v>10000</v>
      </c>
      <c r="B18" s="82">
        <v>1</v>
      </c>
      <c r="C18" s="24">
        <f ca="1">SUM(INDIRECT(C12):INDIRECT(C13))</f>
        <v>61.2</v>
      </c>
      <c r="D18" s="111">
        <f ca="1">SUM(INDIRECT(D12):INDIRECT(D13))</f>
        <v>212.90109999999996</v>
      </c>
      <c r="E18" s="111">
        <f ca="1">SUM(INDIRECT(E12):INDIRECT(E13))</f>
        <v>1.8825618361297529</v>
      </c>
      <c r="F18" s="56">
        <f ca="1">SUM(INDIRECT(F12):INDIRECT(F13))</f>
        <v>174.85379249999997</v>
      </c>
      <c r="G18" s="56">
        <f ca="1">SUM(INDIRECT(G12):INDIRECT(G13))</f>
        <v>1.4406815833477595</v>
      </c>
      <c r="H18" s="56">
        <f ca="1">SUM(INDIRECT(H12):INDIRECT(H13))</f>
        <v>511.46320844012484</v>
      </c>
      <c r="I18" s="56">
        <f ca="1">SUM(INDIRECT(I12):INDIRECT(I13))</f>
        <v>1527.2867915896404</v>
      </c>
      <c r="J18" s="56">
        <f ca="1">SUM(INDIRECT(J12):INDIRECT(J13))</f>
        <v>4642.1989211091268</v>
      </c>
      <c r="K18" s="56">
        <f ca="1">SUM(INDIRECT(K12):INDIRECT(K13))</f>
        <v>3.9987311876089278</v>
      </c>
      <c r="L18" s="56">
        <f ca="1">SUM(INDIRECT(L12):INDIRECT(L13))</f>
        <v>11.365940770181389</v>
      </c>
      <c r="M18" s="24"/>
      <c r="N18" s="24">
        <f ca="1">SUM(INDIRECT(N12):INDIRECT(N13))</f>
        <v>1.0488781218245077E-4</v>
      </c>
      <c r="O18" s="24">
        <f ca="1">SQRT(SUM(INDIRECT(O12):INDIRECT(O13)))</f>
        <v>6550.2587403133411</v>
      </c>
      <c r="P18" s="24">
        <f ca="1">SQRT(SUM(INDIRECT(P12):INDIRECT(P13)))</f>
        <v>4826.098028801428</v>
      </c>
      <c r="Q18" s="24">
        <f ca="1">SQRT(SUM(INDIRECT(Q12):INDIRECT(Q13)))</f>
        <v>869.83754845763849</v>
      </c>
      <c r="R18" s="24"/>
      <c r="S18" s="24"/>
      <c r="T18" s="24"/>
      <c r="U18" s="24">
        <v>2.8</v>
      </c>
      <c r="V18" s="24">
        <f t="shared" ca="1" si="0"/>
        <v>2.7049239469546335E-2</v>
      </c>
      <c r="W18" s="24"/>
      <c r="X18" s="24"/>
      <c r="Y18" s="24"/>
      <c r="Z18" s="24"/>
      <c r="AA18" s="24">
        <v>18</v>
      </c>
      <c r="AB18" s="24" t="s">
        <v>195</v>
      </c>
      <c r="AC18" s="24"/>
      <c r="AD18" s="24"/>
      <c r="AE18" s="24"/>
      <c r="AF18" s="24"/>
      <c r="AG18" s="24"/>
      <c r="AH18" s="24"/>
      <c r="AI18" s="24"/>
    </row>
    <row r="19" spans="1:35">
      <c r="A19" s="83" t="s">
        <v>196</v>
      </c>
      <c r="B19" s="24"/>
      <c r="C19" s="24"/>
      <c r="D19" s="24"/>
      <c r="E19" s="24"/>
      <c r="F19" s="84" t="s">
        <v>197</v>
      </c>
      <c r="G19" s="84" t="s">
        <v>198</v>
      </c>
      <c r="H19" s="84" t="s">
        <v>199</v>
      </c>
      <c r="I19" s="84" t="s">
        <v>200</v>
      </c>
      <c r="J19" s="84" t="s">
        <v>201</v>
      </c>
      <c r="K19" s="84" t="s">
        <v>202</v>
      </c>
      <c r="L19" s="84" t="s">
        <v>203</v>
      </c>
      <c r="M19" s="85"/>
      <c r="N19" s="85"/>
      <c r="O19" s="85"/>
      <c r="P19" s="85"/>
      <c r="Q19" s="85"/>
      <c r="R19" s="24"/>
      <c r="S19" s="24"/>
      <c r="T19" s="24"/>
      <c r="U19" s="24">
        <v>2.85</v>
      </c>
      <c r="V19" s="24">
        <f t="shared" ca="1" si="0"/>
        <v>2.6481935068183707E-2</v>
      </c>
      <c r="W19" s="24"/>
      <c r="X19" s="24"/>
      <c r="Y19" s="24"/>
      <c r="Z19" s="24"/>
      <c r="AA19" s="24">
        <v>19</v>
      </c>
      <c r="AB19" s="24" t="s">
        <v>204</v>
      </c>
      <c r="AC19" s="24"/>
      <c r="AD19" s="24"/>
      <c r="AE19" s="24"/>
      <c r="AF19" s="24"/>
      <c r="AG19" s="24"/>
      <c r="AH19" s="24"/>
      <c r="AI19" s="24"/>
    </row>
    <row r="20" spans="1:35" ht="15" thickBot="1">
      <c r="A20" s="8" t="s">
        <v>205</v>
      </c>
      <c r="B20" s="8" t="s">
        <v>206</v>
      </c>
      <c r="C20" s="8" t="s">
        <v>227</v>
      </c>
      <c r="D20" s="8" t="s">
        <v>205</v>
      </c>
      <c r="E20" s="8" t="s">
        <v>206</v>
      </c>
      <c r="F20" s="8" t="s">
        <v>228</v>
      </c>
      <c r="G20" s="8" t="s">
        <v>229</v>
      </c>
      <c r="H20" s="8" t="s">
        <v>230</v>
      </c>
      <c r="I20" s="8" t="s">
        <v>231</v>
      </c>
      <c r="J20" s="8" t="s">
        <v>232</v>
      </c>
      <c r="K20" s="8" t="s">
        <v>233</v>
      </c>
      <c r="L20" s="8" t="s">
        <v>234</v>
      </c>
      <c r="M20" s="86" t="s">
        <v>207</v>
      </c>
      <c r="N20" s="8" t="s">
        <v>218</v>
      </c>
      <c r="O20" s="8" t="s">
        <v>208</v>
      </c>
      <c r="P20" s="8" t="s">
        <v>209</v>
      </c>
      <c r="Q20" s="8" t="s">
        <v>210</v>
      </c>
      <c r="R20" s="58" t="s">
        <v>211</v>
      </c>
      <c r="S20" s="24"/>
      <c r="T20" s="24"/>
      <c r="U20" s="24">
        <v>2.9</v>
      </c>
      <c r="V20" s="24">
        <f t="shared" ca="1" si="0"/>
        <v>2.5841157369089915E-2</v>
      </c>
      <c r="W20" s="24"/>
      <c r="X20" s="24"/>
      <c r="Y20" s="24"/>
      <c r="Z20" s="24"/>
      <c r="AA20" s="24">
        <v>20</v>
      </c>
      <c r="AB20" s="24" t="s">
        <v>212</v>
      </c>
      <c r="AC20" s="24"/>
      <c r="AD20" s="24"/>
      <c r="AE20" s="24"/>
      <c r="AF20" s="24"/>
      <c r="AG20" s="24"/>
      <c r="AH20" s="24"/>
      <c r="AI20" s="24"/>
    </row>
    <row r="21" spans="1:35">
      <c r="A21" s="87">
        <v>20125.5</v>
      </c>
      <c r="B21" s="87">
        <v>2.5573008999344893E-2</v>
      </c>
      <c r="C21" s="108">
        <v>1</v>
      </c>
      <c r="D21" s="88">
        <f>A21/A$18</f>
        <v>2.0125500000000001</v>
      </c>
      <c r="E21" s="88">
        <f>B21/B$18</f>
        <v>2.5573008999344893E-2</v>
      </c>
      <c r="F21" s="81">
        <f>$C21*D21</f>
        <v>2.0125500000000001</v>
      </c>
      <c r="G21" s="81">
        <f>$C21*E21</f>
        <v>2.5573008999344893E-2</v>
      </c>
      <c r="H21" s="81">
        <f>C21*D21*D21</f>
        <v>4.0503575024999998</v>
      </c>
      <c r="I21" s="81">
        <f>C21*D21*D21*D21</f>
        <v>8.1515469916563745</v>
      </c>
      <c r="J21" s="81">
        <f>C21*D21*D21*D21*D21</f>
        <v>16.405395898058035</v>
      </c>
      <c r="K21" s="81">
        <f>C21*E21*D21</f>
        <v>5.1466959261631563E-2</v>
      </c>
      <c r="L21" s="81">
        <f>C21*E21*D21*D21</f>
        <v>0.10357982886199661</v>
      </c>
      <c r="M21" s="81">
        <f t="shared" ref="M21:M82" ca="1" si="4">+E$4+E$5*D21+E$6*D21^2</f>
        <v>2.6293323212107277E-2</v>
      </c>
      <c r="N21" s="81">
        <f ca="1">C21*(M21-E21)^2</f>
        <v>5.1885256510749272E-7</v>
      </c>
      <c r="O21" s="39">
        <f ca="1">(C21*O$1-O$2*F21+O$3*H21)^2</f>
        <v>5379092.8317568908</v>
      </c>
      <c r="P21" s="81">
        <f ca="1">(-C21*O$2+O$4*F21-O$5*H21)^2</f>
        <v>2607403.4235847984</v>
      </c>
      <c r="Q21" s="81">
        <f ca="1">+(C21*O$3-F21*O$5+H21*O$6)^2</f>
        <v>76558.768794654155</v>
      </c>
      <c r="R21" s="24">
        <f t="shared" ref="R21:R82" ca="1" si="5">+E21-M21</f>
        <v>-7.2031421276238378E-4</v>
      </c>
      <c r="S21" s="24"/>
      <c r="T21" s="24"/>
      <c r="U21" s="24">
        <v>2.95</v>
      </c>
      <c r="V21" s="24">
        <f t="shared" ca="1" si="0"/>
        <v>2.5126906372264973E-2</v>
      </c>
      <c r="W21" s="24"/>
      <c r="X21" s="24"/>
      <c r="Y21" s="24"/>
      <c r="Z21" s="24"/>
      <c r="AA21" s="24">
        <v>21</v>
      </c>
      <c r="AB21" s="24" t="s">
        <v>213</v>
      </c>
      <c r="AC21" s="24"/>
      <c r="AD21" s="24"/>
      <c r="AE21" s="24"/>
      <c r="AF21" s="24"/>
      <c r="AG21" s="24"/>
      <c r="AH21" s="24"/>
      <c r="AI21" s="24"/>
    </row>
    <row r="22" spans="1:35">
      <c r="A22" s="87">
        <v>20126</v>
      </c>
      <c r="B22" s="87">
        <v>2.5821267990977503E-2</v>
      </c>
      <c r="C22" s="87">
        <v>1</v>
      </c>
      <c r="D22" s="88">
        <f t="shared" ref="D22:E83" si="6">A22/A$18</f>
        <v>2.0125999999999999</v>
      </c>
      <c r="E22" s="88">
        <f t="shared" si="6"/>
        <v>2.5821267990977503E-2</v>
      </c>
      <c r="F22" s="81">
        <f t="shared" ref="F22:G83" si="7">$C22*D22</f>
        <v>2.0125999999999999</v>
      </c>
      <c r="G22" s="81">
        <f t="shared" si="7"/>
        <v>2.5821267990977503E-2</v>
      </c>
      <c r="H22" s="81">
        <f t="shared" ref="H22:H83" si="8">C22*D22*D22</f>
        <v>4.0505587599999995</v>
      </c>
      <c r="I22" s="81">
        <f t="shared" ref="I22:I83" si="9">C22*D22*D22*D22</f>
        <v>8.1521545603759993</v>
      </c>
      <c r="J22" s="81">
        <f t="shared" ref="J22:J83" si="10">C22*D22*D22*D22*D22</f>
        <v>16.407026268212736</v>
      </c>
      <c r="K22" s="81">
        <f t="shared" ref="K22:K83" si="11">C22*E22*D22</f>
        <v>5.1967883958641319E-2</v>
      </c>
      <c r="L22" s="81">
        <f t="shared" ref="L22:L83" si="12">C22*E22*D22*D22</f>
        <v>0.10459056325516151</v>
      </c>
      <c r="M22" s="81">
        <f t="shared" ca="1" si="4"/>
        <v>2.6293949738584087E-2</v>
      </c>
      <c r="N22" s="81">
        <f t="shared" ref="N22:N83" ca="1" si="13">C22*(M22-E22)^2</f>
        <v>2.2342803452041379E-7</v>
      </c>
      <c r="O22" s="39">
        <f t="shared" ref="O22:O83" ca="1" si="14">(C22*O$1-O$2*F22+O$3*H22)^2</f>
        <v>5377101.0414029462</v>
      </c>
      <c r="P22" s="81">
        <f t="shared" ref="P22:P83" ca="1" si="15">(-C22*O$2+O$4*F22-O$5*H22)^2</f>
        <v>2606394.0294605121</v>
      </c>
      <c r="Q22" s="81">
        <f t="shared" ref="Q22:Q83" ca="1" si="16">+(C22*O$3-F22*O$5+H22*O$6)^2</f>
        <v>76528.070900788443</v>
      </c>
      <c r="R22" s="24">
        <f t="shared" ca="1" si="5"/>
        <v>-4.7268174760658338E-4</v>
      </c>
      <c r="S22" s="24"/>
      <c r="T22" s="24"/>
      <c r="U22" s="24">
        <v>3</v>
      </c>
      <c r="V22" s="24">
        <f t="shared" ca="1" si="0"/>
        <v>2.4339182077708882E-2</v>
      </c>
      <c r="W22" s="24"/>
      <c r="X22" s="24"/>
      <c r="Y22" s="24"/>
      <c r="Z22" s="24"/>
      <c r="AA22" s="24">
        <v>22</v>
      </c>
      <c r="AB22" s="24" t="s">
        <v>214</v>
      </c>
      <c r="AC22" s="24"/>
      <c r="AD22" s="24"/>
      <c r="AE22" s="24"/>
      <c r="AF22" s="24"/>
      <c r="AG22" s="24"/>
      <c r="AH22" s="24"/>
      <c r="AI22" s="24"/>
    </row>
    <row r="23" spans="1:35">
      <c r="A23" s="87">
        <v>20240.5</v>
      </c>
      <c r="B23" s="87">
        <v>2.5172578993078787E-2</v>
      </c>
      <c r="C23" s="87">
        <v>0.2</v>
      </c>
      <c r="D23" s="88">
        <f t="shared" si="6"/>
        <v>2.0240499999999999</v>
      </c>
      <c r="E23" s="88">
        <f t="shared" si="6"/>
        <v>2.5172578993078787E-2</v>
      </c>
      <c r="F23" s="81">
        <f t="shared" si="7"/>
        <v>0.40481</v>
      </c>
      <c r="G23" s="81">
        <f t="shared" si="7"/>
        <v>5.0345157986157575E-3</v>
      </c>
      <c r="H23" s="81">
        <f t="shared" si="8"/>
        <v>0.81935568049999996</v>
      </c>
      <c r="I23" s="81">
        <f t="shared" si="9"/>
        <v>1.6584168651160249</v>
      </c>
      <c r="J23" s="81">
        <f t="shared" si="10"/>
        <v>3.3567186558380899</v>
      </c>
      <c r="K23" s="81">
        <f t="shared" si="11"/>
        <v>1.0190111702188224E-2</v>
      </c>
      <c r="L23" s="81">
        <f t="shared" si="12"/>
        <v>2.0625295590814073E-2</v>
      </c>
      <c r="M23" s="81">
        <f t="shared" ca="1" si="4"/>
        <v>2.6435489382480575E-2</v>
      </c>
      <c r="N23" s="81">
        <f t="shared" ca="1" si="13"/>
        <v>3.1898853033179502E-7</v>
      </c>
      <c r="O23" s="39">
        <f t="shared" ca="1" si="14"/>
        <v>197355.4410087514</v>
      </c>
      <c r="P23" s="81">
        <f t="shared" ca="1" si="15"/>
        <v>95281.215021789554</v>
      </c>
      <c r="Q23" s="81">
        <f t="shared" ca="1" si="16"/>
        <v>2788.4381353506701</v>
      </c>
      <c r="R23" s="24">
        <f t="shared" ca="1" si="5"/>
        <v>-1.2629103894017876E-3</v>
      </c>
      <c r="S23" s="24"/>
      <c r="T23" s="24"/>
      <c r="U23" s="24">
        <v>3.05</v>
      </c>
      <c r="V23" s="24">
        <f t="shared" ca="1" si="0"/>
        <v>2.3477984485421682E-2</v>
      </c>
      <c r="W23" s="24"/>
      <c r="X23" s="24"/>
      <c r="Y23" s="24"/>
      <c r="Z23" s="24"/>
      <c r="AA23" s="24">
        <v>23</v>
      </c>
      <c r="AB23" s="24" t="s">
        <v>215</v>
      </c>
      <c r="AC23" s="24"/>
      <c r="AD23" s="24"/>
      <c r="AE23" s="24"/>
      <c r="AF23" s="24"/>
      <c r="AG23" s="24"/>
      <c r="AH23" s="24"/>
      <c r="AI23" s="24"/>
    </row>
    <row r="24" spans="1:35">
      <c r="A24" s="87">
        <v>20253</v>
      </c>
      <c r="B24" s="87">
        <v>2.6679053989937529E-2</v>
      </c>
      <c r="C24" s="87">
        <v>1</v>
      </c>
      <c r="D24" s="88">
        <f t="shared" si="6"/>
        <v>2.0253000000000001</v>
      </c>
      <c r="E24" s="88">
        <f t="shared" si="6"/>
        <v>2.6679053989937529E-2</v>
      </c>
      <c r="F24" s="81">
        <f t="shared" si="7"/>
        <v>2.0253000000000001</v>
      </c>
      <c r="G24" s="81">
        <f t="shared" si="7"/>
        <v>2.6679053989937529E-2</v>
      </c>
      <c r="H24" s="81">
        <f t="shared" si="8"/>
        <v>4.1018400900000005</v>
      </c>
      <c r="I24" s="81">
        <f t="shared" si="9"/>
        <v>8.307456734277002</v>
      </c>
      <c r="J24" s="81">
        <f t="shared" si="10"/>
        <v>16.825092123931213</v>
      </c>
      <c r="K24" s="81">
        <f t="shared" si="11"/>
        <v>5.4033088045820479E-2</v>
      </c>
      <c r="L24" s="81">
        <f t="shared" si="12"/>
        <v>0.10943321321920023</v>
      </c>
      <c r="M24" s="81">
        <f t="shared" ca="1" si="4"/>
        <v>2.6450708030949857E-2</v>
      </c>
      <c r="N24" s="81">
        <f t="shared" ca="1" si="13"/>
        <v>5.2141876985999513E-8</v>
      </c>
      <c r="O24" s="39">
        <f t="shared" ca="1" si="14"/>
        <v>4887037.1277424907</v>
      </c>
      <c r="P24" s="81">
        <f t="shared" ca="1" si="15"/>
        <v>2358344.7124427645</v>
      </c>
      <c r="Q24" s="81">
        <f t="shared" ca="1" si="16"/>
        <v>68992.045871954746</v>
      </c>
      <c r="R24" s="24">
        <f t="shared" ca="1" si="5"/>
        <v>2.2834595898767185E-4</v>
      </c>
      <c r="S24" s="24"/>
      <c r="T24" s="24"/>
      <c r="U24" s="24">
        <v>3.1</v>
      </c>
      <c r="V24" s="24">
        <f t="shared" ca="1" si="0"/>
        <v>2.2543313595403236E-2</v>
      </c>
      <c r="W24" s="24"/>
      <c r="X24" s="24"/>
      <c r="Y24" s="24"/>
      <c r="Z24" s="24"/>
      <c r="AA24" s="24">
        <v>24</v>
      </c>
      <c r="AB24" s="24" t="s">
        <v>205</v>
      </c>
      <c r="AC24" s="24"/>
      <c r="AD24" s="24"/>
      <c r="AE24" s="24"/>
      <c r="AF24" s="24"/>
      <c r="AG24" s="24"/>
      <c r="AH24" s="24"/>
      <c r="AI24" s="24"/>
    </row>
    <row r="25" spans="1:35">
      <c r="A25" s="87">
        <v>20908.5</v>
      </c>
      <c r="B25" s="87">
        <v>2.9746602995146532E-2</v>
      </c>
      <c r="C25" s="87">
        <v>0.05</v>
      </c>
      <c r="D25" s="88">
        <f t="shared" si="6"/>
        <v>2.0908500000000001</v>
      </c>
      <c r="E25" s="88">
        <f t="shared" si="6"/>
        <v>2.9746602995146532E-2</v>
      </c>
      <c r="F25" s="81">
        <f t="shared" si="7"/>
        <v>0.10454250000000001</v>
      </c>
      <c r="G25" s="81">
        <f t="shared" si="7"/>
        <v>1.4873301497573266E-3</v>
      </c>
      <c r="H25" s="81">
        <f t="shared" si="8"/>
        <v>0.21858268612500004</v>
      </c>
      <c r="I25" s="81">
        <f t="shared" si="9"/>
        <v>0.45702360928445634</v>
      </c>
      <c r="J25" s="81">
        <f t="shared" si="10"/>
        <v>0.9555678134724056</v>
      </c>
      <c r="K25" s="81">
        <f t="shared" si="11"/>
        <v>3.1097842436201063E-3</v>
      </c>
      <c r="L25" s="81">
        <f t="shared" si="12"/>
        <v>6.5020923857730993E-3</v>
      </c>
      <c r="M25" s="81">
        <f t="shared" ca="1" si="4"/>
        <v>2.7184429863137363E-2</v>
      </c>
      <c r="N25" s="81">
        <f t="shared" ca="1" si="13"/>
        <v>3.2823655791948358E-7</v>
      </c>
      <c r="O25" s="39">
        <f t="shared" ca="1" si="14"/>
        <v>7057.895160153972</v>
      </c>
      <c r="P25" s="81">
        <f t="shared" ca="1" si="15"/>
        <v>3306.144802893858</v>
      </c>
      <c r="Q25" s="81">
        <f t="shared" ca="1" si="16"/>
        <v>94.353859862193204</v>
      </c>
      <c r="R25" s="24">
        <f t="shared" ca="1" si="5"/>
        <v>2.5621731320091684E-3</v>
      </c>
      <c r="S25" s="24"/>
      <c r="T25" s="24"/>
      <c r="U25" s="24"/>
      <c r="V25" s="24"/>
      <c r="W25" s="24"/>
      <c r="X25" s="24"/>
      <c r="Y25" s="24"/>
      <c r="Z25" s="24"/>
      <c r="AA25" s="24">
        <v>25</v>
      </c>
      <c r="AB25" s="24" t="s">
        <v>206</v>
      </c>
      <c r="AC25" s="24"/>
      <c r="AD25" s="24"/>
      <c r="AE25" s="24"/>
      <c r="AF25" s="24"/>
      <c r="AG25" s="24"/>
      <c r="AH25" s="24"/>
      <c r="AI25" s="24"/>
    </row>
    <row r="26" spans="1:35">
      <c r="A26" s="87">
        <v>21190</v>
      </c>
      <c r="B26" s="87">
        <v>2.9116419995261822E-2</v>
      </c>
      <c r="C26" s="87">
        <v>0.05</v>
      </c>
      <c r="D26" s="88">
        <f t="shared" si="6"/>
        <v>2.1190000000000002</v>
      </c>
      <c r="E26" s="88">
        <f t="shared" si="6"/>
        <v>2.9116419995261822E-2</v>
      </c>
      <c r="F26" s="81">
        <f t="shared" si="7"/>
        <v>0.10595000000000002</v>
      </c>
      <c r="G26" s="81">
        <f t="shared" si="7"/>
        <v>1.4558209997630911E-3</v>
      </c>
      <c r="H26" s="81">
        <f t="shared" si="8"/>
        <v>0.22450805000000007</v>
      </c>
      <c r="I26" s="81">
        <f t="shared" si="9"/>
        <v>0.47573255795000019</v>
      </c>
      <c r="J26" s="81">
        <f t="shared" si="10"/>
        <v>1.0080772902960504</v>
      </c>
      <c r="K26" s="81">
        <f t="shared" si="11"/>
        <v>3.0848846984979903E-3</v>
      </c>
      <c r="L26" s="81">
        <f t="shared" si="12"/>
        <v>6.5368706761172422E-3</v>
      </c>
      <c r="M26" s="81">
        <f t="shared" ca="1" si="4"/>
        <v>2.7460762252736193E-2</v>
      </c>
      <c r="N26" s="81">
        <f t="shared" ca="1" si="13"/>
        <v>1.3706012801925314E-7</v>
      </c>
      <c r="O26" s="39">
        <f t="shared" ca="1" si="14"/>
        <v>5378.9512736690422</v>
      </c>
      <c r="P26" s="81">
        <f t="shared" ca="1" si="15"/>
        <v>2475.0346274694025</v>
      </c>
      <c r="Q26" s="81">
        <f t="shared" ca="1" si="16"/>
        <v>69.573090622853613</v>
      </c>
      <c r="R26" s="24">
        <f t="shared" ca="1" si="5"/>
        <v>1.6556577425256291E-3</v>
      </c>
      <c r="S26" s="24"/>
      <c r="T26" s="24"/>
      <c r="U26" s="24"/>
      <c r="V26" s="24"/>
      <c r="W26" s="24"/>
      <c r="X26" s="24"/>
      <c r="Y26" s="24"/>
      <c r="Z26" s="24"/>
      <c r="AA26" s="24">
        <v>26</v>
      </c>
      <c r="AB26" s="24" t="s">
        <v>216</v>
      </c>
      <c r="AC26" s="24"/>
      <c r="AD26" s="24"/>
      <c r="AE26" s="24"/>
      <c r="AF26" s="24"/>
      <c r="AG26" s="24"/>
      <c r="AH26" s="24"/>
      <c r="AI26" s="24"/>
    </row>
    <row r="27" spans="1:35">
      <c r="A27" s="87">
        <v>21313.5</v>
      </c>
      <c r="B27" s="87">
        <v>3.4736392990453169E-2</v>
      </c>
      <c r="C27" s="87">
        <v>0.1</v>
      </c>
      <c r="D27" s="88">
        <f t="shared" si="6"/>
        <v>2.1313499999999999</v>
      </c>
      <c r="E27" s="88">
        <f t="shared" si="6"/>
        <v>3.4736392990453169E-2</v>
      </c>
      <c r="F27" s="81">
        <f t="shared" si="7"/>
        <v>0.21313499999999999</v>
      </c>
      <c r="G27" s="81">
        <f t="shared" si="7"/>
        <v>3.4736392990453169E-3</v>
      </c>
      <c r="H27" s="81">
        <f t="shared" si="8"/>
        <v>0.45426528224999996</v>
      </c>
      <c r="I27" s="81">
        <f t="shared" si="9"/>
        <v>0.96819830932353734</v>
      </c>
      <c r="J27" s="81">
        <f t="shared" si="10"/>
        <v>2.063569466576721</v>
      </c>
      <c r="K27" s="81">
        <f t="shared" si="11"/>
        <v>7.4035411200202355E-3</v>
      </c>
      <c r="L27" s="81">
        <f t="shared" si="12"/>
        <v>1.5779537366155127E-2</v>
      </c>
      <c r="M27" s="81">
        <f t="shared" ca="1" si="4"/>
        <v>2.7574645211488072E-2</v>
      </c>
      <c r="N27" s="81">
        <f t="shared" ca="1" si="13"/>
        <v>5.1290631249511496E-6</v>
      </c>
      <c r="O27" s="39">
        <f t="shared" ca="1" si="14"/>
        <v>18931.934253143339</v>
      </c>
      <c r="P27" s="81">
        <f t="shared" ca="1" si="15"/>
        <v>8630.7487460532793</v>
      </c>
      <c r="Q27" s="81">
        <f t="shared" ca="1" si="16"/>
        <v>240.68939498003104</v>
      </c>
      <c r="R27" s="24">
        <f t="shared" ca="1" si="5"/>
        <v>7.1617477789650968E-3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>
      <c r="A28" s="87">
        <v>21328.5</v>
      </c>
      <c r="B28" s="87">
        <v>3.4184162999736145E-2</v>
      </c>
      <c r="C28" s="87">
        <v>0.1</v>
      </c>
      <c r="D28" s="88">
        <f t="shared" si="6"/>
        <v>2.1328499999999999</v>
      </c>
      <c r="E28" s="88">
        <f t="shared" si="6"/>
        <v>3.4184162999736145E-2</v>
      </c>
      <c r="F28" s="81">
        <f t="shared" si="7"/>
        <v>0.213285</v>
      </c>
      <c r="G28" s="81">
        <f t="shared" si="7"/>
        <v>3.4184162999736146E-3</v>
      </c>
      <c r="H28" s="81">
        <f t="shared" si="8"/>
        <v>0.45490491224999996</v>
      </c>
      <c r="I28" s="81">
        <f t="shared" si="9"/>
        <v>0.97024394209241238</v>
      </c>
      <c r="J28" s="81">
        <f t="shared" si="10"/>
        <v>2.0693847918918018</v>
      </c>
      <c r="K28" s="81">
        <f t="shared" si="11"/>
        <v>7.2909692053987236E-3</v>
      </c>
      <c r="L28" s="81">
        <f t="shared" si="12"/>
        <v>1.5550543669734667E-2</v>
      </c>
      <c r="M28" s="81">
        <f t="shared" ca="1" si="4"/>
        <v>2.7588171868245956E-2</v>
      </c>
      <c r="N28" s="81">
        <f t="shared" ca="1" si="13"/>
        <v>4.3507099006697223E-6</v>
      </c>
      <c r="O28" s="39">
        <f t="shared" ca="1" si="14"/>
        <v>18632.45180631433</v>
      </c>
      <c r="P28" s="81">
        <f t="shared" ca="1" si="15"/>
        <v>8484.0464278289292</v>
      </c>
      <c r="Q28" s="81">
        <f t="shared" ca="1" si="16"/>
        <v>236.35451254218972</v>
      </c>
      <c r="R28" s="24">
        <f t="shared" ca="1" si="5"/>
        <v>6.5959911314901892E-3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>
      <c r="A29" s="87">
        <v>21332</v>
      </c>
      <c r="B29" s="87">
        <v>2.4521975989046041E-2</v>
      </c>
      <c r="C29" s="87">
        <v>0.2</v>
      </c>
      <c r="D29" s="88">
        <f t="shared" si="6"/>
        <v>2.1332</v>
      </c>
      <c r="E29" s="88">
        <f t="shared" si="6"/>
        <v>2.4521975989046041E-2</v>
      </c>
      <c r="F29" s="81">
        <f t="shared" si="7"/>
        <v>0.42664000000000002</v>
      </c>
      <c r="G29" s="81">
        <f t="shared" si="7"/>
        <v>4.9043951978092089E-3</v>
      </c>
      <c r="H29" s="81">
        <f t="shared" si="8"/>
        <v>0.91010844800000001</v>
      </c>
      <c r="I29" s="81">
        <f t="shared" si="9"/>
        <v>1.9414433412736001</v>
      </c>
      <c r="J29" s="81">
        <f t="shared" si="10"/>
        <v>4.1414869356048438</v>
      </c>
      <c r="K29" s="81">
        <f t="shared" si="11"/>
        <v>1.0462055835966605E-2</v>
      </c>
      <c r="L29" s="81">
        <f t="shared" si="12"/>
        <v>2.231765750928396E-2</v>
      </c>
      <c r="M29" s="81">
        <f t="shared" ca="1" si="4"/>
        <v>2.7591318573364068E-2</v>
      </c>
      <c r="N29" s="81">
        <f t="shared" ca="1" si="13"/>
        <v>1.8841727799816133E-6</v>
      </c>
      <c r="O29" s="39">
        <f t="shared" ca="1" si="14"/>
        <v>74252.049657981042</v>
      </c>
      <c r="P29" s="81">
        <f t="shared" ca="1" si="15"/>
        <v>33800.179620318653</v>
      </c>
      <c r="Q29" s="81">
        <f t="shared" ca="1" si="16"/>
        <v>941.40061483721547</v>
      </c>
      <c r="R29" s="24">
        <f t="shared" ca="1" si="5"/>
        <v>-3.0693425843180272E-3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>
      <c r="A30" s="87">
        <v>21347</v>
      </c>
      <c r="B30" s="87">
        <v>3.3969746000366285E-2</v>
      </c>
      <c r="C30" s="87">
        <v>0.1</v>
      </c>
      <c r="D30" s="88">
        <f t="shared" si="6"/>
        <v>2.1347</v>
      </c>
      <c r="E30" s="88">
        <f t="shared" si="6"/>
        <v>3.3969746000366285E-2</v>
      </c>
      <c r="F30" s="81">
        <f t="shared" si="7"/>
        <v>0.21347000000000002</v>
      </c>
      <c r="G30" s="81">
        <f t="shared" si="7"/>
        <v>3.3969746000366285E-3</v>
      </c>
      <c r="H30" s="81">
        <f t="shared" si="8"/>
        <v>0.45569440900000008</v>
      </c>
      <c r="I30" s="81">
        <f t="shared" si="9"/>
        <v>0.9727708548923002</v>
      </c>
      <c r="J30" s="81">
        <f t="shared" si="10"/>
        <v>2.0765739439385933</v>
      </c>
      <c r="K30" s="81">
        <f t="shared" si="11"/>
        <v>7.2515216786981909E-3</v>
      </c>
      <c r="L30" s="81">
        <f t="shared" si="12"/>
        <v>1.5479823327517028E-2</v>
      </c>
      <c r="M30" s="81">
        <f t="shared" ca="1" si="4"/>
        <v>2.7604763674761459E-2</v>
      </c>
      <c r="N30" s="81">
        <f t="shared" ca="1" si="13"/>
        <v>4.0513000005261824E-6</v>
      </c>
      <c r="O30" s="39">
        <f t="shared" ca="1" si="14"/>
        <v>18267.29269370309</v>
      </c>
      <c r="P30" s="81">
        <f t="shared" ca="1" si="15"/>
        <v>8305.3016359475187</v>
      </c>
      <c r="Q30" s="81">
        <f t="shared" ca="1" si="16"/>
        <v>231.0761197469586</v>
      </c>
      <c r="R30" s="24">
        <f t="shared" ca="1" si="5"/>
        <v>6.364982325604826E-3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>
      <c r="A31" s="87">
        <v>21416.5</v>
      </c>
      <c r="B31" s="87">
        <v>2.4677746994711924E-2</v>
      </c>
      <c r="C31" s="87">
        <v>0.1</v>
      </c>
      <c r="D31" s="88">
        <f t="shared" si="6"/>
        <v>2.1416499999999998</v>
      </c>
      <c r="E31" s="88">
        <f t="shared" si="6"/>
        <v>2.4677746994711924E-2</v>
      </c>
      <c r="F31" s="81">
        <f t="shared" si="7"/>
        <v>0.21416499999999999</v>
      </c>
      <c r="G31" s="81">
        <f t="shared" si="7"/>
        <v>2.4677746994711926E-3</v>
      </c>
      <c r="H31" s="81">
        <f t="shared" si="8"/>
        <v>0.45866647224999996</v>
      </c>
      <c r="I31" s="81">
        <f t="shared" si="9"/>
        <v>0.98230305029421228</v>
      </c>
      <c r="J31" s="81">
        <f t="shared" si="10"/>
        <v>2.1037493276625994</v>
      </c>
      <c r="K31" s="81">
        <f t="shared" si="11"/>
        <v>5.2851096851224792E-3</v>
      </c>
      <c r="L31" s="81">
        <f t="shared" si="12"/>
        <v>1.1318855157142557E-2</v>
      </c>
      <c r="M31" s="81">
        <f t="shared" ca="1" si="4"/>
        <v>2.7666196330617551E-2</v>
      </c>
      <c r="N31" s="81">
        <f t="shared" ca="1" si="13"/>
        <v>8.9308294332747833E-7</v>
      </c>
      <c r="O31" s="39">
        <f t="shared" ca="1" si="14"/>
        <v>16936.453239357295</v>
      </c>
      <c r="P31" s="81">
        <f t="shared" ca="1" si="15"/>
        <v>7655.126130155275</v>
      </c>
      <c r="Q31" s="81">
        <f t="shared" ca="1" si="16"/>
        <v>211.90862930373049</v>
      </c>
      <c r="R31" s="24">
        <f t="shared" ca="1" si="5"/>
        <v>-2.9884493359056269E-3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>
      <c r="A32" s="87">
        <v>21416.5</v>
      </c>
      <c r="B32" s="87">
        <v>3.2677746996341739E-2</v>
      </c>
      <c r="C32" s="87">
        <v>0.1</v>
      </c>
      <c r="D32" s="88">
        <f t="shared" si="6"/>
        <v>2.1416499999999998</v>
      </c>
      <c r="E32" s="88">
        <f t="shared" si="6"/>
        <v>3.2677746996341739E-2</v>
      </c>
      <c r="F32" s="81">
        <f t="shared" si="7"/>
        <v>0.21416499999999999</v>
      </c>
      <c r="G32" s="81">
        <f t="shared" si="7"/>
        <v>3.2677746996341741E-3</v>
      </c>
      <c r="H32" s="81">
        <f t="shared" si="8"/>
        <v>0.45866647224999996</v>
      </c>
      <c r="I32" s="81">
        <f t="shared" si="9"/>
        <v>0.98230305029421228</v>
      </c>
      <c r="J32" s="81">
        <f t="shared" si="10"/>
        <v>2.1037493276625994</v>
      </c>
      <c r="K32" s="81">
        <f t="shared" si="11"/>
        <v>6.9984296854715281E-3</v>
      </c>
      <c r="L32" s="81">
        <f t="shared" si="12"/>
        <v>1.4988186935890097E-2</v>
      </c>
      <c r="M32" s="81">
        <f t="shared" ca="1" si="4"/>
        <v>2.7666196330617551E-2</v>
      </c>
      <c r="N32" s="81">
        <f t="shared" ca="1" si="13"/>
        <v>2.5115640075120549E-6</v>
      </c>
      <c r="O32" s="39">
        <f t="shared" ca="1" si="14"/>
        <v>16936.453239357295</v>
      </c>
      <c r="P32" s="81">
        <f t="shared" ca="1" si="15"/>
        <v>7655.126130155275</v>
      </c>
      <c r="Q32" s="81">
        <f t="shared" ca="1" si="16"/>
        <v>211.90862930373049</v>
      </c>
      <c r="R32" s="24">
        <f t="shared" ca="1" si="5"/>
        <v>5.0115506657241876E-3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>
      <c r="A33" s="87">
        <v>21425.5</v>
      </c>
      <c r="B33" s="87">
        <v>3.5546408995287493E-2</v>
      </c>
      <c r="C33" s="87">
        <v>0.1</v>
      </c>
      <c r="D33" s="88">
        <f t="shared" si="6"/>
        <v>2.14255</v>
      </c>
      <c r="E33" s="88">
        <f t="shared" si="6"/>
        <v>3.5546408995287493E-2</v>
      </c>
      <c r="F33" s="81">
        <f t="shared" si="7"/>
        <v>0.214255</v>
      </c>
      <c r="G33" s="81">
        <f t="shared" si="7"/>
        <v>3.5546408995287496E-3</v>
      </c>
      <c r="H33" s="81">
        <f t="shared" si="8"/>
        <v>0.45905205025000001</v>
      </c>
      <c r="I33" s="81">
        <f t="shared" si="9"/>
        <v>0.9835419702631375</v>
      </c>
      <c r="J33" s="81">
        <f t="shared" si="10"/>
        <v>2.1072878483872852</v>
      </c>
      <c r="K33" s="81">
        <f t="shared" si="11"/>
        <v>7.6159958592853221E-3</v>
      </c>
      <c r="L33" s="81">
        <f t="shared" si="12"/>
        <v>1.6317651928311767E-2</v>
      </c>
      <c r="M33" s="81">
        <f t="shared" ca="1" si="4"/>
        <v>2.7674047820800421E-2</v>
      </c>
      <c r="N33" s="81">
        <f t="shared" ca="1" si="13"/>
        <v>6.197407046157148E-6</v>
      </c>
      <c r="O33" s="39">
        <f t="shared" ca="1" si="14"/>
        <v>16768.793548812046</v>
      </c>
      <c r="P33" s="81">
        <f t="shared" ca="1" si="15"/>
        <v>7573.3651562339892</v>
      </c>
      <c r="Q33" s="81">
        <f t="shared" ca="1" si="16"/>
        <v>209.50207260187619</v>
      </c>
      <c r="R33" s="24">
        <f t="shared" ca="1" si="5"/>
        <v>7.872361174487072E-3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>
      <c r="A34" s="87">
        <v>21792.5</v>
      </c>
      <c r="B34" s="87">
        <v>2.7968515001703054E-2</v>
      </c>
      <c r="C34" s="87">
        <v>0.1</v>
      </c>
      <c r="D34" s="88">
        <f t="shared" si="6"/>
        <v>2.1792500000000001</v>
      </c>
      <c r="E34" s="88">
        <f t="shared" si="6"/>
        <v>2.7968515001703054E-2</v>
      </c>
      <c r="F34" s="81">
        <f t="shared" si="7"/>
        <v>0.21792500000000004</v>
      </c>
      <c r="G34" s="81">
        <f t="shared" si="7"/>
        <v>2.7968515001703057E-3</v>
      </c>
      <c r="H34" s="81">
        <f t="shared" si="8"/>
        <v>0.47491305625000013</v>
      </c>
      <c r="I34" s="81">
        <f t="shared" si="9"/>
        <v>1.0349542778328129</v>
      </c>
      <c r="J34" s="81">
        <f t="shared" si="10"/>
        <v>2.2554241099671577</v>
      </c>
      <c r="K34" s="81">
        <f t="shared" si="11"/>
        <v>6.0950386317461394E-3</v>
      </c>
      <c r="L34" s="81">
        <f t="shared" si="12"/>
        <v>1.3282612938232775E-2</v>
      </c>
      <c r="M34" s="81">
        <f t="shared" ca="1" si="4"/>
        <v>2.7973936688101747E-2</v>
      </c>
      <c r="N34" s="81">
        <f t="shared" ca="1" si="13"/>
        <v>2.939468340577633E-12</v>
      </c>
      <c r="O34" s="39">
        <f t="shared" ca="1" si="14"/>
        <v>10798.342899801639</v>
      </c>
      <c r="P34" s="81">
        <f t="shared" ca="1" si="15"/>
        <v>4689.2689148094878</v>
      </c>
      <c r="Q34" s="81">
        <f t="shared" ca="1" si="16"/>
        <v>125.3127016731209</v>
      </c>
      <c r="R34" s="24">
        <f t="shared" ca="1" si="5"/>
        <v>-5.4216863986933372E-6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>
      <c r="A35" s="87">
        <v>21792.5</v>
      </c>
      <c r="B35" s="87">
        <v>3.2968514999083709E-2</v>
      </c>
      <c r="C35" s="87">
        <v>0.1</v>
      </c>
      <c r="D35" s="88">
        <f t="shared" si="6"/>
        <v>2.1792500000000001</v>
      </c>
      <c r="E35" s="88">
        <f t="shared" si="6"/>
        <v>3.2968514999083709E-2</v>
      </c>
      <c r="F35" s="81">
        <f t="shared" si="7"/>
        <v>0.21792500000000004</v>
      </c>
      <c r="G35" s="81">
        <f t="shared" si="7"/>
        <v>3.2968514999083712E-3</v>
      </c>
      <c r="H35" s="81">
        <f t="shared" si="8"/>
        <v>0.47491305625000013</v>
      </c>
      <c r="I35" s="81">
        <f t="shared" si="9"/>
        <v>1.0349542778328129</v>
      </c>
      <c r="J35" s="81">
        <f t="shared" si="10"/>
        <v>2.2554241099671577</v>
      </c>
      <c r="K35" s="81">
        <f t="shared" si="11"/>
        <v>7.1846636311753186E-3</v>
      </c>
      <c r="L35" s="81">
        <f t="shared" si="12"/>
        <v>1.5657178218238813E-2</v>
      </c>
      <c r="M35" s="81">
        <f t="shared" ca="1" si="4"/>
        <v>2.7973936688101747E-2</v>
      </c>
      <c r="N35" s="81">
        <f t="shared" ca="1" si="13"/>
        <v>2.4945812504531429E-6</v>
      </c>
      <c r="O35" s="39">
        <f t="shared" ca="1" si="14"/>
        <v>10798.342899801639</v>
      </c>
      <c r="P35" s="81">
        <f t="shared" ca="1" si="15"/>
        <v>4689.2689148094878</v>
      </c>
      <c r="Q35" s="81">
        <f t="shared" ca="1" si="16"/>
        <v>125.3127016731209</v>
      </c>
      <c r="R35" s="24">
        <f t="shared" ca="1" si="5"/>
        <v>4.9945783109819619E-3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>
      <c r="A36" s="87">
        <v>21941.5</v>
      </c>
      <c r="B36" s="87">
        <v>2.9649696996784769E-2</v>
      </c>
      <c r="C36" s="87">
        <v>1</v>
      </c>
      <c r="D36" s="88">
        <f t="shared" si="6"/>
        <v>2.19415</v>
      </c>
      <c r="E36" s="88">
        <f t="shared" si="6"/>
        <v>2.9649696996784769E-2</v>
      </c>
      <c r="F36" s="81">
        <f t="shared" si="7"/>
        <v>2.19415</v>
      </c>
      <c r="G36" s="81">
        <f t="shared" si="7"/>
        <v>2.9649696996784769E-2</v>
      </c>
      <c r="H36" s="81">
        <f t="shared" si="8"/>
        <v>4.8142942225000001</v>
      </c>
      <c r="I36" s="81">
        <f t="shared" si="9"/>
        <v>10.563283668298375</v>
      </c>
      <c r="J36" s="81">
        <f t="shared" si="10"/>
        <v>23.17742886079688</v>
      </c>
      <c r="K36" s="81">
        <f t="shared" si="11"/>
        <v>6.5055882665495307E-2</v>
      </c>
      <c r="L36" s="81">
        <f t="shared" si="12"/>
        <v>0.14274236495049653</v>
      </c>
      <c r="M36" s="81">
        <f t="shared" ca="1" si="4"/>
        <v>2.8084392091908814E-2</v>
      </c>
      <c r="N36" s="81">
        <f t="shared" ca="1" si="13"/>
        <v>2.450179445228724E-6</v>
      </c>
      <c r="O36" s="39">
        <f t="shared" ca="1" si="14"/>
        <v>882652.6521010116</v>
      </c>
      <c r="P36" s="81">
        <f t="shared" ca="1" si="15"/>
        <v>375264.39112951304</v>
      </c>
      <c r="Q36" s="81">
        <f t="shared" ca="1" si="16"/>
        <v>9837.9704538189035</v>
      </c>
      <c r="R36" s="24">
        <f t="shared" ca="1" si="5"/>
        <v>1.5653049048759554E-3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>
      <c r="A37" s="87">
        <v>21941.5</v>
      </c>
      <c r="B37" s="87">
        <v>2.9849696991732344E-2</v>
      </c>
      <c r="C37" s="87">
        <v>1</v>
      </c>
      <c r="D37" s="88">
        <f t="shared" si="6"/>
        <v>2.19415</v>
      </c>
      <c r="E37" s="88">
        <f t="shared" si="6"/>
        <v>2.9849696991732344E-2</v>
      </c>
      <c r="F37" s="81">
        <f t="shared" si="7"/>
        <v>2.19415</v>
      </c>
      <c r="G37" s="81">
        <f t="shared" si="7"/>
        <v>2.9849696991732344E-2</v>
      </c>
      <c r="H37" s="81">
        <f t="shared" si="8"/>
        <v>4.8142942225000001</v>
      </c>
      <c r="I37" s="81">
        <f t="shared" si="9"/>
        <v>10.563283668298375</v>
      </c>
      <c r="J37" s="81">
        <f t="shared" si="10"/>
        <v>23.17742886079688</v>
      </c>
      <c r="K37" s="81">
        <f t="shared" si="11"/>
        <v>6.5494712654409523E-2</v>
      </c>
      <c r="L37" s="81">
        <f t="shared" si="12"/>
        <v>0.14370522377067266</v>
      </c>
      <c r="M37" s="81">
        <f t="shared" ca="1" si="4"/>
        <v>2.8084392091908814E-2</v>
      </c>
      <c r="N37" s="81">
        <f t="shared" ca="1" si="13"/>
        <v>3.116301389340965E-6</v>
      </c>
      <c r="O37" s="39">
        <f t="shared" ca="1" si="14"/>
        <v>882652.6521010116</v>
      </c>
      <c r="P37" s="81">
        <f t="shared" ca="1" si="15"/>
        <v>375264.39112951304</v>
      </c>
      <c r="Q37" s="81">
        <f t="shared" ca="1" si="16"/>
        <v>9837.9704538189035</v>
      </c>
      <c r="R37" s="24">
        <f t="shared" ca="1" si="5"/>
        <v>1.7653048998235304E-3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>
      <c r="A38" s="87">
        <v>23169</v>
      </c>
      <c r="B38" s="87">
        <v>2.8825541994592641E-2</v>
      </c>
      <c r="C38" s="87">
        <v>1</v>
      </c>
      <c r="D38" s="88">
        <f t="shared" si="6"/>
        <v>2.3169</v>
      </c>
      <c r="E38" s="88">
        <f t="shared" si="6"/>
        <v>2.8825541994592641E-2</v>
      </c>
      <c r="F38" s="81">
        <f t="shared" si="7"/>
        <v>2.3169</v>
      </c>
      <c r="G38" s="81">
        <f t="shared" si="7"/>
        <v>2.8825541994592641E-2</v>
      </c>
      <c r="H38" s="81">
        <f t="shared" si="8"/>
        <v>5.3680256100000001</v>
      </c>
      <c r="I38" s="81">
        <f t="shared" si="9"/>
        <v>12.437178535809</v>
      </c>
      <c r="J38" s="81">
        <f t="shared" si="10"/>
        <v>28.815698949615872</v>
      </c>
      <c r="K38" s="81">
        <f t="shared" si="11"/>
        <v>6.6785898247271686E-2</v>
      </c>
      <c r="L38" s="81">
        <f t="shared" si="12"/>
        <v>0.15473624764910376</v>
      </c>
      <c r="M38" s="81">
        <f t="shared" ca="1" si="4"/>
        <v>2.8746063012233203E-2</v>
      </c>
      <c r="N38" s="81">
        <f t="shared" ca="1" si="13"/>
        <v>6.3169086368918147E-9</v>
      </c>
      <c r="O38" s="39">
        <f t="shared" ca="1" si="14"/>
        <v>44404.331999275957</v>
      </c>
      <c r="P38" s="81">
        <f t="shared" ca="1" si="15"/>
        <v>7408.8085968352189</v>
      </c>
      <c r="Q38" s="81">
        <f t="shared" ca="1" si="16"/>
        <v>40.831106837612801</v>
      </c>
      <c r="R38" s="24">
        <f t="shared" ca="1" si="5"/>
        <v>7.9478982359437733E-5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>
      <c r="A39" s="87">
        <v>23375</v>
      </c>
      <c r="B39" s="87">
        <v>2.6308249995054211E-2</v>
      </c>
      <c r="C39" s="87">
        <v>1</v>
      </c>
      <c r="D39" s="88">
        <f t="shared" si="6"/>
        <v>2.3374999999999999</v>
      </c>
      <c r="E39" s="88">
        <f t="shared" si="6"/>
        <v>2.6308249995054211E-2</v>
      </c>
      <c r="F39" s="81">
        <f t="shared" si="7"/>
        <v>2.3374999999999999</v>
      </c>
      <c r="G39" s="81">
        <f t="shared" si="7"/>
        <v>2.6308249995054211E-2</v>
      </c>
      <c r="H39" s="81">
        <f t="shared" si="8"/>
        <v>5.46390625</v>
      </c>
      <c r="I39" s="81">
        <f t="shared" si="9"/>
        <v>12.771880859374999</v>
      </c>
      <c r="J39" s="81">
        <f t="shared" si="10"/>
        <v>29.854271508789058</v>
      </c>
      <c r="K39" s="81">
        <f t="shared" si="11"/>
        <v>6.1495534363439214E-2</v>
      </c>
      <c r="L39" s="81">
        <f t="shared" si="12"/>
        <v>0.14374581157453917</v>
      </c>
      <c r="M39" s="81">
        <f t="shared" ca="1" si="4"/>
        <v>2.8813711661582891E-2</v>
      </c>
      <c r="N39" s="81">
        <f t="shared" ca="1" si="13"/>
        <v>6.2773381624446704E-6</v>
      </c>
      <c r="O39" s="39">
        <f t="shared" ca="1" si="14"/>
        <v>10927.682723163287</v>
      </c>
      <c r="P39" s="81">
        <f t="shared" ca="1" si="15"/>
        <v>92.94328254565491</v>
      </c>
      <c r="Q39" s="81">
        <f t="shared" ca="1" si="16"/>
        <v>49.482422191115162</v>
      </c>
      <c r="R39" s="24">
        <f t="shared" ca="1" si="5"/>
        <v>-2.50546166652868E-3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>
      <c r="A40" s="87">
        <v>23495</v>
      </c>
      <c r="B40" s="87">
        <v>2.6190409836999606E-2</v>
      </c>
      <c r="C40" s="87">
        <v>1</v>
      </c>
      <c r="D40" s="88">
        <f t="shared" si="6"/>
        <v>2.3494999999999999</v>
      </c>
      <c r="E40" s="88">
        <f t="shared" si="6"/>
        <v>2.6190409836999606E-2</v>
      </c>
      <c r="F40" s="81">
        <f t="shared" si="7"/>
        <v>2.3494999999999999</v>
      </c>
      <c r="G40" s="81">
        <f t="shared" si="7"/>
        <v>2.6190409836999606E-2</v>
      </c>
      <c r="H40" s="81">
        <f t="shared" si="8"/>
        <v>5.5201502499999995</v>
      </c>
      <c r="I40" s="81">
        <f t="shared" si="9"/>
        <v>12.969593012374999</v>
      </c>
      <c r="J40" s="81">
        <f t="shared" si="10"/>
        <v>30.472058782575058</v>
      </c>
      <c r="K40" s="81">
        <f t="shared" si="11"/>
        <v>6.1534367912030576E-2</v>
      </c>
      <c r="L40" s="81">
        <f t="shared" si="12"/>
        <v>0.14457499740931584</v>
      </c>
      <c r="M40" s="81">
        <f t="shared" ca="1" si="4"/>
        <v>2.8847370090972116E-2</v>
      </c>
      <c r="N40" s="81">
        <f t="shared" ca="1" si="13"/>
        <v>7.0594377911896626E-6</v>
      </c>
      <c r="O40" s="39">
        <f t="shared" ca="1" si="14"/>
        <v>2008.2474306949275</v>
      </c>
      <c r="P40" s="81">
        <f t="shared" ca="1" si="15"/>
        <v>1109.1473359763554</v>
      </c>
      <c r="Q40" s="81">
        <f t="shared" ca="1" si="16"/>
        <v>212.2754836281984</v>
      </c>
      <c r="R40" s="24">
        <f t="shared" ca="1" si="5"/>
        <v>-2.6569602539725096E-3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>
      <c r="A41" s="87">
        <v>23496.5</v>
      </c>
      <c r="B41" s="87">
        <v>2.8035186995111872E-2</v>
      </c>
      <c r="C41" s="87">
        <v>1</v>
      </c>
      <c r="D41" s="88">
        <f t="shared" si="6"/>
        <v>2.34965</v>
      </c>
      <c r="E41" s="88">
        <f t="shared" si="6"/>
        <v>2.8035186995111872E-2</v>
      </c>
      <c r="F41" s="81">
        <f t="shared" si="7"/>
        <v>2.34965</v>
      </c>
      <c r="G41" s="81">
        <f t="shared" si="7"/>
        <v>2.8035186995111872E-2</v>
      </c>
      <c r="H41" s="81">
        <f t="shared" si="8"/>
        <v>5.5208551225000004</v>
      </c>
      <c r="I41" s="81">
        <f t="shared" si="9"/>
        <v>12.972077238582125</v>
      </c>
      <c r="J41" s="81">
        <f t="shared" si="10"/>
        <v>30.479841283634492</v>
      </c>
      <c r="K41" s="81">
        <f t="shared" si="11"/>
        <v>6.587287712306461E-2</v>
      </c>
      <c r="L41" s="81">
        <f t="shared" si="12"/>
        <v>0.15477820573220877</v>
      </c>
      <c r="M41" s="81">
        <f t="shared" ca="1" si="4"/>
        <v>2.8847764040322452E-2</v>
      </c>
      <c r="N41" s="81">
        <f t="shared" ca="1" si="13"/>
        <v>6.602814544031572E-7</v>
      </c>
      <c r="O41" s="39">
        <f t="shared" ca="1" si="14"/>
        <v>1942.7725495862676</v>
      </c>
      <c r="P41" s="81">
        <f t="shared" ca="1" si="15"/>
        <v>1144.6928905975917</v>
      </c>
      <c r="Q41" s="81">
        <f t="shared" ca="1" si="16"/>
        <v>214.99013505656839</v>
      </c>
      <c r="R41" s="24">
        <f t="shared" ca="1" si="5"/>
        <v>-8.1257704521058016E-4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>
      <c r="A42" s="87">
        <v>23501</v>
      </c>
      <c r="B42" s="87">
        <v>2.6269518202752806E-2</v>
      </c>
      <c r="C42" s="87">
        <v>1</v>
      </c>
      <c r="D42" s="88">
        <f t="shared" si="6"/>
        <v>2.3500999999999999</v>
      </c>
      <c r="E42" s="88">
        <f t="shared" si="6"/>
        <v>2.6269518202752806E-2</v>
      </c>
      <c r="F42" s="81">
        <f t="shared" si="7"/>
        <v>2.3500999999999999</v>
      </c>
      <c r="G42" s="81">
        <f t="shared" si="7"/>
        <v>2.6269518202752806E-2</v>
      </c>
      <c r="H42" s="81">
        <f t="shared" si="8"/>
        <v>5.522970009999999</v>
      </c>
      <c r="I42" s="81">
        <f t="shared" si="9"/>
        <v>12.979531820500997</v>
      </c>
      <c r="J42" s="81">
        <f t="shared" si="10"/>
        <v>30.503197731359389</v>
      </c>
      <c r="K42" s="81">
        <f t="shared" si="11"/>
        <v>6.1735994728289369E-2</v>
      </c>
      <c r="L42" s="81">
        <f t="shared" si="12"/>
        <v>0.14508576121095285</v>
      </c>
      <c r="M42" s="81">
        <f t="shared" ca="1" si="4"/>
        <v>2.8848941920815413E-2</v>
      </c>
      <c r="N42" s="81">
        <f t="shared" ca="1" si="13"/>
        <v>6.6534267173039221E-6</v>
      </c>
      <c r="O42" s="39">
        <f t="shared" ca="1" si="14"/>
        <v>1752.9818919192896</v>
      </c>
      <c r="P42" s="81">
        <f t="shared" ca="1" si="15"/>
        <v>1254.6160707993251</v>
      </c>
      <c r="Q42" s="81">
        <f t="shared" ca="1" si="16"/>
        <v>223.23170515231794</v>
      </c>
      <c r="R42" s="24">
        <f t="shared" ca="1" si="5"/>
        <v>-2.5794237180626067E-3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>
      <c r="A43" s="87">
        <v>23504</v>
      </c>
      <c r="B43" s="87">
        <v>2.6859071913349908E-2</v>
      </c>
      <c r="C43" s="87">
        <v>1</v>
      </c>
      <c r="D43" s="88">
        <f t="shared" si="6"/>
        <v>2.3504</v>
      </c>
      <c r="E43" s="88">
        <f t="shared" si="6"/>
        <v>2.6859071913349908E-2</v>
      </c>
      <c r="F43" s="81">
        <f t="shared" si="7"/>
        <v>2.3504</v>
      </c>
      <c r="G43" s="81">
        <f t="shared" si="7"/>
        <v>2.6859071913349908E-2</v>
      </c>
      <c r="H43" s="81">
        <f t="shared" si="8"/>
        <v>5.5243801600000007</v>
      </c>
      <c r="I43" s="81">
        <f t="shared" si="9"/>
        <v>12.984503128064002</v>
      </c>
      <c r="J43" s="81">
        <f t="shared" si="10"/>
        <v>30.518776152201632</v>
      </c>
      <c r="K43" s="81">
        <f t="shared" si="11"/>
        <v>6.3129562625137622E-2</v>
      </c>
      <c r="L43" s="81">
        <f t="shared" si="12"/>
        <v>0.14837972399412347</v>
      </c>
      <c r="M43" s="81">
        <f t="shared" ca="1" si="4"/>
        <v>2.8849723868178967E-2</v>
      </c>
      <c r="N43" s="81">
        <f t="shared" ca="1" si="13"/>
        <v>3.9626952052647542E-6</v>
      </c>
      <c r="O43" s="39">
        <f t="shared" ca="1" si="14"/>
        <v>1631.9722630918063</v>
      </c>
      <c r="P43" s="81">
        <f t="shared" ca="1" si="15"/>
        <v>1330.6311857034264</v>
      </c>
      <c r="Q43" s="81">
        <f t="shared" ca="1" si="16"/>
        <v>228.80724940930588</v>
      </c>
      <c r="R43" s="24">
        <f t="shared" ca="1" si="5"/>
        <v>-1.9906519548290591E-3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>
      <c r="A44" s="87">
        <v>24211.5</v>
      </c>
      <c r="B44" s="87">
        <v>3.0545556990546174E-2</v>
      </c>
      <c r="C44" s="87">
        <v>1</v>
      </c>
      <c r="D44" s="88">
        <f t="shared" si="6"/>
        <v>2.4211499999999999</v>
      </c>
      <c r="E44" s="88">
        <f t="shared" si="6"/>
        <v>3.0545556990546174E-2</v>
      </c>
      <c r="F44" s="81">
        <f t="shared" si="7"/>
        <v>2.4211499999999999</v>
      </c>
      <c r="G44" s="81">
        <f t="shared" si="7"/>
        <v>3.0545556990546174E-2</v>
      </c>
      <c r="H44" s="81">
        <f t="shared" si="8"/>
        <v>5.8619673225</v>
      </c>
      <c r="I44" s="81">
        <f t="shared" si="9"/>
        <v>14.192702182870875</v>
      </c>
      <c r="J44" s="81">
        <f t="shared" si="10"/>
        <v>34.362660890057818</v>
      </c>
      <c r="K44" s="81">
        <f t="shared" si="11"/>
        <v>7.3955375307660873E-2</v>
      </c>
      <c r="L44" s="81">
        <f t="shared" si="12"/>
        <v>0.17905705692614313</v>
      </c>
      <c r="M44" s="81">
        <f t="shared" ca="1" si="4"/>
        <v>2.8960266190496742E-2</v>
      </c>
      <c r="N44" s="81">
        <f t="shared" ca="1" si="13"/>
        <v>2.5131469207213702E-6</v>
      </c>
      <c r="O44" s="39">
        <f t="shared" ca="1" si="14"/>
        <v>77879.416023523008</v>
      </c>
      <c r="P44" s="81">
        <f t="shared" ca="1" si="15"/>
        <v>70497.097161624668</v>
      </c>
      <c r="Q44" s="81">
        <f t="shared" ca="1" si="16"/>
        <v>3047.0652148980762</v>
      </c>
      <c r="R44" s="24">
        <f t="shared" ca="1" si="5"/>
        <v>1.5852908000494326E-3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>
      <c r="A45" s="87">
        <v>24212</v>
      </c>
      <c r="B45" s="87">
        <v>2.9693815995415207E-2</v>
      </c>
      <c r="C45" s="87">
        <v>0.5</v>
      </c>
      <c r="D45" s="88">
        <f t="shared" si="6"/>
        <v>2.4211999999999998</v>
      </c>
      <c r="E45" s="88">
        <f t="shared" si="6"/>
        <v>2.9693815995415207E-2</v>
      </c>
      <c r="F45" s="81">
        <f t="shared" si="7"/>
        <v>1.2105999999999999</v>
      </c>
      <c r="G45" s="81">
        <f t="shared" si="7"/>
        <v>1.4846907997707603E-2</v>
      </c>
      <c r="H45" s="81">
        <f t="shared" si="8"/>
        <v>2.9311047199999996</v>
      </c>
      <c r="I45" s="81">
        <f t="shared" si="9"/>
        <v>7.0967907480639987</v>
      </c>
      <c r="J45" s="81">
        <f t="shared" si="10"/>
        <v>17.182749759212552</v>
      </c>
      <c r="K45" s="81">
        <f t="shared" si="11"/>
        <v>3.5947333644049645E-2</v>
      </c>
      <c r="L45" s="81">
        <f t="shared" si="12"/>
        <v>8.7035684218972995E-2</v>
      </c>
      <c r="M45" s="81">
        <f t="shared" ca="1" si="4"/>
        <v>2.8960292293184531E-2</v>
      </c>
      <c r="N45" s="81">
        <f t="shared" ca="1" si="13"/>
        <v>2.6902851086709886E-7</v>
      </c>
      <c r="O45" s="39">
        <f t="shared" ca="1" si="14"/>
        <v>19498.671910304423</v>
      </c>
      <c r="P45" s="81">
        <f t="shared" ca="1" si="15"/>
        <v>17643.869986367084</v>
      </c>
      <c r="Q45" s="81">
        <f t="shared" ca="1" si="16"/>
        <v>762.4770257278027</v>
      </c>
      <c r="R45" s="24">
        <f t="shared" ca="1" si="5"/>
        <v>7.335237022306762E-4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>
      <c r="A46" s="87">
        <v>24214</v>
      </c>
      <c r="B46" s="87">
        <v>2.9686851994483732E-2</v>
      </c>
      <c r="C46" s="87">
        <v>1</v>
      </c>
      <c r="D46" s="88">
        <f t="shared" si="6"/>
        <v>2.4214000000000002</v>
      </c>
      <c r="E46" s="88">
        <f t="shared" si="6"/>
        <v>2.9686851994483732E-2</v>
      </c>
      <c r="F46" s="81">
        <f t="shared" si="7"/>
        <v>2.4214000000000002</v>
      </c>
      <c r="G46" s="81">
        <f t="shared" si="7"/>
        <v>2.9686851994483732E-2</v>
      </c>
      <c r="H46" s="81">
        <f t="shared" si="8"/>
        <v>5.8631779600000007</v>
      </c>
      <c r="I46" s="81">
        <f t="shared" si="9"/>
        <v>14.197099112344002</v>
      </c>
      <c r="J46" s="81">
        <f t="shared" si="10"/>
        <v>34.376855790629769</v>
      </c>
      <c r="K46" s="81">
        <f t="shared" si="11"/>
        <v>7.1883743419442911E-2</v>
      </c>
      <c r="L46" s="81">
        <f t="shared" si="12"/>
        <v>0.17405929631583908</v>
      </c>
      <c r="M46" s="81">
        <f t="shared" ca="1" si="4"/>
        <v>2.8960395969202593E-2</v>
      </c>
      <c r="N46" s="81">
        <f t="shared" ca="1" si="13"/>
        <v>5.2773835666727027E-7</v>
      </c>
      <c r="O46" s="39">
        <f t="shared" ca="1" si="14"/>
        <v>78456.473707046549</v>
      </c>
      <c r="P46" s="81">
        <f t="shared" ca="1" si="15"/>
        <v>70889.339061682535</v>
      </c>
      <c r="Q46" s="81">
        <f t="shared" ca="1" si="16"/>
        <v>3061.2888844574759</v>
      </c>
      <c r="R46" s="24">
        <f t="shared" ca="1" si="5"/>
        <v>7.2645602528113862E-4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>
      <c r="A47" s="87">
        <v>24215</v>
      </c>
      <c r="B47" s="87">
        <v>2.88833699960378E-2</v>
      </c>
      <c r="C47" s="87">
        <v>1</v>
      </c>
      <c r="D47" s="88">
        <f t="shared" si="6"/>
        <v>2.4215</v>
      </c>
      <c r="E47" s="88">
        <f t="shared" si="6"/>
        <v>2.88833699960378E-2</v>
      </c>
      <c r="F47" s="81">
        <f t="shared" si="7"/>
        <v>2.4215</v>
      </c>
      <c r="G47" s="81">
        <f t="shared" si="7"/>
        <v>2.88833699960378E-2</v>
      </c>
      <c r="H47" s="81">
        <f t="shared" si="8"/>
        <v>5.86366225</v>
      </c>
      <c r="I47" s="81">
        <f t="shared" si="9"/>
        <v>14.198858138375</v>
      </c>
      <c r="J47" s="81">
        <f t="shared" si="10"/>
        <v>34.382534982075065</v>
      </c>
      <c r="K47" s="81">
        <f t="shared" si="11"/>
        <v>6.9941080445405535E-2</v>
      </c>
      <c r="L47" s="81">
        <f t="shared" si="12"/>
        <v>0.1693623262985495</v>
      </c>
      <c r="M47" s="81">
        <f t="shared" ca="1" si="4"/>
        <v>2.896044736637185E-2</v>
      </c>
      <c r="N47" s="81">
        <f t="shared" ca="1" si="13"/>
        <v>5.9409210176122805E-9</v>
      </c>
      <c r="O47" s="39">
        <f t="shared" ca="1" si="14"/>
        <v>78687.786023957509</v>
      </c>
      <c r="P47" s="81">
        <f t="shared" ca="1" si="15"/>
        <v>71046.465158079925</v>
      </c>
      <c r="Q47" s="81">
        <f t="shared" ca="1" si="16"/>
        <v>3066.9848050615747</v>
      </c>
      <c r="R47" s="24">
        <f t="shared" ca="1" si="5"/>
        <v>-7.7077370334049933E-5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>
      <c r="A48" s="87">
        <v>24344.5</v>
      </c>
      <c r="B48" s="87">
        <v>2.8882450998935383E-2</v>
      </c>
      <c r="C48" s="87">
        <v>1</v>
      </c>
      <c r="D48" s="88">
        <f t="shared" si="6"/>
        <v>2.43445</v>
      </c>
      <c r="E48" s="88">
        <f t="shared" si="6"/>
        <v>2.8882450998935383E-2</v>
      </c>
      <c r="F48" s="81">
        <f t="shared" si="7"/>
        <v>2.43445</v>
      </c>
      <c r="G48" s="81">
        <f t="shared" si="7"/>
        <v>2.8882450998935383E-2</v>
      </c>
      <c r="H48" s="81">
        <f t="shared" si="8"/>
        <v>5.9265468024999999</v>
      </c>
      <c r="I48" s="81">
        <f t="shared" si="9"/>
        <v>14.427881863346125</v>
      </c>
      <c r="J48" s="81">
        <f t="shared" si="10"/>
        <v>35.123957002222973</v>
      </c>
      <c r="K48" s="81">
        <f t="shared" si="11"/>
        <v>7.0312882834358242E-2</v>
      </c>
      <c r="L48" s="81">
        <f t="shared" si="12"/>
        <v>0.17117319761610342</v>
      </c>
      <c r="M48" s="81">
        <f t="shared" ca="1" si="4"/>
        <v>2.8964619939063199E-2</v>
      </c>
      <c r="N48" s="81">
        <f t="shared" ca="1" si="13"/>
        <v>6.7517347217286753E-9</v>
      </c>
      <c r="O48" s="39">
        <f t="shared" ca="1" si="14"/>
        <v>110904.67209018712</v>
      </c>
      <c r="P48" s="81">
        <f t="shared" ca="1" si="15"/>
        <v>92448.569762199157</v>
      </c>
      <c r="Q48" s="81">
        <f t="shared" ca="1" si="16"/>
        <v>3834.0958516208939</v>
      </c>
      <c r="R48" s="24">
        <f t="shared" ca="1" si="5"/>
        <v>-8.2168940127816392E-5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>
      <c r="A49" s="87">
        <v>24394</v>
      </c>
      <c r="B49" s="87">
        <v>2.9060091997962445E-2</v>
      </c>
      <c r="C49" s="87">
        <v>1</v>
      </c>
      <c r="D49" s="88">
        <f t="shared" si="6"/>
        <v>2.4394</v>
      </c>
      <c r="E49" s="88">
        <f t="shared" si="6"/>
        <v>2.9060091997962445E-2</v>
      </c>
      <c r="F49" s="81">
        <f t="shared" si="7"/>
        <v>2.4394</v>
      </c>
      <c r="G49" s="81">
        <f t="shared" si="7"/>
        <v>2.9060091997962445E-2</v>
      </c>
      <c r="H49" s="81">
        <f t="shared" si="8"/>
        <v>5.9506723600000004</v>
      </c>
      <c r="I49" s="81">
        <f t="shared" si="9"/>
        <v>14.516070154984002</v>
      </c>
      <c r="J49" s="81">
        <f t="shared" si="10"/>
        <v>35.410501536067976</v>
      </c>
      <c r="K49" s="81">
        <f t="shared" si="11"/>
        <v>7.0889188419829594E-2</v>
      </c>
      <c r="L49" s="81">
        <f t="shared" si="12"/>
        <v>0.17292708623133232</v>
      </c>
      <c r="M49" s="81">
        <f t="shared" ca="1" si="4"/>
        <v>2.8964912840361998E-2</v>
      </c>
      <c r="N49" s="81">
        <f t="shared" ca="1" si="13"/>
        <v>9.0590720415307997E-9</v>
      </c>
      <c r="O49" s="39">
        <f t="shared" ca="1" si="14"/>
        <v>124334.81102091157</v>
      </c>
      <c r="P49" s="81">
        <f t="shared" ca="1" si="15"/>
        <v>101144.86465107968</v>
      </c>
      <c r="Q49" s="81">
        <f t="shared" ca="1" si="16"/>
        <v>4141.6089873087403</v>
      </c>
      <c r="R49" s="24">
        <f t="shared" ca="1" si="5"/>
        <v>9.5179157600447373E-5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>
      <c r="A50" s="87">
        <v>24467</v>
      </c>
      <c r="B50" s="87">
        <v>2.8805905996705405E-2</v>
      </c>
      <c r="C50" s="87">
        <v>1</v>
      </c>
      <c r="D50" s="88">
        <f t="shared" si="6"/>
        <v>2.4466999999999999</v>
      </c>
      <c r="E50" s="88">
        <f t="shared" si="6"/>
        <v>2.8805905996705405E-2</v>
      </c>
      <c r="F50" s="81">
        <f t="shared" si="7"/>
        <v>2.4466999999999999</v>
      </c>
      <c r="G50" s="81">
        <f t="shared" si="7"/>
        <v>2.8805905996705405E-2</v>
      </c>
      <c r="H50" s="81">
        <f t="shared" si="8"/>
        <v>5.9863408899999992</v>
      </c>
      <c r="I50" s="81">
        <f t="shared" si="9"/>
        <v>14.646780255562998</v>
      </c>
      <c r="J50" s="81">
        <f t="shared" si="10"/>
        <v>35.836277251285985</v>
      </c>
      <c r="K50" s="81">
        <f t="shared" si="11"/>
        <v>7.0479410202139117E-2</v>
      </c>
      <c r="L50" s="81">
        <f t="shared" si="12"/>
        <v>0.17244197294157376</v>
      </c>
      <c r="M50" s="81">
        <f t="shared" ca="1" si="4"/>
        <v>2.8964030725882814E-2</v>
      </c>
      <c r="N50" s="81">
        <f t="shared" ca="1" si="13"/>
        <v>2.5003429977428783E-8</v>
      </c>
      <c r="O50" s="39">
        <f t="shared" ca="1" si="14"/>
        <v>145169.06556909496</v>
      </c>
      <c r="P50" s="81">
        <f t="shared" ca="1" si="15"/>
        <v>114438.42979794403</v>
      </c>
      <c r="Q50" s="81">
        <f t="shared" ca="1" si="16"/>
        <v>4607.918278696814</v>
      </c>
      <c r="R50" s="24">
        <f t="shared" ca="1" si="5"/>
        <v>-1.581247291774085E-4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>
      <c r="A51" s="87">
        <v>24467</v>
      </c>
      <c r="B51" s="87">
        <v>2.9011776932748035E-2</v>
      </c>
      <c r="C51" s="87">
        <v>1</v>
      </c>
      <c r="D51" s="88">
        <f t="shared" si="6"/>
        <v>2.4466999999999999</v>
      </c>
      <c r="E51" s="88">
        <f t="shared" si="6"/>
        <v>2.9011776932748035E-2</v>
      </c>
      <c r="F51" s="81">
        <f t="shared" si="7"/>
        <v>2.4466999999999999</v>
      </c>
      <c r="G51" s="81">
        <f t="shared" si="7"/>
        <v>2.9011776932748035E-2</v>
      </c>
      <c r="H51" s="81">
        <f t="shared" si="8"/>
        <v>5.9863408899999992</v>
      </c>
      <c r="I51" s="81">
        <f t="shared" si="9"/>
        <v>14.646780255562998</v>
      </c>
      <c r="J51" s="81">
        <f t="shared" si="10"/>
        <v>35.836277251285985</v>
      </c>
      <c r="K51" s="81">
        <f t="shared" si="11"/>
        <v>7.0983114621354607E-2</v>
      </c>
      <c r="L51" s="81">
        <f t="shared" si="12"/>
        <v>0.1736743865440683</v>
      </c>
      <c r="M51" s="81">
        <f t="shared" ca="1" si="4"/>
        <v>2.8964030725882814E-2</v>
      </c>
      <c r="N51" s="81">
        <f t="shared" ca="1" si="13"/>
        <v>2.2797002700164469E-9</v>
      </c>
      <c r="O51" s="39">
        <f t="shared" ca="1" si="14"/>
        <v>145169.06556909496</v>
      </c>
      <c r="P51" s="81">
        <f t="shared" ca="1" si="15"/>
        <v>114438.42979794403</v>
      </c>
      <c r="Q51" s="81">
        <f t="shared" ca="1" si="16"/>
        <v>4607.918278696814</v>
      </c>
      <c r="R51" s="24">
        <f t="shared" ca="1" si="5"/>
        <v>4.7746206865220686E-5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>
      <c r="A52" s="87">
        <v>25413</v>
      </c>
      <c r="B52" s="87">
        <v>2.9161933991417754E-2</v>
      </c>
      <c r="C52" s="87">
        <v>1</v>
      </c>
      <c r="D52" s="88">
        <f t="shared" si="6"/>
        <v>2.5413000000000001</v>
      </c>
      <c r="E52" s="88">
        <f t="shared" si="6"/>
        <v>2.9161933991417754E-2</v>
      </c>
      <c r="F52" s="81">
        <f t="shared" si="7"/>
        <v>2.5413000000000001</v>
      </c>
      <c r="G52" s="81">
        <f t="shared" si="7"/>
        <v>2.9161933991417754E-2</v>
      </c>
      <c r="H52" s="81">
        <f t="shared" si="8"/>
        <v>6.4582056900000007</v>
      </c>
      <c r="I52" s="81">
        <f t="shared" si="9"/>
        <v>16.412238119997003</v>
      </c>
      <c r="J52" s="81">
        <f t="shared" si="10"/>
        <v>41.708420734348387</v>
      </c>
      <c r="K52" s="81">
        <f t="shared" si="11"/>
        <v>7.4109222852389939E-2</v>
      </c>
      <c r="L52" s="81">
        <f t="shared" si="12"/>
        <v>0.18833376803477855</v>
      </c>
      <c r="M52" s="81">
        <f t="shared" ca="1" si="4"/>
        <v>2.8810946791519396E-2</v>
      </c>
      <c r="N52" s="81">
        <f t="shared" ca="1" si="13"/>
        <v>1.2319201449249048E-7</v>
      </c>
      <c r="O52" s="39">
        <f t="shared" ca="1" si="14"/>
        <v>485009.14162778686</v>
      </c>
      <c r="P52" s="81">
        <f t="shared" ca="1" si="15"/>
        <v>315657.86103185167</v>
      </c>
      <c r="Q52" s="81">
        <f t="shared" ca="1" si="16"/>
        <v>11355.885129269262</v>
      </c>
      <c r="R52" s="24">
        <f t="shared" ca="1" si="5"/>
        <v>3.509871998983588E-4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>
      <c r="A53" s="87">
        <v>25835.5</v>
      </c>
      <c r="B53" s="87">
        <v>3.0090788997767959E-2</v>
      </c>
      <c r="C53" s="87">
        <v>1</v>
      </c>
      <c r="D53" s="88">
        <f t="shared" si="6"/>
        <v>2.5835499999999998</v>
      </c>
      <c r="E53" s="88">
        <f t="shared" si="6"/>
        <v>3.0090788997767959E-2</v>
      </c>
      <c r="F53" s="81">
        <f t="shared" si="7"/>
        <v>2.5835499999999998</v>
      </c>
      <c r="G53" s="81">
        <f t="shared" si="7"/>
        <v>3.0090788997767959E-2</v>
      </c>
      <c r="H53" s="81">
        <f t="shared" si="8"/>
        <v>6.6747306024999986</v>
      </c>
      <c r="I53" s="81">
        <f t="shared" si="9"/>
        <v>17.244500248088869</v>
      </c>
      <c r="J53" s="81">
        <f t="shared" si="10"/>
        <v>44.552028615949993</v>
      </c>
      <c r="K53" s="81">
        <f t="shared" si="11"/>
        <v>7.7741057915183404E-2</v>
      </c>
      <c r="L53" s="81">
        <f t="shared" si="12"/>
        <v>0.20084791017677206</v>
      </c>
      <c r="M53" s="81">
        <f t="shared" ca="1" si="4"/>
        <v>2.8657613616832708E-2</v>
      </c>
      <c r="N53" s="81">
        <f t="shared" ca="1" si="13"/>
        <v>2.0539916725189E-6</v>
      </c>
      <c r="O53" s="39">
        <f t="shared" ca="1" si="14"/>
        <v>649220.94064683211</v>
      </c>
      <c r="P53" s="81">
        <f t="shared" ca="1" si="15"/>
        <v>407456.31049212371</v>
      </c>
      <c r="Q53" s="81">
        <f t="shared" ca="1" si="16"/>
        <v>14311.984471861579</v>
      </c>
      <c r="R53" s="24">
        <f t="shared" ca="1" si="5"/>
        <v>1.4331753809352504E-3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>
      <c r="A54" s="87">
        <v>26818</v>
      </c>
      <c r="B54" s="87">
        <v>2.7419723992352374E-2</v>
      </c>
      <c r="C54" s="87">
        <v>0.2</v>
      </c>
      <c r="D54" s="88">
        <f t="shared" si="6"/>
        <v>2.6818</v>
      </c>
      <c r="E54" s="88">
        <f t="shared" si="6"/>
        <v>2.7419723992352374E-2</v>
      </c>
      <c r="F54" s="81">
        <f t="shared" si="7"/>
        <v>0.53636000000000006</v>
      </c>
      <c r="G54" s="81">
        <f t="shared" si="7"/>
        <v>5.4839447984704748E-3</v>
      </c>
      <c r="H54" s="81">
        <f t="shared" si="8"/>
        <v>1.4384102480000001</v>
      </c>
      <c r="I54" s="81">
        <f t="shared" si="9"/>
        <v>3.8575286030864002</v>
      </c>
      <c r="J54" s="81">
        <f t="shared" si="10"/>
        <v>10.345120207757107</v>
      </c>
      <c r="K54" s="81">
        <f t="shared" si="11"/>
        <v>1.4706843160538118E-2</v>
      </c>
      <c r="L54" s="81">
        <f t="shared" si="12"/>
        <v>3.9440811987931125E-2</v>
      </c>
      <c r="M54" s="81">
        <f t="shared" ca="1" si="4"/>
        <v>2.8098199021210649E-2</v>
      </c>
      <c r="N54" s="81">
        <f t="shared" ca="1" si="13"/>
        <v>9.2065672956847354E-8</v>
      </c>
      <c r="O54" s="39">
        <f t="shared" ca="1" si="14"/>
        <v>38778.979911327682</v>
      </c>
      <c r="P54" s="81">
        <f t="shared" ca="1" si="15"/>
        <v>23130.933299481381</v>
      </c>
      <c r="Q54" s="81">
        <f t="shared" ca="1" si="16"/>
        <v>783.75365492470314</v>
      </c>
      <c r="R54" s="24">
        <f t="shared" ca="1" si="5"/>
        <v>-6.7847502885827471E-4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>
      <c r="A55" s="87">
        <v>27705</v>
      </c>
      <c r="B55" s="87">
        <v>2.7631189994281158E-2</v>
      </c>
      <c r="C55" s="87">
        <v>1</v>
      </c>
      <c r="D55" s="88">
        <f t="shared" si="6"/>
        <v>2.7705000000000002</v>
      </c>
      <c r="E55" s="88">
        <f t="shared" si="6"/>
        <v>2.7631189994281158E-2</v>
      </c>
      <c r="F55" s="81">
        <f t="shared" si="7"/>
        <v>2.7705000000000002</v>
      </c>
      <c r="G55" s="81">
        <f t="shared" si="7"/>
        <v>2.7631189994281158E-2</v>
      </c>
      <c r="H55" s="81">
        <f t="shared" si="8"/>
        <v>7.6756702500000014</v>
      </c>
      <c r="I55" s="81">
        <f t="shared" si="9"/>
        <v>21.265444427625006</v>
      </c>
      <c r="J55" s="81">
        <f t="shared" si="10"/>
        <v>58.915913786735082</v>
      </c>
      <c r="K55" s="81">
        <f t="shared" si="11"/>
        <v>7.6552211879155951E-2</v>
      </c>
      <c r="L55" s="81">
        <f t="shared" si="12"/>
        <v>0.21208790301120159</v>
      </c>
      <c r="M55" s="81">
        <f t="shared" ca="1" si="4"/>
        <v>2.7349486416049479E-2</v>
      </c>
      <c r="N55" s="81">
        <f t="shared" ca="1" si="13"/>
        <v>7.9356905988531707E-8</v>
      </c>
      <c r="O55" s="39">
        <f t="shared" ca="1" si="14"/>
        <v>1114319.6706287877</v>
      </c>
      <c r="P55" s="81">
        <f t="shared" ca="1" si="15"/>
        <v>645968.06943144649</v>
      </c>
      <c r="Q55" s="81">
        <f t="shared" ca="1" si="16"/>
        <v>21397.447263907361</v>
      </c>
      <c r="R55" s="24">
        <f t="shared" ca="1" si="5"/>
        <v>2.8170357823167902E-4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>
      <c r="A56" s="87">
        <v>27834</v>
      </c>
      <c r="B56" s="87">
        <v>2.7382011998270173E-2</v>
      </c>
      <c r="C56" s="87">
        <v>1</v>
      </c>
      <c r="D56" s="88">
        <f t="shared" si="6"/>
        <v>2.7833999999999999</v>
      </c>
      <c r="E56" s="88">
        <f t="shared" si="6"/>
        <v>2.7382011998270173E-2</v>
      </c>
      <c r="F56" s="81">
        <f t="shared" si="7"/>
        <v>2.7833999999999999</v>
      </c>
      <c r="G56" s="81">
        <f t="shared" si="7"/>
        <v>2.7382011998270173E-2</v>
      </c>
      <c r="H56" s="81">
        <f t="shared" si="8"/>
        <v>7.7473155599999997</v>
      </c>
      <c r="I56" s="81">
        <f t="shared" si="9"/>
        <v>21.563878129703998</v>
      </c>
      <c r="J56" s="81">
        <f t="shared" si="10"/>
        <v>60.020898386218107</v>
      </c>
      <c r="K56" s="81">
        <f t="shared" si="11"/>
        <v>7.6215092195985198E-2</v>
      </c>
      <c r="L56" s="81">
        <f t="shared" si="12"/>
        <v>0.21213708761830519</v>
      </c>
      <c r="M56" s="81">
        <f t="shared" ca="1" si="4"/>
        <v>2.7221338702990802E-2</v>
      </c>
      <c r="N56" s="81">
        <f t="shared" ca="1" si="13"/>
        <v>2.5815907815931771E-8</v>
      </c>
      <c r="O56" s="39">
        <f t="shared" ca="1" si="14"/>
        <v>1121027.5775839307</v>
      </c>
      <c r="P56" s="81">
        <f t="shared" ca="1" si="15"/>
        <v>647578.00925888948</v>
      </c>
      <c r="Q56" s="81">
        <f t="shared" ca="1" si="16"/>
        <v>21386.500659049078</v>
      </c>
      <c r="R56" s="24">
        <f t="shared" ca="1" si="5"/>
        <v>1.6067329527937046E-4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>
      <c r="A57" s="87">
        <v>27846.5</v>
      </c>
      <c r="B57" s="87">
        <v>2.508848699653754E-2</v>
      </c>
      <c r="C57" s="87">
        <v>0.5</v>
      </c>
      <c r="D57" s="88">
        <f t="shared" si="6"/>
        <v>2.7846500000000001</v>
      </c>
      <c r="E57" s="88">
        <f t="shared" si="6"/>
        <v>2.508848699653754E-2</v>
      </c>
      <c r="F57" s="81">
        <f t="shared" si="7"/>
        <v>1.392325</v>
      </c>
      <c r="G57" s="81">
        <f t="shared" si="7"/>
        <v>1.254424349826877E-2</v>
      </c>
      <c r="H57" s="81">
        <f t="shared" si="8"/>
        <v>3.8771378112500003</v>
      </c>
      <c r="I57" s="81">
        <f t="shared" si="9"/>
        <v>10.796471806097314</v>
      </c>
      <c r="J57" s="81">
        <f t="shared" si="10"/>
        <v>30.064395214848886</v>
      </c>
      <c r="K57" s="81">
        <f t="shared" si="11"/>
        <v>3.4931327657454131E-2</v>
      </c>
      <c r="L57" s="81">
        <f t="shared" si="12"/>
        <v>9.7271521561329649E-2</v>
      </c>
      <c r="M57" s="81">
        <f t="shared" ca="1" si="4"/>
        <v>2.7208661377143992E-2</v>
      </c>
      <c r="N57" s="81">
        <f t="shared" ca="1" si="13"/>
        <v>2.2475697020899751E-6</v>
      </c>
      <c r="O57" s="39">
        <f t="shared" ca="1" si="14"/>
        <v>280368.54713669344</v>
      </c>
      <c r="P57" s="81">
        <f t="shared" ca="1" si="15"/>
        <v>161904.78497150663</v>
      </c>
      <c r="Q57" s="81">
        <f t="shared" ca="1" si="16"/>
        <v>5345.4189381809701</v>
      </c>
      <c r="R57" s="24">
        <f t="shared" ca="1" si="5"/>
        <v>-2.1201743806064516E-3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>
      <c r="A58" s="87">
        <v>27888</v>
      </c>
      <c r="B58" s="87">
        <v>2.7093983997474425E-2</v>
      </c>
      <c r="C58" s="87">
        <v>0.5</v>
      </c>
      <c r="D58" s="88">
        <f t="shared" si="6"/>
        <v>2.7888000000000002</v>
      </c>
      <c r="E58" s="88">
        <f t="shared" si="6"/>
        <v>2.7093983997474425E-2</v>
      </c>
      <c r="F58" s="81">
        <f t="shared" si="7"/>
        <v>1.3944000000000001</v>
      </c>
      <c r="G58" s="81">
        <f t="shared" si="7"/>
        <v>1.3546991998737212E-2</v>
      </c>
      <c r="H58" s="81">
        <f t="shared" si="8"/>
        <v>3.8887027200000004</v>
      </c>
      <c r="I58" s="81">
        <f t="shared" si="9"/>
        <v>10.844814145536002</v>
      </c>
      <c r="J58" s="81">
        <f t="shared" si="10"/>
        <v>30.244017689070805</v>
      </c>
      <c r="K58" s="81">
        <f t="shared" si="11"/>
        <v>3.7779851286078338E-2</v>
      </c>
      <c r="L58" s="81">
        <f t="shared" si="12"/>
        <v>0.10536044926661528</v>
      </c>
      <c r="M58" s="81">
        <f t="shared" ca="1" si="4"/>
        <v>2.7166243348012181E-2</v>
      </c>
      <c r="N58" s="81">
        <f t="shared" ca="1" si="13"/>
        <v>2.6107068700691977E-9</v>
      </c>
      <c r="O58" s="39">
        <f t="shared" ca="1" si="14"/>
        <v>280674.59828752209</v>
      </c>
      <c r="P58" s="81">
        <f t="shared" ca="1" si="15"/>
        <v>161902.50644795795</v>
      </c>
      <c r="Q58" s="81">
        <f t="shared" ca="1" si="16"/>
        <v>5340.2234567280102</v>
      </c>
      <c r="R58" s="24">
        <f t="shared" ca="1" si="5"/>
        <v>-7.2259350537756672E-5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>
      <c r="A59" s="87">
        <v>28676.5</v>
      </c>
      <c r="B59" s="87">
        <v>2.6498426988837309E-2</v>
      </c>
      <c r="C59" s="87">
        <v>1</v>
      </c>
      <c r="D59" s="88">
        <f t="shared" si="6"/>
        <v>2.8676499999999998</v>
      </c>
      <c r="E59" s="88">
        <f t="shared" si="6"/>
        <v>2.6498426988837309E-2</v>
      </c>
      <c r="F59" s="81">
        <f t="shared" si="7"/>
        <v>2.8676499999999998</v>
      </c>
      <c r="G59" s="81">
        <f t="shared" si="7"/>
        <v>2.6498426988837309E-2</v>
      </c>
      <c r="H59" s="81">
        <f t="shared" si="8"/>
        <v>8.2234165224999991</v>
      </c>
      <c r="I59" s="81">
        <f t="shared" si="9"/>
        <v>23.58188039074712</v>
      </c>
      <c r="J59" s="81">
        <f t="shared" si="10"/>
        <v>67.624579302525973</v>
      </c>
      <c r="K59" s="81">
        <f t="shared" si="11"/>
        <v>7.598821415453931E-2</v>
      </c>
      <c r="L59" s="81">
        <f t="shared" si="12"/>
        <v>0.21790760232026463</v>
      </c>
      <c r="M59" s="81">
        <f t="shared" ca="1" si="4"/>
        <v>2.6264130860374671E-2</v>
      </c>
      <c r="N59" s="81">
        <f t="shared" ca="1" si="13"/>
        <v>5.4894675812581088E-8</v>
      </c>
      <c r="O59" s="39">
        <f t="shared" ca="1" si="14"/>
        <v>1070890.2413486456</v>
      </c>
      <c r="P59" s="81">
        <f t="shared" ca="1" si="15"/>
        <v>605600.44118667056</v>
      </c>
      <c r="Q59" s="81">
        <f t="shared" ca="1" si="16"/>
        <v>19611.397715217958</v>
      </c>
      <c r="R59" s="24">
        <f t="shared" ca="1" si="5"/>
        <v>2.3429612846263825E-4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>
      <c r="A60" s="87">
        <v>28698</v>
      </c>
      <c r="B60" s="87">
        <v>2.7873563994944561E-2</v>
      </c>
      <c r="C60" s="87">
        <v>1</v>
      </c>
      <c r="D60" s="88">
        <f t="shared" si="6"/>
        <v>2.8698000000000001</v>
      </c>
      <c r="E60" s="88">
        <f t="shared" si="6"/>
        <v>2.7873563994944561E-2</v>
      </c>
      <c r="F60" s="81">
        <f t="shared" si="7"/>
        <v>2.8698000000000001</v>
      </c>
      <c r="G60" s="81">
        <f t="shared" si="7"/>
        <v>2.7873563994944561E-2</v>
      </c>
      <c r="H60" s="81">
        <f t="shared" si="8"/>
        <v>8.2357520400000013</v>
      </c>
      <c r="I60" s="81">
        <f t="shared" si="9"/>
        <v>23.634961204392006</v>
      </c>
      <c r="J60" s="81">
        <f t="shared" si="10"/>
        <v>67.827611664364184</v>
      </c>
      <c r="K60" s="81">
        <f t="shared" si="11"/>
        <v>7.9991553952691904E-2</v>
      </c>
      <c r="L60" s="81">
        <f t="shared" si="12"/>
        <v>0.22955976153343524</v>
      </c>
      <c r="M60" s="81">
        <f t="shared" ca="1" si="4"/>
        <v>2.6236973917964812E-2</v>
      </c>
      <c r="N60" s="81">
        <f t="shared" ca="1" si="13"/>
        <v>2.6784270800685813E-6</v>
      </c>
      <c r="O60" s="39">
        <f t="shared" ca="1" si="14"/>
        <v>1067529.9268526172</v>
      </c>
      <c r="P60" s="81">
        <f t="shared" ca="1" si="15"/>
        <v>603381.5337814003</v>
      </c>
      <c r="Q60" s="81">
        <f t="shared" ca="1" si="16"/>
        <v>19529.304877342067</v>
      </c>
      <c r="R60" s="24">
        <f t="shared" ca="1" si="5"/>
        <v>1.6365900769797492E-3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>
      <c r="A61" s="87">
        <v>29022.5</v>
      </c>
      <c r="B61" s="87">
        <v>2.5585922579921316E-2</v>
      </c>
      <c r="C61" s="87">
        <v>1</v>
      </c>
      <c r="D61" s="88">
        <f t="shared" si="6"/>
        <v>2.90225</v>
      </c>
      <c r="E61" s="88">
        <f t="shared" si="6"/>
        <v>2.5585922579921316E-2</v>
      </c>
      <c r="F61" s="81">
        <f t="shared" si="7"/>
        <v>2.90225</v>
      </c>
      <c r="G61" s="81">
        <f t="shared" si="7"/>
        <v>2.5585922579921316E-2</v>
      </c>
      <c r="H61" s="81">
        <f t="shared" si="8"/>
        <v>8.4230550624999996</v>
      </c>
      <c r="I61" s="81">
        <f t="shared" si="9"/>
        <v>24.445811555140622</v>
      </c>
      <c r="J61" s="81">
        <f t="shared" si="10"/>
        <v>70.947856585906877</v>
      </c>
      <c r="K61" s="81">
        <f t="shared" si="11"/>
        <v>7.4256743807576645E-2</v>
      </c>
      <c r="L61" s="81">
        <f t="shared" si="12"/>
        <v>0.21551163471553933</v>
      </c>
      <c r="M61" s="81">
        <f t="shared" ca="1" si="4"/>
        <v>2.5810594831717826E-2</v>
      </c>
      <c r="N61" s="81">
        <f t="shared" ca="1" si="13"/>
        <v>5.0477620727314126E-8</v>
      </c>
      <c r="O61" s="39">
        <f t="shared" ca="1" si="14"/>
        <v>1005130.440722905</v>
      </c>
      <c r="P61" s="81">
        <f t="shared" ca="1" si="15"/>
        <v>563557.40194774279</v>
      </c>
      <c r="Q61" s="81">
        <f t="shared" ca="1" si="16"/>
        <v>18090.732305191763</v>
      </c>
      <c r="R61" s="24">
        <f t="shared" ca="1" si="5"/>
        <v>-2.246722517965094E-4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>
      <c r="A62" s="87">
        <v>29022.5</v>
      </c>
      <c r="B62" s="87">
        <v>2.5593654994736426E-2</v>
      </c>
      <c r="C62" s="87">
        <v>1</v>
      </c>
      <c r="D62" s="88">
        <f t="shared" si="6"/>
        <v>2.90225</v>
      </c>
      <c r="E62" s="88">
        <f t="shared" si="6"/>
        <v>2.5593654994736426E-2</v>
      </c>
      <c r="F62" s="81">
        <f t="shared" si="7"/>
        <v>2.90225</v>
      </c>
      <c r="G62" s="81">
        <f t="shared" si="7"/>
        <v>2.5593654994736426E-2</v>
      </c>
      <c r="H62" s="81">
        <f t="shared" si="8"/>
        <v>8.4230550624999996</v>
      </c>
      <c r="I62" s="81">
        <f t="shared" si="9"/>
        <v>24.445811555140622</v>
      </c>
      <c r="J62" s="81">
        <f t="shared" si="10"/>
        <v>70.947856585906877</v>
      </c>
      <c r="K62" s="81">
        <f t="shared" si="11"/>
        <v>7.4279185208473791E-2</v>
      </c>
      <c r="L62" s="81">
        <f t="shared" si="12"/>
        <v>0.21557676527129305</v>
      </c>
      <c r="M62" s="81">
        <f t="shared" ca="1" si="4"/>
        <v>2.5810594831717826E-2</v>
      </c>
      <c r="N62" s="81">
        <f t="shared" ca="1" si="13"/>
        <v>4.7062892869516485E-8</v>
      </c>
      <c r="O62" s="39">
        <f t="shared" ca="1" si="14"/>
        <v>1005130.440722905</v>
      </c>
      <c r="P62" s="81">
        <f t="shared" ca="1" si="15"/>
        <v>563557.40194774279</v>
      </c>
      <c r="Q62" s="81">
        <f t="shared" ca="1" si="16"/>
        <v>18090.732305191763</v>
      </c>
      <c r="R62" s="24">
        <f t="shared" ca="1" si="5"/>
        <v>-2.1693983698140018E-4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>
      <c r="A63" s="87">
        <v>29140</v>
      </c>
      <c r="B63" s="87">
        <v>2.6634519992512651E-2</v>
      </c>
      <c r="C63" s="87">
        <v>1</v>
      </c>
      <c r="D63" s="88">
        <f t="shared" si="6"/>
        <v>2.9140000000000001</v>
      </c>
      <c r="E63" s="88">
        <f t="shared" si="6"/>
        <v>2.6634519992512651E-2</v>
      </c>
      <c r="F63" s="81">
        <f t="shared" si="7"/>
        <v>2.9140000000000001</v>
      </c>
      <c r="G63" s="81">
        <f t="shared" si="7"/>
        <v>2.6634519992512651E-2</v>
      </c>
      <c r="H63" s="81">
        <f t="shared" si="8"/>
        <v>8.4913960000000017</v>
      </c>
      <c r="I63" s="81">
        <f t="shared" si="9"/>
        <v>24.743927944000006</v>
      </c>
      <c r="J63" s="81">
        <f t="shared" si="10"/>
        <v>72.103806028816024</v>
      </c>
      <c r="K63" s="81">
        <f t="shared" si="11"/>
        <v>7.7612991258181871E-2</v>
      </c>
      <c r="L63" s="81">
        <f t="shared" si="12"/>
        <v>0.22616425652634198</v>
      </c>
      <c r="M63" s="81">
        <f t="shared" ca="1" si="4"/>
        <v>2.5648573198390229E-2</v>
      </c>
      <c r="N63" s="81">
        <f t="shared" ca="1" si="13"/>
        <v>9.7209108084028169E-7</v>
      </c>
      <c r="O63" s="39">
        <f t="shared" ca="1" si="14"/>
        <v>977387.19404285518</v>
      </c>
      <c r="P63" s="81">
        <f t="shared" ca="1" si="15"/>
        <v>546367.33531546837</v>
      </c>
      <c r="Q63" s="81">
        <f t="shared" ca="1" si="16"/>
        <v>17483.31611254083</v>
      </c>
      <c r="R63" s="24">
        <f t="shared" ca="1" si="5"/>
        <v>9.8594679412242203E-4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>
      <c r="A64" s="87">
        <v>30046</v>
      </c>
      <c r="B64" s="87">
        <v>2.3979827994480729E-2</v>
      </c>
      <c r="C64" s="87">
        <v>1</v>
      </c>
      <c r="D64" s="88">
        <f t="shared" si="6"/>
        <v>3.0045999999999999</v>
      </c>
      <c r="E64" s="88">
        <f t="shared" si="6"/>
        <v>2.3979827994480729E-2</v>
      </c>
      <c r="F64" s="81">
        <f t="shared" si="7"/>
        <v>3.0045999999999999</v>
      </c>
      <c r="G64" s="81">
        <f t="shared" si="7"/>
        <v>2.3979827994480729E-2</v>
      </c>
      <c r="H64" s="81">
        <f t="shared" si="8"/>
        <v>9.0276211599999989</v>
      </c>
      <c r="I64" s="81">
        <f t="shared" si="9"/>
        <v>27.124390537335998</v>
      </c>
      <c r="J64" s="81">
        <f t="shared" si="10"/>
        <v>81.497943808479732</v>
      </c>
      <c r="K64" s="81">
        <f t="shared" si="11"/>
        <v>7.20497911922168E-2</v>
      </c>
      <c r="L64" s="81">
        <f t="shared" si="12"/>
        <v>0.21648080261613459</v>
      </c>
      <c r="M64" s="81">
        <f t="shared" ca="1" si="4"/>
        <v>2.4263020731918133E-2</v>
      </c>
      <c r="N64" s="81">
        <f t="shared" ca="1" si="13"/>
        <v>8.0198126537290649E-8</v>
      </c>
      <c r="O64" s="39">
        <f t="shared" ca="1" si="14"/>
        <v>689882.85907790984</v>
      </c>
      <c r="P64" s="81">
        <f t="shared" ca="1" si="15"/>
        <v>375464.31879221887</v>
      </c>
      <c r="Q64" s="81">
        <f t="shared" ca="1" si="16"/>
        <v>11646.111158709366</v>
      </c>
      <c r="R64" s="24">
        <f t="shared" ca="1" si="5"/>
        <v>-2.8319273743740436E-4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>
      <c r="A65" s="87">
        <v>30161.5</v>
      </c>
      <c r="B65" s="87">
        <v>2.2427656993386336E-2</v>
      </c>
      <c r="C65" s="87">
        <v>0.5</v>
      </c>
      <c r="D65" s="88">
        <f t="shared" si="6"/>
        <v>3.0161500000000001</v>
      </c>
      <c r="E65" s="88">
        <f t="shared" si="6"/>
        <v>2.2427656993386336E-2</v>
      </c>
      <c r="F65" s="81">
        <f t="shared" si="7"/>
        <v>1.5080750000000001</v>
      </c>
      <c r="G65" s="81">
        <f t="shared" si="7"/>
        <v>1.1213828496693168E-2</v>
      </c>
      <c r="H65" s="81">
        <f t="shared" si="8"/>
        <v>4.5485804112500006</v>
      </c>
      <c r="I65" s="81">
        <f t="shared" si="9"/>
        <v>13.71920080739169</v>
      </c>
      <c r="J65" s="81">
        <f t="shared" si="10"/>
        <v>41.379167515214448</v>
      </c>
      <c r="K65" s="81">
        <f t="shared" si="11"/>
        <v>3.3822588820301099E-2</v>
      </c>
      <c r="L65" s="81">
        <f t="shared" si="12"/>
        <v>0.10201400127035117</v>
      </c>
      <c r="M65" s="81">
        <f t="shared" ca="1" si="4"/>
        <v>2.4069048495144185E-2</v>
      </c>
      <c r="N65" s="81">
        <f t="shared" ca="1" si="13"/>
        <v>1.3470830310214443E-6</v>
      </c>
      <c r="O65" s="39">
        <f t="shared" ca="1" si="14"/>
        <v>161606.44936752185</v>
      </c>
      <c r="P65" s="81">
        <f t="shared" ca="1" si="15"/>
        <v>87577.711256471521</v>
      </c>
      <c r="Q65" s="81">
        <f t="shared" ca="1" si="16"/>
        <v>2701.910119542893</v>
      </c>
      <c r="R65" s="24">
        <f t="shared" ca="1" si="5"/>
        <v>-1.6413915017578495E-3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>
      <c r="A66" s="87">
        <v>30264.5</v>
      </c>
      <c r="B66" s="87">
        <v>2.4269010995340068E-2</v>
      </c>
      <c r="C66" s="87">
        <v>1</v>
      </c>
      <c r="D66" s="88">
        <f t="shared" si="6"/>
        <v>3.0264500000000001</v>
      </c>
      <c r="E66" s="88">
        <f t="shared" si="6"/>
        <v>2.4269010995340068E-2</v>
      </c>
      <c r="F66" s="81">
        <f t="shared" si="7"/>
        <v>3.0264500000000001</v>
      </c>
      <c r="G66" s="81">
        <f t="shared" si="7"/>
        <v>2.4269010995340068E-2</v>
      </c>
      <c r="H66" s="81">
        <f t="shared" si="8"/>
        <v>9.1593996025000006</v>
      </c>
      <c r="I66" s="81">
        <f t="shared" si="9"/>
        <v>27.720464926986129</v>
      </c>
      <c r="J66" s="81">
        <f t="shared" si="10"/>
        <v>83.894601078277176</v>
      </c>
      <c r="K66" s="81">
        <f t="shared" si="11"/>
        <v>7.3448948326846952E-2</v>
      </c>
      <c r="L66" s="81">
        <f t="shared" si="12"/>
        <v>0.22228956966378596</v>
      </c>
      <c r="M66" s="81">
        <f t="shared" ca="1" si="4"/>
        <v>2.3892761818083641E-2</v>
      </c>
      <c r="N66" s="81">
        <f t="shared" ca="1" si="13"/>
        <v>1.4156344338613818E-7</v>
      </c>
      <c r="O66" s="39">
        <f t="shared" ca="1" si="14"/>
        <v>606949.09133550897</v>
      </c>
      <c r="P66" s="81">
        <f t="shared" ca="1" si="15"/>
        <v>327573.9169205823</v>
      </c>
      <c r="Q66" s="81">
        <f t="shared" ca="1" si="16"/>
        <v>10053.464638841051</v>
      </c>
      <c r="R66" s="24">
        <f t="shared" ca="1" si="5"/>
        <v>3.7624917725642693E-4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>
      <c r="A67" s="87">
        <v>30301</v>
      </c>
      <c r="B67" s="87">
        <v>2.4491917996783741E-2</v>
      </c>
      <c r="C67" s="87">
        <v>1</v>
      </c>
      <c r="D67" s="88">
        <f t="shared" si="6"/>
        <v>3.0301</v>
      </c>
      <c r="E67" s="88">
        <f t="shared" si="6"/>
        <v>2.4491917996783741E-2</v>
      </c>
      <c r="F67" s="81">
        <f t="shared" si="7"/>
        <v>3.0301</v>
      </c>
      <c r="G67" s="81">
        <f t="shared" si="7"/>
        <v>2.4491917996783741E-2</v>
      </c>
      <c r="H67" s="81">
        <f t="shared" si="8"/>
        <v>9.1815060099999997</v>
      </c>
      <c r="I67" s="81">
        <f t="shared" si="9"/>
        <v>27.820881360900998</v>
      </c>
      <c r="J67" s="81">
        <f t="shared" si="10"/>
        <v>84.300052611666118</v>
      </c>
      <c r="K67" s="81">
        <f t="shared" si="11"/>
        <v>7.4212960722054411E-2</v>
      </c>
      <c r="L67" s="81">
        <f t="shared" si="12"/>
        <v>0.22487269228389706</v>
      </c>
      <c r="M67" s="81">
        <f t="shared" ca="1" si="4"/>
        <v>2.382954308127358E-2</v>
      </c>
      <c r="N67" s="81">
        <f t="shared" ca="1" si="13"/>
        <v>4.3874052869709295E-7</v>
      </c>
      <c r="O67" s="39">
        <f t="shared" ca="1" si="14"/>
        <v>592830.24987416598</v>
      </c>
      <c r="P67" s="81">
        <f t="shared" ca="1" si="15"/>
        <v>319467.21312850772</v>
      </c>
      <c r="Q67" s="81">
        <f t="shared" ca="1" si="16"/>
        <v>9785.4212317593156</v>
      </c>
      <c r="R67" s="24">
        <f t="shared" ca="1" si="5"/>
        <v>6.6237491551016103E-4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>
      <c r="A68" s="87">
        <v>30756</v>
      </c>
      <c r="B68" s="87">
        <v>2.4807608002447523E-2</v>
      </c>
      <c r="C68" s="87">
        <v>1</v>
      </c>
      <c r="D68" s="88">
        <f t="shared" si="6"/>
        <v>3.0756000000000001</v>
      </c>
      <c r="E68" s="88">
        <f t="shared" si="6"/>
        <v>2.4807608002447523E-2</v>
      </c>
      <c r="F68" s="81">
        <f t="shared" si="7"/>
        <v>3.0756000000000001</v>
      </c>
      <c r="G68" s="81">
        <f t="shared" si="7"/>
        <v>2.4807608002447523E-2</v>
      </c>
      <c r="H68" s="81">
        <f t="shared" si="8"/>
        <v>9.4593153600000015</v>
      </c>
      <c r="I68" s="81">
        <f t="shared" si="9"/>
        <v>29.093070321216004</v>
      </c>
      <c r="J68" s="81">
        <f t="shared" si="10"/>
        <v>89.478647079931946</v>
      </c>
      <c r="K68" s="81">
        <f t="shared" si="11"/>
        <v>7.6298279172327607E-2</v>
      </c>
      <c r="L68" s="81">
        <f t="shared" si="12"/>
        <v>0.23466298742241079</v>
      </c>
      <c r="M68" s="81">
        <f t="shared" ca="1" si="4"/>
        <v>2.300861186187117E-2</v>
      </c>
      <c r="N68" s="81">
        <f t="shared" ca="1" si="13"/>
        <v>3.2363871138086143E-6</v>
      </c>
      <c r="O68" s="39">
        <f t="shared" ca="1" si="14"/>
        <v>414902.49583756214</v>
      </c>
      <c r="P68" s="81">
        <f t="shared" ca="1" si="15"/>
        <v>218412.50609280102</v>
      </c>
      <c r="Q68" s="81">
        <f t="shared" ca="1" si="16"/>
        <v>6483.3118458202161</v>
      </c>
      <c r="R68" s="24">
        <f t="shared" ca="1" si="5"/>
        <v>1.7989961405763533E-3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>
      <c r="A69" s="87">
        <v>31050</v>
      </c>
      <c r="B69" s="87">
        <v>2.2683899995172396E-2</v>
      </c>
      <c r="C69" s="87">
        <v>1</v>
      </c>
      <c r="D69" s="88">
        <f t="shared" si="6"/>
        <v>3.105</v>
      </c>
      <c r="E69" s="88">
        <f t="shared" si="6"/>
        <v>2.2683899995172396E-2</v>
      </c>
      <c r="F69" s="81">
        <f t="shared" si="7"/>
        <v>3.105</v>
      </c>
      <c r="G69" s="81">
        <f t="shared" si="7"/>
        <v>2.2683899995172396E-2</v>
      </c>
      <c r="H69" s="81">
        <f t="shared" si="8"/>
        <v>9.6410249999999991</v>
      </c>
      <c r="I69" s="81">
        <f t="shared" si="9"/>
        <v>29.935382624999995</v>
      </c>
      <c r="J69" s="81">
        <f t="shared" si="10"/>
        <v>92.949363050624981</v>
      </c>
      <c r="K69" s="81">
        <f t="shared" si="11"/>
        <v>7.0433509485010287E-2</v>
      </c>
      <c r="L69" s="81">
        <f t="shared" si="12"/>
        <v>0.21869604695095693</v>
      </c>
      <c r="M69" s="81">
        <f t="shared" ca="1" si="4"/>
        <v>2.2445805475026198E-2</v>
      </c>
      <c r="N69" s="81">
        <f t="shared" ca="1" si="13"/>
        <v>5.6689000523648353E-8</v>
      </c>
      <c r="O69" s="39">
        <f t="shared" ca="1" si="14"/>
        <v>303391.0048724286</v>
      </c>
      <c r="P69" s="81">
        <f t="shared" ca="1" si="15"/>
        <v>156194.90807916826</v>
      </c>
      <c r="Q69" s="81">
        <f t="shared" ca="1" si="16"/>
        <v>4492.4683215648647</v>
      </c>
      <c r="R69" s="24">
        <f t="shared" ca="1" si="5"/>
        <v>2.3809452014619814E-4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>
      <c r="A70" s="87">
        <v>31132.5</v>
      </c>
      <c r="B70" s="87">
        <v>2.304663499671733E-2</v>
      </c>
      <c r="C70" s="87">
        <v>1</v>
      </c>
      <c r="D70" s="88">
        <f t="shared" si="6"/>
        <v>3.1132499999999999</v>
      </c>
      <c r="E70" s="88">
        <f t="shared" si="6"/>
        <v>2.304663499671733E-2</v>
      </c>
      <c r="F70" s="81">
        <f t="shared" si="7"/>
        <v>3.1132499999999999</v>
      </c>
      <c r="G70" s="81">
        <f t="shared" si="7"/>
        <v>2.304663499671733E-2</v>
      </c>
      <c r="H70" s="81">
        <f t="shared" si="8"/>
        <v>9.6923255624999989</v>
      </c>
      <c r="I70" s="81">
        <f t="shared" si="9"/>
        <v>30.174632557453119</v>
      </c>
      <c r="J70" s="81">
        <f t="shared" si="10"/>
        <v>93.941174809490917</v>
      </c>
      <c r="K70" s="81">
        <f t="shared" si="11"/>
        <v>7.1749936403530223E-2</v>
      </c>
      <c r="L70" s="81">
        <f t="shared" si="12"/>
        <v>0.22337548950829045</v>
      </c>
      <c r="M70" s="81">
        <f t="shared" ca="1" si="4"/>
        <v>2.2283310766432418E-2</v>
      </c>
      <c r="N70" s="81">
        <f t="shared" ca="1" si="13"/>
        <v>5.8266388054005328E-7</v>
      </c>
      <c r="O70" s="39">
        <f t="shared" ca="1" si="14"/>
        <v>273453.29579901497</v>
      </c>
      <c r="P70" s="81">
        <f t="shared" ca="1" si="15"/>
        <v>139666.37623170405</v>
      </c>
      <c r="Q70" s="81">
        <f t="shared" ca="1" si="16"/>
        <v>3970.7019157907139</v>
      </c>
      <c r="R70" s="24">
        <f t="shared" ca="1" si="5"/>
        <v>7.6332423028491192E-4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>
      <c r="A71" s="87">
        <v>31170.5</v>
      </c>
      <c r="B71" s="87">
        <v>2.2614319001149852E-2</v>
      </c>
      <c r="C71" s="87">
        <v>1</v>
      </c>
      <c r="D71" s="88">
        <f t="shared" si="6"/>
        <v>3.1170499999999999</v>
      </c>
      <c r="E71" s="88">
        <f t="shared" si="6"/>
        <v>2.2614319001149852E-2</v>
      </c>
      <c r="F71" s="81">
        <f t="shared" si="7"/>
        <v>3.1170499999999999</v>
      </c>
      <c r="G71" s="81">
        <f t="shared" si="7"/>
        <v>2.2614319001149852E-2</v>
      </c>
      <c r="H71" s="81">
        <f t="shared" si="8"/>
        <v>9.7160007024999988</v>
      </c>
      <c r="I71" s="81">
        <f t="shared" si="9"/>
        <v>30.285259989727621</v>
      </c>
      <c r="J71" s="81">
        <f t="shared" si="10"/>
        <v>94.400669650980475</v>
      </c>
      <c r="K71" s="81">
        <f t="shared" si="11"/>
        <v>7.0489963042534146E-2</v>
      </c>
      <c r="L71" s="81">
        <f t="shared" si="12"/>
        <v>0.21972073930173106</v>
      </c>
      <c r="M71" s="81">
        <f t="shared" ca="1" si="4"/>
        <v>2.2207791850377079E-2</v>
      </c>
      <c r="N71" s="81">
        <f t="shared" ca="1" si="13"/>
        <v>1.6526432431542893E-7</v>
      </c>
      <c r="O71" s="39">
        <f t="shared" ca="1" si="14"/>
        <v>259931.94191634934</v>
      </c>
      <c r="P71" s="81">
        <f t="shared" ca="1" si="15"/>
        <v>132229.55709036632</v>
      </c>
      <c r="Q71" s="81">
        <f t="shared" ca="1" si="16"/>
        <v>3737.1289447897193</v>
      </c>
      <c r="R71" s="24">
        <f t="shared" ca="1" si="5"/>
        <v>4.0652715077277302E-4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>
      <c r="A72" s="87">
        <v>31171</v>
      </c>
      <c r="B72" s="87">
        <v>2.296257799025625E-2</v>
      </c>
      <c r="C72" s="87">
        <v>1</v>
      </c>
      <c r="D72" s="88">
        <f t="shared" si="6"/>
        <v>3.1171000000000002</v>
      </c>
      <c r="E72" s="88">
        <f t="shared" si="6"/>
        <v>2.296257799025625E-2</v>
      </c>
      <c r="F72" s="81">
        <f t="shared" si="7"/>
        <v>3.1171000000000002</v>
      </c>
      <c r="G72" s="81">
        <f t="shared" si="7"/>
        <v>2.296257799025625E-2</v>
      </c>
      <c r="H72" s="81">
        <f t="shared" si="8"/>
        <v>9.7163124100000005</v>
      </c>
      <c r="I72" s="81">
        <f t="shared" si="9"/>
        <v>30.286717413211004</v>
      </c>
      <c r="J72" s="81">
        <f t="shared" si="10"/>
        <v>94.406726848720027</v>
      </c>
      <c r="K72" s="81">
        <f t="shared" si="11"/>
        <v>7.1576651853427764E-2</v>
      </c>
      <c r="L72" s="81">
        <f t="shared" si="12"/>
        <v>0.22311158149231969</v>
      </c>
      <c r="M72" s="81">
        <f t="shared" ca="1" si="4"/>
        <v>2.2206795351707026E-2</v>
      </c>
      <c r="N72" s="81">
        <f t="shared" ca="1" si="13"/>
        <v>5.7120739673242682E-7</v>
      </c>
      <c r="O72" s="39">
        <f t="shared" ca="1" si="14"/>
        <v>259755.24362554558</v>
      </c>
      <c r="P72" s="81">
        <f t="shared" ca="1" si="15"/>
        <v>132132.49508780832</v>
      </c>
      <c r="Q72" s="81">
        <f t="shared" ca="1" si="16"/>
        <v>3734.0856857528097</v>
      </c>
      <c r="R72" s="24">
        <f t="shared" ca="1" si="5"/>
        <v>7.557826385492239E-4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>
      <c r="A73" s="87">
        <v>31171.5</v>
      </c>
      <c r="B73" s="87">
        <v>2.2110836995125283E-2</v>
      </c>
      <c r="C73" s="87">
        <v>1</v>
      </c>
      <c r="D73" s="88">
        <f t="shared" si="6"/>
        <v>3.1171500000000001</v>
      </c>
      <c r="E73" s="88">
        <f t="shared" si="6"/>
        <v>2.2110836995125283E-2</v>
      </c>
      <c r="F73" s="81">
        <f t="shared" si="7"/>
        <v>3.1171500000000001</v>
      </c>
      <c r="G73" s="81">
        <f t="shared" si="7"/>
        <v>2.2110836995125283E-2</v>
      </c>
      <c r="H73" s="81">
        <f t="shared" si="8"/>
        <v>9.7166241225000007</v>
      </c>
      <c r="I73" s="81">
        <f t="shared" si="9"/>
        <v>30.288174883450878</v>
      </c>
      <c r="J73" s="81">
        <f t="shared" si="10"/>
        <v>94.412784337948906</v>
      </c>
      <c r="K73" s="81">
        <f t="shared" si="11"/>
        <v>6.8922795539354778E-2</v>
      </c>
      <c r="L73" s="81">
        <f t="shared" si="12"/>
        <v>0.21484269211549975</v>
      </c>
      <c r="M73" s="81">
        <f t="shared" ca="1" si="4"/>
        <v>2.2205798779563662E-2</v>
      </c>
      <c r="N73" s="81">
        <f t="shared" ca="1" si="13"/>
        <v>9.0177405037213268E-9</v>
      </c>
      <c r="O73" s="39">
        <f t="shared" ca="1" si="14"/>
        <v>259578.57760957189</v>
      </c>
      <c r="P73" s="81">
        <f t="shared" ca="1" si="15"/>
        <v>132035.45404692975</v>
      </c>
      <c r="Q73" s="81">
        <f t="shared" ca="1" si="16"/>
        <v>3731.0432218350716</v>
      </c>
      <c r="R73" s="24">
        <f t="shared" ca="1" si="5"/>
        <v>-9.4961784438379881E-5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>
      <c r="A74" s="87">
        <v>31173.5</v>
      </c>
      <c r="B74" s="87">
        <v>2.1803872994496487E-2</v>
      </c>
      <c r="C74" s="87">
        <v>1</v>
      </c>
      <c r="D74" s="88">
        <f t="shared" si="6"/>
        <v>3.1173500000000001</v>
      </c>
      <c r="E74" s="88">
        <f t="shared" si="6"/>
        <v>2.1803872994496487E-2</v>
      </c>
      <c r="F74" s="81">
        <f t="shared" si="7"/>
        <v>3.1173500000000001</v>
      </c>
      <c r="G74" s="81">
        <f t="shared" si="7"/>
        <v>2.1803872994496487E-2</v>
      </c>
      <c r="H74" s="81">
        <f t="shared" si="8"/>
        <v>9.7178710225000007</v>
      </c>
      <c r="I74" s="81">
        <f t="shared" si="9"/>
        <v>30.294005231990379</v>
      </c>
      <c r="J74" s="81">
        <f t="shared" si="10"/>
        <v>94.437017209945211</v>
      </c>
      <c r="K74" s="81">
        <f t="shared" si="11"/>
        <v>6.7970303479393632E-2</v>
      </c>
      <c r="L74" s="81">
        <f t="shared" si="12"/>
        <v>0.21188722555148773</v>
      </c>
      <c r="M74" s="81">
        <f t="shared" ca="1" si="4"/>
        <v>2.2201811756257239E-2</v>
      </c>
      <c r="N74" s="81">
        <f t="shared" ca="1" si="13"/>
        <v>1.5835525811168066E-7</v>
      </c>
      <c r="O74" s="39">
        <f t="shared" ca="1" si="14"/>
        <v>258872.23686144367</v>
      </c>
      <c r="P74" s="81">
        <f t="shared" ca="1" si="15"/>
        <v>131647.49982366286</v>
      </c>
      <c r="Q74" s="81">
        <f t="shared" ca="1" si="16"/>
        <v>3718.8813282274459</v>
      </c>
      <c r="R74" s="24">
        <f t="shared" ca="1" si="5"/>
        <v>-3.9793876176075216E-4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>
      <c r="A75" s="87">
        <v>31826</v>
      </c>
      <c r="B75" s="87">
        <v>1.9981867990281899E-2</v>
      </c>
      <c r="C75" s="87">
        <v>1</v>
      </c>
      <c r="D75" s="88">
        <f t="shared" si="6"/>
        <v>3.1825999999999999</v>
      </c>
      <c r="E75" s="88">
        <f t="shared" si="6"/>
        <v>1.9981867990281899E-2</v>
      </c>
      <c r="F75" s="81">
        <f t="shared" si="7"/>
        <v>3.1825999999999999</v>
      </c>
      <c r="G75" s="81">
        <f t="shared" si="7"/>
        <v>1.9981867990281899E-2</v>
      </c>
      <c r="H75" s="81">
        <f t="shared" si="8"/>
        <v>10.128942759999999</v>
      </c>
      <c r="I75" s="81">
        <f t="shared" si="9"/>
        <v>32.236373227975996</v>
      </c>
      <c r="J75" s="81">
        <f t="shared" si="10"/>
        <v>102.5954814353564</v>
      </c>
      <c r="K75" s="81">
        <f t="shared" si="11"/>
        <v>6.3594293065871166E-2</v>
      </c>
      <c r="L75" s="81">
        <f t="shared" si="12"/>
        <v>0.20239519711144158</v>
      </c>
      <c r="M75" s="81">
        <f t="shared" ca="1" si="4"/>
        <v>2.0838290205801246E-2</v>
      </c>
      <c r="N75" s="81">
        <f t="shared" ca="1" si="13"/>
        <v>7.3345901123506849E-7</v>
      </c>
      <c r="O75" s="39">
        <f t="shared" ca="1" si="14"/>
        <v>67175.80945596387</v>
      </c>
      <c r="P75" s="81">
        <f t="shared" ca="1" si="15"/>
        <v>29341.619861882824</v>
      </c>
      <c r="Q75" s="81">
        <f t="shared" ca="1" si="16"/>
        <v>643.5913883679226</v>
      </c>
      <c r="R75" s="24">
        <f t="shared" ca="1" si="5"/>
        <v>-8.5642221551934794E-4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>
      <c r="A76" s="87">
        <v>31853.5</v>
      </c>
      <c r="B76" s="87">
        <v>2.0336112997028977E-2</v>
      </c>
      <c r="C76" s="87">
        <v>1</v>
      </c>
      <c r="D76" s="88">
        <f t="shared" si="6"/>
        <v>3.1853500000000001</v>
      </c>
      <c r="E76" s="88">
        <f t="shared" si="6"/>
        <v>2.0336112997028977E-2</v>
      </c>
      <c r="F76" s="81">
        <f t="shared" si="7"/>
        <v>3.1853500000000001</v>
      </c>
      <c r="G76" s="81">
        <f t="shared" si="7"/>
        <v>2.0336112997028977E-2</v>
      </c>
      <c r="H76" s="81">
        <f t="shared" si="8"/>
        <v>10.1464546225</v>
      </c>
      <c r="I76" s="81">
        <f t="shared" si="9"/>
        <v>32.320009231780375</v>
      </c>
      <c r="J76" s="81">
        <f t="shared" si="10"/>
        <v>102.95054140645162</v>
      </c>
      <c r="K76" s="81">
        <f t="shared" si="11"/>
        <v>6.4777637535086252E-2</v>
      </c>
      <c r="L76" s="81">
        <f t="shared" si="12"/>
        <v>0.20633944772238699</v>
      </c>
      <c r="M76" s="81">
        <f t="shared" ca="1" si="4"/>
        <v>2.0778075878967961E-2</v>
      </c>
      <c r="N76" s="81">
        <f t="shared" ca="1" si="13"/>
        <v>1.9533118901181252E-7</v>
      </c>
      <c r="O76" s="39">
        <f t="shared" ca="1" si="14"/>
        <v>61326.764355404215</v>
      </c>
      <c r="P76" s="81">
        <f t="shared" ca="1" si="15"/>
        <v>26395.271373798001</v>
      </c>
      <c r="Q76" s="81">
        <f t="shared" ca="1" si="16"/>
        <v>563.21114167801511</v>
      </c>
      <c r="R76" s="24">
        <f t="shared" ca="1" si="5"/>
        <v>-4.4196288193898425E-4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>
      <c r="A77" s="87">
        <v>31950.5</v>
      </c>
      <c r="B77" s="87">
        <v>1.9698358999448828E-2</v>
      </c>
      <c r="C77" s="87">
        <v>1</v>
      </c>
      <c r="D77" s="88">
        <f t="shared" si="6"/>
        <v>3.1950500000000002</v>
      </c>
      <c r="E77" s="88">
        <f t="shared" si="6"/>
        <v>1.9698358999448828E-2</v>
      </c>
      <c r="F77" s="81">
        <f t="shared" si="7"/>
        <v>3.1950500000000002</v>
      </c>
      <c r="G77" s="81">
        <f t="shared" si="7"/>
        <v>1.9698358999448828E-2</v>
      </c>
      <c r="H77" s="81">
        <f t="shared" si="8"/>
        <v>10.208344502500001</v>
      </c>
      <c r="I77" s="81">
        <f t="shared" si="9"/>
        <v>32.616171102712627</v>
      </c>
      <c r="J77" s="81">
        <f t="shared" si="10"/>
        <v>104.21029748172198</v>
      </c>
      <c r="K77" s="81">
        <f t="shared" si="11"/>
        <v>6.2937241921188977E-2</v>
      </c>
      <c r="L77" s="81">
        <f t="shared" si="12"/>
        <v>0.20108763480029485</v>
      </c>
      <c r="M77" s="81">
        <f t="shared" ca="1" si="4"/>
        <v>2.0563908925577717E-2</v>
      </c>
      <c r="N77" s="81">
        <f t="shared" ca="1" si="13"/>
        <v>7.491766746217253E-7</v>
      </c>
      <c r="O77" s="39">
        <f t="shared" ca="1" si="14"/>
        <v>42550.071563347206</v>
      </c>
      <c r="P77" s="81">
        <f t="shared" ca="1" si="15"/>
        <v>17119.271711614696</v>
      </c>
      <c r="Q77" s="81">
        <f t="shared" ca="1" si="16"/>
        <v>319.33428922633266</v>
      </c>
      <c r="R77" s="24">
        <f t="shared" ca="1" si="5"/>
        <v>-8.6554992612888904E-4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>
      <c r="A78" s="87">
        <v>32057.5</v>
      </c>
      <c r="B78" s="87">
        <v>2.2325784993881825E-2</v>
      </c>
      <c r="C78" s="87">
        <v>0.5</v>
      </c>
      <c r="D78" s="88">
        <f t="shared" si="6"/>
        <v>3.2057500000000001</v>
      </c>
      <c r="E78" s="88">
        <f t="shared" si="6"/>
        <v>2.2325784993881825E-2</v>
      </c>
      <c r="F78" s="81">
        <f t="shared" si="7"/>
        <v>1.602875</v>
      </c>
      <c r="G78" s="81">
        <f t="shared" si="7"/>
        <v>1.1162892496940913E-2</v>
      </c>
      <c r="H78" s="81">
        <f t="shared" si="8"/>
        <v>5.1384165312500008</v>
      </c>
      <c r="I78" s="81">
        <f t="shared" si="9"/>
        <v>16.472478795054691</v>
      </c>
      <c r="J78" s="81">
        <f t="shared" si="10"/>
        <v>52.806648897246575</v>
      </c>
      <c r="K78" s="81">
        <f t="shared" si="11"/>
        <v>3.5785442622068335E-2</v>
      </c>
      <c r="L78" s="81">
        <f t="shared" si="12"/>
        <v>0.11471918268569557</v>
      </c>
      <c r="M78" s="81">
        <f t="shared" ca="1" si="4"/>
        <v>2.0324455354541887E-2</v>
      </c>
      <c r="N78" s="81">
        <f t="shared" ca="1" si="13"/>
        <v>2.0026601626502638E-6</v>
      </c>
      <c r="O78" s="39">
        <f t="shared" ca="1" si="14"/>
        <v>6356.4933893389871</v>
      </c>
      <c r="P78" s="81">
        <f t="shared" ca="1" si="15"/>
        <v>2259.7246980941995</v>
      </c>
      <c r="Q78" s="81">
        <f t="shared" ca="1" si="16"/>
        <v>31.610240981260318</v>
      </c>
      <c r="R78" s="24">
        <f t="shared" ca="1" si="5"/>
        <v>2.0013296393399382E-3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>
      <c r="A79" s="87">
        <v>32099.5</v>
      </c>
      <c r="B79" s="87">
        <v>2.0279540993215051E-2</v>
      </c>
      <c r="C79" s="87">
        <v>1</v>
      </c>
      <c r="D79" s="88">
        <f t="shared" si="6"/>
        <v>3.2099500000000001</v>
      </c>
      <c r="E79" s="88">
        <f t="shared" si="6"/>
        <v>2.0279540993215051E-2</v>
      </c>
      <c r="F79" s="81">
        <f t="shared" si="7"/>
        <v>3.2099500000000001</v>
      </c>
      <c r="G79" s="81">
        <f t="shared" si="7"/>
        <v>2.0279540993215051E-2</v>
      </c>
      <c r="H79" s="81">
        <f t="shared" si="8"/>
        <v>10.303779002500001</v>
      </c>
      <c r="I79" s="81">
        <f t="shared" si="9"/>
        <v>33.07461540907488</v>
      </c>
      <c r="J79" s="81">
        <f t="shared" si="10"/>
        <v>106.16786173235991</v>
      </c>
      <c r="K79" s="81">
        <f t="shared" si="11"/>
        <v>6.5096312611170659E-2</v>
      </c>
      <c r="L79" s="81">
        <f t="shared" si="12"/>
        <v>0.20895590866622726</v>
      </c>
      <c r="M79" s="81">
        <f t="shared" ca="1" si="4"/>
        <v>2.0229544641406333E-2</v>
      </c>
      <c r="N79" s="81">
        <f t="shared" ca="1" si="13"/>
        <v>2.499635194181064E-9</v>
      </c>
      <c r="O79" s="39">
        <f t="shared" ca="1" si="14"/>
        <v>19806.399864222505</v>
      </c>
      <c r="P79" s="81">
        <f t="shared" ca="1" si="15"/>
        <v>6525.5375714357515</v>
      </c>
      <c r="Q79" s="81">
        <f t="shared" ca="1" si="16"/>
        <v>73.93352974320392</v>
      </c>
      <c r="R79" s="24">
        <f t="shared" ca="1" si="5"/>
        <v>4.9996351808717643E-5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>
      <c r="A80" s="87">
        <v>32235</v>
      </c>
      <c r="B80" s="87">
        <v>1.9057729994528927E-2</v>
      </c>
      <c r="C80" s="87">
        <v>1</v>
      </c>
      <c r="D80" s="88">
        <f t="shared" si="6"/>
        <v>3.2235</v>
      </c>
      <c r="E80" s="88">
        <f t="shared" si="6"/>
        <v>1.9057729994528927E-2</v>
      </c>
      <c r="F80" s="81">
        <f t="shared" si="7"/>
        <v>3.2235</v>
      </c>
      <c r="G80" s="81">
        <f t="shared" si="7"/>
        <v>1.9057729994528927E-2</v>
      </c>
      <c r="H80" s="81">
        <f t="shared" si="8"/>
        <v>10.39095225</v>
      </c>
      <c r="I80" s="81">
        <f t="shared" si="9"/>
        <v>33.495234577875003</v>
      </c>
      <c r="J80" s="81">
        <f t="shared" si="10"/>
        <v>107.97188866178007</v>
      </c>
      <c r="K80" s="81">
        <f t="shared" si="11"/>
        <v>6.1432592637363996E-2</v>
      </c>
      <c r="L80" s="81">
        <f t="shared" si="12"/>
        <v>0.19802796236654285</v>
      </c>
      <c r="M80" s="81">
        <f t="shared" ca="1" si="4"/>
        <v>1.9919810353295792E-2</v>
      </c>
      <c r="N80" s="81">
        <f t="shared" ca="1" si="13"/>
        <v>7.4318254497160601E-7</v>
      </c>
      <c r="O80" s="39">
        <f t="shared" ca="1" si="14"/>
        <v>6245.4710749096066</v>
      </c>
      <c r="P80" s="81">
        <f t="shared" ca="1" si="15"/>
        <v>1135.6690896140094</v>
      </c>
      <c r="Q80" s="81">
        <f t="shared" ca="1" si="16"/>
        <v>1.2882109711411042E-2</v>
      </c>
      <c r="R80" s="24">
        <f t="shared" ca="1" si="5"/>
        <v>-8.6208035876686462E-4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>
      <c r="A81" s="87">
        <v>32289.5</v>
      </c>
      <c r="B81" s="87">
        <v>2.1117960997798946E-2</v>
      </c>
      <c r="C81" s="87">
        <v>1</v>
      </c>
      <c r="D81" s="88">
        <f t="shared" si="6"/>
        <v>3.2289500000000002</v>
      </c>
      <c r="E81" s="88">
        <f t="shared" si="6"/>
        <v>2.1117960997798946E-2</v>
      </c>
      <c r="F81" s="81">
        <f t="shared" si="7"/>
        <v>3.2289500000000002</v>
      </c>
      <c r="G81" s="81">
        <f t="shared" si="7"/>
        <v>2.1117960997798946E-2</v>
      </c>
      <c r="H81" s="81">
        <f t="shared" si="8"/>
        <v>10.426118102500002</v>
      </c>
      <c r="I81" s="81">
        <f t="shared" si="9"/>
        <v>33.665414047067387</v>
      </c>
      <c r="J81" s="81">
        <f t="shared" si="10"/>
        <v>108.70393868727824</v>
      </c>
      <c r="K81" s="81">
        <f t="shared" si="11"/>
        <v>6.8188840163842912E-2</v>
      </c>
      <c r="L81" s="81">
        <f t="shared" si="12"/>
        <v>0.22017835544704059</v>
      </c>
      <c r="M81" s="81">
        <f t="shared" ca="1" si="4"/>
        <v>1.9793709247484081E-2</v>
      </c>
      <c r="N81" s="81">
        <f t="shared" ca="1" si="13"/>
        <v>1.7536426982119818E-6</v>
      </c>
      <c r="O81" s="39">
        <f t="shared" ca="1" si="14"/>
        <v>2877.6577128283084</v>
      </c>
      <c r="P81" s="81">
        <f t="shared" ca="1" si="15"/>
        <v>205.77337192126109</v>
      </c>
      <c r="Q81" s="81">
        <f t="shared" ca="1" si="16"/>
        <v>13.637696971145093</v>
      </c>
      <c r="R81" s="24">
        <f t="shared" ca="1" si="5"/>
        <v>1.3242517503148643E-3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>
      <c r="A82" s="87">
        <v>32292.5</v>
      </c>
      <c r="B82" s="87">
        <v>2.0207514993671793E-2</v>
      </c>
      <c r="C82" s="87">
        <v>1</v>
      </c>
      <c r="D82" s="88">
        <f t="shared" si="6"/>
        <v>3.22925</v>
      </c>
      <c r="E82" s="88">
        <f t="shared" si="6"/>
        <v>2.0207514993671793E-2</v>
      </c>
      <c r="F82" s="81">
        <f t="shared" si="7"/>
        <v>3.22925</v>
      </c>
      <c r="G82" s="81">
        <f t="shared" si="7"/>
        <v>2.0207514993671793E-2</v>
      </c>
      <c r="H82" s="81">
        <f t="shared" si="8"/>
        <v>10.428055562499999</v>
      </c>
      <c r="I82" s="81">
        <f t="shared" si="9"/>
        <v>33.674798425203122</v>
      </c>
      <c r="J82" s="81">
        <f t="shared" si="10"/>
        <v>108.74434281458718</v>
      </c>
      <c r="K82" s="81">
        <f t="shared" si="11"/>
        <v>6.5255117793314638E-2</v>
      </c>
      <c r="L82" s="81">
        <f t="shared" si="12"/>
        <v>0.21072508913406129</v>
      </c>
      <c r="M82" s="81">
        <f t="shared" ca="1" si="4"/>
        <v>1.9786742553922376E-2</v>
      </c>
      <c r="N82" s="81">
        <f t="shared" ca="1" si="13"/>
        <v>1.7704944605267697E-7</v>
      </c>
      <c r="O82" s="39">
        <f t="shared" ca="1" si="14"/>
        <v>2728.712416113211</v>
      </c>
      <c r="P82" s="81">
        <f t="shared" ca="1" si="15"/>
        <v>176.15738855737348</v>
      </c>
      <c r="Q82" s="81">
        <f t="shared" ca="1" si="16"/>
        <v>15.14153984308766</v>
      </c>
      <c r="R82" s="24">
        <f t="shared" ca="1" si="5"/>
        <v>4.2077243974941725E-4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>
      <c r="A83" s="87">
        <v>32444</v>
      </c>
      <c r="B83" s="87">
        <v>1.7129991996625904E-2</v>
      </c>
      <c r="C83" s="87">
        <v>0.5</v>
      </c>
      <c r="D83" s="88">
        <f t="shared" si="6"/>
        <v>3.2444000000000002</v>
      </c>
      <c r="E83" s="88">
        <f t="shared" si="6"/>
        <v>1.7129991996625904E-2</v>
      </c>
      <c r="F83" s="81">
        <f t="shared" si="7"/>
        <v>1.6222000000000001</v>
      </c>
      <c r="G83" s="81">
        <f t="shared" si="7"/>
        <v>8.564995998312952E-3</v>
      </c>
      <c r="H83" s="81">
        <f t="shared" si="8"/>
        <v>5.2630656800000004</v>
      </c>
      <c r="I83" s="81">
        <f t="shared" si="9"/>
        <v>17.075490292192001</v>
      </c>
      <c r="J83" s="81">
        <f t="shared" si="10"/>
        <v>55.399720703987732</v>
      </c>
      <c r="K83" s="81">
        <f t="shared" si="11"/>
        <v>2.7788273016926542E-2</v>
      </c>
      <c r="L83" s="81">
        <f t="shared" si="12"/>
        <v>9.0156272976116475E-2</v>
      </c>
      <c r="M83" s="81">
        <f t="shared" ref="M83:M146" ca="1" si="17">+E$4+E$5*D83+E$6*D83^2</f>
        <v>1.9431484986830394E-2</v>
      </c>
      <c r="N83" s="81">
        <f t="shared" ca="1" si="13"/>
        <v>2.6484349919802025E-6</v>
      </c>
      <c r="O83" s="39">
        <f t="shared" ca="1" si="14"/>
        <v>100.80069248390367</v>
      </c>
      <c r="P83" s="81">
        <f t="shared" ca="1" si="15"/>
        <v>437.39004843536941</v>
      </c>
      <c r="Q83" s="81">
        <f t="shared" ca="1" si="16"/>
        <v>49.526989527091345</v>
      </c>
      <c r="R83" s="24">
        <f t="shared" ref="R83:R146" ca="1" si="18">+E83-M83</f>
        <v>-2.3014929902044901E-3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>
      <c r="A84" s="87">
        <v>33091</v>
      </c>
      <c r="B84" s="87">
        <v>1.6477138000482228E-2</v>
      </c>
      <c r="C84" s="87">
        <v>0.5</v>
      </c>
      <c r="D84" s="88">
        <f t="shared" ref="D84:E142" si="19">A84/A$18</f>
        <v>3.3090999999999999</v>
      </c>
      <c r="E84" s="88">
        <f t="shared" si="19"/>
        <v>1.6477138000482228E-2</v>
      </c>
      <c r="F84" s="81">
        <f t="shared" ref="F84:G142" si="20">$C84*D84</f>
        <v>1.65455</v>
      </c>
      <c r="G84" s="81">
        <f t="shared" si="20"/>
        <v>8.2385690002411138E-3</v>
      </c>
      <c r="H84" s="81">
        <f t="shared" ref="H84:H147" si="21">C84*D84*D84</f>
        <v>5.4750714049999996</v>
      </c>
      <c r="I84" s="81">
        <f t="shared" ref="I84:I147" si="22">C84*D84*D84*D84</f>
        <v>18.1175587862855</v>
      </c>
      <c r="J84" s="81">
        <f t="shared" ref="J84:J147" si="23">C84*D84*D84*D84*D84</f>
        <v>59.952813779697344</v>
      </c>
      <c r="K84" s="81">
        <f t="shared" ref="K84:K147" si="24">C84*E84*D84</f>
        <v>2.7262248678697868E-2</v>
      </c>
      <c r="L84" s="81">
        <f t="shared" ref="L84:L147" si="25">C84*E84*D84*D84</f>
        <v>9.0213507102679114E-2</v>
      </c>
      <c r="M84" s="81">
        <f t="shared" ca="1" si="17"/>
        <v>1.7838395460435835E-2</v>
      </c>
      <c r="N84" s="81">
        <f t="shared" ref="N84:N147" ca="1" si="26">C84*(M84-E84)^2</f>
        <v>9.2651093613967373E-7</v>
      </c>
      <c r="O84" s="39">
        <f t="shared" ref="O84:O147" ca="1" si="27">(C84*O$1-O$2*F84+O$3*H84)^2</f>
        <v>31882.36765952906</v>
      </c>
      <c r="P84" s="81">
        <f t="shared" ref="P84:P147" ca="1" si="28">(-C84*O$2+O$4*F84-O$5*H84)^2</f>
        <v>22201.74479222059</v>
      </c>
      <c r="Q84" s="81">
        <f t="shared" ref="Q84:Q147" ca="1" si="29">+(C84*O$3-F84*O$5+H84*O$6)^2</f>
        <v>940.22273810117315</v>
      </c>
      <c r="R84" s="24">
        <f t="shared" ca="1" si="18"/>
        <v>-1.3612574599536076E-3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>
      <c r="A85" s="87">
        <v>33111.5</v>
      </c>
      <c r="B85" s="87">
        <v>1.7095756993512623E-2</v>
      </c>
      <c r="C85" s="87">
        <v>1</v>
      </c>
      <c r="D85" s="88">
        <f t="shared" si="19"/>
        <v>3.31115</v>
      </c>
      <c r="E85" s="88">
        <f t="shared" si="19"/>
        <v>1.7095756993512623E-2</v>
      </c>
      <c r="F85" s="81">
        <f t="shared" si="20"/>
        <v>3.31115</v>
      </c>
      <c r="G85" s="81">
        <f t="shared" si="20"/>
        <v>1.7095756993512623E-2</v>
      </c>
      <c r="H85" s="81">
        <f t="shared" si="21"/>
        <v>10.9637143225</v>
      </c>
      <c r="I85" s="81">
        <f t="shared" si="22"/>
        <v>36.302502678945871</v>
      </c>
      <c r="J85" s="81">
        <f t="shared" si="23"/>
        <v>120.20303174539163</v>
      </c>
      <c r="K85" s="81">
        <f t="shared" si="24"/>
        <v>5.6606615769069321E-2</v>
      </c>
      <c r="L85" s="81">
        <f t="shared" si="25"/>
        <v>0.18743299580375389</v>
      </c>
      <c r="M85" s="81">
        <f t="shared" ca="1" si="17"/>
        <v>1.7785908118459315E-2</v>
      </c>
      <c r="N85" s="81">
        <f t="shared" ca="1" si="26"/>
        <v>4.7630857526518423E-7</v>
      </c>
      <c r="O85" s="39">
        <f t="shared" ca="1" si="27"/>
        <v>135820.42541637641</v>
      </c>
      <c r="P85" s="81">
        <f t="shared" ca="1" si="28"/>
        <v>94049.272963543699</v>
      </c>
      <c r="Q85" s="81">
        <f t="shared" ca="1" si="29"/>
        <v>3959.280558150725</v>
      </c>
      <c r="R85" s="24">
        <f t="shared" ca="1" si="18"/>
        <v>-6.9015112494669184E-4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>
      <c r="A86" s="87">
        <v>33111.5</v>
      </c>
      <c r="B86" s="87">
        <v>1.7305756991845556E-2</v>
      </c>
      <c r="C86" s="87">
        <v>1</v>
      </c>
      <c r="D86" s="88">
        <f t="shared" si="19"/>
        <v>3.31115</v>
      </c>
      <c r="E86" s="88">
        <f t="shared" si="19"/>
        <v>1.7305756991845556E-2</v>
      </c>
      <c r="F86" s="81">
        <f t="shared" si="20"/>
        <v>3.31115</v>
      </c>
      <c r="G86" s="81">
        <f t="shared" si="20"/>
        <v>1.7305756991845556E-2</v>
      </c>
      <c r="H86" s="81">
        <f t="shared" si="21"/>
        <v>10.9637143225</v>
      </c>
      <c r="I86" s="81">
        <f t="shared" si="22"/>
        <v>36.302502678945871</v>
      </c>
      <c r="J86" s="81">
        <f t="shared" si="23"/>
        <v>120.20303174539163</v>
      </c>
      <c r="K86" s="81">
        <f t="shared" si="24"/>
        <v>5.7301957263549412E-2</v>
      </c>
      <c r="L86" s="81">
        <f t="shared" si="25"/>
        <v>0.18973537579320163</v>
      </c>
      <c r="M86" s="81">
        <f t="shared" ca="1" si="17"/>
        <v>1.7785908118459315E-2</v>
      </c>
      <c r="N86" s="81">
        <f t="shared" ca="1" si="26"/>
        <v>2.3054510438846226E-7</v>
      </c>
      <c r="O86" s="39">
        <f t="shared" ca="1" si="27"/>
        <v>135820.42541637641</v>
      </c>
      <c r="P86" s="81">
        <f t="shared" ca="1" si="28"/>
        <v>94049.272963543699</v>
      </c>
      <c r="Q86" s="81">
        <f t="shared" ca="1" si="29"/>
        <v>3959.280558150725</v>
      </c>
      <c r="R86" s="24">
        <f t="shared" ca="1" si="18"/>
        <v>-4.8015112661375925E-4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>
      <c r="A87" s="87">
        <v>33417</v>
      </c>
      <c r="B87" s="87">
        <v>1.5742005998617969E-2</v>
      </c>
      <c r="C87" s="87">
        <v>1</v>
      </c>
      <c r="D87" s="88">
        <f t="shared" si="19"/>
        <v>3.3416999999999999</v>
      </c>
      <c r="E87" s="88">
        <f t="shared" si="19"/>
        <v>1.5742005998617969E-2</v>
      </c>
      <c r="F87" s="81">
        <f t="shared" si="20"/>
        <v>3.3416999999999999</v>
      </c>
      <c r="G87" s="81">
        <f t="shared" si="20"/>
        <v>1.5742005998617969E-2</v>
      </c>
      <c r="H87" s="81">
        <f t="shared" si="21"/>
        <v>11.16695889</v>
      </c>
      <c r="I87" s="81">
        <f t="shared" si="22"/>
        <v>37.316626522713001</v>
      </c>
      <c r="J87" s="81">
        <f t="shared" si="23"/>
        <v>124.70097085095003</v>
      </c>
      <c r="K87" s="81">
        <f t="shared" si="24"/>
        <v>5.2605061445581663E-2</v>
      </c>
      <c r="L87" s="81">
        <f t="shared" si="25"/>
        <v>0.17579033383270024</v>
      </c>
      <c r="M87" s="81">
        <f t="shared" ca="1" si="17"/>
        <v>1.6989083852819303E-2</v>
      </c>
      <c r="N87" s="81">
        <f t="shared" ca="1" si="26"/>
        <v>1.5552031744394035E-6</v>
      </c>
      <c r="O87" s="39">
        <f t="shared" ca="1" si="27"/>
        <v>296199.06006579066</v>
      </c>
      <c r="P87" s="81">
        <f t="shared" ca="1" si="28"/>
        <v>193506.7942859125</v>
      </c>
      <c r="Q87" s="81">
        <f t="shared" ca="1" si="29"/>
        <v>7646.180232685263</v>
      </c>
      <c r="R87" s="24">
        <f t="shared" ca="1" si="18"/>
        <v>-1.2470778542013339E-3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>
      <c r="A88" s="87">
        <v>33465.5</v>
      </c>
      <c r="B88" s="87">
        <v>1.6383128997404128E-2</v>
      </c>
      <c r="C88" s="87">
        <v>1</v>
      </c>
      <c r="D88" s="88">
        <f t="shared" si="19"/>
        <v>3.3465500000000001</v>
      </c>
      <c r="E88" s="88">
        <f t="shared" si="19"/>
        <v>1.6383128997404128E-2</v>
      </c>
      <c r="F88" s="81">
        <f t="shared" si="20"/>
        <v>3.3465500000000001</v>
      </c>
      <c r="G88" s="81">
        <f t="shared" si="20"/>
        <v>1.6383128997404128E-2</v>
      </c>
      <c r="H88" s="81">
        <f t="shared" si="21"/>
        <v>11.1993969025</v>
      </c>
      <c r="I88" s="81">
        <f t="shared" si="22"/>
        <v>37.479341704061376</v>
      </c>
      <c r="J88" s="81">
        <f t="shared" si="23"/>
        <v>125.42649097972661</v>
      </c>
      <c r="K88" s="81">
        <f t="shared" si="24"/>
        <v>5.482696034626279E-2</v>
      </c>
      <c r="L88" s="81">
        <f t="shared" si="25"/>
        <v>0.18348116414678575</v>
      </c>
      <c r="M88" s="81">
        <f t="shared" ca="1" si="17"/>
        <v>1.6860060184058862E-2</v>
      </c>
      <c r="N88" s="81">
        <f t="shared" ca="1" si="26"/>
        <v>2.2746335680389197E-7</v>
      </c>
      <c r="O88" s="39">
        <f t="shared" ca="1" si="27"/>
        <v>328412.31729582697</v>
      </c>
      <c r="P88" s="81">
        <f t="shared" ca="1" si="28"/>
        <v>213200.9549617421</v>
      </c>
      <c r="Q88" s="81">
        <f t="shared" ca="1" si="29"/>
        <v>8364.935127098388</v>
      </c>
      <c r="R88" s="24">
        <f t="shared" ca="1" si="18"/>
        <v>-4.7693118665473322E-4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>
      <c r="A89" s="87">
        <v>33465.5</v>
      </c>
      <c r="B89" s="87">
        <v>1.6883128999324981E-2</v>
      </c>
      <c r="C89" s="87">
        <v>1</v>
      </c>
      <c r="D89" s="88">
        <f t="shared" si="19"/>
        <v>3.3465500000000001</v>
      </c>
      <c r="E89" s="88">
        <f t="shared" si="19"/>
        <v>1.6883128999324981E-2</v>
      </c>
      <c r="F89" s="81">
        <f t="shared" si="20"/>
        <v>3.3465500000000001</v>
      </c>
      <c r="G89" s="81">
        <f t="shared" si="20"/>
        <v>1.6883128999324981E-2</v>
      </c>
      <c r="H89" s="81">
        <f t="shared" si="21"/>
        <v>11.1993969025</v>
      </c>
      <c r="I89" s="81">
        <f t="shared" si="22"/>
        <v>37.479341704061376</v>
      </c>
      <c r="J89" s="81">
        <f t="shared" si="23"/>
        <v>125.42649097972661</v>
      </c>
      <c r="K89" s="81">
        <f t="shared" si="24"/>
        <v>5.6500235352691018E-2</v>
      </c>
      <c r="L89" s="81">
        <f t="shared" si="25"/>
        <v>0.18908086261954812</v>
      </c>
      <c r="M89" s="81">
        <f t="shared" ca="1" si="17"/>
        <v>1.6860060184058862E-2</v>
      </c>
      <c r="N89" s="81">
        <f t="shared" ca="1" si="26"/>
        <v>5.3217023778235232E-10</v>
      </c>
      <c r="O89" s="39">
        <f t="shared" ca="1" si="27"/>
        <v>328412.31729582697</v>
      </c>
      <c r="P89" s="81">
        <f t="shared" ca="1" si="28"/>
        <v>213200.9549617421</v>
      </c>
      <c r="Q89" s="81">
        <f t="shared" ca="1" si="29"/>
        <v>8364.935127098388</v>
      </c>
      <c r="R89" s="24">
        <f t="shared" ca="1" si="18"/>
        <v>2.3068815266119591E-5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>
      <c r="A90" s="87">
        <v>33465.5</v>
      </c>
      <c r="B90" s="87">
        <v>1.7383129001245834E-2</v>
      </c>
      <c r="C90" s="87">
        <v>1</v>
      </c>
      <c r="D90" s="88">
        <f t="shared" si="19"/>
        <v>3.3465500000000001</v>
      </c>
      <c r="E90" s="88">
        <f t="shared" si="19"/>
        <v>1.7383129001245834E-2</v>
      </c>
      <c r="F90" s="81">
        <f t="shared" si="20"/>
        <v>3.3465500000000001</v>
      </c>
      <c r="G90" s="81">
        <f t="shared" si="20"/>
        <v>1.7383129001245834E-2</v>
      </c>
      <c r="H90" s="81">
        <f t="shared" si="21"/>
        <v>11.1993969025</v>
      </c>
      <c r="I90" s="81">
        <f t="shared" si="22"/>
        <v>37.479341704061376</v>
      </c>
      <c r="J90" s="81">
        <f t="shared" si="23"/>
        <v>125.42649097972661</v>
      </c>
      <c r="K90" s="81">
        <f t="shared" si="24"/>
        <v>5.8173510359119246E-2</v>
      </c>
      <c r="L90" s="81">
        <f t="shared" si="25"/>
        <v>0.19468056109231052</v>
      </c>
      <c r="M90" s="81">
        <f t="shared" ca="1" si="17"/>
        <v>1.6860060184058862E-2</v>
      </c>
      <c r="N90" s="81">
        <f t="shared" ca="1" si="26"/>
        <v>2.7360098751337835E-7</v>
      </c>
      <c r="O90" s="39">
        <f t="shared" ca="1" si="27"/>
        <v>328412.31729582697</v>
      </c>
      <c r="P90" s="81">
        <f t="shared" ca="1" si="28"/>
        <v>213200.9549617421</v>
      </c>
      <c r="Q90" s="81">
        <f t="shared" ca="1" si="29"/>
        <v>8364.935127098388</v>
      </c>
      <c r="R90" s="24">
        <f t="shared" ca="1" si="18"/>
        <v>5.230688171869724E-4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>
      <c r="A91" s="87">
        <v>33532</v>
      </c>
      <c r="B91" s="87">
        <v>1.4961575994675513E-2</v>
      </c>
      <c r="C91" s="87">
        <v>1</v>
      </c>
      <c r="D91" s="88">
        <f t="shared" si="19"/>
        <v>3.3532000000000002</v>
      </c>
      <c r="E91" s="88">
        <f t="shared" si="19"/>
        <v>1.4961575994675513E-2</v>
      </c>
      <c r="F91" s="81">
        <f t="shared" si="20"/>
        <v>3.3532000000000002</v>
      </c>
      <c r="G91" s="81">
        <f t="shared" si="20"/>
        <v>1.4961575994675513E-2</v>
      </c>
      <c r="H91" s="81">
        <f t="shared" si="21"/>
        <v>11.243950240000002</v>
      </c>
      <c r="I91" s="81">
        <f t="shared" si="22"/>
        <v>37.703213944768009</v>
      </c>
      <c r="J91" s="81">
        <f t="shared" si="23"/>
        <v>126.4264169995961</v>
      </c>
      <c r="K91" s="81">
        <f t="shared" si="24"/>
        <v>5.0169156625345934E-2</v>
      </c>
      <c r="L91" s="81">
        <f t="shared" si="25"/>
        <v>0.16822721599610999</v>
      </c>
      <c r="M91" s="81">
        <f t="shared" ca="1" si="17"/>
        <v>1.6682027668267541E-2</v>
      </c>
      <c r="N91" s="81">
        <f t="shared" ca="1" si="26"/>
        <v>2.9599539611656074E-6</v>
      </c>
      <c r="O91" s="39">
        <f t="shared" ca="1" si="27"/>
        <v>375794.94885008747</v>
      </c>
      <c r="P91" s="81">
        <f t="shared" ca="1" si="28"/>
        <v>242059.25419414369</v>
      </c>
      <c r="Q91" s="81">
        <f t="shared" ca="1" si="29"/>
        <v>9413.7168036873099</v>
      </c>
      <c r="R91" s="24">
        <f t="shared" ca="1" si="18"/>
        <v>-1.7204516735920272E-3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>
      <c r="A92" s="87">
        <v>33532</v>
      </c>
      <c r="B92" s="87">
        <v>1.5661575991543941E-2</v>
      </c>
      <c r="C92" s="87">
        <v>1</v>
      </c>
      <c r="D92" s="88">
        <f t="shared" si="19"/>
        <v>3.3532000000000002</v>
      </c>
      <c r="E92" s="88">
        <f t="shared" si="19"/>
        <v>1.5661575991543941E-2</v>
      </c>
      <c r="F92" s="81">
        <f t="shared" si="20"/>
        <v>3.3532000000000002</v>
      </c>
      <c r="G92" s="81">
        <f t="shared" si="20"/>
        <v>1.5661575991543941E-2</v>
      </c>
      <c r="H92" s="81">
        <f t="shared" si="21"/>
        <v>11.243950240000002</v>
      </c>
      <c r="I92" s="81">
        <f t="shared" si="22"/>
        <v>37.703213944768009</v>
      </c>
      <c r="J92" s="81">
        <f t="shared" si="23"/>
        <v>126.4264169995961</v>
      </c>
      <c r="K92" s="81">
        <f t="shared" si="24"/>
        <v>5.2516396614845147E-2</v>
      </c>
      <c r="L92" s="81">
        <f t="shared" si="25"/>
        <v>0.17609798112889877</v>
      </c>
      <c r="M92" s="81">
        <f t="shared" ca="1" si="17"/>
        <v>1.6682027668267541E-2</v>
      </c>
      <c r="N92" s="81">
        <f t="shared" ca="1" si="26"/>
        <v>1.0413216245280054E-6</v>
      </c>
      <c r="O92" s="39">
        <f t="shared" ca="1" si="27"/>
        <v>375794.94885008747</v>
      </c>
      <c r="P92" s="81">
        <f t="shared" ca="1" si="28"/>
        <v>242059.25419414369</v>
      </c>
      <c r="Q92" s="81">
        <f t="shared" ca="1" si="29"/>
        <v>9413.7168036873099</v>
      </c>
      <c r="R92" s="24">
        <f t="shared" ca="1" si="18"/>
        <v>-1.0204516767235994E-3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>
      <c r="A93" s="87">
        <v>33532</v>
      </c>
      <c r="B93" s="87">
        <v>1.5861575993767474E-2</v>
      </c>
      <c r="C93" s="87">
        <v>1</v>
      </c>
      <c r="D93" s="88">
        <f t="shared" si="19"/>
        <v>3.3532000000000002</v>
      </c>
      <c r="E93" s="88">
        <f t="shared" si="19"/>
        <v>1.5861575993767474E-2</v>
      </c>
      <c r="F93" s="81">
        <f t="shared" si="20"/>
        <v>3.3532000000000002</v>
      </c>
      <c r="G93" s="81">
        <f t="shared" si="20"/>
        <v>1.5861575993767474E-2</v>
      </c>
      <c r="H93" s="81">
        <f t="shared" si="21"/>
        <v>11.243950240000002</v>
      </c>
      <c r="I93" s="81">
        <f t="shared" si="22"/>
        <v>37.703213944768009</v>
      </c>
      <c r="J93" s="81">
        <f t="shared" si="23"/>
        <v>126.4264169995961</v>
      </c>
      <c r="K93" s="81">
        <f t="shared" si="24"/>
        <v>5.31870366223011E-2</v>
      </c>
      <c r="L93" s="81">
        <f t="shared" si="25"/>
        <v>0.17834677120190007</v>
      </c>
      <c r="M93" s="81">
        <f t="shared" ca="1" si="17"/>
        <v>1.6682027668267541E-2</v>
      </c>
      <c r="N93" s="81">
        <f t="shared" ca="1" si="26"/>
        <v>6.731409501899634E-7</v>
      </c>
      <c r="O93" s="39">
        <f t="shared" ca="1" si="27"/>
        <v>375794.94885008747</v>
      </c>
      <c r="P93" s="81">
        <f t="shared" ca="1" si="28"/>
        <v>242059.25419414369</v>
      </c>
      <c r="Q93" s="81">
        <f t="shared" ca="1" si="29"/>
        <v>9413.7168036873099</v>
      </c>
      <c r="R93" s="24">
        <f t="shared" ca="1" si="18"/>
        <v>-8.2045167450006673E-4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>
      <c r="A94" s="87">
        <v>34084.5</v>
      </c>
      <c r="B94" s="87">
        <v>1.6367770993383601E-2</v>
      </c>
      <c r="C94" s="87">
        <v>0.2</v>
      </c>
      <c r="D94" s="88">
        <f t="shared" si="19"/>
        <v>3.4084500000000002</v>
      </c>
      <c r="E94" s="88">
        <f t="shared" si="19"/>
        <v>1.6367770993383601E-2</v>
      </c>
      <c r="F94" s="81">
        <f t="shared" si="20"/>
        <v>0.68169000000000013</v>
      </c>
      <c r="G94" s="81">
        <f t="shared" si="20"/>
        <v>3.2735541986767206E-3</v>
      </c>
      <c r="H94" s="81">
        <f t="shared" si="21"/>
        <v>2.3235062805000006</v>
      </c>
      <c r="I94" s="81">
        <f t="shared" si="22"/>
        <v>7.9195549817702275</v>
      </c>
      <c r="J94" s="81">
        <f t="shared" si="23"/>
        <v>26.993407177614735</v>
      </c>
      <c r="K94" s="81">
        <f t="shared" si="24"/>
        <v>1.1157745808479669E-2</v>
      </c>
      <c r="L94" s="81">
        <f t="shared" si="25"/>
        <v>3.8030618700912532E-2</v>
      </c>
      <c r="M94" s="81">
        <f t="shared" ca="1" si="17"/>
        <v>1.515262996953945E-2</v>
      </c>
      <c r="N94" s="81">
        <f t="shared" ca="1" si="26"/>
        <v>2.9531354156580271E-7</v>
      </c>
      <c r="O94" s="39">
        <f t="shared" ca="1" si="27"/>
        <v>37140.041223342741</v>
      </c>
      <c r="P94" s="81">
        <f t="shared" ca="1" si="28"/>
        <v>22934.156676314265</v>
      </c>
      <c r="Q94" s="81">
        <f t="shared" ca="1" si="29"/>
        <v>849.63693351282291</v>
      </c>
      <c r="R94" s="24">
        <f t="shared" ca="1" si="18"/>
        <v>1.2151410238441518E-3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>
      <c r="A95" s="87">
        <v>34297.5</v>
      </c>
      <c r="B95" s="87">
        <v>1.6926104995945934E-2</v>
      </c>
      <c r="C95" s="87">
        <v>1</v>
      </c>
      <c r="D95" s="88">
        <f t="shared" si="19"/>
        <v>3.4297499999999999</v>
      </c>
      <c r="E95" s="88">
        <f t="shared" si="19"/>
        <v>1.6926104995945934E-2</v>
      </c>
      <c r="F95" s="81">
        <f t="shared" si="20"/>
        <v>3.4297499999999999</v>
      </c>
      <c r="G95" s="81">
        <f t="shared" si="20"/>
        <v>1.6926104995945934E-2</v>
      </c>
      <c r="H95" s="81">
        <f t="shared" si="21"/>
        <v>11.7631850625</v>
      </c>
      <c r="I95" s="81">
        <f t="shared" si="22"/>
        <v>40.344783968109375</v>
      </c>
      <c r="J95" s="81">
        <f t="shared" si="23"/>
        <v>138.37252281462312</v>
      </c>
      <c r="K95" s="81">
        <f t="shared" si="24"/>
        <v>5.8052308609845567E-2</v>
      </c>
      <c r="L95" s="81">
        <f t="shared" si="25"/>
        <v>0.19910490545461781</v>
      </c>
      <c r="M95" s="81">
        <f t="shared" ca="1" si="17"/>
        <v>1.4539056152287649E-2</v>
      </c>
      <c r="N95" s="81">
        <f t="shared" ca="1" si="26"/>
        <v>5.698002182010355E-6</v>
      </c>
      <c r="O95" s="39">
        <f t="shared" ca="1" si="27"/>
        <v>1226858.0469065257</v>
      </c>
      <c r="P95" s="81">
        <f t="shared" ca="1" si="28"/>
        <v>750006.00611979095</v>
      </c>
      <c r="Q95" s="81">
        <f t="shared" ca="1" si="29"/>
        <v>27460.169583562434</v>
      </c>
      <c r="R95" s="24">
        <f t="shared" ca="1" si="18"/>
        <v>2.3870488436582848E-3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>
      <c r="A96" s="87">
        <v>35376.5</v>
      </c>
      <c r="B96" s="87">
        <v>1.0669026996765751E-2</v>
      </c>
      <c r="C96" s="87">
        <v>1</v>
      </c>
      <c r="D96" s="88">
        <f t="shared" si="19"/>
        <v>3.5376500000000002</v>
      </c>
      <c r="E96" s="88">
        <f t="shared" si="19"/>
        <v>1.0669026996765751E-2</v>
      </c>
      <c r="F96" s="81">
        <f t="shared" si="20"/>
        <v>3.5376500000000002</v>
      </c>
      <c r="G96" s="81">
        <f t="shared" si="20"/>
        <v>1.0669026996765751E-2</v>
      </c>
      <c r="H96" s="81">
        <f t="shared" si="21"/>
        <v>12.514967522500001</v>
      </c>
      <c r="I96" s="81">
        <f t="shared" si="22"/>
        <v>44.273574855972129</v>
      </c>
      <c r="J96" s="81">
        <f t="shared" si="23"/>
        <v>156.62441208922982</v>
      </c>
      <c r="K96" s="81">
        <f t="shared" si="24"/>
        <v>3.7743283355108362E-2</v>
      </c>
      <c r="L96" s="81">
        <f t="shared" si="25"/>
        <v>0.1335225263611991</v>
      </c>
      <c r="M96" s="81">
        <f t="shared" ca="1" si="17"/>
        <v>1.1226004724085553E-2</v>
      </c>
      <c r="N96" s="81">
        <f t="shared" ca="1" si="26"/>
        <v>3.1022418873033148E-7</v>
      </c>
      <c r="O96" s="39">
        <f t="shared" ca="1" si="27"/>
        <v>3661197.6865657074</v>
      </c>
      <c r="P96" s="81">
        <f t="shared" ca="1" si="28"/>
        <v>2171559.3159986828</v>
      </c>
      <c r="Q96" s="81">
        <f t="shared" ca="1" si="29"/>
        <v>76734.771099086473</v>
      </c>
      <c r="R96" s="24">
        <f t="shared" ca="1" si="18"/>
        <v>-5.5697772731980177E-4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>
      <c r="A97" s="87">
        <v>35227</v>
      </c>
      <c r="B97" s="87">
        <v>1.3539585990656633E-2</v>
      </c>
      <c r="C97" s="87">
        <v>1</v>
      </c>
      <c r="D97" s="88">
        <f t="shared" si="19"/>
        <v>3.5226999999999999</v>
      </c>
      <c r="E97" s="88">
        <f t="shared" si="19"/>
        <v>1.3539585990656633E-2</v>
      </c>
      <c r="F97" s="81">
        <f t="shared" si="20"/>
        <v>3.5226999999999999</v>
      </c>
      <c r="G97" s="81">
        <f t="shared" si="20"/>
        <v>1.3539585990656633E-2</v>
      </c>
      <c r="H97" s="81">
        <f t="shared" si="21"/>
        <v>12.40941529</v>
      </c>
      <c r="I97" s="81">
        <f t="shared" si="22"/>
        <v>43.714647242082997</v>
      </c>
      <c r="J97" s="81">
        <f t="shared" si="23"/>
        <v>153.99358783968577</v>
      </c>
      <c r="K97" s="81">
        <f t="shared" si="24"/>
        <v>4.7695899569286118E-2</v>
      </c>
      <c r="L97" s="81">
        <f t="shared" si="25"/>
        <v>0.1680183454127242</v>
      </c>
      <c r="M97" s="81">
        <f t="shared" ca="1" si="17"/>
        <v>1.1705461705803832E-2</v>
      </c>
      <c r="N97" s="81">
        <f t="shared" ca="1" si="26"/>
        <v>3.3640118922867971E-6</v>
      </c>
      <c r="O97" s="39">
        <f t="shared" ca="1" si="27"/>
        <v>3219141.7295884569</v>
      </c>
      <c r="P97" s="81">
        <f t="shared" ca="1" si="28"/>
        <v>1914970.3529405666</v>
      </c>
      <c r="Q97" s="81">
        <f t="shared" ca="1" si="29"/>
        <v>67901.005844425323</v>
      </c>
      <c r="R97" s="24">
        <f t="shared" ca="1" si="18"/>
        <v>1.8341242848528005E-3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>
      <c r="A98" s="87"/>
      <c r="B98" s="87"/>
      <c r="C98" s="87"/>
      <c r="D98" s="88">
        <f t="shared" si="19"/>
        <v>0</v>
      </c>
      <c r="E98" s="88">
        <f t="shared" si="19"/>
        <v>0</v>
      </c>
      <c r="F98" s="81">
        <f t="shared" si="20"/>
        <v>0</v>
      </c>
      <c r="G98" s="81">
        <f t="shared" si="20"/>
        <v>0</v>
      </c>
      <c r="H98" s="81">
        <f t="shared" si="21"/>
        <v>0</v>
      </c>
      <c r="I98" s="81">
        <f t="shared" si="22"/>
        <v>0</v>
      </c>
      <c r="J98" s="81">
        <f t="shared" si="23"/>
        <v>0</v>
      </c>
      <c r="K98" s="81">
        <f t="shared" si="24"/>
        <v>0</v>
      </c>
      <c r="L98" s="81">
        <f t="shared" si="25"/>
        <v>0</v>
      </c>
      <c r="M98" s="81">
        <f t="shared" ca="1" si="17"/>
        <v>-5.8445097233074013E-2</v>
      </c>
      <c r="N98" s="81">
        <f t="shared" ca="1" si="26"/>
        <v>0</v>
      </c>
      <c r="O98" s="39">
        <f t="shared" ca="1" si="27"/>
        <v>0</v>
      </c>
      <c r="P98" s="81">
        <f t="shared" ca="1" si="28"/>
        <v>0</v>
      </c>
      <c r="Q98" s="81">
        <f t="shared" ca="1" si="29"/>
        <v>0</v>
      </c>
      <c r="R98" s="24">
        <f t="shared" ca="1" si="18"/>
        <v>5.8445097233074013E-2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>
      <c r="A99" s="87"/>
      <c r="B99" s="87"/>
      <c r="C99" s="87"/>
      <c r="D99" s="88">
        <f t="shared" si="19"/>
        <v>0</v>
      </c>
      <c r="E99" s="88">
        <f t="shared" si="19"/>
        <v>0</v>
      </c>
      <c r="F99" s="81">
        <f t="shared" si="20"/>
        <v>0</v>
      </c>
      <c r="G99" s="81">
        <f t="shared" si="20"/>
        <v>0</v>
      </c>
      <c r="H99" s="81">
        <f t="shared" si="21"/>
        <v>0</v>
      </c>
      <c r="I99" s="81">
        <f t="shared" si="22"/>
        <v>0</v>
      </c>
      <c r="J99" s="81">
        <f t="shared" si="23"/>
        <v>0</v>
      </c>
      <c r="K99" s="81">
        <f t="shared" si="24"/>
        <v>0</v>
      </c>
      <c r="L99" s="81">
        <f t="shared" si="25"/>
        <v>0</v>
      </c>
      <c r="M99" s="81">
        <f t="shared" ca="1" si="17"/>
        <v>-5.8445097233074013E-2</v>
      </c>
      <c r="N99" s="81">
        <f t="shared" ca="1" si="26"/>
        <v>0</v>
      </c>
      <c r="O99" s="39">
        <f t="shared" ca="1" si="27"/>
        <v>0</v>
      </c>
      <c r="P99" s="81">
        <f t="shared" ca="1" si="28"/>
        <v>0</v>
      </c>
      <c r="Q99" s="81">
        <f t="shared" ca="1" si="29"/>
        <v>0</v>
      </c>
      <c r="R99" s="24">
        <f t="shared" ca="1" si="18"/>
        <v>5.8445097233074013E-2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>
      <c r="A100" s="87"/>
      <c r="B100" s="87"/>
      <c r="C100" s="87"/>
      <c r="D100" s="88">
        <f t="shared" si="19"/>
        <v>0</v>
      </c>
      <c r="E100" s="88">
        <f t="shared" si="19"/>
        <v>0</v>
      </c>
      <c r="F100" s="81">
        <f t="shared" si="20"/>
        <v>0</v>
      </c>
      <c r="G100" s="81">
        <f t="shared" si="20"/>
        <v>0</v>
      </c>
      <c r="H100" s="81">
        <f t="shared" si="21"/>
        <v>0</v>
      </c>
      <c r="I100" s="81">
        <f t="shared" si="22"/>
        <v>0</v>
      </c>
      <c r="J100" s="81">
        <f t="shared" si="23"/>
        <v>0</v>
      </c>
      <c r="K100" s="81">
        <f t="shared" si="24"/>
        <v>0</v>
      </c>
      <c r="L100" s="81">
        <f t="shared" si="25"/>
        <v>0</v>
      </c>
      <c r="M100" s="81">
        <f t="shared" ca="1" si="17"/>
        <v>-5.8445097233074013E-2</v>
      </c>
      <c r="N100" s="81">
        <f t="shared" ca="1" si="26"/>
        <v>0</v>
      </c>
      <c r="O100" s="39">
        <f t="shared" ca="1" si="27"/>
        <v>0</v>
      </c>
      <c r="P100" s="81">
        <f t="shared" ca="1" si="28"/>
        <v>0</v>
      </c>
      <c r="Q100" s="81">
        <f t="shared" ca="1" si="29"/>
        <v>0</v>
      </c>
      <c r="R100" s="24">
        <f t="shared" ca="1" si="18"/>
        <v>5.8445097233074013E-2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>
      <c r="A101" s="87"/>
      <c r="B101" s="87"/>
      <c r="C101" s="87"/>
      <c r="D101" s="88">
        <f t="shared" si="19"/>
        <v>0</v>
      </c>
      <c r="E101" s="88">
        <f t="shared" si="19"/>
        <v>0</v>
      </c>
      <c r="F101" s="81">
        <f t="shared" si="20"/>
        <v>0</v>
      </c>
      <c r="G101" s="81">
        <f t="shared" si="20"/>
        <v>0</v>
      </c>
      <c r="H101" s="81">
        <f t="shared" si="21"/>
        <v>0</v>
      </c>
      <c r="I101" s="81">
        <f t="shared" si="22"/>
        <v>0</v>
      </c>
      <c r="J101" s="81">
        <f t="shared" si="23"/>
        <v>0</v>
      </c>
      <c r="K101" s="81">
        <f t="shared" si="24"/>
        <v>0</v>
      </c>
      <c r="L101" s="81">
        <f t="shared" si="25"/>
        <v>0</v>
      </c>
      <c r="M101" s="81">
        <f t="shared" ca="1" si="17"/>
        <v>-5.8445097233074013E-2</v>
      </c>
      <c r="N101" s="81">
        <f t="shared" ca="1" si="26"/>
        <v>0</v>
      </c>
      <c r="O101" s="39">
        <f t="shared" ca="1" si="27"/>
        <v>0</v>
      </c>
      <c r="P101" s="81">
        <f t="shared" ca="1" si="28"/>
        <v>0</v>
      </c>
      <c r="Q101" s="81">
        <f t="shared" ca="1" si="29"/>
        <v>0</v>
      </c>
      <c r="R101" s="24">
        <f t="shared" ca="1" si="18"/>
        <v>5.8445097233074013E-2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>
      <c r="A102" s="87"/>
      <c r="B102" s="87"/>
      <c r="C102" s="87"/>
      <c r="D102" s="88">
        <f t="shared" si="19"/>
        <v>0</v>
      </c>
      <c r="E102" s="88">
        <f t="shared" si="19"/>
        <v>0</v>
      </c>
      <c r="F102" s="81">
        <f t="shared" si="20"/>
        <v>0</v>
      </c>
      <c r="G102" s="81">
        <f t="shared" si="20"/>
        <v>0</v>
      </c>
      <c r="H102" s="81">
        <f t="shared" si="21"/>
        <v>0</v>
      </c>
      <c r="I102" s="81">
        <f t="shared" si="22"/>
        <v>0</v>
      </c>
      <c r="J102" s="81">
        <f t="shared" si="23"/>
        <v>0</v>
      </c>
      <c r="K102" s="81">
        <f t="shared" si="24"/>
        <v>0</v>
      </c>
      <c r="L102" s="81">
        <f t="shared" si="25"/>
        <v>0</v>
      </c>
      <c r="M102" s="81">
        <f t="shared" ca="1" si="17"/>
        <v>-5.8445097233074013E-2</v>
      </c>
      <c r="N102" s="81">
        <f t="shared" ca="1" si="26"/>
        <v>0</v>
      </c>
      <c r="O102" s="39">
        <f t="shared" ca="1" si="27"/>
        <v>0</v>
      </c>
      <c r="P102" s="81">
        <f t="shared" ca="1" si="28"/>
        <v>0</v>
      </c>
      <c r="Q102" s="81">
        <f t="shared" ca="1" si="29"/>
        <v>0</v>
      </c>
      <c r="R102" s="24">
        <f t="shared" ca="1" si="18"/>
        <v>5.8445097233074013E-2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>
      <c r="A103" s="87"/>
      <c r="B103" s="87"/>
      <c r="C103" s="87"/>
      <c r="D103" s="88">
        <f t="shared" si="19"/>
        <v>0</v>
      </c>
      <c r="E103" s="88">
        <f t="shared" si="19"/>
        <v>0</v>
      </c>
      <c r="F103" s="81">
        <f t="shared" si="20"/>
        <v>0</v>
      </c>
      <c r="G103" s="81">
        <f t="shared" si="20"/>
        <v>0</v>
      </c>
      <c r="H103" s="81">
        <f t="shared" si="21"/>
        <v>0</v>
      </c>
      <c r="I103" s="81">
        <f t="shared" si="22"/>
        <v>0</v>
      </c>
      <c r="J103" s="81">
        <f t="shared" si="23"/>
        <v>0</v>
      </c>
      <c r="K103" s="81">
        <f t="shared" si="24"/>
        <v>0</v>
      </c>
      <c r="L103" s="81">
        <f t="shared" si="25"/>
        <v>0</v>
      </c>
      <c r="M103" s="81">
        <f t="shared" ca="1" si="17"/>
        <v>-5.8445097233074013E-2</v>
      </c>
      <c r="N103" s="81">
        <f t="shared" ca="1" si="26"/>
        <v>0</v>
      </c>
      <c r="O103" s="39">
        <f t="shared" ca="1" si="27"/>
        <v>0</v>
      </c>
      <c r="P103" s="81">
        <f t="shared" ca="1" si="28"/>
        <v>0</v>
      </c>
      <c r="Q103" s="81">
        <f t="shared" ca="1" si="29"/>
        <v>0</v>
      </c>
      <c r="R103" s="24">
        <f t="shared" ca="1" si="18"/>
        <v>5.8445097233074013E-2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>
      <c r="A104" s="87"/>
      <c r="B104" s="87"/>
      <c r="C104" s="87"/>
      <c r="D104" s="88">
        <f t="shared" si="19"/>
        <v>0</v>
      </c>
      <c r="E104" s="88">
        <f t="shared" si="19"/>
        <v>0</v>
      </c>
      <c r="F104" s="81">
        <f t="shared" si="20"/>
        <v>0</v>
      </c>
      <c r="G104" s="81">
        <f t="shared" si="20"/>
        <v>0</v>
      </c>
      <c r="H104" s="81">
        <f t="shared" si="21"/>
        <v>0</v>
      </c>
      <c r="I104" s="81">
        <f t="shared" si="22"/>
        <v>0</v>
      </c>
      <c r="J104" s="81">
        <f t="shared" si="23"/>
        <v>0</v>
      </c>
      <c r="K104" s="81">
        <f t="shared" si="24"/>
        <v>0</v>
      </c>
      <c r="L104" s="81">
        <f t="shared" si="25"/>
        <v>0</v>
      </c>
      <c r="M104" s="81">
        <f t="shared" ca="1" si="17"/>
        <v>-5.8445097233074013E-2</v>
      </c>
      <c r="N104" s="81">
        <f t="shared" ca="1" si="26"/>
        <v>0</v>
      </c>
      <c r="O104" s="39">
        <f t="shared" ca="1" si="27"/>
        <v>0</v>
      </c>
      <c r="P104" s="81">
        <f t="shared" ca="1" si="28"/>
        <v>0</v>
      </c>
      <c r="Q104" s="81">
        <f t="shared" ca="1" si="29"/>
        <v>0</v>
      </c>
      <c r="R104" s="24">
        <f t="shared" ca="1" si="18"/>
        <v>5.8445097233074013E-2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>
      <c r="A105" s="87"/>
      <c r="B105" s="87"/>
      <c r="C105" s="87"/>
      <c r="D105" s="88">
        <f t="shared" si="19"/>
        <v>0</v>
      </c>
      <c r="E105" s="88">
        <f t="shared" si="19"/>
        <v>0</v>
      </c>
      <c r="F105" s="81">
        <f t="shared" si="20"/>
        <v>0</v>
      </c>
      <c r="G105" s="81">
        <f t="shared" si="20"/>
        <v>0</v>
      </c>
      <c r="H105" s="81">
        <f t="shared" si="21"/>
        <v>0</v>
      </c>
      <c r="I105" s="81">
        <f t="shared" si="22"/>
        <v>0</v>
      </c>
      <c r="J105" s="81">
        <f t="shared" si="23"/>
        <v>0</v>
      </c>
      <c r="K105" s="81">
        <f t="shared" si="24"/>
        <v>0</v>
      </c>
      <c r="L105" s="81">
        <f t="shared" si="25"/>
        <v>0</v>
      </c>
      <c r="M105" s="81">
        <f t="shared" ca="1" si="17"/>
        <v>-5.8445097233074013E-2</v>
      </c>
      <c r="N105" s="81">
        <f t="shared" ca="1" si="26"/>
        <v>0</v>
      </c>
      <c r="O105" s="39">
        <f t="shared" ca="1" si="27"/>
        <v>0</v>
      </c>
      <c r="P105" s="81">
        <f t="shared" ca="1" si="28"/>
        <v>0</v>
      </c>
      <c r="Q105" s="81">
        <f t="shared" ca="1" si="29"/>
        <v>0</v>
      </c>
      <c r="R105" s="24">
        <f t="shared" ca="1" si="18"/>
        <v>5.8445097233074013E-2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>
      <c r="A106" s="87"/>
      <c r="B106" s="87"/>
      <c r="C106" s="87"/>
      <c r="D106" s="88">
        <f t="shared" si="19"/>
        <v>0</v>
      </c>
      <c r="E106" s="88">
        <f t="shared" si="19"/>
        <v>0</v>
      </c>
      <c r="F106" s="81">
        <f t="shared" si="20"/>
        <v>0</v>
      </c>
      <c r="G106" s="81">
        <f t="shared" si="20"/>
        <v>0</v>
      </c>
      <c r="H106" s="81">
        <f t="shared" si="21"/>
        <v>0</v>
      </c>
      <c r="I106" s="81">
        <f t="shared" si="22"/>
        <v>0</v>
      </c>
      <c r="J106" s="81">
        <f t="shared" si="23"/>
        <v>0</v>
      </c>
      <c r="K106" s="81">
        <f t="shared" si="24"/>
        <v>0</v>
      </c>
      <c r="L106" s="81">
        <f t="shared" si="25"/>
        <v>0</v>
      </c>
      <c r="M106" s="81">
        <f t="shared" ca="1" si="17"/>
        <v>-5.8445097233074013E-2</v>
      </c>
      <c r="N106" s="81">
        <f t="shared" ca="1" si="26"/>
        <v>0</v>
      </c>
      <c r="O106" s="39">
        <f t="shared" ca="1" si="27"/>
        <v>0</v>
      </c>
      <c r="P106" s="81">
        <f t="shared" ca="1" si="28"/>
        <v>0</v>
      </c>
      <c r="Q106" s="81">
        <f t="shared" ca="1" si="29"/>
        <v>0</v>
      </c>
      <c r="R106" s="24">
        <f t="shared" ca="1" si="18"/>
        <v>5.8445097233074013E-2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>
      <c r="A107" s="87"/>
      <c r="B107" s="87"/>
      <c r="C107" s="87"/>
      <c r="D107" s="88">
        <f t="shared" si="19"/>
        <v>0</v>
      </c>
      <c r="E107" s="88">
        <f t="shared" si="19"/>
        <v>0</v>
      </c>
      <c r="F107" s="81">
        <f t="shared" si="20"/>
        <v>0</v>
      </c>
      <c r="G107" s="81">
        <f t="shared" si="20"/>
        <v>0</v>
      </c>
      <c r="H107" s="81">
        <f t="shared" si="21"/>
        <v>0</v>
      </c>
      <c r="I107" s="81">
        <f t="shared" si="22"/>
        <v>0</v>
      </c>
      <c r="J107" s="81">
        <f t="shared" si="23"/>
        <v>0</v>
      </c>
      <c r="K107" s="81">
        <f t="shared" si="24"/>
        <v>0</v>
      </c>
      <c r="L107" s="81">
        <f t="shared" si="25"/>
        <v>0</v>
      </c>
      <c r="M107" s="81">
        <f t="shared" ca="1" si="17"/>
        <v>-5.8445097233074013E-2</v>
      </c>
      <c r="N107" s="81">
        <f t="shared" ca="1" si="26"/>
        <v>0</v>
      </c>
      <c r="O107" s="39">
        <f t="shared" ca="1" si="27"/>
        <v>0</v>
      </c>
      <c r="P107" s="81">
        <f t="shared" ca="1" si="28"/>
        <v>0</v>
      </c>
      <c r="Q107" s="81">
        <f t="shared" ca="1" si="29"/>
        <v>0</v>
      </c>
      <c r="R107" s="24">
        <f t="shared" ca="1" si="18"/>
        <v>5.8445097233074013E-2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>
      <c r="A108" s="87"/>
      <c r="B108" s="87"/>
      <c r="C108" s="87"/>
      <c r="D108" s="88">
        <f t="shared" si="19"/>
        <v>0</v>
      </c>
      <c r="E108" s="88">
        <f t="shared" si="19"/>
        <v>0</v>
      </c>
      <c r="F108" s="81">
        <f t="shared" si="20"/>
        <v>0</v>
      </c>
      <c r="G108" s="81">
        <f t="shared" si="20"/>
        <v>0</v>
      </c>
      <c r="H108" s="81">
        <f t="shared" si="21"/>
        <v>0</v>
      </c>
      <c r="I108" s="81">
        <f t="shared" si="22"/>
        <v>0</v>
      </c>
      <c r="J108" s="81">
        <f t="shared" si="23"/>
        <v>0</v>
      </c>
      <c r="K108" s="81">
        <f t="shared" si="24"/>
        <v>0</v>
      </c>
      <c r="L108" s="81">
        <f t="shared" si="25"/>
        <v>0</v>
      </c>
      <c r="M108" s="81">
        <f t="shared" ca="1" si="17"/>
        <v>-5.8445097233074013E-2</v>
      </c>
      <c r="N108" s="81">
        <f t="shared" ca="1" si="26"/>
        <v>0</v>
      </c>
      <c r="O108" s="39">
        <f t="shared" ca="1" si="27"/>
        <v>0</v>
      </c>
      <c r="P108" s="81">
        <f t="shared" ca="1" si="28"/>
        <v>0</v>
      </c>
      <c r="Q108" s="81">
        <f t="shared" ca="1" si="29"/>
        <v>0</v>
      </c>
      <c r="R108" s="24">
        <f t="shared" ca="1" si="18"/>
        <v>5.8445097233074013E-2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>
      <c r="A109" s="87"/>
      <c r="B109" s="87"/>
      <c r="C109" s="87"/>
      <c r="D109" s="88">
        <f t="shared" si="19"/>
        <v>0</v>
      </c>
      <c r="E109" s="88">
        <f t="shared" si="19"/>
        <v>0</v>
      </c>
      <c r="F109" s="81">
        <f t="shared" si="20"/>
        <v>0</v>
      </c>
      <c r="G109" s="81">
        <f t="shared" si="20"/>
        <v>0</v>
      </c>
      <c r="H109" s="81">
        <f t="shared" si="21"/>
        <v>0</v>
      </c>
      <c r="I109" s="81">
        <f t="shared" si="22"/>
        <v>0</v>
      </c>
      <c r="J109" s="81">
        <f t="shared" si="23"/>
        <v>0</v>
      </c>
      <c r="K109" s="81">
        <f t="shared" si="24"/>
        <v>0</v>
      </c>
      <c r="L109" s="81">
        <f t="shared" si="25"/>
        <v>0</v>
      </c>
      <c r="M109" s="81">
        <f t="shared" ca="1" si="17"/>
        <v>-5.8445097233074013E-2</v>
      </c>
      <c r="N109" s="81">
        <f t="shared" ca="1" si="26"/>
        <v>0</v>
      </c>
      <c r="O109" s="39">
        <f t="shared" ca="1" si="27"/>
        <v>0</v>
      </c>
      <c r="P109" s="81">
        <f t="shared" ca="1" si="28"/>
        <v>0</v>
      </c>
      <c r="Q109" s="81">
        <f t="shared" ca="1" si="29"/>
        <v>0</v>
      </c>
      <c r="R109" s="24">
        <f t="shared" ca="1" si="18"/>
        <v>5.8445097233074013E-2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>
      <c r="A110" s="87"/>
      <c r="B110" s="87"/>
      <c r="C110" s="87"/>
      <c r="D110" s="88">
        <f t="shared" si="19"/>
        <v>0</v>
      </c>
      <c r="E110" s="88">
        <f t="shared" si="19"/>
        <v>0</v>
      </c>
      <c r="F110" s="81">
        <f t="shared" si="20"/>
        <v>0</v>
      </c>
      <c r="G110" s="81">
        <f t="shared" si="20"/>
        <v>0</v>
      </c>
      <c r="H110" s="81">
        <f t="shared" si="21"/>
        <v>0</v>
      </c>
      <c r="I110" s="81">
        <f t="shared" si="22"/>
        <v>0</v>
      </c>
      <c r="J110" s="81">
        <f t="shared" si="23"/>
        <v>0</v>
      </c>
      <c r="K110" s="81">
        <f t="shared" si="24"/>
        <v>0</v>
      </c>
      <c r="L110" s="81">
        <f t="shared" si="25"/>
        <v>0</v>
      </c>
      <c r="M110" s="81">
        <f t="shared" ca="1" si="17"/>
        <v>-5.8445097233074013E-2</v>
      </c>
      <c r="N110" s="81">
        <f t="shared" ca="1" si="26"/>
        <v>0</v>
      </c>
      <c r="O110" s="39">
        <f t="shared" ca="1" si="27"/>
        <v>0</v>
      </c>
      <c r="P110" s="81">
        <f t="shared" ca="1" si="28"/>
        <v>0</v>
      </c>
      <c r="Q110" s="81">
        <f t="shared" ca="1" si="29"/>
        <v>0</v>
      </c>
      <c r="R110" s="24">
        <f t="shared" ca="1" si="18"/>
        <v>5.8445097233074013E-2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>
      <c r="A111" s="87"/>
      <c r="B111" s="87"/>
      <c r="C111" s="87"/>
      <c r="D111" s="88">
        <f t="shared" si="19"/>
        <v>0</v>
      </c>
      <c r="E111" s="88">
        <f t="shared" si="19"/>
        <v>0</v>
      </c>
      <c r="F111" s="81">
        <f t="shared" si="20"/>
        <v>0</v>
      </c>
      <c r="G111" s="81">
        <f t="shared" si="20"/>
        <v>0</v>
      </c>
      <c r="H111" s="81">
        <f t="shared" si="21"/>
        <v>0</v>
      </c>
      <c r="I111" s="81">
        <f t="shared" si="22"/>
        <v>0</v>
      </c>
      <c r="J111" s="81">
        <f t="shared" si="23"/>
        <v>0</v>
      </c>
      <c r="K111" s="81">
        <f t="shared" si="24"/>
        <v>0</v>
      </c>
      <c r="L111" s="81">
        <f t="shared" si="25"/>
        <v>0</v>
      </c>
      <c r="M111" s="81">
        <f t="shared" ca="1" si="17"/>
        <v>-5.8445097233074013E-2</v>
      </c>
      <c r="N111" s="81">
        <f t="shared" ca="1" si="26"/>
        <v>0</v>
      </c>
      <c r="O111" s="39">
        <f t="shared" ca="1" si="27"/>
        <v>0</v>
      </c>
      <c r="P111" s="81">
        <f t="shared" ca="1" si="28"/>
        <v>0</v>
      </c>
      <c r="Q111" s="81">
        <f t="shared" ca="1" si="29"/>
        <v>0</v>
      </c>
      <c r="R111" s="24">
        <f t="shared" ca="1" si="18"/>
        <v>5.8445097233074013E-2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>
      <c r="A112" s="87"/>
      <c r="B112" s="87"/>
      <c r="C112" s="87"/>
      <c r="D112" s="88">
        <f t="shared" si="19"/>
        <v>0</v>
      </c>
      <c r="E112" s="88">
        <f t="shared" si="19"/>
        <v>0</v>
      </c>
      <c r="F112" s="81">
        <f t="shared" si="20"/>
        <v>0</v>
      </c>
      <c r="G112" s="81">
        <f t="shared" si="20"/>
        <v>0</v>
      </c>
      <c r="H112" s="81">
        <f t="shared" si="21"/>
        <v>0</v>
      </c>
      <c r="I112" s="81">
        <f t="shared" si="22"/>
        <v>0</v>
      </c>
      <c r="J112" s="81">
        <f t="shared" si="23"/>
        <v>0</v>
      </c>
      <c r="K112" s="81">
        <f t="shared" si="24"/>
        <v>0</v>
      </c>
      <c r="L112" s="81">
        <f t="shared" si="25"/>
        <v>0</v>
      </c>
      <c r="M112" s="81">
        <f t="shared" ca="1" si="17"/>
        <v>-5.8445097233074013E-2</v>
      </c>
      <c r="N112" s="81">
        <f t="shared" ca="1" si="26"/>
        <v>0</v>
      </c>
      <c r="O112" s="39">
        <f t="shared" ca="1" si="27"/>
        <v>0</v>
      </c>
      <c r="P112" s="81">
        <f t="shared" ca="1" si="28"/>
        <v>0</v>
      </c>
      <c r="Q112" s="81">
        <f t="shared" ca="1" si="29"/>
        <v>0</v>
      </c>
      <c r="R112" s="24">
        <f t="shared" ca="1" si="18"/>
        <v>5.8445097233074013E-2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>
      <c r="A113" s="87"/>
      <c r="B113" s="87"/>
      <c r="C113" s="87"/>
      <c r="D113" s="88">
        <f t="shared" si="19"/>
        <v>0</v>
      </c>
      <c r="E113" s="88">
        <f t="shared" si="19"/>
        <v>0</v>
      </c>
      <c r="F113" s="81">
        <f t="shared" si="20"/>
        <v>0</v>
      </c>
      <c r="G113" s="81">
        <f t="shared" si="20"/>
        <v>0</v>
      </c>
      <c r="H113" s="81">
        <f t="shared" si="21"/>
        <v>0</v>
      </c>
      <c r="I113" s="81">
        <f t="shared" si="22"/>
        <v>0</v>
      </c>
      <c r="J113" s="81">
        <f t="shared" si="23"/>
        <v>0</v>
      </c>
      <c r="K113" s="81">
        <f t="shared" si="24"/>
        <v>0</v>
      </c>
      <c r="L113" s="81">
        <f t="shared" si="25"/>
        <v>0</v>
      </c>
      <c r="M113" s="81">
        <f t="shared" ca="1" si="17"/>
        <v>-5.8445097233074013E-2</v>
      </c>
      <c r="N113" s="81">
        <f t="shared" ca="1" si="26"/>
        <v>0</v>
      </c>
      <c r="O113" s="39">
        <f t="shared" ca="1" si="27"/>
        <v>0</v>
      </c>
      <c r="P113" s="81">
        <f t="shared" ca="1" si="28"/>
        <v>0</v>
      </c>
      <c r="Q113" s="81">
        <f t="shared" ca="1" si="29"/>
        <v>0</v>
      </c>
      <c r="R113" s="24">
        <f t="shared" ca="1" si="18"/>
        <v>5.8445097233074013E-2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>
      <c r="A114" s="87"/>
      <c r="B114" s="87"/>
      <c r="C114" s="87"/>
      <c r="D114" s="88">
        <f t="shared" si="19"/>
        <v>0</v>
      </c>
      <c r="E114" s="88">
        <f t="shared" si="19"/>
        <v>0</v>
      </c>
      <c r="F114" s="81">
        <f t="shared" si="20"/>
        <v>0</v>
      </c>
      <c r="G114" s="81">
        <f t="shared" si="20"/>
        <v>0</v>
      </c>
      <c r="H114" s="81">
        <f t="shared" si="21"/>
        <v>0</v>
      </c>
      <c r="I114" s="81">
        <f t="shared" si="22"/>
        <v>0</v>
      </c>
      <c r="J114" s="81">
        <f t="shared" si="23"/>
        <v>0</v>
      </c>
      <c r="K114" s="81">
        <f t="shared" si="24"/>
        <v>0</v>
      </c>
      <c r="L114" s="81">
        <f t="shared" si="25"/>
        <v>0</v>
      </c>
      <c r="M114" s="81">
        <f t="shared" ca="1" si="17"/>
        <v>-5.8445097233074013E-2</v>
      </c>
      <c r="N114" s="81">
        <f t="shared" ca="1" si="26"/>
        <v>0</v>
      </c>
      <c r="O114" s="39">
        <f t="shared" ca="1" si="27"/>
        <v>0</v>
      </c>
      <c r="P114" s="81">
        <f t="shared" ca="1" si="28"/>
        <v>0</v>
      </c>
      <c r="Q114" s="81">
        <f t="shared" ca="1" si="29"/>
        <v>0</v>
      </c>
      <c r="R114" s="24">
        <f t="shared" ca="1" si="18"/>
        <v>5.8445097233074013E-2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>
      <c r="A115" s="87"/>
      <c r="B115" s="87"/>
      <c r="C115" s="87"/>
      <c r="D115" s="88">
        <f t="shared" si="19"/>
        <v>0</v>
      </c>
      <c r="E115" s="88">
        <f t="shared" si="19"/>
        <v>0</v>
      </c>
      <c r="F115" s="81">
        <f t="shared" si="20"/>
        <v>0</v>
      </c>
      <c r="G115" s="81">
        <f t="shared" si="20"/>
        <v>0</v>
      </c>
      <c r="H115" s="81">
        <f t="shared" si="21"/>
        <v>0</v>
      </c>
      <c r="I115" s="81">
        <f t="shared" si="22"/>
        <v>0</v>
      </c>
      <c r="J115" s="81">
        <f t="shared" si="23"/>
        <v>0</v>
      </c>
      <c r="K115" s="81">
        <f t="shared" si="24"/>
        <v>0</v>
      </c>
      <c r="L115" s="81">
        <f t="shared" si="25"/>
        <v>0</v>
      </c>
      <c r="M115" s="81">
        <f t="shared" ca="1" si="17"/>
        <v>-5.8445097233074013E-2</v>
      </c>
      <c r="N115" s="81">
        <f t="shared" ca="1" si="26"/>
        <v>0</v>
      </c>
      <c r="O115" s="39">
        <f t="shared" ca="1" si="27"/>
        <v>0</v>
      </c>
      <c r="P115" s="81">
        <f t="shared" ca="1" si="28"/>
        <v>0</v>
      </c>
      <c r="Q115" s="81">
        <f t="shared" ca="1" si="29"/>
        <v>0</v>
      </c>
      <c r="R115" s="24">
        <f t="shared" ca="1" si="18"/>
        <v>5.8445097233074013E-2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>
      <c r="A116" s="87"/>
      <c r="B116" s="87"/>
      <c r="C116" s="87"/>
      <c r="D116" s="88">
        <f t="shared" si="19"/>
        <v>0</v>
      </c>
      <c r="E116" s="88">
        <f t="shared" si="19"/>
        <v>0</v>
      </c>
      <c r="F116" s="81">
        <f t="shared" si="20"/>
        <v>0</v>
      </c>
      <c r="G116" s="81">
        <f t="shared" si="20"/>
        <v>0</v>
      </c>
      <c r="H116" s="81">
        <f t="shared" si="21"/>
        <v>0</v>
      </c>
      <c r="I116" s="81">
        <f t="shared" si="22"/>
        <v>0</v>
      </c>
      <c r="J116" s="81">
        <f t="shared" si="23"/>
        <v>0</v>
      </c>
      <c r="K116" s="81">
        <f t="shared" si="24"/>
        <v>0</v>
      </c>
      <c r="L116" s="81">
        <f t="shared" si="25"/>
        <v>0</v>
      </c>
      <c r="M116" s="81">
        <f t="shared" ca="1" si="17"/>
        <v>-5.8445097233074013E-2</v>
      </c>
      <c r="N116" s="81">
        <f t="shared" ca="1" si="26"/>
        <v>0</v>
      </c>
      <c r="O116" s="39">
        <f t="shared" ca="1" si="27"/>
        <v>0</v>
      </c>
      <c r="P116" s="81">
        <f t="shared" ca="1" si="28"/>
        <v>0</v>
      </c>
      <c r="Q116" s="81">
        <f t="shared" ca="1" si="29"/>
        <v>0</v>
      </c>
      <c r="R116" s="24">
        <f t="shared" ca="1" si="18"/>
        <v>5.8445097233074013E-2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>
      <c r="A117" s="87"/>
      <c r="B117" s="87"/>
      <c r="C117" s="87"/>
      <c r="D117" s="88">
        <f t="shared" si="19"/>
        <v>0</v>
      </c>
      <c r="E117" s="88">
        <f t="shared" si="19"/>
        <v>0</v>
      </c>
      <c r="F117" s="81">
        <f t="shared" si="20"/>
        <v>0</v>
      </c>
      <c r="G117" s="81">
        <f t="shared" si="20"/>
        <v>0</v>
      </c>
      <c r="H117" s="81">
        <f t="shared" si="21"/>
        <v>0</v>
      </c>
      <c r="I117" s="81">
        <f t="shared" si="22"/>
        <v>0</v>
      </c>
      <c r="J117" s="81">
        <f t="shared" si="23"/>
        <v>0</v>
      </c>
      <c r="K117" s="81">
        <f t="shared" si="24"/>
        <v>0</v>
      </c>
      <c r="L117" s="81">
        <f t="shared" si="25"/>
        <v>0</v>
      </c>
      <c r="M117" s="81">
        <f t="shared" ca="1" si="17"/>
        <v>-5.8445097233074013E-2</v>
      </c>
      <c r="N117" s="81">
        <f t="shared" ca="1" si="26"/>
        <v>0</v>
      </c>
      <c r="O117" s="39">
        <f t="shared" ca="1" si="27"/>
        <v>0</v>
      </c>
      <c r="P117" s="81">
        <f t="shared" ca="1" si="28"/>
        <v>0</v>
      </c>
      <c r="Q117" s="81">
        <f t="shared" ca="1" si="29"/>
        <v>0</v>
      </c>
      <c r="R117" s="24">
        <f t="shared" ca="1" si="18"/>
        <v>5.8445097233074013E-2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>
      <c r="A118" s="87"/>
      <c r="B118" s="87"/>
      <c r="C118" s="87"/>
      <c r="D118" s="88">
        <f t="shared" si="19"/>
        <v>0</v>
      </c>
      <c r="E118" s="88">
        <f t="shared" si="19"/>
        <v>0</v>
      </c>
      <c r="F118" s="81">
        <f t="shared" si="20"/>
        <v>0</v>
      </c>
      <c r="G118" s="81">
        <f t="shared" si="20"/>
        <v>0</v>
      </c>
      <c r="H118" s="81">
        <f t="shared" si="21"/>
        <v>0</v>
      </c>
      <c r="I118" s="81">
        <f t="shared" si="22"/>
        <v>0</v>
      </c>
      <c r="J118" s="81">
        <f t="shared" si="23"/>
        <v>0</v>
      </c>
      <c r="K118" s="81">
        <f t="shared" si="24"/>
        <v>0</v>
      </c>
      <c r="L118" s="81">
        <f t="shared" si="25"/>
        <v>0</v>
      </c>
      <c r="M118" s="81">
        <f t="shared" ca="1" si="17"/>
        <v>-5.8445097233074013E-2</v>
      </c>
      <c r="N118" s="81">
        <f t="shared" ca="1" si="26"/>
        <v>0</v>
      </c>
      <c r="O118" s="39">
        <f t="shared" ca="1" si="27"/>
        <v>0</v>
      </c>
      <c r="P118" s="81">
        <f t="shared" ca="1" si="28"/>
        <v>0</v>
      </c>
      <c r="Q118" s="81">
        <f t="shared" ca="1" si="29"/>
        <v>0</v>
      </c>
      <c r="R118" s="24">
        <f t="shared" ca="1" si="18"/>
        <v>5.8445097233074013E-2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>
      <c r="A119" s="87"/>
      <c r="B119" s="87"/>
      <c r="C119" s="87"/>
      <c r="D119" s="88">
        <f t="shared" si="19"/>
        <v>0</v>
      </c>
      <c r="E119" s="88">
        <f t="shared" si="19"/>
        <v>0</v>
      </c>
      <c r="F119" s="81">
        <f t="shared" si="20"/>
        <v>0</v>
      </c>
      <c r="G119" s="81">
        <f t="shared" si="20"/>
        <v>0</v>
      </c>
      <c r="H119" s="81">
        <f t="shared" si="21"/>
        <v>0</v>
      </c>
      <c r="I119" s="81">
        <f t="shared" si="22"/>
        <v>0</v>
      </c>
      <c r="J119" s="81">
        <f t="shared" si="23"/>
        <v>0</v>
      </c>
      <c r="K119" s="81">
        <f t="shared" si="24"/>
        <v>0</v>
      </c>
      <c r="L119" s="81">
        <f t="shared" si="25"/>
        <v>0</v>
      </c>
      <c r="M119" s="81">
        <f t="shared" ca="1" si="17"/>
        <v>-5.8445097233074013E-2</v>
      </c>
      <c r="N119" s="81">
        <f t="shared" ca="1" si="26"/>
        <v>0</v>
      </c>
      <c r="O119" s="39">
        <f t="shared" ca="1" si="27"/>
        <v>0</v>
      </c>
      <c r="P119" s="81">
        <f t="shared" ca="1" si="28"/>
        <v>0</v>
      </c>
      <c r="Q119" s="81">
        <f t="shared" ca="1" si="29"/>
        <v>0</v>
      </c>
      <c r="R119" s="24">
        <f t="shared" ca="1" si="18"/>
        <v>5.8445097233074013E-2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>
      <c r="A120" s="87"/>
      <c r="B120" s="87"/>
      <c r="C120" s="87"/>
      <c r="D120" s="88">
        <f t="shared" si="19"/>
        <v>0</v>
      </c>
      <c r="E120" s="88">
        <f t="shared" si="19"/>
        <v>0</v>
      </c>
      <c r="F120" s="81">
        <f t="shared" si="20"/>
        <v>0</v>
      </c>
      <c r="G120" s="81">
        <f t="shared" si="20"/>
        <v>0</v>
      </c>
      <c r="H120" s="81">
        <f t="shared" si="21"/>
        <v>0</v>
      </c>
      <c r="I120" s="81">
        <f t="shared" si="22"/>
        <v>0</v>
      </c>
      <c r="J120" s="81">
        <f t="shared" si="23"/>
        <v>0</v>
      </c>
      <c r="K120" s="81">
        <f t="shared" si="24"/>
        <v>0</v>
      </c>
      <c r="L120" s="81">
        <f t="shared" si="25"/>
        <v>0</v>
      </c>
      <c r="M120" s="81">
        <f t="shared" ca="1" si="17"/>
        <v>-5.8445097233074013E-2</v>
      </c>
      <c r="N120" s="81">
        <f t="shared" ca="1" si="26"/>
        <v>0</v>
      </c>
      <c r="O120" s="39">
        <f t="shared" ca="1" si="27"/>
        <v>0</v>
      </c>
      <c r="P120" s="81">
        <f t="shared" ca="1" si="28"/>
        <v>0</v>
      </c>
      <c r="Q120" s="81">
        <f t="shared" ca="1" si="29"/>
        <v>0</v>
      </c>
      <c r="R120" s="24">
        <f t="shared" ca="1" si="18"/>
        <v>5.8445097233074013E-2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>
      <c r="A121" s="87"/>
      <c r="B121" s="87"/>
      <c r="C121" s="87"/>
      <c r="D121" s="88">
        <f t="shared" si="19"/>
        <v>0</v>
      </c>
      <c r="E121" s="88">
        <f t="shared" si="19"/>
        <v>0</v>
      </c>
      <c r="F121" s="81">
        <f t="shared" si="20"/>
        <v>0</v>
      </c>
      <c r="G121" s="81">
        <f t="shared" si="20"/>
        <v>0</v>
      </c>
      <c r="H121" s="81">
        <f t="shared" si="21"/>
        <v>0</v>
      </c>
      <c r="I121" s="81">
        <f t="shared" si="22"/>
        <v>0</v>
      </c>
      <c r="J121" s="81">
        <f t="shared" si="23"/>
        <v>0</v>
      </c>
      <c r="K121" s="81">
        <f t="shared" si="24"/>
        <v>0</v>
      </c>
      <c r="L121" s="81">
        <f t="shared" si="25"/>
        <v>0</v>
      </c>
      <c r="M121" s="81">
        <f t="shared" ca="1" si="17"/>
        <v>-5.8445097233074013E-2</v>
      </c>
      <c r="N121" s="81">
        <f t="shared" ca="1" si="26"/>
        <v>0</v>
      </c>
      <c r="O121" s="39">
        <f t="shared" ca="1" si="27"/>
        <v>0</v>
      </c>
      <c r="P121" s="81">
        <f t="shared" ca="1" si="28"/>
        <v>0</v>
      </c>
      <c r="Q121" s="81">
        <f t="shared" ca="1" si="29"/>
        <v>0</v>
      </c>
      <c r="R121" s="24">
        <f t="shared" ca="1" si="18"/>
        <v>5.8445097233074013E-2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>
      <c r="A122" s="87"/>
      <c r="B122" s="87"/>
      <c r="C122" s="87"/>
      <c r="D122" s="88">
        <f t="shared" si="19"/>
        <v>0</v>
      </c>
      <c r="E122" s="88">
        <f t="shared" si="19"/>
        <v>0</v>
      </c>
      <c r="F122" s="81">
        <f t="shared" si="20"/>
        <v>0</v>
      </c>
      <c r="G122" s="81">
        <f t="shared" si="20"/>
        <v>0</v>
      </c>
      <c r="H122" s="81">
        <f t="shared" si="21"/>
        <v>0</v>
      </c>
      <c r="I122" s="81">
        <f t="shared" si="22"/>
        <v>0</v>
      </c>
      <c r="J122" s="81">
        <f t="shared" si="23"/>
        <v>0</v>
      </c>
      <c r="K122" s="81">
        <f t="shared" si="24"/>
        <v>0</v>
      </c>
      <c r="L122" s="81">
        <f t="shared" si="25"/>
        <v>0</v>
      </c>
      <c r="M122" s="81">
        <f t="shared" ca="1" si="17"/>
        <v>-5.8445097233074013E-2</v>
      </c>
      <c r="N122" s="81">
        <f t="shared" ca="1" si="26"/>
        <v>0</v>
      </c>
      <c r="O122" s="39">
        <f t="shared" ca="1" si="27"/>
        <v>0</v>
      </c>
      <c r="P122" s="81">
        <f t="shared" ca="1" si="28"/>
        <v>0</v>
      </c>
      <c r="Q122" s="81">
        <f t="shared" ca="1" si="29"/>
        <v>0</v>
      </c>
      <c r="R122" s="24">
        <f t="shared" ca="1" si="18"/>
        <v>5.8445097233074013E-2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>
      <c r="A123" s="87"/>
      <c r="B123" s="87"/>
      <c r="C123" s="87"/>
      <c r="D123" s="88">
        <f t="shared" si="19"/>
        <v>0</v>
      </c>
      <c r="E123" s="88">
        <f t="shared" si="19"/>
        <v>0</v>
      </c>
      <c r="F123" s="81">
        <f t="shared" si="20"/>
        <v>0</v>
      </c>
      <c r="G123" s="81">
        <f t="shared" si="20"/>
        <v>0</v>
      </c>
      <c r="H123" s="81">
        <f t="shared" si="21"/>
        <v>0</v>
      </c>
      <c r="I123" s="81">
        <f t="shared" si="22"/>
        <v>0</v>
      </c>
      <c r="J123" s="81">
        <f t="shared" si="23"/>
        <v>0</v>
      </c>
      <c r="K123" s="81">
        <f t="shared" si="24"/>
        <v>0</v>
      </c>
      <c r="L123" s="81">
        <f t="shared" si="25"/>
        <v>0</v>
      </c>
      <c r="M123" s="81">
        <f t="shared" ca="1" si="17"/>
        <v>-5.8445097233074013E-2</v>
      </c>
      <c r="N123" s="81">
        <f t="shared" ca="1" si="26"/>
        <v>0</v>
      </c>
      <c r="O123" s="39">
        <f t="shared" ca="1" si="27"/>
        <v>0</v>
      </c>
      <c r="P123" s="81">
        <f t="shared" ca="1" si="28"/>
        <v>0</v>
      </c>
      <c r="Q123" s="81">
        <f t="shared" ca="1" si="29"/>
        <v>0</v>
      </c>
      <c r="R123" s="24">
        <f t="shared" ca="1" si="18"/>
        <v>5.8445097233074013E-2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>
      <c r="A124" s="87"/>
      <c r="B124" s="87"/>
      <c r="C124" s="87"/>
      <c r="D124" s="88">
        <f t="shared" si="19"/>
        <v>0</v>
      </c>
      <c r="E124" s="88">
        <f t="shared" si="19"/>
        <v>0</v>
      </c>
      <c r="F124" s="81">
        <f t="shared" si="20"/>
        <v>0</v>
      </c>
      <c r="G124" s="81">
        <f t="shared" si="20"/>
        <v>0</v>
      </c>
      <c r="H124" s="81">
        <f t="shared" si="21"/>
        <v>0</v>
      </c>
      <c r="I124" s="81">
        <f t="shared" si="22"/>
        <v>0</v>
      </c>
      <c r="J124" s="81">
        <f t="shared" si="23"/>
        <v>0</v>
      </c>
      <c r="K124" s="81">
        <f t="shared" si="24"/>
        <v>0</v>
      </c>
      <c r="L124" s="81">
        <f t="shared" si="25"/>
        <v>0</v>
      </c>
      <c r="M124" s="81">
        <f t="shared" ca="1" si="17"/>
        <v>-5.8445097233074013E-2</v>
      </c>
      <c r="N124" s="81">
        <f t="shared" ca="1" si="26"/>
        <v>0</v>
      </c>
      <c r="O124" s="39">
        <f t="shared" ca="1" si="27"/>
        <v>0</v>
      </c>
      <c r="P124" s="81">
        <f t="shared" ca="1" si="28"/>
        <v>0</v>
      </c>
      <c r="Q124" s="81">
        <f t="shared" ca="1" si="29"/>
        <v>0</v>
      </c>
      <c r="R124" s="24">
        <f t="shared" ca="1" si="18"/>
        <v>5.8445097233074013E-2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>
      <c r="A125" s="87"/>
      <c r="B125" s="87"/>
      <c r="C125" s="87"/>
      <c r="D125" s="88">
        <f t="shared" si="19"/>
        <v>0</v>
      </c>
      <c r="E125" s="88">
        <f t="shared" si="19"/>
        <v>0</v>
      </c>
      <c r="F125" s="81">
        <f t="shared" si="20"/>
        <v>0</v>
      </c>
      <c r="G125" s="81">
        <f t="shared" si="20"/>
        <v>0</v>
      </c>
      <c r="H125" s="81">
        <f t="shared" si="21"/>
        <v>0</v>
      </c>
      <c r="I125" s="81">
        <f t="shared" si="22"/>
        <v>0</v>
      </c>
      <c r="J125" s="81">
        <f t="shared" si="23"/>
        <v>0</v>
      </c>
      <c r="K125" s="81">
        <f t="shared" si="24"/>
        <v>0</v>
      </c>
      <c r="L125" s="81">
        <f t="shared" si="25"/>
        <v>0</v>
      </c>
      <c r="M125" s="81">
        <f t="shared" ca="1" si="17"/>
        <v>-5.8445097233074013E-2</v>
      </c>
      <c r="N125" s="81">
        <f t="shared" ca="1" si="26"/>
        <v>0</v>
      </c>
      <c r="O125" s="39">
        <f t="shared" ca="1" si="27"/>
        <v>0</v>
      </c>
      <c r="P125" s="81">
        <f t="shared" ca="1" si="28"/>
        <v>0</v>
      </c>
      <c r="Q125" s="81">
        <f t="shared" ca="1" si="29"/>
        <v>0</v>
      </c>
      <c r="R125" s="24">
        <f t="shared" ca="1" si="18"/>
        <v>5.8445097233074013E-2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>
      <c r="A126" s="87"/>
      <c r="B126" s="87"/>
      <c r="C126" s="87"/>
      <c r="D126" s="88">
        <f t="shared" si="19"/>
        <v>0</v>
      </c>
      <c r="E126" s="88">
        <f t="shared" si="19"/>
        <v>0</v>
      </c>
      <c r="F126" s="81">
        <f t="shared" si="20"/>
        <v>0</v>
      </c>
      <c r="G126" s="81">
        <f t="shared" si="20"/>
        <v>0</v>
      </c>
      <c r="H126" s="81">
        <f t="shared" si="21"/>
        <v>0</v>
      </c>
      <c r="I126" s="81">
        <f t="shared" si="22"/>
        <v>0</v>
      </c>
      <c r="J126" s="81">
        <f t="shared" si="23"/>
        <v>0</v>
      </c>
      <c r="K126" s="81">
        <f t="shared" si="24"/>
        <v>0</v>
      </c>
      <c r="L126" s="81">
        <f t="shared" si="25"/>
        <v>0</v>
      </c>
      <c r="M126" s="81">
        <f t="shared" ca="1" si="17"/>
        <v>-5.8445097233074013E-2</v>
      </c>
      <c r="N126" s="81">
        <f t="shared" ca="1" si="26"/>
        <v>0</v>
      </c>
      <c r="O126" s="39">
        <f t="shared" ca="1" si="27"/>
        <v>0</v>
      </c>
      <c r="P126" s="81">
        <f t="shared" ca="1" si="28"/>
        <v>0</v>
      </c>
      <c r="Q126" s="81">
        <f t="shared" ca="1" si="29"/>
        <v>0</v>
      </c>
      <c r="R126" s="24">
        <f t="shared" ca="1" si="18"/>
        <v>5.8445097233074013E-2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>
      <c r="A127" s="87"/>
      <c r="B127" s="87"/>
      <c r="C127" s="87"/>
      <c r="D127" s="88">
        <f t="shared" si="19"/>
        <v>0</v>
      </c>
      <c r="E127" s="88">
        <f t="shared" si="19"/>
        <v>0</v>
      </c>
      <c r="F127" s="81">
        <f t="shared" si="20"/>
        <v>0</v>
      </c>
      <c r="G127" s="81">
        <f t="shared" si="20"/>
        <v>0</v>
      </c>
      <c r="H127" s="81">
        <f t="shared" si="21"/>
        <v>0</v>
      </c>
      <c r="I127" s="81">
        <f t="shared" si="22"/>
        <v>0</v>
      </c>
      <c r="J127" s="81">
        <f t="shared" si="23"/>
        <v>0</v>
      </c>
      <c r="K127" s="81">
        <f t="shared" si="24"/>
        <v>0</v>
      </c>
      <c r="L127" s="81">
        <f t="shared" si="25"/>
        <v>0</v>
      </c>
      <c r="M127" s="81">
        <f t="shared" ca="1" si="17"/>
        <v>-5.8445097233074013E-2</v>
      </c>
      <c r="N127" s="81">
        <f t="shared" ca="1" si="26"/>
        <v>0</v>
      </c>
      <c r="O127" s="39">
        <f t="shared" ca="1" si="27"/>
        <v>0</v>
      </c>
      <c r="P127" s="81">
        <f t="shared" ca="1" si="28"/>
        <v>0</v>
      </c>
      <c r="Q127" s="81">
        <f t="shared" ca="1" si="29"/>
        <v>0</v>
      </c>
      <c r="R127" s="24">
        <f t="shared" ca="1" si="18"/>
        <v>5.8445097233074013E-2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>
      <c r="A128" s="87"/>
      <c r="B128" s="87"/>
      <c r="C128" s="87"/>
      <c r="D128" s="88">
        <f t="shared" si="19"/>
        <v>0</v>
      </c>
      <c r="E128" s="88">
        <f t="shared" si="19"/>
        <v>0</v>
      </c>
      <c r="F128" s="81">
        <f t="shared" si="20"/>
        <v>0</v>
      </c>
      <c r="G128" s="81">
        <f t="shared" si="20"/>
        <v>0</v>
      </c>
      <c r="H128" s="81">
        <f t="shared" si="21"/>
        <v>0</v>
      </c>
      <c r="I128" s="81">
        <f t="shared" si="22"/>
        <v>0</v>
      </c>
      <c r="J128" s="81">
        <f t="shared" si="23"/>
        <v>0</v>
      </c>
      <c r="K128" s="81">
        <f t="shared" si="24"/>
        <v>0</v>
      </c>
      <c r="L128" s="81">
        <f t="shared" si="25"/>
        <v>0</v>
      </c>
      <c r="M128" s="81">
        <f t="shared" ca="1" si="17"/>
        <v>-5.8445097233074013E-2</v>
      </c>
      <c r="N128" s="81">
        <f t="shared" ca="1" si="26"/>
        <v>0</v>
      </c>
      <c r="O128" s="39">
        <f t="shared" ca="1" si="27"/>
        <v>0</v>
      </c>
      <c r="P128" s="81">
        <f t="shared" ca="1" si="28"/>
        <v>0</v>
      </c>
      <c r="Q128" s="81">
        <f t="shared" ca="1" si="29"/>
        <v>0</v>
      </c>
      <c r="R128" s="24">
        <f t="shared" ca="1" si="18"/>
        <v>5.8445097233074013E-2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>
      <c r="A129" s="87"/>
      <c r="B129" s="87"/>
      <c r="C129" s="87"/>
      <c r="D129" s="88">
        <f t="shared" si="19"/>
        <v>0</v>
      </c>
      <c r="E129" s="88">
        <f t="shared" si="19"/>
        <v>0</v>
      </c>
      <c r="F129" s="81">
        <f t="shared" si="20"/>
        <v>0</v>
      </c>
      <c r="G129" s="81">
        <f t="shared" si="20"/>
        <v>0</v>
      </c>
      <c r="H129" s="81">
        <f t="shared" si="21"/>
        <v>0</v>
      </c>
      <c r="I129" s="81">
        <f t="shared" si="22"/>
        <v>0</v>
      </c>
      <c r="J129" s="81">
        <f t="shared" si="23"/>
        <v>0</v>
      </c>
      <c r="K129" s="81">
        <f t="shared" si="24"/>
        <v>0</v>
      </c>
      <c r="L129" s="81">
        <f t="shared" si="25"/>
        <v>0</v>
      </c>
      <c r="M129" s="81">
        <f t="shared" ca="1" si="17"/>
        <v>-5.8445097233074013E-2</v>
      </c>
      <c r="N129" s="81">
        <f t="shared" ca="1" si="26"/>
        <v>0</v>
      </c>
      <c r="O129" s="39">
        <f t="shared" ca="1" si="27"/>
        <v>0</v>
      </c>
      <c r="P129" s="81">
        <f t="shared" ca="1" si="28"/>
        <v>0</v>
      </c>
      <c r="Q129" s="81">
        <f t="shared" ca="1" si="29"/>
        <v>0</v>
      </c>
      <c r="R129" s="24">
        <f t="shared" ca="1" si="18"/>
        <v>5.8445097233074013E-2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>
      <c r="A130" s="87"/>
      <c r="B130" s="87"/>
      <c r="C130" s="87"/>
      <c r="D130" s="88">
        <f t="shared" si="19"/>
        <v>0</v>
      </c>
      <c r="E130" s="88">
        <f t="shared" si="19"/>
        <v>0</v>
      </c>
      <c r="F130" s="81">
        <f t="shared" si="20"/>
        <v>0</v>
      </c>
      <c r="G130" s="81">
        <f t="shared" si="20"/>
        <v>0</v>
      </c>
      <c r="H130" s="81">
        <f t="shared" si="21"/>
        <v>0</v>
      </c>
      <c r="I130" s="81">
        <f t="shared" si="22"/>
        <v>0</v>
      </c>
      <c r="J130" s="81">
        <f t="shared" si="23"/>
        <v>0</v>
      </c>
      <c r="K130" s="81">
        <f t="shared" si="24"/>
        <v>0</v>
      </c>
      <c r="L130" s="81">
        <f t="shared" si="25"/>
        <v>0</v>
      </c>
      <c r="M130" s="81">
        <f t="shared" ca="1" si="17"/>
        <v>-5.8445097233074013E-2</v>
      </c>
      <c r="N130" s="81">
        <f t="shared" ca="1" si="26"/>
        <v>0</v>
      </c>
      <c r="O130" s="39">
        <f t="shared" ca="1" si="27"/>
        <v>0</v>
      </c>
      <c r="P130" s="81">
        <f t="shared" ca="1" si="28"/>
        <v>0</v>
      </c>
      <c r="Q130" s="81">
        <f t="shared" ca="1" si="29"/>
        <v>0</v>
      </c>
      <c r="R130" s="24">
        <f t="shared" ca="1" si="18"/>
        <v>5.8445097233074013E-2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>
      <c r="A131" s="87"/>
      <c r="B131" s="87"/>
      <c r="C131" s="87"/>
      <c r="D131" s="88">
        <f t="shared" si="19"/>
        <v>0</v>
      </c>
      <c r="E131" s="88">
        <f t="shared" si="19"/>
        <v>0</v>
      </c>
      <c r="F131" s="81">
        <f t="shared" si="20"/>
        <v>0</v>
      </c>
      <c r="G131" s="81">
        <f t="shared" si="20"/>
        <v>0</v>
      </c>
      <c r="H131" s="81">
        <f t="shared" si="21"/>
        <v>0</v>
      </c>
      <c r="I131" s="81">
        <f t="shared" si="22"/>
        <v>0</v>
      </c>
      <c r="J131" s="81">
        <f t="shared" si="23"/>
        <v>0</v>
      </c>
      <c r="K131" s="81">
        <f t="shared" si="24"/>
        <v>0</v>
      </c>
      <c r="L131" s="81">
        <f t="shared" si="25"/>
        <v>0</v>
      </c>
      <c r="M131" s="81">
        <f t="shared" ca="1" si="17"/>
        <v>-5.8445097233074013E-2</v>
      </c>
      <c r="N131" s="81">
        <f t="shared" ca="1" si="26"/>
        <v>0</v>
      </c>
      <c r="O131" s="39">
        <f t="shared" ca="1" si="27"/>
        <v>0</v>
      </c>
      <c r="P131" s="81">
        <f t="shared" ca="1" si="28"/>
        <v>0</v>
      </c>
      <c r="Q131" s="81">
        <f t="shared" ca="1" si="29"/>
        <v>0</v>
      </c>
      <c r="R131" s="24">
        <f t="shared" ca="1" si="18"/>
        <v>5.8445097233074013E-2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>
      <c r="A132" s="87"/>
      <c r="B132" s="87"/>
      <c r="C132" s="87"/>
      <c r="D132" s="88">
        <f t="shared" si="19"/>
        <v>0</v>
      </c>
      <c r="E132" s="88">
        <f t="shared" si="19"/>
        <v>0</v>
      </c>
      <c r="F132" s="81">
        <f t="shared" si="20"/>
        <v>0</v>
      </c>
      <c r="G132" s="81">
        <f t="shared" si="20"/>
        <v>0</v>
      </c>
      <c r="H132" s="81">
        <f t="shared" si="21"/>
        <v>0</v>
      </c>
      <c r="I132" s="81">
        <f t="shared" si="22"/>
        <v>0</v>
      </c>
      <c r="J132" s="81">
        <f t="shared" si="23"/>
        <v>0</v>
      </c>
      <c r="K132" s="81">
        <f t="shared" si="24"/>
        <v>0</v>
      </c>
      <c r="L132" s="81">
        <f t="shared" si="25"/>
        <v>0</v>
      </c>
      <c r="M132" s="81">
        <f t="shared" ca="1" si="17"/>
        <v>-5.8445097233074013E-2</v>
      </c>
      <c r="N132" s="81">
        <f t="shared" ca="1" si="26"/>
        <v>0</v>
      </c>
      <c r="O132" s="39">
        <f t="shared" ca="1" si="27"/>
        <v>0</v>
      </c>
      <c r="P132" s="81">
        <f t="shared" ca="1" si="28"/>
        <v>0</v>
      </c>
      <c r="Q132" s="81">
        <f t="shared" ca="1" si="29"/>
        <v>0</v>
      </c>
      <c r="R132" s="24">
        <f t="shared" ca="1" si="18"/>
        <v>5.8445097233074013E-2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>
      <c r="A133" s="87"/>
      <c r="B133" s="87"/>
      <c r="C133" s="87"/>
      <c r="D133" s="88">
        <f t="shared" si="19"/>
        <v>0</v>
      </c>
      <c r="E133" s="88">
        <f t="shared" si="19"/>
        <v>0</v>
      </c>
      <c r="F133" s="81">
        <f t="shared" si="20"/>
        <v>0</v>
      </c>
      <c r="G133" s="81">
        <f t="shared" si="20"/>
        <v>0</v>
      </c>
      <c r="H133" s="81">
        <f t="shared" si="21"/>
        <v>0</v>
      </c>
      <c r="I133" s="81">
        <f t="shared" si="22"/>
        <v>0</v>
      </c>
      <c r="J133" s="81">
        <f t="shared" si="23"/>
        <v>0</v>
      </c>
      <c r="K133" s="81">
        <f t="shared" si="24"/>
        <v>0</v>
      </c>
      <c r="L133" s="81">
        <f t="shared" si="25"/>
        <v>0</v>
      </c>
      <c r="M133" s="81">
        <f t="shared" ca="1" si="17"/>
        <v>-5.8445097233074013E-2</v>
      </c>
      <c r="N133" s="81">
        <f t="shared" ca="1" si="26"/>
        <v>0</v>
      </c>
      <c r="O133" s="39">
        <f t="shared" ca="1" si="27"/>
        <v>0</v>
      </c>
      <c r="P133" s="81">
        <f t="shared" ca="1" si="28"/>
        <v>0</v>
      </c>
      <c r="Q133" s="81">
        <f t="shared" ca="1" si="29"/>
        <v>0</v>
      </c>
      <c r="R133" s="24">
        <f t="shared" ca="1" si="18"/>
        <v>5.8445097233074013E-2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>
      <c r="A134" s="87"/>
      <c r="B134" s="87"/>
      <c r="C134" s="87"/>
      <c r="D134" s="88">
        <f t="shared" si="19"/>
        <v>0</v>
      </c>
      <c r="E134" s="88">
        <f t="shared" si="19"/>
        <v>0</v>
      </c>
      <c r="F134" s="81">
        <f t="shared" si="20"/>
        <v>0</v>
      </c>
      <c r="G134" s="81">
        <f t="shared" si="20"/>
        <v>0</v>
      </c>
      <c r="H134" s="81">
        <f t="shared" si="21"/>
        <v>0</v>
      </c>
      <c r="I134" s="81">
        <f t="shared" si="22"/>
        <v>0</v>
      </c>
      <c r="J134" s="81">
        <f t="shared" si="23"/>
        <v>0</v>
      </c>
      <c r="K134" s="81">
        <f t="shared" si="24"/>
        <v>0</v>
      </c>
      <c r="L134" s="81">
        <f t="shared" si="25"/>
        <v>0</v>
      </c>
      <c r="M134" s="81">
        <f t="shared" ca="1" si="17"/>
        <v>-5.8445097233074013E-2</v>
      </c>
      <c r="N134" s="81">
        <f t="shared" ca="1" si="26"/>
        <v>0</v>
      </c>
      <c r="O134" s="39">
        <f t="shared" ca="1" si="27"/>
        <v>0</v>
      </c>
      <c r="P134" s="81">
        <f t="shared" ca="1" si="28"/>
        <v>0</v>
      </c>
      <c r="Q134" s="81">
        <f t="shared" ca="1" si="29"/>
        <v>0</v>
      </c>
      <c r="R134" s="24">
        <f t="shared" ca="1" si="18"/>
        <v>5.8445097233074013E-2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>
      <c r="A135" s="87"/>
      <c r="B135" s="87"/>
      <c r="C135" s="87"/>
      <c r="D135" s="88">
        <f t="shared" si="19"/>
        <v>0</v>
      </c>
      <c r="E135" s="88">
        <f t="shared" si="19"/>
        <v>0</v>
      </c>
      <c r="F135" s="81">
        <f t="shared" si="20"/>
        <v>0</v>
      </c>
      <c r="G135" s="81">
        <f t="shared" si="20"/>
        <v>0</v>
      </c>
      <c r="H135" s="81">
        <f t="shared" si="21"/>
        <v>0</v>
      </c>
      <c r="I135" s="81">
        <f t="shared" si="22"/>
        <v>0</v>
      </c>
      <c r="J135" s="81">
        <f t="shared" si="23"/>
        <v>0</v>
      </c>
      <c r="K135" s="81">
        <f t="shared" si="24"/>
        <v>0</v>
      </c>
      <c r="L135" s="81">
        <f t="shared" si="25"/>
        <v>0</v>
      </c>
      <c r="M135" s="81">
        <f t="shared" ca="1" si="17"/>
        <v>-5.8445097233074013E-2</v>
      </c>
      <c r="N135" s="81">
        <f t="shared" ca="1" si="26"/>
        <v>0</v>
      </c>
      <c r="O135" s="39">
        <f t="shared" ca="1" si="27"/>
        <v>0</v>
      </c>
      <c r="P135" s="81">
        <f t="shared" ca="1" si="28"/>
        <v>0</v>
      </c>
      <c r="Q135" s="81">
        <f t="shared" ca="1" si="29"/>
        <v>0</v>
      </c>
      <c r="R135" s="24">
        <f t="shared" ca="1" si="18"/>
        <v>5.8445097233074013E-2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>
      <c r="A136" s="87"/>
      <c r="B136" s="87"/>
      <c r="C136" s="87"/>
      <c r="D136" s="88">
        <f t="shared" si="19"/>
        <v>0</v>
      </c>
      <c r="E136" s="88">
        <f t="shared" si="19"/>
        <v>0</v>
      </c>
      <c r="F136" s="81">
        <f t="shared" si="20"/>
        <v>0</v>
      </c>
      <c r="G136" s="81">
        <f t="shared" si="20"/>
        <v>0</v>
      </c>
      <c r="H136" s="81">
        <f t="shared" si="21"/>
        <v>0</v>
      </c>
      <c r="I136" s="81">
        <f t="shared" si="22"/>
        <v>0</v>
      </c>
      <c r="J136" s="81">
        <f t="shared" si="23"/>
        <v>0</v>
      </c>
      <c r="K136" s="81">
        <f t="shared" si="24"/>
        <v>0</v>
      </c>
      <c r="L136" s="81">
        <f t="shared" si="25"/>
        <v>0</v>
      </c>
      <c r="M136" s="81">
        <f t="shared" ca="1" si="17"/>
        <v>-5.8445097233074013E-2</v>
      </c>
      <c r="N136" s="81">
        <f t="shared" ca="1" si="26"/>
        <v>0</v>
      </c>
      <c r="O136" s="39">
        <f t="shared" ca="1" si="27"/>
        <v>0</v>
      </c>
      <c r="P136" s="81">
        <f t="shared" ca="1" si="28"/>
        <v>0</v>
      </c>
      <c r="Q136" s="81">
        <f t="shared" ca="1" si="29"/>
        <v>0</v>
      </c>
      <c r="R136" s="24">
        <f t="shared" ca="1" si="18"/>
        <v>5.8445097233074013E-2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>
      <c r="A137" s="87"/>
      <c r="B137" s="87"/>
      <c r="C137" s="87"/>
      <c r="D137" s="88">
        <f t="shared" si="19"/>
        <v>0</v>
      </c>
      <c r="E137" s="88">
        <f t="shared" si="19"/>
        <v>0</v>
      </c>
      <c r="F137" s="81">
        <f t="shared" si="20"/>
        <v>0</v>
      </c>
      <c r="G137" s="81">
        <f t="shared" si="20"/>
        <v>0</v>
      </c>
      <c r="H137" s="81">
        <f t="shared" si="21"/>
        <v>0</v>
      </c>
      <c r="I137" s="81">
        <f t="shared" si="22"/>
        <v>0</v>
      </c>
      <c r="J137" s="81">
        <f t="shared" si="23"/>
        <v>0</v>
      </c>
      <c r="K137" s="81">
        <f t="shared" si="24"/>
        <v>0</v>
      </c>
      <c r="L137" s="81">
        <f t="shared" si="25"/>
        <v>0</v>
      </c>
      <c r="M137" s="81">
        <f t="shared" ca="1" si="17"/>
        <v>-5.8445097233074013E-2</v>
      </c>
      <c r="N137" s="81">
        <f t="shared" ca="1" si="26"/>
        <v>0</v>
      </c>
      <c r="O137" s="39">
        <f t="shared" ca="1" si="27"/>
        <v>0</v>
      </c>
      <c r="P137" s="81">
        <f t="shared" ca="1" si="28"/>
        <v>0</v>
      </c>
      <c r="Q137" s="81">
        <f t="shared" ca="1" si="29"/>
        <v>0</v>
      </c>
      <c r="R137" s="24">
        <f t="shared" ca="1" si="18"/>
        <v>5.8445097233074013E-2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>
      <c r="A138" s="87"/>
      <c r="B138" s="87"/>
      <c r="C138" s="87"/>
      <c r="D138" s="88">
        <f t="shared" si="19"/>
        <v>0</v>
      </c>
      <c r="E138" s="88">
        <f t="shared" si="19"/>
        <v>0</v>
      </c>
      <c r="F138" s="81">
        <f t="shared" si="20"/>
        <v>0</v>
      </c>
      <c r="G138" s="81">
        <f t="shared" si="20"/>
        <v>0</v>
      </c>
      <c r="H138" s="81">
        <f t="shared" si="21"/>
        <v>0</v>
      </c>
      <c r="I138" s="81">
        <f t="shared" si="22"/>
        <v>0</v>
      </c>
      <c r="J138" s="81">
        <f t="shared" si="23"/>
        <v>0</v>
      </c>
      <c r="K138" s="81">
        <f t="shared" si="24"/>
        <v>0</v>
      </c>
      <c r="L138" s="81">
        <f t="shared" si="25"/>
        <v>0</v>
      </c>
      <c r="M138" s="81">
        <f t="shared" ca="1" si="17"/>
        <v>-5.8445097233074013E-2</v>
      </c>
      <c r="N138" s="81">
        <f t="shared" ca="1" si="26"/>
        <v>0</v>
      </c>
      <c r="O138" s="39">
        <f t="shared" ca="1" si="27"/>
        <v>0</v>
      </c>
      <c r="P138" s="81">
        <f t="shared" ca="1" si="28"/>
        <v>0</v>
      </c>
      <c r="Q138" s="81">
        <f t="shared" ca="1" si="29"/>
        <v>0</v>
      </c>
      <c r="R138" s="24">
        <f t="shared" ca="1" si="18"/>
        <v>5.8445097233074013E-2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>
      <c r="A139" s="87"/>
      <c r="B139" s="87"/>
      <c r="C139" s="87"/>
      <c r="D139" s="88">
        <f t="shared" si="19"/>
        <v>0</v>
      </c>
      <c r="E139" s="88">
        <f t="shared" si="19"/>
        <v>0</v>
      </c>
      <c r="F139" s="81">
        <f t="shared" si="20"/>
        <v>0</v>
      </c>
      <c r="G139" s="81">
        <f t="shared" si="20"/>
        <v>0</v>
      </c>
      <c r="H139" s="81">
        <f t="shared" si="21"/>
        <v>0</v>
      </c>
      <c r="I139" s="81">
        <f t="shared" si="22"/>
        <v>0</v>
      </c>
      <c r="J139" s="81">
        <f t="shared" si="23"/>
        <v>0</v>
      </c>
      <c r="K139" s="81">
        <f t="shared" si="24"/>
        <v>0</v>
      </c>
      <c r="L139" s="81">
        <f t="shared" si="25"/>
        <v>0</v>
      </c>
      <c r="M139" s="81">
        <f t="shared" ca="1" si="17"/>
        <v>-5.8445097233074013E-2</v>
      </c>
      <c r="N139" s="81">
        <f t="shared" ca="1" si="26"/>
        <v>0</v>
      </c>
      <c r="O139" s="39">
        <f t="shared" ca="1" si="27"/>
        <v>0</v>
      </c>
      <c r="P139" s="81">
        <f t="shared" ca="1" si="28"/>
        <v>0</v>
      </c>
      <c r="Q139" s="81">
        <f t="shared" ca="1" si="29"/>
        <v>0</v>
      </c>
      <c r="R139" s="24">
        <f t="shared" ca="1" si="18"/>
        <v>5.8445097233074013E-2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>
      <c r="A140" s="87"/>
      <c r="B140" s="87"/>
      <c r="C140" s="87"/>
      <c r="D140" s="88">
        <f t="shared" si="19"/>
        <v>0</v>
      </c>
      <c r="E140" s="88">
        <f t="shared" si="19"/>
        <v>0</v>
      </c>
      <c r="F140" s="81">
        <f t="shared" si="20"/>
        <v>0</v>
      </c>
      <c r="G140" s="81">
        <f t="shared" si="20"/>
        <v>0</v>
      </c>
      <c r="H140" s="81">
        <f t="shared" si="21"/>
        <v>0</v>
      </c>
      <c r="I140" s="81">
        <f t="shared" si="22"/>
        <v>0</v>
      </c>
      <c r="J140" s="81">
        <f t="shared" si="23"/>
        <v>0</v>
      </c>
      <c r="K140" s="81">
        <f t="shared" si="24"/>
        <v>0</v>
      </c>
      <c r="L140" s="81">
        <f t="shared" si="25"/>
        <v>0</v>
      </c>
      <c r="M140" s="81">
        <f t="shared" ca="1" si="17"/>
        <v>-5.8445097233074013E-2</v>
      </c>
      <c r="N140" s="81">
        <f t="shared" ca="1" si="26"/>
        <v>0</v>
      </c>
      <c r="O140" s="39">
        <f t="shared" ca="1" si="27"/>
        <v>0</v>
      </c>
      <c r="P140" s="81">
        <f t="shared" ca="1" si="28"/>
        <v>0</v>
      </c>
      <c r="Q140" s="81">
        <f t="shared" ca="1" si="29"/>
        <v>0</v>
      </c>
      <c r="R140" s="24">
        <f t="shared" ca="1" si="18"/>
        <v>5.8445097233074013E-2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>
      <c r="A141" s="87"/>
      <c r="B141" s="87"/>
      <c r="C141" s="87"/>
      <c r="D141" s="88">
        <f t="shared" si="19"/>
        <v>0</v>
      </c>
      <c r="E141" s="88">
        <f t="shared" si="19"/>
        <v>0</v>
      </c>
      <c r="F141" s="81">
        <f t="shared" si="20"/>
        <v>0</v>
      </c>
      <c r="G141" s="81">
        <f t="shared" si="20"/>
        <v>0</v>
      </c>
      <c r="H141" s="81">
        <f t="shared" si="21"/>
        <v>0</v>
      </c>
      <c r="I141" s="81">
        <f t="shared" si="22"/>
        <v>0</v>
      </c>
      <c r="J141" s="81">
        <f t="shared" si="23"/>
        <v>0</v>
      </c>
      <c r="K141" s="81">
        <f t="shared" si="24"/>
        <v>0</v>
      </c>
      <c r="L141" s="81">
        <f t="shared" si="25"/>
        <v>0</v>
      </c>
      <c r="M141" s="81">
        <f t="shared" ca="1" si="17"/>
        <v>-5.8445097233074013E-2</v>
      </c>
      <c r="N141" s="81">
        <f t="shared" ca="1" si="26"/>
        <v>0</v>
      </c>
      <c r="O141" s="39">
        <f t="shared" ca="1" si="27"/>
        <v>0</v>
      </c>
      <c r="P141" s="81">
        <f t="shared" ca="1" si="28"/>
        <v>0</v>
      </c>
      <c r="Q141" s="81">
        <f t="shared" ca="1" si="29"/>
        <v>0</v>
      </c>
      <c r="R141" s="24">
        <f t="shared" ca="1" si="18"/>
        <v>5.8445097233074013E-2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>
      <c r="A142" s="87"/>
      <c r="B142" s="87"/>
      <c r="C142" s="87"/>
      <c r="D142" s="88">
        <f t="shared" si="19"/>
        <v>0</v>
      </c>
      <c r="E142" s="88">
        <f t="shared" si="19"/>
        <v>0</v>
      </c>
      <c r="F142" s="81">
        <f t="shared" si="20"/>
        <v>0</v>
      </c>
      <c r="G142" s="81">
        <f t="shared" si="20"/>
        <v>0</v>
      </c>
      <c r="H142" s="81">
        <f t="shared" si="21"/>
        <v>0</v>
      </c>
      <c r="I142" s="81">
        <f t="shared" si="22"/>
        <v>0</v>
      </c>
      <c r="J142" s="81">
        <f t="shared" si="23"/>
        <v>0</v>
      </c>
      <c r="K142" s="81">
        <f t="shared" si="24"/>
        <v>0</v>
      </c>
      <c r="L142" s="81">
        <f t="shared" si="25"/>
        <v>0</v>
      </c>
      <c r="M142" s="81">
        <f t="shared" ca="1" si="17"/>
        <v>-5.8445097233074013E-2</v>
      </c>
      <c r="N142" s="81">
        <f t="shared" ca="1" si="26"/>
        <v>0</v>
      </c>
      <c r="O142" s="39">
        <f t="shared" ca="1" si="27"/>
        <v>0</v>
      </c>
      <c r="P142" s="81">
        <f t="shared" ca="1" si="28"/>
        <v>0</v>
      </c>
      <c r="Q142" s="81">
        <f t="shared" ca="1" si="29"/>
        <v>0</v>
      </c>
      <c r="R142" s="24">
        <f t="shared" ca="1" si="18"/>
        <v>5.8445097233074013E-2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>
      <c r="A143" s="87"/>
      <c r="B143" s="87"/>
      <c r="C143" s="87"/>
      <c r="D143" s="88">
        <f t="shared" ref="D143:E206" si="30">A143/A$18</f>
        <v>0</v>
      </c>
      <c r="E143" s="88">
        <f t="shared" si="30"/>
        <v>0</v>
      </c>
      <c r="F143" s="81">
        <f t="shared" ref="F143:G206" si="31">$C143*D143</f>
        <v>0</v>
      </c>
      <c r="G143" s="81">
        <f t="shared" si="31"/>
        <v>0</v>
      </c>
      <c r="H143" s="81">
        <f t="shared" si="21"/>
        <v>0</v>
      </c>
      <c r="I143" s="81">
        <f t="shared" si="22"/>
        <v>0</v>
      </c>
      <c r="J143" s="81">
        <f t="shared" si="23"/>
        <v>0</v>
      </c>
      <c r="K143" s="81">
        <f t="shared" si="24"/>
        <v>0</v>
      </c>
      <c r="L143" s="81">
        <f t="shared" si="25"/>
        <v>0</v>
      </c>
      <c r="M143" s="81">
        <f t="shared" ca="1" si="17"/>
        <v>-5.8445097233074013E-2</v>
      </c>
      <c r="N143" s="81">
        <f t="shared" ca="1" si="26"/>
        <v>0</v>
      </c>
      <c r="O143" s="39">
        <f t="shared" ca="1" si="27"/>
        <v>0</v>
      </c>
      <c r="P143" s="81">
        <f t="shared" ca="1" si="28"/>
        <v>0</v>
      </c>
      <c r="Q143" s="81">
        <f t="shared" ca="1" si="29"/>
        <v>0</v>
      </c>
      <c r="R143" s="24">
        <f t="shared" ca="1" si="18"/>
        <v>5.8445097233074013E-2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>
      <c r="A144" s="87"/>
      <c r="B144" s="87"/>
      <c r="C144" s="87"/>
      <c r="D144" s="88">
        <f t="shared" si="30"/>
        <v>0</v>
      </c>
      <c r="E144" s="88">
        <f t="shared" si="30"/>
        <v>0</v>
      </c>
      <c r="F144" s="81">
        <f t="shared" si="31"/>
        <v>0</v>
      </c>
      <c r="G144" s="81">
        <f t="shared" si="31"/>
        <v>0</v>
      </c>
      <c r="H144" s="81">
        <f t="shared" si="21"/>
        <v>0</v>
      </c>
      <c r="I144" s="81">
        <f t="shared" si="22"/>
        <v>0</v>
      </c>
      <c r="J144" s="81">
        <f t="shared" si="23"/>
        <v>0</v>
      </c>
      <c r="K144" s="81">
        <f t="shared" si="24"/>
        <v>0</v>
      </c>
      <c r="L144" s="81">
        <f t="shared" si="25"/>
        <v>0</v>
      </c>
      <c r="M144" s="81">
        <f t="shared" ca="1" si="17"/>
        <v>-5.8445097233074013E-2</v>
      </c>
      <c r="N144" s="81">
        <f t="shared" ca="1" si="26"/>
        <v>0</v>
      </c>
      <c r="O144" s="39">
        <f t="shared" ca="1" si="27"/>
        <v>0</v>
      </c>
      <c r="P144" s="81">
        <f t="shared" ca="1" si="28"/>
        <v>0</v>
      </c>
      <c r="Q144" s="81">
        <f t="shared" ca="1" si="29"/>
        <v>0</v>
      </c>
      <c r="R144" s="24">
        <f t="shared" ca="1" si="18"/>
        <v>5.8445097233074013E-2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>
      <c r="A145" s="87"/>
      <c r="B145" s="87"/>
      <c r="C145" s="87"/>
      <c r="D145" s="88">
        <f t="shared" si="30"/>
        <v>0</v>
      </c>
      <c r="E145" s="88">
        <f t="shared" si="30"/>
        <v>0</v>
      </c>
      <c r="F145" s="81">
        <f t="shared" si="31"/>
        <v>0</v>
      </c>
      <c r="G145" s="81">
        <f t="shared" si="31"/>
        <v>0</v>
      </c>
      <c r="H145" s="81">
        <f t="shared" si="21"/>
        <v>0</v>
      </c>
      <c r="I145" s="81">
        <f t="shared" si="22"/>
        <v>0</v>
      </c>
      <c r="J145" s="81">
        <f t="shared" si="23"/>
        <v>0</v>
      </c>
      <c r="K145" s="81">
        <f t="shared" si="24"/>
        <v>0</v>
      </c>
      <c r="L145" s="81">
        <f t="shared" si="25"/>
        <v>0</v>
      </c>
      <c r="M145" s="81">
        <f t="shared" ca="1" si="17"/>
        <v>-5.8445097233074013E-2</v>
      </c>
      <c r="N145" s="81">
        <f t="shared" ca="1" si="26"/>
        <v>0</v>
      </c>
      <c r="O145" s="39">
        <f t="shared" ca="1" si="27"/>
        <v>0</v>
      </c>
      <c r="P145" s="81">
        <f t="shared" ca="1" si="28"/>
        <v>0</v>
      </c>
      <c r="Q145" s="81">
        <f t="shared" ca="1" si="29"/>
        <v>0</v>
      </c>
      <c r="R145" s="24">
        <f t="shared" ca="1" si="18"/>
        <v>5.8445097233074013E-2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>
      <c r="A146" s="87"/>
      <c r="B146" s="87"/>
      <c r="C146" s="87"/>
      <c r="D146" s="88">
        <f t="shared" si="30"/>
        <v>0</v>
      </c>
      <c r="E146" s="88">
        <f t="shared" si="30"/>
        <v>0</v>
      </c>
      <c r="F146" s="81">
        <f t="shared" si="31"/>
        <v>0</v>
      </c>
      <c r="G146" s="81">
        <f t="shared" si="31"/>
        <v>0</v>
      </c>
      <c r="H146" s="81">
        <f t="shared" si="21"/>
        <v>0</v>
      </c>
      <c r="I146" s="81">
        <f t="shared" si="22"/>
        <v>0</v>
      </c>
      <c r="J146" s="81">
        <f t="shared" si="23"/>
        <v>0</v>
      </c>
      <c r="K146" s="81">
        <f t="shared" si="24"/>
        <v>0</v>
      </c>
      <c r="L146" s="81">
        <f t="shared" si="25"/>
        <v>0</v>
      </c>
      <c r="M146" s="81">
        <f t="shared" ca="1" si="17"/>
        <v>-5.8445097233074013E-2</v>
      </c>
      <c r="N146" s="81">
        <f t="shared" ca="1" si="26"/>
        <v>0</v>
      </c>
      <c r="O146" s="39">
        <f t="shared" ca="1" si="27"/>
        <v>0</v>
      </c>
      <c r="P146" s="81">
        <f t="shared" ca="1" si="28"/>
        <v>0</v>
      </c>
      <c r="Q146" s="81">
        <f t="shared" ca="1" si="29"/>
        <v>0</v>
      </c>
      <c r="R146" s="24">
        <f t="shared" ca="1" si="18"/>
        <v>5.8445097233074013E-2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>
      <c r="A147" s="87"/>
      <c r="B147" s="87"/>
      <c r="C147" s="87"/>
      <c r="D147" s="88">
        <f t="shared" si="30"/>
        <v>0</v>
      </c>
      <c r="E147" s="88">
        <f t="shared" si="30"/>
        <v>0</v>
      </c>
      <c r="F147" s="81">
        <f t="shared" si="31"/>
        <v>0</v>
      </c>
      <c r="G147" s="81">
        <f t="shared" si="31"/>
        <v>0</v>
      </c>
      <c r="H147" s="81">
        <f t="shared" si="21"/>
        <v>0</v>
      </c>
      <c r="I147" s="81">
        <f t="shared" si="22"/>
        <v>0</v>
      </c>
      <c r="J147" s="81">
        <f t="shared" si="23"/>
        <v>0</v>
      </c>
      <c r="K147" s="81">
        <f t="shared" si="24"/>
        <v>0</v>
      </c>
      <c r="L147" s="81">
        <f t="shared" si="25"/>
        <v>0</v>
      </c>
      <c r="M147" s="81">
        <f t="shared" ref="M147:M210" ca="1" si="32">+E$4+E$5*D147+E$6*D147^2</f>
        <v>-5.8445097233074013E-2</v>
      </c>
      <c r="N147" s="81">
        <f t="shared" ca="1" si="26"/>
        <v>0</v>
      </c>
      <c r="O147" s="39">
        <f t="shared" ca="1" si="27"/>
        <v>0</v>
      </c>
      <c r="P147" s="81">
        <f t="shared" ca="1" si="28"/>
        <v>0</v>
      </c>
      <c r="Q147" s="81">
        <f t="shared" ca="1" si="29"/>
        <v>0</v>
      </c>
      <c r="R147" s="24">
        <f t="shared" ref="R147:R210" ca="1" si="33">+E147-M147</f>
        <v>5.8445097233074013E-2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>
      <c r="A148" s="87"/>
      <c r="B148" s="87"/>
      <c r="C148" s="87"/>
      <c r="D148" s="88">
        <f t="shared" si="30"/>
        <v>0</v>
      </c>
      <c r="E148" s="88">
        <f t="shared" si="30"/>
        <v>0</v>
      </c>
      <c r="F148" s="81">
        <f t="shared" si="31"/>
        <v>0</v>
      </c>
      <c r="G148" s="81">
        <f t="shared" si="31"/>
        <v>0</v>
      </c>
      <c r="H148" s="81">
        <f t="shared" ref="H148:H211" si="34">C148*D148*D148</f>
        <v>0</v>
      </c>
      <c r="I148" s="81">
        <f t="shared" ref="I148:I211" si="35">C148*D148*D148*D148</f>
        <v>0</v>
      </c>
      <c r="J148" s="81">
        <f t="shared" ref="J148:J211" si="36">C148*D148*D148*D148*D148</f>
        <v>0</v>
      </c>
      <c r="K148" s="81">
        <f t="shared" ref="K148:K211" si="37">C148*E148*D148</f>
        <v>0</v>
      </c>
      <c r="L148" s="81">
        <f t="shared" ref="L148:L211" si="38">C148*E148*D148*D148</f>
        <v>0</v>
      </c>
      <c r="M148" s="81">
        <f t="shared" ca="1" si="32"/>
        <v>-5.8445097233074013E-2</v>
      </c>
      <c r="N148" s="81">
        <f t="shared" ref="N148:N211" ca="1" si="39">C148*(M148-E148)^2</f>
        <v>0</v>
      </c>
      <c r="O148" s="39">
        <f t="shared" ref="O148:O211" ca="1" si="40">(C148*O$1-O$2*F148+O$3*H148)^2</f>
        <v>0</v>
      </c>
      <c r="P148" s="81">
        <f t="shared" ref="P148:P211" ca="1" si="41">(-C148*O$2+O$4*F148-O$5*H148)^2</f>
        <v>0</v>
      </c>
      <c r="Q148" s="81">
        <f t="shared" ref="Q148:Q211" ca="1" si="42">+(C148*O$3-F148*O$5+H148*O$6)^2</f>
        <v>0</v>
      </c>
      <c r="R148" s="24">
        <f t="shared" ca="1" si="33"/>
        <v>5.8445097233074013E-2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>
      <c r="A149" s="87"/>
      <c r="B149" s="87"/>
      <c r="C149" s="87"/>
      <c r="D149" s="88">
        <f t="shared" si="30"/>
        <v>0</v>
      </c>
      <c r="E149" s="88">
        <f t="shared" si="30"/>
        <v>0</v>
      </c>
      <c r="F149" s="81">
        <f t="shared" si="31"/>
        <v>0</v>
      </c>
      <c r="G149" s="81">
        <f t="shared" si="31"/>
        <v>0</v>
      </c>
      <c r="H149" s="81">
        <f t="shared" si="34"/>
        <v>0</v>
      </c>
      <c r="I149" s="81">
        <f t="shared" si="35"/>
        <v>0</v>
      </c>
      <c r="J149" s="81">
        <f t="shared" si="36"/>
        <v>0</v>
      </c>
      <c r="K149" s="81">
        <f t="shared" si="37"/>
        <v>0</v>
      </c>
      <c r="L149" s="81">
        <f t="shared" si="38"/>
        <v>0</v>
      </c>
      <c r="M149" s="81">
        <f t="shared" ca="1" si="32"/>
        <v>-5.8445097233074013E-2</v>
      </c>
      <c r="N149" s="81">
        <f t="shared" ca="1" si="39"/>
        <v>0</v>
      </c>
      <c r="O149" s="39">
        <f t="shared" ca="1" si="40"/>
        <v>0</v>
      </c>
      <c r="P149" s="81">
        <f t="shared" ca="1" si="41"/>
        <v>0</v>
      </c>
      <c r="Q149" s="81">
        <f t="shared" ca="1" si="42"/>
        <v>0</v>
      </c>
      <c r="R149" s="24">
        <f t="shared" ca="1" si="33"/>
        <v>5.8445097233074013E-2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>
      <c r="A150" s="87"/>
      <c r="B150" s="87"/>
      <c r="C150" s="87"/>
      <c r="D150" s="88">
        <f t="shared" si="30"/>
        <v>0</v>
      </c>
      <c r="E150" s="88">
        <f t="shared" si="30"/>
        <v>0</v>
      </c>
      <c r="F150" s="81">
        <f t="shared" si="31"/>
        <v>0</v>
      </c>
      <c r="G150" s="81">
        <f t="shared" si="31"/>
        <v>0</v>
      </c>
      <c r="H150" s="81">
        <f t="shared" si="34"/>
        <v>0</v>
      </c>
      <c r="I150" s="81">
        <f t="shared" si="35"/>
        <v>0</v>
      </c>
      <c r="J150" s="81">
        <f t="shared" si="36"/>
        <v>0</v>
      </c>
      <c r="K150" s="81">
        <f t="shared" si="37"/>
        <v>0</v>
      </c>
      <c r="L150" s="81">
        <f t="shared" si="38"/>
        <v>0</v>
      </c>
      <c r="M150" s="81">
        <f t="shared" ca="1" si="32"/>
        <v>-5.8445097233074013E-2</v>
      </c>
      <c r="N150" s="81">
        <f t="shared" ca="1" si="39"/>
        <v>0</v>
      </c>
      <c r="O150" s="39">
        <f t="shared" ca="1" si="40"/>
        <v>0</v>
      </c>
      <c r="P150" s="81">
        <f t="shared" ca="1" si="41"/>
        <v>0</v>
      </c>
      <c r="Q150" s="81">
        <f t="shared" ca="1" si="42"/>
        <v>0</v>
      </c>
      <c r="R150" s="24">
        <f t="shared" ca="1" si="33"/>
        <v>5.8445097233074013E-2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>
      <c r="A151" s="87"/>
      <c r="B151" s="87"/>
      <c r="C151" s="87"/>
      <c r="D151" s="88">
        <f t="shared" si="30"/>
        <v>0</v>
      </c>
      <c r="E151" s="88">
        <f t="shared" si="30"/>
        <v>0</v>
      </c>
      <c r="F151" s="81">
        <f t="shared" si="31"/>
        <v>0</v>
      </c>
      <c r="G151" s="81">
        <f t="shared" si="31"/>
        <v>0</v>
      </c>
      <c r="H151" s="81">
        <f t="shared" si="34"/>
        <v>0</v>
      </c>
      <c r="I151" s="81">
        <f t="shared" si="35"/>
        <v>0</v>
      </c>
      <c r="J151" s="81">
        <f t="shared" si="36"/>
        <v>0</v>
      </c>
      <c r="K151" s="81">
        <f t="shared" si="37"/>
        <v>0</v>
      </c>
      <c r="L151" s="81">
        <f t="shared" si="38"/>
        <v>0</v>
      </c>
      <c r="M151" s="81">
        <f t="shared" ca="1" si="32"/>
        <v>-5.8445097233074013E-2</v>
      </c>
      <c r="N151" s="81">
        <f t="shared" ca="1" si="39"/>
        <v>0</v>
      </c>
      <c r="O151" s="39">
        <f t="shared" ca="1" si="40"/>
        <v>0</v>
      </c>
      <c r="P151" s="81">
        <f t="shared" ca="1" si="41"/>
        <v>0</v>
      </c>
      <c r="Q151" s="81">
        <f t="shared" ca="1" si="42"/>
        <v>0</v>
      </c>
      <c r="R151" s="24">
        <f t="shared" ca="1" si="33"/>
        <v>5.8445097233074013E-2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>
      <c r="A152" s="87"/>
      <c r="B152" s="87"/>
      <c r="C152" s="87"/>
      <c r="D152" s="88">
        <f t="shared" si="30"/>
        <v>0</v>
      </c>
      <c r="E152" s="88">
        <f t="shared" si="30"/>
        <v>0</v>
      </c>
      <c r="F152" s="81">
        <f t="shared" si="31"/>
        <v>0</v>
      </c>
      <c r="G152" s="81">
        <f t="shared" si="31"/>
        <v>0</v>
      </c>
      <c r="H152" s="81">
        <f t="shared" si="34"/>
        <v>0</v>
      </c>
      <c r="I152" s="81">
        <f t="shared" si="35"/>
        <v>0</v>
      </c>
      <c r="J152" s="81">
        <f t="shared" si="36"/>
        <v>0</v>
      </c>
      <c r="K152" s="81">
        <f t="shared" si="37"/>
        <v>0</v>
      </c>
      <c r="L152" s="81">
        <f t="shared" si="38"/>
        <v>0</v>
      </c>
      <c r="M152" s="81">
        <f t="shared" ca="1" si="32"/>
        <v>-5.8445097233074013E-2</v>
      </c>
      <c r="N152" s="81">
        <f t="shared" ca="1" si="39"/>
        <v>0</v>
      </c>
      <c r="O152" s="39">
        <f t="shared" ca="1" si="40"/>
        <v>0</v>
      </c>
      <c r="P152" s="81">
        <f t="shared" ca="1" si="41"/>
        <v>0</v>
      </c>
      <c r="Q152" s="81">
        <f t="shared" ca="1" si="42"/>
        <v>0</v>
      </c>
      <c r="R152" s="24">
        <f t="shared" ca="1" si="33"/>
        <v>5.8445097233074013E-2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>
      <c r="A153" s="87"/>
      <c r="B153" s="87"/>
      <c r="C153" s="87"/>
      <c r="D153" s="88">
        <f t="shared" si="30"/>
        <v>0</v>
      </c>
      <c r="E153" s="88">
        <f t="shared" si="30"/>
        <v>0</v>
      </c>
      <c r="F153" s="81">
        <f t="shared" si="31"/>
        <v>0</v>
      </c>
      <c r="G153" s="81">
        <f t="shared" si="31"/>
        <v>0</v>
      </c>
      <c r="H153" s="81">
        <f t="shared" si="34"/>
        <v>0</v>
      </c>
      <c r="I153" s="81">
        <f t="shared" si="35"/>
        <v>0</v>
      </c>
      <c r="J153" s="81">
        <f t="shared" si="36"/>
        <v>0</v>
      </c>
      <c r="K153" s="81">
        <f t="shared" si="37"/>
        <v>0</v>
      </c>
      <c r="L153" s="81">
        <f t="shared" si="38"/>
        <v>0</v>
      </c>
      <c r="M153" s="81">
        <f t="shared" ca="1" si="32"/>
        <v>-5.8445097233074013E-2</v>
      </c>
      <c r="N153" s="81">
        <f t="shared" ca="1" si="39"/>
        <v>0</v>
      </c>
      <c r="O153" s="39">
        <f t="shared" ca="1" si="40"/>
        <v>0</v>
      </c>
      <c r="P153" s="81">
        <f t="shared" ca="1" si="41"/>
        <v>0</v>
      </c>
      <c r="Q153" s="81">
        <f t="shared" ca="1" si="42"/>
        <v>0</v>
      </c>
      <c r="R153" s="24">
        <f t="shared" ca="1" si="33"/>
        <v>5.8445097233074013E-2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>
      <c r="A154" s="87"/>
      <c r="B154" s="87"/>
      <c r="C154" s="87"/>
      <c r="D154" s="88">
        <f t="shared" si="30"/>
        <v>0</v>
      </c>
      <c r="E154" s="88">
        <f t="shared" si="30"/>
        <v>0</v>
      </c>
      <c r="F154" s="81">
        <f t="shared" si="31"/>
        <v>0</v>
      </c>
      <c r="G154" s="81">
        <f t="shared" si="31"/>
        <v>0</v>
      </c>
      <c r="H154" s="81">
        <f t="shared" si="34"/>
        <v>0</v>
      </c>
      <c r="I154" s="81">
        <f t="shared" si="35"/>
        <v>0</v>
      </c>
      <c r="J154" s="81">
        <f t="shared" si="36"/>
        <v>0</v>
      </c>
      <c r="K154" s="81">
        <f t="shared" si="37"/>
        <v>0</v>
      </c>
      <c r="L154" s="81">
        <f t="shared" si="38"/>
        <v>0</v>
      </c>
      <c r="M154" s="81">
        <f t="shared" ca="1" si="32"/>
        <v>-5.8445097233074013E-2</v>
      </c>
      <c r="N154" s="81">
        <f t="shared" ca="1" si="39"/>
        <v>0</v>
      </c>
      <c r="O154" s="39">
        <f t="shared" ca="1" si="40"/>
        <v>0</v>
      </c>
      <c r="P154" s="81">
        <f t="shared" ca="1" si="41"/>
        <v>0</v>
      </c>
      <c r="Q154" s="81">
        <f t="shared" ca="1" si="42"/>
        <v>0</v>
      </c>
      <c r="R154" s="24">
        <f t="shared" ca="1" si="33"/>
        <v>5.8445097233074013E-2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>
      <c r="A155" s="87"/>
      <c r="B155" s="87"/>
      <c r="C155" s="87"/>
      <c r="D155" s="88">
        <f t="shared" si="30"/>
        <v>0</v>
      </c>
      <c r="E155" s="88">
        <f t="shared" si="30"/>
        <v>0</v>
      </c>
      <c r="F155" s="81">
        <f t="shared" si="31"/>
        <v>0</v>
      </c>
      <c r="G155" s="81">
        <f t="shared" si="31"/>
        <v>0</v>
      </c>
      <c r="H155" s="81">
        <f t="shared" si="34"/>
        <v>0</v>
      </c>
      <c r="I155" s="81">
        <f t="shared" si="35"/>
        <v>0</v>
      </c>
      <c r="J155" s="81">
        <f t="shared" si="36"/>
        <v>0</v>
      </c>
      <c r="K155" s="81">
        <f t="shared" si="37"/>
        <v>0</v>
      </c>
      <c r="L155" s="81">
        <f t="shared" si="38"/>
        <v>0</v>
      </c>
      <c r="M155" s="81">
        <f t="shared" ca="1" si="32"/>
        <v>-5.8445097233074013E-2</v>
      </c>
      <c r="N155" s="81">
        <f t="shared" ca="1" si="39"/>
        <v>0</v>
      </c>
      <c r="O155" s="39">
        <f t="shared" ca="1" si="40"/>
        <v>0</v>
      </c>
      <c r="P155" s="81">
        <f t="shared" ca="1" si="41"/>
        <v>0</v>
      </c>
      <c r="Q155" s="81">
        <f t="shared" ca="1" si="42"/>
        <v>0</v>
      </c>
      <c r="R155" s="24">
        <f t="shared" ca="1" si="33"/>
        <v>5.8445097233074013E-2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>
      <c r="A156" s="87"/>
      <c r="B156" s="87"/>
      <c r="C156" s="87"/>
      <c r="D156" s="88">
        <f t="shared" si="30"/>
        <v>0</v>
      </c>
      <c r="E156" s="88">
        <f t="shared" si="30"/>
        <v>0</v>
      </c>
      <c r="F156" s="81">
        <f t="shared" si="31"/>
        <v>0</v>
      </c>
      <c r="G156" s="81">
        <f t="shared" si="31"/>
        <v>0</v>
      </c>
      <c r="H156" s="81">
        <f t="shared" si="34"/>
        <v>0</v>
      </c>
      <c r="I156" s="81">
        <f t="shared" si="35"/>
        <v>0</v>
      </c>
      <c r="J156" s="81">
        <f t="shared" si="36"/>
        <v>0</v>
      </c>
      <c r="K156" s="81">
        <f t="shared" si="37"/>
        <v>0</v>
      </c>
      <c r="L156" s="81">
        <f t="shared" si="38"/>
        <v>0</v>
      </c>
      <c r="M156" s="81">
        <f t="shared" ca="1" si="32"/>
        <v>-5.8445097233074013E-2</v>
      </c>
      <c r="N156" s="81">
        <f t="shared" ca="1" si="39"/>
        <v>0</v>
      </c>
      <c r="O156" s="39">
        <f t="shared" ca="1" si="40"/>
        <v>0</v>
      </c>
      <c r="P156" s="81">
        <f t="shared" ca="1" si="41"/>
        <v>0</v>
      </c>
      <c r="Q156" s="81">
        <f t="shared" ca="1" si="42"/>
        <v>0</v>
      </c>
      <c r="R156" s="24">
        <f t="shared" ca="1" si="33"/>
        <v>5.8445097233074013E-2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>
      <c r="A157" s="87"/>
      <c r="B157" s="87"/>
      <c r="C157" s="87"/>
      <c r="D157" s="88">
        <f t="shared" si="30"/>
        <v>0</v>
      </c>
      <c r="E157" s="88">
        <f t="shared" si="30"/>
        <v>0</v>
      </c>
      <c r="F157" s="81">
        <f t="shared" si="31"/>
        <v>0</v>
      </c>
      <c r="G157" s="81">
        <f t="shared" si="31"/>
        <v>0</v>
      </c>
      <c r="H157" s="81">
        <f t="shared" si="34"/>
        <v>0</v>
      </c>
      <c r="I157" s="81">
        <f t="shared" si="35"/>
        <v>0</v>
      </c>
      <c r="J157" s="81">
        <f t="shared" si="36"/>
        <v>0</v>
      </c>
      <c r="K157" s="81">
        <f t="shared" si="37"/>
        <v>0</v>
      </c>
      <c r="L157" s="81">
        <f t="shared" si="38"/>
        <v>0</v>
      </c>
      <c r="M157" s="81">
        <f t="shared" ca="1" si="32"/>
        <v>-5.8445097233074013E-2</v>
      </c>
      <c r="N157" s="81">
        <f t="shared" ca="1" si="39"/>
        <v>0</v>
      </c>
      <c r="O157" s="39">
        <f t="shared" ca="1" si="40"/>
        <v>0</v>
      </c>
      <c r="P157" s="81">
        <f t="shared" ca="1" si="41"/>
        <v>0</v>
      </c>
      <c r="Q157" s="81">
        <f t="shared" ca="1" si="42"/>
        <v>0</v>
      </c>
      <c r="R157" s="24">
        <f t="shared" ca="1" si="33"/>
        <v>5.8445097233074013E-2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>
      <c r="A158" s="87"/>
      <c r="B158" s="87"/>
      <c r="C158" s="87"/>
      <c r="D158" s="88">
        <f t="shared" si="30"/>
        <v>0</v>
      </c>
      <c r="E158" s="88">
        <f t="shared" si="30"/>
        <v>0</v>
      </c>
      <c r="F158" s="81">
        <f t="shared" si="31"/>
        <v>0</v>
      </c>
      <c r="G158" s="81">
        <f t="shared" si="31"/>
        <v>0</v>
      </c>
      <c r="H158" s="81">
        <f t="shared" si="34"/>
        <v>0</v>
      </c>
      <c r="I158" s="81">
        <f t="shared" si="35"/>
        <v>0</v>
      </c>
      <c r="J158" s="81">
        <f t="shared" si="36"/>
        <v>0</v>
      </c>
      <c r="K158" s="81">
        <f t="shared" si="37"/>
        <v>0</v>
      </c>
      <c r="L158" s="81">
        <f t="shared" si="38"/>
        <v>0</v>
      </c>
      <c r="M158" s="81">
        <f t="shared" ca="1" si="32"/>
        <v>-5.8445097233074013E-2</v>
      </c>
      <c r="N158" s="81">
        <f t="shared" ca="1" si="39"/>
        <v>0</v>
      </c>
      <c r="O158" s="39">
        <f t="shared" ca="1" si="40"/>
        <v>0</v>
      </c>
      <c r="P158" s="81">
        <f t="shared" ca="1" si="41"/>
        <v>0</v>
      </c>
      <c r="Q158" s="81">
        <f t="shared" ca="1" si="42"/>
        <v>0</v>
      </c>
      <c r="R158" s="24">
        <f t="shared" ca="1" si="33"/>
        <v>5.8445097233074013E-2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>
      <c r="A159" s="87"/>
      <c r="B159" s="87"/>
      <c r="C159" s="87"/>
      <c r="D159" s="88">
        <f t="shared" si="30"/>
        <v>0</v>
      </c>
      <c r="E159" s="88">
        <f t="shared" si="30"/>
        <v>0</v>
      </c>
      <c r="F159" s="81">
        <f t="shared" si="31"/>
        <v>0</v>
      </c>
      <c r="G159" s="81">
        <f t="shared" si="31"/>
        <v>0</v>
      </c>
      <c r="H159" s="81">
        <f t="shared" si="34"/>
        <v>0</v>
      </c>
      <c r="I159" s="81">
        <f t="shared" si="35"/>
        <v>0</v>
      </c>
      <c r="J159" s="81">
        <f t="shared" si="36"/>
        <v>0</v>
      </c>
      <c r="K159" s="81">
        <f t="shared" si="37"/>
        <v>0</v>
      </c>
      <c r="L159" s="81">
        <f t="shared" si="38"/>
        <v>0</v>
      </c>
      <c r="M159" s="81">
        <f t="shared" ca="1" si="32"/>
        <v>-5.8445097233074013E-2</v>
      </c>
      <c r="N159" s="81">
        <f t="shared" ca="1" si="39"/>
        <v>0</v>
      </c>
      <c r="O159" s="39">
        <f t="shared" ca="1" si="40"/>
        <v>0</v>
      </c>
      <c r="P159" s="81">
        <f t="shared" ca="1" si="41"/>
        <v>0</v>
      </c>
      <c r="Q159" s="81">
        <f t="shared" ca="1" si="42"/>
        <v>0</v>
      </c>
      <c r="R159" s="24">
        <f t="shared" ca="1" si="33"/>
        <v>5.8445097233074013E-2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>
      <c r="A160" s="87"/>
      <c r="B160" s="87"/>
      <c r="C160" s="87"/>
      <c r="D160" s="88">
        <f t="shared" si="30"/>
        <v>0</v>
      </c>
      <c r="E160" s="88">
        <f t="shared" si="30"/>
        <v>0</v>
      </c>
      <c r="F160" s="81">
        <f t="shared" si="31"/>
        <v>0</v>
      </c>
      <c r="G160" s="81">
        <f t="shared" si="31"/>
        <v>0</v>
      </c>
      <c r="H160" s="81">
        <f t="shared" si="34"/>
        <v>0</v>
      </c>
      <c r="I160" s="81">
        <f t="shared" si="35"/>
        <v>0</v>
      </c>
      <c r="J160" s="81">
        <f t="shared" si="36"/>
        <v>0</v>
      </c>
      <c r="K160" s="81">
        <f t="shared" si="37"/>
        <v>0</v>
      </c>
      <c r="L160" s="81">
        <f t="shared" si="38"/>
        <v>0</v>
      </c>
      <c r="M160" s="81">
        <f t="shared" ca="1" si="32"/>
        <v>-5.8445097233074013E-2</v>
      </c>
      <c r="N160" s="81">
        <f t="shared" ca="1" si="39"/>
        <v>0</v>
      </c>
      <c r="O160" s="39">
        <f t="shared" ca="1" si="40"/>
        <v>0</v>
      </c>
      <c r="P160" s="81">
        <f t="shared" ca="1" si="41"/>
        <v>0</v>
      </c>
      <c r="Q160" s="81">
        <f t="shared" ca="1" si="42"/>
        <v>0</v>
      </c>
      <c r="R160" s="24">
        <f t="shared" ca="1" si="33"/>
        <v>5.8445097233074013E-2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>
      <c r="A161" s="87"/>
      <c r="B161" s="87"/>
      <c r="C161" s="87"/>
      <c r="D161" s="88">
        <f t="shared" si="30"/>
        <v>0</v>
      </c>
      <c r="E161" s="88">
        <f t="shared" si="30"/>
        <v>0</v>
      </c>
      <c r="F161" s="81">
        <f t="shared" si="31"/>
        <v>0</v>
      </c>
      <c r="G161" s="81">
        <f t="shared" si="31"/>
        <v>0</v>
      </c>
      <c r="H161" s="81">
        <f t="shared" si="34"/>
        <v>0</v>
      </c>
      <c r="I161" s="81">
        <f t="shared" si="35"/>
        <v>0</v>
      </c>
      <c r="J161" s="81">
        <f t="shared" si="36"/>
        <v>0</v>
      </c>
      <c r="K161" s="81">
        <f t="shared" si="37"/>
        <v>0</v>
      </c>
      <c r="L161" s="81">
        <f t="shared" si="38"/>
        <v>0</v>
      </c>
      <c r="M161" s="81">
        <f t="shared" ca="1" si="32"/>
        <v>-5.8445097233074013E-2</v>
      </c>
      <c r="N161" s="81">
        <f t="shared" ca="1" si="39"/>
        <v>0</v>
      </c>
      <c r="O161" s="39">
        <f t="shared" ca="1" si="40"/>
        <v>0</v>
      </c>
      <c r="P161" s="81">
        <f t="shared" ca="1" si="41"/>
        <v>0</v>
      </c>
      <c r="Q161" s="81">
        <f t="shared" ca="1" si="42"/>
        <v>0</v>
      </c>
      <c r="R161" s="24">
        <f t="shared" ca="1" si="33"/>
        <v>5.8445097233074013E-2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>
      <c r="A162" s="87"/>
      <c r="B162" s="87"/>
      <c r="C162" s="87"/>
      <c r="D162" s="88">
        <f t="shared" si="30"/>
        <v>0</v>
      </c>
      <c r="E162" s="88">
        <f t="shared" si="30"/>
        <v>0</v>
      </c>
      <c r="F162" s="81">
        <f t="shared" si="31"/>
        <v>0</v>
      </c>
      <c r="G162" s="81">
        <f t="shared" si="31"/>
        <v>0</v>
      </c>
      <c r="H162" s="81">
        <f t="shared" si="34"/>
        <v>0</v>
      </c>
      <c r="I162" s="81">
        <f t="shared" si="35"/>
        <v>0</v>
      </c>
      <c r="J162" s="81">
        <f t="shared" si="36"/>
        <v>0</v>
      </c>
      <c r="K162" s="81">
        <f t="shared" si="37"/>
        <v>0</v>
      </c>
      <c r="L162" s="81">
        <f t="shared" si="38"/>
        <v>0</v>
      </c>
      <c r="M162" s="81">
        <f t="shared" ca="1" si="32"/>
        <v>-5.8445097233074013E-2</v>
      </c>
      <c r="N162" s="81">
        <f t="shared" ca="1" si="39"/>
        <v>0</v>
      </c>
      <c r="O162" s="39">
        <f t="shared" ca="1" si="40"/>
        <v>0</v>
      </c>
      <c r="P162" s="81">
        <f t="shared" ca="1" si="41"/>
        <v>0</v>
      </c>
      <c r="Q162" s="81">
        <f t="shared" ca="1" si="42"/>
        <v>0</v>
      </c>
      <c r="R162" s="24">
        <f t="shared" ca="1" si="33"/>
        <v>5.8445097233074013E-2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>
      <c r="A163" s="87"/>
      <c r="B163" s="87"/>
      <c r="C163" s="87"/>
      <c r="D163" s="88">
        <f t="shared" si="30"/>
        <v>0</v>
      </c>
      <c r="E163" s="88">
        <f t="shared" si="30"/>
        <v>0</v>
      </c>
      <c r="F163" s="81">
        <f t="shared" si="31"/>
        <v>0</v>
      </c>
      <c r="G163" s="81">
        <f t="shared" si="31"/>
        <v>0</v>
      </c>
      <c r="H163" s="81">
        <f t="shared" si="34"/>
        <v>0</v>
      </c>
      <c r="I163" s="81">
        <f t="shared" si="35"/>
        <v>0</v>
      </c>
      <c r="J163" s="81">
        <f t="shared" si="36"/>
        <v>0</v>
      </c>
      <c r="K163" s="81">
        <f t="shared" si="37"/>
        <v>0</v>
      </c>
      <c r="L163" s="81">
        <f t="shared" si="38"/>
        <v>0</v>
      </c>
      <c r="M163" s="81">
        <f t="shared" ca="1" si="32"/>
        <v>-5.8445097233074013E-2</v>
      </c>
      <c r="N163" s="81">
        <f t="shared" ca="1" si="39"/>
        <v>0</v>
      </c>
      <c r="O163" s="39">
        <f t="shared" ca="1" si="40"/>
        <v>0</v>
      </c>
      <c r="P163" s="81">
        <f t="shared" ca="1" si="41"/>
        <v>0</v>
      </c>
      <c r="Q163" s="81">
        <f t="shared" ca="1" si="42"/>
        <v>0</v>
      </c>
      <c r="R163" s="24">
        <f t="shared" ca="1" si="33"/>
        <v>5.8445097233074013E-2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>
      <c r="A164" s="87"/>
      <c r="B164" s="87"/>
      <c r="C164" s="87"/>
      <c r="D164" s="88">
        <f t="shared" si="30"/>
        <v>0</v>
      </c>
      <c r="E164" s="88">
        <f t="shared" si="30"/>
        <v>0</v>
      </c>
      <c r="F164" s="81">
        <f t="shared" si="31"/>
        <v>0</v>
      </c>
      <c r="G164" s="81">
        <f t="shared" si="31"/>
        <v>0</v>
      </c>
      <c r="H164" s="81">
        <f t="shared" si="34"/>
        <v>0</v>
      </c>
      <c r="I164" s="81">
        <f t="shared" si="35"/>
        <v>0</v>
      </c>
      <c r="J164" s="81">
        <f t="shared" si="36"/>
        <v>0</v>
      </c>
      <c r="K164" s="81">
        <f t="shared" si="37"/>
        <v>0</v>
      </c>
      <c r="L164" s="81">
        <f t="shared" si="38"/>
        <v>0</v>
      </c>
      <c r="M164" s="81">
        <f t="shared" ca="1" si="32"/>
        <v>-5.8445097233074013E-2</v>
      </c>
      <c r="N164" s="81">
        <f t="shared" ca="1" si="39"/>
        <v>0</v>
      </c>
      <c r="O164" s="39">
        <f t="shared" ca="1" si="40"/>
        <v>0</v>
      </c>
      <c r="P164" s="81">
        <f t="shared" ca="1" si="41"/>
        <v>0</v>
      </c>
      <c r="Q164" s="81">
        <f t="shared" ca="1" si="42"/>
        <v>0</v>
      </c>
      <c r="R164" s="24">
        <f t="shared" ca="1" si="33"/>
        <v>5.8445097233074013E-2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>
      <c r="A165" s="87"/>
      <c r="B165" s="87"/>
      <c r="C165" s="87"/>
      <c r="D165" s="88">
        <f t="shared" si="30"/>
        <v>0</v>
      </c>
      <c r="E165" s="88">
        <f t="shared" si="30"/>
        <v>0</v>
      </c>
      <c r="F165" s="81">
        <f t="shared" si="31"/>
        <v>0</v>
      </c>
      <c r="G165" s="81">
        <f t="shared" si="31"/>
        <v>0</v>
      </c>
      <c r="H165" s="81">
        <f t="shared" si="34"/>
        <v>0</v>
      </c>
      <c r="I165" s="81">
        <f t="shared" si="35"/>
        <v>0</v>
      </c>
      <c r="J165" s="81">
        <f t="shared" si="36"/>
        <v>0</v>
      </c>
      <c r="K165" s="81">
        <f t="shared" si="37"/>
        <v>0</v>
      </c>
      <c r="L165" s="81">
        <f t="shared" si="38"/>
        <v>0</v>
      </c>
      <c r="M165" s="81">
        <f t="shared" ca="1" si="32"/>
        <v>-5.8445097233074013E-2</v>
      </c>
      <c r="N165" s="81">
        <f t="shared" ca="1" si="39"/>
        <v>0</v>
      </c>
      <c r="O165" s="39">
        <f t="shared" ca="1" si="40"/>
        <v>0</v>
      </c>
      <c r="P165" s="81">
        <f t="shared" ca="1" si="41"/>
        <v>0</v>
      </c>
      <c r="Q165" s="81">
        <f t="shared" ca="1" si="42"/>
        <v>0</v>
      </c>
      <c r="R165" s="24">
        <f t="shared" ca="1" si="33"/>
        <v>5.8445097233074013E-2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>
      <c r="A166" s="87"/>
      <c r="B166" s="87"/>
      <c r="C166" s="87"/>
      <c r="D166" s="88">
        <f t="shared" si="30"/>
        <v>0</v>
      </c>
      <c r="E166" s="88">
        <f t="shared" si="30"/>
        <v>0</v>
      </c>
      <c r="F166" s="81">
        <f t="shared" si="31"/>
        <v>0</v>
      </c>
      <c r="G166" s="81">
        <f t="shared" si="31"/>
        <v>0</v>
      </c>
      <c r="H166" s="81">
        <f t="shared" si="34"/>
        <v>0</v>
      </c>
      <c r="I166" s="81">
        <f t="shared" si="35"/>
        <v>0</v>
      </c>
      <c r="J166" s="81">
        <f t="shared" si="36"/>
        <v>0</v>
      </c>
      <c r="K166" s="81">
        <f t="shared" si="37"/>
        <v>0</v>
      </c>
      <c r="L166" s="81">
        <f t="shared" si="38"/>
        <v>0</v>
      </c>
      <c r="M166" s="81">
        <f t="shared" ca="1" si="32"/>
        <v>-5.8445097233074013E-2</v>
      </c>
      <c r="N166" s="81">
        <f t="shared" ca="1" si="39"/>
        <v>0</v>
      </c>
      <c r="O166" s="39">
        <f t="shared" ca="1" si="40"/>
        <v>0</v>
      </c>
      <c r="P166" s="81">
        <f t="shared" ca="1" si="41"/>
        <v>0</v>
      </c>
      <c r="Q166" s="81">
        <f t="shared" ca="1" si="42"/>
        <v>0</v>
      </c>
      <c r="R166" s="24">
        <f t="shared" ca="1" si="33"/>
        <v>5.8445097233074013E-2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>
      <c r="A167" s="87"/>
      <c r="B167" s="87"/>
      <c r="C167" s="87"/>
      <c r="D167" s="88">
        <f t="shared" si="30"/>
        <v>0</v>
      </c>
      <c r="E167" s="88">
        <f t="shared" si="30"/>
        <v>0</v>
      </c>
      <c r="F167" s="81">
        <f t="shared" si="31"/>
        <v>0</v>
      </c>
      <c r="G167" s="81">
        <f t="shared" si="31"/>
        <v>0</v>
      </c>
      <c r="H167" s="81">
        <f t="shared" si="34"/>
        <v>0</v>
      </c>
      <c r="I167" s="81">
        <f t="shared" si="35"/>
        <v>0</v>
      </c>
      <c r="J167" s="81">
        <f t="shared" si="36"/>
        <v>0</v>
      </c>
      <c r="K167" s="81">
        <f t="shared" si="37"/>
        <v>0</v>
      </c>
      <c r="L167" s="81">
        <f t="shared" si="38"/>
        <v>0</v>
      </c>
      <c r="M167" s="81">
        <f t="shared" ca="1" si="32"/>
        <v>-5.8445097233074013E-2</v>
      </c>
      <c r="N167" s="81">
        <f t="shared" ca="1" si="39"/>
        <v>0</v>
      </c>
      <c r="O167" s="39">
        <f t="shared" ca="1" si="40"/>
        <v>0</v>
      </c>
      <c r="P167" s="81">
        <f t="shared" ca="1" si="41"/>
        <v>0</v>
      </c>
      <c r="Q167" s="81">
        <f t="shared" ca="1" si="42"/>
        <v>0</v>
      </c>
      <c r="R167" s="24">
        <f t="shared" ca="1" si="33"/>
        <v>5.8445097233074013E-2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>
      <c r="A168" s="87"/>
      <c r="B168" s="87"/>
      <c r="C168" s="87"/>
      <c r="D168" s="88">
        <f t="shared" si="30"/>
        <v>0</v>
      </c>
      <c r="E168" s="88">
        <f t="shared" si="30"/>
        <v>0</v>
      </c>
      <c r="F168" s="81">
        <f t="shared" si="31"/>
        <v>0</v>
      </c>
      <c r="G168" s="81">
        <f t="shared" si="31"/>
        <v>0</v>
      </c>
      <c r="H168" s="81">
        <f t="shared" si="34"/>
        <v>0</v>
      </c>
      <c r="I168" s="81">
        <f t="shared" si="35"/>
        <v>0</v>
      </c>
      <c r="J168" s="81">
        <f t="shared" si="36"/>
        <v>0</v>
      </c>
      <c r="K168" s="81">
        <f t="shared" si="37"/>
        <v>0</v>
      </c>
      <c r="L168" s="81">
        <f t="shared" si="38"/>
        <v>0</v>
      </c>
      <c r="M168" s="81">
        <f t="shared" ca="1" si="32"/>
        <v>-5.8445097233074013E-2</v>
      </c>
      <c r="N168" s="81">
        <f t="shared" ca="1" si="39"/>
        <v>0</v>
      </c>
      <c r="O168" s="39">
        <f t="shared" ca="1" si="40"/>
        <v>0</v>
      </c>
      <c r="P168" s="81">
        <f t="shared" ca="1" si="41"/>
        <v>0</v>
      </c>
      <c r="Q168" s="81">
        <f t="shared" ca="1" si="42"/>
        <v>0</v>
      </c>
      <c r="R168" s="24">
        <f t="shared" ca="1" si="33"/>
        <v>5.8445097233074013E-2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>
      <c r="A169" s="87"/>
      <c r="B169" s="87"/>
      <c r="C169" s="87"/>
      <c r="D169" s="88">
        <f t="shared" si="30"/>
        <v>0</v>
      </c>
      <c r="E169" s="88">
        <f t="shared" si="30"/>
        <v>0</v>
      </c>
      <c r="F169" s="81">
        <f t="shared" si="31"/>
        <v>0</v>
      </c>
      <c r="G169" s="81">
        <f t="shared" si="31"/>
        <v>0</v>
      </c>
      <c r="H169" s="81">
        <f t="shared" si="34"/>
        <v>0</v>
      </c>
      <c r="I169" s="81">
        <f t="shared" si="35"/>
        <v>0</v>
      </c>
      <c r="J169" s="81">
        <f t="shared" si="36"/>
        <v>0</v>
      </c>
      <c r="K169" s="81">
        <f t="shared" si="37"/>
        <v>0</v>
      </c>
      <c r="L169" s="81">
        <f t="shared" si="38"/>
        <v>0</v>
      </c>
      <c r="M169" s="81">
        <f t="shared" ca="1" si="32"/>
        <v>-5.8445097233074013E-2</v>
      </c>
      <c r="N169" s="81">
        <f t="shared" ca="1" si="39"/>
        <v>0</v>
      </c>
      <c r="O169" s="39">
        <f t="shared" ca="1" si="40"/>
        <v>0</v>
      </c>
      <c r="P169" s="81">
        <f t="shared" ca="1" si="41"/>
        <v>0</v>
      </c>
      <c r="Q169" s="81">
        <f t="shared" ca="1" si="42"/>
        <v>0</v>
      </c>
      <c r="R169" s="24">
        <f t="shared" ca="1" si="33"/>
        <v>5.8445097233074013E-2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>
      <c r="A170" s="87"/>
      <c r="B170" s="87"/>
      <c r="C170" s="87"/>
      <c r="D170" s="88">
        <f t="shared" si="30"/>
        <v>0</v>
      </c>
      <c r="E170" s="88">
        <f t="shared" si="30"/>
        <v>0</v>
      </c>
      <c r="F170" s="81">
        <f t="shared" si="31"/>
        <v>0</v>
      </c>
      <c r="G170" s="81">
        <f t="shared" si="31"/>
        <v>0</v>
      </c>
      <c r="H170" s="81">
        <f t="shared" si="34"/>
        <v>0</v>
      </c>
      <c r="I170" s="81">
        <f t="shared" si="35"/>
        <v>0</v>
      </c>
      <c r="J170" s="81">
        <f t="shared" si="36"/>
        <v>0</v>
      </c>
      <c r="K170" s="81">
        <f t="shared" si="37"/>
        <v>0</v>
      </c>
      <c r="L170" s="81">
        <f t="shared" si="38"/>
        <v>0</v>
      </c>
      <c r="M170" s="81">
        <f t="shared" ca="1" si="32"/>
        <v>-5.8445097233074013E-2</v>
      </c>
      <c r="N170" s="81">
        <f t="shared" ca="1" si="39"/>
        <v>0</v>
      </c>
      <c r="O170" s="39">
        <f t="shared" ca="1" si="40"/>
        <v>0</v>
      </c>
      <c r="P170" s="81">
        <f t="shared" ca="1" si="41"/>
        <v>0</v>
      </c>
      <c r="Q170" s="81">
        <f t="shared" ca="1" si="42"/>
        <v>0</v>
      </c>
      <c r="R170" s="24">
        <f t="shared" ca="1" si="33"/>
        <v>5.8445097233074013E-2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>
      <c r="A171" s="87"/>
      <c r="B171" s="87"/>
      <c r="C171" s="87"/>
      <c r="D171" s="88">
        <f t="shared" si="30"/>
        <v>0</v>
      </c>
      <c r="E171" s="88">
        <f t="shared" si="30"/>
        <v>0</v>
      </c>
      <c r="F171" s="81">
        <f t="shared" si="31"/>
        <v>0</v>
      </c>
      <c r="G171" s="81">
        <f t="shared" si="31"/>
        <v>0</v>
      </c>
      <c r="H171" s="81">
        <f t="shared" si="34"/>
        <v>0</v>
      </c>
      <c r="I171" s="81">
        <f t="shared" si="35"/>
        <v>0</v>
      </c>
      <c r="J171" s="81">
        <f t="shared" si="36"/>
        <v>0</v>
      </c>
      <c r="K171" s="81">
        <f t="shared" si="37"/>
        <v>0</v>
      </c>
      <c r="L171" s="81">
        <f t="shared" si="38"/>
        <v>0</v>
      </c>
      <c r="M171" s="81">
        <f t="shared" ca="1" si="32"/>
        <v>-5.8445097233074013E-2</v>
      </c>
      <c r="N171" s="81">
        <f t="shared" ca="1" si="39"/>
        <v>0</v>
      </c>
      <c r="O171" s="39">
        <f t="shared" ca="1" si="40"/>
        <v>0</v>
      </c>
      <c r="P171" s="81">
        <f t="shared" ca="1" si="41"/>
        <v>0</v>
      </c>
      <c r="Q171" s="81">
        <f t="shared" ca="1" si="42"/>
        <v>0</v>
      </c>
      <c r="R171" s="24">
        <f t="shared" ca="1" si="33"/>
        <v>5.8445097233074013E-2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>
      <c r="A172" s="87"/>
      <c r="B172" s="87"/>
      <c r="C172" s="87"/>
      <c r="D172" s="88">
        <f t="shared" si="30"/>
        <v>0</v>
      </c>
      <c r="E172" s="88">
        <f t="shared" si="30"/>
        <v>0</v>
      </c>
      <c r="F172" s="81">
        <f t="shared" si="31"/>
        <v>0</v>
      </c>
      <c r="G172" s="81">
        <f t="shared" si="31"/>
        <v>0</v>
      </c>
      <c r="H172" s="81">
        <f t="shared" si="34"/>
        <v>0</v>
      </c>
      <c r="I172" s="81">
        <f t="shared" si="35"/>
        <v>0</v>
      </c>
      <c r="J172" s="81">
        <f t="shared" si="36"/>
        <v>0</v>
      </c>
      <c r="K172" s="81">
        <f t="shared" si="37"/>
        <v>0</v>
      </c>
      <c r="L172" s="81">
        <f t="shared" si="38"/>
        <v>0</v>
      </c>
      <c r="M172" s="81">
        <f t="shared" ca="1" si="32"/>
        <v>-5.8445097233074013E-2</v>
      </c>
      <c r="N172" s="81">
        <f t="shared" ca="1" si="39"/>
        <v>0</v>
      </c>
      <c r="O172" s="39">
        <f t="shared" ca="1" si="40"/>
        <v>0</v>
      </c>
      <c r="P172" s="81">
        <f t="shared" ca="1" si="41"/>
        <v>0</v>
      </c>
      <c r="Q172" s="81">
        <f t="shared" ca="1" si="42"/>
        <v>0</v>
      </c>
      <c r="R172" s="24">
        <f t="shared" ca="1" si="33"/>
        <v>5.8445097233074013E-2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>
      <c r="A173" s="87"/>
      <c r="B173" s="87"/>
      <c r="C173" s="87"/>
      <c r="D173" s="88">
        <f t="shared" si="30"/>
        <v>0</v>
      </c>
      <c r="E173" s="88">
        <f t="shared" si="30"/>
        <v>0</v>
      </c>
      <c r="F173" s="81">
        <f t="shared" si="31"/>
        <v>0</v>
      </c>
      <c r="G173" s="81">
        <f t="shared" si="31"/>
        <v>0</v>
      </c>
      <c r="H173" s="81">
        <f t="shared" si="34"/>
        <v>0</v>
      </c>
      <c r="I173" s="81">
        <f t="shared" si="35"/>
        <v>0</v>
      </c>
      <c r="J173" s="81">
        <f t="shared" si="36"/>
        <v>0</v>
      </c>
      <c r="K173" s="81">
        <f t="shared" si="37"/>
        <v>0</v>
      </c>
      <c r="L173" s="81">
        <f t="shared" si="38"/>
        <v>0</v>
      </c>
      <c r="M173" s="81">
        <f t="shared" ca="1" si="32"/>
        <v>-5.8445097233074013E-2</v>
      </c>
      <c r="N173" s="81">
        <f t="shared" ca="1" si="39"/>
        <v>0</v>
      </c>
      <c r="O173" s="39">
        <f t="shared" ca="1" si="40"/>
        <v>0</v>
      </c>
      <c r="P173" s="81">
        <f t="shared" ca="1" si="41"/>
        <v>0</v>
      </c>
      <c r="Q173" s="81">
        <f t="shared" ca="1" si="42"/>
        <v>0</v>
      </c>
      <c r="R173" s="24">
        <f t="shared" ca="1" si="33"/>
        <v>5.8445097233074013E-2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>
      <c r="A174" s="87"/>
      <c r="B174" s="87"/>
      <c r="C174" s="87"/>
      <c r="D174" s="88">
        <f t="shared" si="30"/>
        <v>0</v>
      </c>
      <c r="E174" s="88">
        <f t="shared" si="30"/>
        <v>0</v>
      </c>
      <c r="F174" s="81">
        <f t="shared" si="31"/>
        <v>0</v>
      </c>
      <c r="G174" s="81">
        <f t="shared" si="31"/>
        <v>0</v>
      </c>
      <c r="H174" s="81">
        <f t="shared" si="34"/>
        <v>0</v>
      </c>
      <c r="I174" s="81">
        <f t="shared" si="35"/>
        <v>0</v>
      </c>
      <c r="J174" s="81">
        <f t="shared" si="36"/>
        <v>0</v>
      </c>
      <c r="K174" s="81">
        <f t="shared" si="37"/>
        <v>0</v>
      </c>
      <c r="L174" s="81">
        <f t="shared" si="38"/>
        <v>0</v>
      </c>
      <c r="M174" s="81">
        <f t="shared" ca="1" si="32"/>
        <v>-5.8445097233074013E-2</v>
      </c>
      <c r="N174" s="81">
        <f t="shared" ca="1" si="39"/>
        <v>0</v>
      </c>
      <c r="O174" s="39">
        <f t="shared" ca="1" si="40"/>
        <v>0</v>
      </c>
      <c r="P174" s="81">
        <f t="shared" ca="1" si="41"/>
        <v>0</v>
      </c>
      <c r="Q174" s="81">
        <f t="shared" ca="1" si="42"/>
        <v>0</v>
      </c>
      <c r="R174" s="24">
        <f t="shared" ca="1" si="33"/>
        <v>5.8445097233074013E-2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>
      <c r="A175" s="87"/>
      <c r="B175" s="87"/>
      <c r="C175" s="87"/>
      <c r="D175" s="88">
        <f t="shared" si="30"/>
        <v>0</v>
      </c>
      <c r="E175" s="88">
        <f t="shared" si="30"/>
        <v>0</v>
      </c>
      <c r="F175" s="81">
        <f t="shared" si="31"/>
        <v>0</v>
      </c>
      <c r="G175" s="81">
        <f t="shared" si="31"/>
        <v>0</v>
      </c>
      <c r="H175" s="81">
        <f t="shared" si="34"/>
        <v>0</v>
      </c>
      <c r="I175" s="81">
        <f t="shared" si="35"/>
        <v>0</v>
      </c>
      <c r="J175" s="81">
        <f t="shared" si="36"/>
        <v>0</v>
      </c>
      <c r="K175" s="81">
        <f t="shared" si="37"/>
        <v>0</v>
      </c>
      <c r="L175" s="81">
        <f t="shared" si="38"/>
        <v>0</v>
      </c>
      <c r="M175" s="81">
        <f t="shared" ca="1" si="32"/>
        <v>-5.8445097233074013E-2</v>
      </c>
      <c r="N175" s="81">
        <f t="shared" ca="1" si="39"/>
        <v>0</v>
      </c>
      <c r="O175" s="39">
        <f t="shared" ca="1" si="40"/>
        <v>0</v>
      </c>
      <c r="P175" s="81">
        <f t="shared" ca="1" si="41"/>
        <v>0</v>
      </c>
      <c r="Q175" s="81">
        <f t="shared" ca="1" si="42"/>
        <v>0</v>
      </c>
      <c r="R175" s="24">
        <f t="shared" ca="1" si="33"/>
        <v>5.8445097233074013E-2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>
      <c r="A176" s="87"/>
      <c r="B176" s="87"/>
      <c r="C176" s="87"/>
      <c r="D176" s="88">
        <f t="shared" si="30"/>
        <v>0</v>
      </c>
      <c r="E176" s="88">
        <f t="shared" si="30"/>
        <v>0</v>
      </c>
      <c r="F176" s="81">
        <f t="shared" si="31"/>
        <v>0</v>
      </c>
      <c r="G176" s="81">
        <f t="shared" si="31"/>
        <v>0</v>
      </c>
      <c r="H176" s="81">
        <f t="shared" si="34"/>
        <v>0</v>
      </c>
      <c r="I176" s="81">
        <f t="shared" si="35"/>
        <v>0</v>
      </c>
      <c r="J176" s="81">
        <f t="shared" si="36"/>
        <v>0</v>
      </c>
      <c r="K176" s="81">
        <f t="shared" si="37"/>
        <v>0</v>
      </c>
      <c r="L176" s="81">
        <f t="shared" si="38"/>
        <v>0</v>
      </c>
      <c r="M176" s="81">
        <f t="shared" ca="1" si="32"/>
        <v>-5.8445097233074013E-2</v>
      </c>
      <c r="N176" s="81">
        <f t="shared" ca="1" si="39"/>
        <v>0</v>
      </c>
      <c r="O176" s="39">
        <f t="shared" ca="1" si="40"/>
        <v>0</v>
      </c>
      <c r="P176" s="81">
        <f t="shared" ca="1" si="41"/>
        <v>0</v>
      </c>
      <c r="Q176" s="81">
        <f t="shared" ca="1" si="42"/>
        <v>0</v>
      </c>
      <c r="R176" s="24">
        <f t="shared" ca="1" si="33"/>
        <v>5.8445097233074013E-2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>
      <c r="A177" s="87"/>
      <c r="B177" s="87"/>
      <c r="C177" s="87"/>
      <c r="D177" s="88">
        <f t="shared" si="30"/>
        <v>0</v>
      </c>
      <c r="E177" s="88">
        <f t="shared" si="30"/>
        <v>0</v>
      </c>
      <c r="F177" s="81">
        <f t="shared" si="31"/>
        <v>0</v>
      </c>
      <c r="G177" s="81">
        <f t="shared" si="31"/>
        <v>0</v>
      </c>
      <c r="H177" s="81">
        <f t="shared" si="34"/>
        <v>0</v>
      </c>
      <c r="I177" s="81">
        <f t="shared" si="35"/>
        <v>0</v>
      </c>
      <c r="J177" s="81">
        <f t="shared" si="36"/>
        <v>0</v>
      </c>
      <c r="K177" s="81">
        <f t="shared" si="37"/>
        <v>0</v>
      </c>
      <c r="L177" s="81">
        <f t="shared" si="38"/>
        <v>0</v>
      </c>
      <c r="M177" s="81">
        <f t="shared" ca="1" si="32"/>
        <v>-5.8445097233074013E-2</v>
      </c>
      <c r="N177" s="81">
        <f t="shared" ca="1" si="39"/>
        <v>0</v>
      </c>
      <c r="O177" s="39">
        <f t="shared" ca="1" si="40"/>
        <v>0</v>
      </c>
      <c r="P177" s="81">
        <f t="shared" ca="1" si="41"/>
        <v>0</v>
      </c>
      <c r="Q177" s="81">
        <f t="shared" ca="1" si="42"/>
        <v>0</v>
      </c>
      <c r="R177" s="24">
        <f t="shared" ca="1" si="33"/>
        <v>5.8445097233074013E-2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>
      <c r="A178" s="87"/>
      <c r="B178" s="87"/>
      <c r="C178" s="87"/>
      <c r="D178" s="88">
        <f t="shared" si="30"/>
        <v>0</v>
      </c>
      <c r="E178" s="88">
        <f t="shared" si="30"/>
        <v>0</v>
      </c>
      <c r="F178" s="81">
        <f t="shared" si="31"/>
        <v>0</v>
      </c>
      <c r="G178" s="81">
        <f t="shared" si="31"/>
        <v>0</v>
      </c>
      <c r="H178" s="81">
        <f t="shared" si="34"/>
        <v>0</v>
      </c>
      <c r="I178" s="81">
        <f t="shared" si="35"/>
        <v>0</v>
      </c>
      <c r="J178" s="81">
        <f t="shared" si="36"/>
        <v>0</v>
      </c>
      <c r="K178" s="81">
        <f t="shared" si="37"/>
        <v>0</v>
      </c>
      <c r="L178" s="81">
        <f t="shared" si="38"/>
        <v>0</v>
      </c>
      <c r="M178" s="81">
        <f t="shared" ca="1" si="32"/>
        <v>-5.8445097233074013E-2</v>
      </c>
      <c r="N178" s="81">
        <f t="shared" ca="1" si="39"/>
        <v>0</v>
      </c>
      <c r="O178" s="39">
        <f t="shared" ca="1" si="40"/>
        <v>0</v>
      </c>
      <c r="P178" s="81">
        <f t="shared" ca="1" si="41"/>
        <v>0</v>
      </c>
      <c r="Q178" s="81">
        <f t="shared" ca="1" si="42"/>
        <v>0</v>
      </c>
      <c r="R178" s="24">
        <f t="shared" ca="1" si="33"/>
        <v>5.8445097233074013E-2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>
      <c r="A179" s="87"/>
      <c r="B179" s="87"/>
      <c r="C179" s="87"/>
      <c r="D179" s="88">
        <f t="shared" si="30"/>
        <v>0</v>
      </c>
      <c r="E179" s="88">
        <f t="shared" si="30"/>
        <v>0</v>
      </c>
      <c r="F179" s="81">
        <f t="shared" si="31"/>
        <v>0</v>
      </c>
      <c r="G179" s="81">
        <f t="shared" si="31"/>
        <v>0</v>
      </c>
      <c r="H179" s="81">
        <f t="shared" si="34"/>
        <v>0</v>
      </c>
      <c r="I179" s="81">
        <f t="shared" si="35"/>
        <v>0</v>
      </c>
      <c r="J179" s="81">
        <f t="shared" si="36"/>
        <v>0</v>
      </c>
      <c r="K179" s="81">
        <f t="shared" si="37"/>
        <v>0</v>
      </c>
      <c r="L179" s="81">
        <f t="shared" si="38"/>
        <v>0</v>
      </c>
      <c r="M179" s="81">
        <f t="shared" ca="1" si="32"/>
        <v>-5.8445097233074013E-2</v>
      </c>
      <c r="N179" s="81">
        <f t="shared" ca="1" si="39"/>
        <v>0</v>
      </c>
      <c r="O179" s="39">
        <f t="shared" ca="1" si="40"/>
        <v>0</v>
      </c>
      <c r="P179" s="81">
        <f t="shared" ca="1" si="41"/>
        <v>0</v>
      </c>
      <c r="Q179" s="81">
        <f t="shared" ca="1" si="42"/>
        <v>0</v>
      </c>
      <c r="R179" s="24">
        <f t="shared" ca="1" si="33"/>
        <v>5.8445097233074013E-2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>
      <c r="A180" s="87"/>
      <c r="B180" s="87"/>
      <c r="C180" s="87"/>
      <c r="D180" s="88">
        <f t="shared" si="30"/>
        <v>0</v>
      </c>
      <c r="E180" s="88">
        <f t="shared" si="30"/>
        <v>0</v>
      </c>
      <c r="F180" s="81">
        <f t="shared" si="31"/>
        <v>0</v>
      </c>
      <c r="G180" s="81">
        <f t="shared" si="31"/>
        <v>0</v>
      </c>
      <c r="H180" s="81">
        <f t="shared" si="34"/>
        <v>0</v>
      </c>
      <c r="I180" s="81">
        <f t="shared" si="35"/>
        <v>0</v>
      </c>
      <c r="J180" s="81">
        <f t="shared" si="36"/>
        <v>0</v>
      </c>
      <c r="K180" s="81">
        <f t="shared" si="37"/>
        <v>0</v>
      </c>
      <c r="L180" s="81">
        <f t="shared" si="38"/>
        <v>0</v>
      </c>
      <c r="M180" s="81">
        <f t="shared" ca="1" si="32"/>
        <v>-5.8445097233074013E-2</v>
      </c>
      <c r="N180" s="81">
        <f t="shared" ca="1" si="39"/>
        <v>0</v>
      </c>
      <c r="O180" s="39">
        <f t="shared" ca="1" si="40"/>
        <v>0</v>
      </c>
      <c r="P180" s="81">
        <f t="shared" ca="1" si="41"/>
        <v>0</v>
      </c>
      <c r="Q180" s="81">
        <f t="shared" ca="1" si="42"/>
        <v>0</v>
      </c>
      <c r="R180" s="24">
        <f t="shared" ca="1" si="33"/>
        <v>5.8445097233074013E-2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>
      <c r="A181" s="87"/>
      <c r="B181" s="87"/>
      <c r="C181" s="87"/>
      <c r="D181" s="88">
        <f t="shared" si="30"/>
        <v>0</v>
      </c>
      <c r="E181" s="88">
        <f t="shared" si="30"/>
        <v>0</v>
      </c>
      <c r="F181" s="81">
        <f t="shared" si="31"/>
        <v>0</v>
      </c>
      <c r="G181" s="81">
        <f t="shared" si="31"/>
        <v>0</v>
      </c>
      <c r="H181" s="81">
        <f t="shared" si="34"/>
        <v>0</v>
      </c>
      <c r="I181" s="81">
        <f t="shared" si="35"/>
        <v>0</v>
      </c>
      <c r="J181" s="81">
        <f t="shared" si="36"/>
        <v>0</v>
      </c>
      <c r="K181" s="81">
        <f t="shared" si="37"/>
        <v>0</v>
      </c>
      <c r="L181" s="81">
        <f t="shared" si="38"/>
        <v>0</v>
      </c>
      <c r="M181" s="81">
        <f t="shared" ca="1" si="32"/>
        <v>-5.8445097233074013E-2</v>
      </c>
      <c r="N181" s="81">
        <f t="shared" ca="1" si="39"/>
        <v>0</v>
      </c>
      <c r="O181" s="39">
        <f t="shared" ca="1" si="40"/>
        <v>0</v>
      </c>
      <c r="P181" s="81">
        <f t="shared" ca="1" si="41"/>
        <v>0</v>
      </c>
      <c r="Q181" s="81">
        <f t="shared" ca="1" si="42"/>
        <v>0</v>
      </c>
      <c r="R181" s="24">
        <f t="shared" ca="1" si="33"/>
        <v>5.8445097233074013E-2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>
      <c r="A182" s="87"/>
      <c r="B182" s="87"/>
      <c r="C182" s="87"/>
      <c r="D182" s="88">
        <f t="shared" si="30"/>
        <v>0</v>
      </c>
      <c r="E182" s="88">
        <f t="shared" si="30"/>
        <v>0</v>
      </c>
      <c r="F182" s="81">
        <f t="shared" si="31"/>
        <v>0</v>
      </c>
      <c r="G182" s="81">
        <f t="shared" si="31"/>
        <v>0</v>
      </c>
      <c r="H182" s="81">
        <f t="shared" si="34"/>
        <v>0</v>
      </c>
      <c r="I182" s="81">
        <f t="shared" si="35"/>
        <v>0</v>
      </c>
      <c r="J182" s="81">
        <f t="shared" si="36"/>
        <v>0</v>
      </c>
      <c r="K182" s="81">
        <f t="shared" si="37"/>
        <v>0</v>
      </c>
      <c r="L182" s="81">
        <f t="shared" si="38"/>
        <v>0</v>
      </c>
      <c r="M182" s="81">
        <f t="shared" ca="1" si="32"/>
        <v>-5.8445097233074013E-2</v>
      </c>
      <c r="N182" s="81">
        <f t="shared" ca="1" si="39"/>
        <v>0</v>
      </c>
      <c r="O182" s="39">
        <f t="shared" ca="1" si="40"/>
        <v>0</v>
      </c>
      <c r="P182" s="81">
        <f t="shared" ca="1" si="41"/>
        <v>0</v>
      </c>
      <c r="Q182" s="81">
        <f t="shared" ca="1" si="42"/>
        <v>0</v>
      </c>
      <c r="R182" s="24">
        <f t="shared" ca="1" si="33"/>
        <v>5.8445097233074013E-2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>
      <c r="A183" s="87"/>
      <c r="B183" s="87"/>
      <c r="C183" s="87"/>
      <c r="D183" s="88">
        <f t="shared" si="30"/>
        <v>0</v>
      </c>
      <c r="E183" s="88">
        <f t="shared" si="30"/>
        <v>0</v>
      </c>
      <c r="F183" s="81">
        <f t="shared" si="31"/>
        <v>0</v>
      </c>
      <c r="G183" s="81">
        <f t="shared" si="31"/>
        <v>0</v>
      </c>
      <c r="H183" s="81">
        <f t="shared" si="34"/>
        <v>0</v>
      </c>
      <c r="I183" s="81">
        <f t="shared" si="35"/>
        <v>0</v>
      </c>
      <c r="J183" s="81">
        <f t="shared" si="36"/>
        <v>0</v>
      </c>
      <c r="K183" s="81">
        <f t="shared" si="37"/>
        <v>0</v>
      </c>
      <c r="L183" s="81">
        <f t="shared" si="38"/>
        <v>0</v>
      </c>
      <c r="M183" s="81">
        <f t="shared" ca="1" si="32"/>
        <v>-5.8445097233074013E-2</v>
      </c>
      <c r="N183" s="81">
        <f t="shared" ca="1" si="39"/>
        <v>0</v>
      </c>
      <c r="O183" s="39">
        <f t="shared" ca="1" si="40"/>
        <v>0</v>
      </c>
      <c r="P183" s="81">
        <f t="shared" ca="1" si="41"/>
        <v>0</v>
      </c>
      <c r="Q183" s="81">
        <f t="shared" ca="1" si="42"/>
        <v>0</v>
      </c>
      <c r="R183" s="24">
        <f t="shared" ca="1" si="33"/>
        <v>5.8445097233074013E-2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>
      <c r="A184" s="87"/>
      <c r="B184" s="87"/>
      <c r="C184" s="87"/>
      <c r="D184" s="88">
        <f t="shared" si="30"/>
        <v>0</v>
      </c>
      <c r="E184" s="88">
        <f t="shared" si="30"/>
        <v>0</v>
      </c>
      <c r="F184" s="81">
        <f t="shared" si="31"/>
        <v>0</v>
      </c>
      <c r="G184" s="81">
        <f t="shared" si="31"/>
        <v>0</v>
      </c>
      <c r="H184" s="81">
        <f t="shared" si="34"/>
        <v>0</v>
      </c>
      <c r="I184" s="81">
        <f t="shared" si="35"/>
        <v>0</v>
      </c>
      <c r="J184" s="81">
        <f t="shared" si="36"/>
        <v>0</v>
      </c>
      <c r="K184" s="81">
        <f t="shared" si="37"/>
        <v>0</v>
      </c>
      <c r="L184" s="81">
        <f t="shared" si="38"/>
        <v>0</v>
      </c>
      <c r="M184" s="81">
        <f t="shared" ca="1" si="32"/>
        <v>-5.8445097233074013E-2</v>
      </c>
      <c r="N184" s="81">
        <f t="shared" ca="1" si="39"/>
        <v>0</v>
      </c>
      <c r="O184" s="39">
        <f t="shared" ca="1" si="40"/>
        <v>0</v>
      </c>
      <c r="P184" s="81">
        <f t="shared" ca="1" si="41"/>
        <v>0</v>
      </c>
      <c r="Q184" s="81">
        <f t="shared" ca="1" si="42"/>
        <v>0</v>
      </c>
      <c r="R184" s="24">
        <f t="shared" ca="1" si="33"/>
        <v>5.8445097233074013E-2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>
      <c r="A185" s="87"/>
      <c r="B185" s="87"/>
      <c r="C185" s="87"/>
      <c r="D185" s="88">
        <f t="shared" si="30"/>
        <v>0</v>
      </c>
      <c r="E185" s="88">
        <f t="shared" si="30"/>
        <v>0</v>
      </c>
      <c r="F185" s="81">
        <f t="shared" si="31"/>
        <v>0</v>
      </c>
      <c r="G185" s="81">
        <f t="shared" si="31"/>
        <v>0</v>
      </c>
      <c r="H185" s="81">
        <f t="shared" si="34"/>
        <v>0</v>
      </c>
      <c r="I185" s="81">
        <f t="shared" si="35"/>
        <v>0</v>
      </c>
      <c r="J185" s="81">
        <f t="shared" si="36"/>
        <v>0</v>
      </c>
      <c r="K185" s="81">
        <f t="shared" si="37"/>
        <v>0</v>
      </c>
      <c r="L185" s="81">
        <f t="shared" si="38"/>
        <v>0</v>
      </c>
      <c r="M185" s="81">
        <f t="shared" ca="1" si="32"/>
        <v>-5.8445097233074013E-2</v>
      </c>
      <c r="N185" s="81">
        <f t="shared" ca="1" si="39"/>
        <v>0</v>
      </c>
      <c r="O185" s="39">
        <f t="shared" ca="1" si="40"/>
        <v>0</v>
      </c>
      <c r="P185" s="81">
        <f t="shared" ca="1" si="41"/>
        <v>0</v>
      </c>
      <c r="Q185" s="81">
        <f t="shared" ca="1" si="42"/>
        <v>0</v>
      </c>
      <c r="R185" s="24">
        <f t="shared" ca="1" si="33"/>
        <v>5.8445097233074013E-2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>
      <c r="A186" s="87"/>
      <c r="B186" s="87"/>
      <c r="C186" s="87"/>
      <c r="D186" s="88">
        <f t="shared" si="30"/>
        <v>0</v>
      </c>
      <c r="E186" s="88">
        <f t="shared" si="30"/>
        <v>0</v>
      </c>
      <c r="F186" s="81">
        <f t="shared" si="31"/>
        <v>0</v>
      </c>
      <c r="G186" s="81">
        <f t="shared" si="31"/>
        <v>0</v>
      </c>
      <c r="H186" s="81">
        <f t="shared" si="34"/>
        <v>0</v>
      </c>
      <c r="I186" s="81">
        <f t="shared" si="35"/>
        <v>0</v>
      </c>
      <c r="J186" s="81">
        <f t="shared" si="36"/>
        <v>0</v>
      </c>
      <c r="K186" s="81">
        <f t="shared" si="37"/>
        <v>0</v>
      </c>
      <c r="L186" s="81">
        <f t="shared" si="38"/>
        <v>0</v>
      </c>
      <c r="M186" s="81">
        <f t="shared" ca="1" si="32"/>
        <v>-5.8445097233074013E-2</v>
      </c>
      <c r="N186" s="81">
        <f t="shared" ca="1" si="39"/>
        <v>0</v>
      </c>
      <c r="O186" s="39">
        <f t="shared" ca="1" si="40"/>
        <v>0</v>
      </c>
      <c r="P186" s="81">
        <f t="shared" ca="1" si="41"/>
        <v>0</v>
      </c>
      <c r="Q186" s="81">
        <f t="shared" ca="1" si="42"/>
        <v>0</v>
      </c>
      <c r="R186" s="24">
        <f t="shared" ca="1" si="33"/>
        <v>5.8445097233074013E-2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>
      <c r="A187" s="87"/>
      <c r="B187" s="87"/>
      <c r="C187" s="87"/>
      <c r="D187" s="88">
        <f t="shared" si="30"/>
        <v>0</v>
      </c>
      <c r="E187" s="88">
        <f t="shared" si="30"/>
        <v>0</v>
      </c>
      <c r="F187" s="81">
        <f t="shared" si="31"/>
        <v>0</v>
      </c>
      <c r="G187" s="81">
        <f t="shared" si="31"/>
        <v>0</v>
      </c>
      <c r="H187" s="81">
        <f t="shared" si="34"/>
        <v>0</v>
      </c>
      <c r="I187" s="81">
        <f t="shared" si="35"/>
        <v>0</v>
      </c>
      <c r="J187" s="81">
        <f t="shared" si="36"/>
        <v>0</v>
      </c>
      <c r="K187" s="81">
        <f t="shared" si="37"/>
        <v>0</v>
      </c>
      <c r="L187" s="81">
        <f t="shared" si="38"/>
        <v>0</v>
      </c>
      <c r="M187" s="81">
        <f t="shared" ca="1" si="32"/>
        <v>-5.8445097233074013E-2</v>
      </c>
      <c r="N187" s="81">
        <f t="shared" ca="1" si="39"/>
        <v>0</v>
      </c>
      <c r="O187" s="39">
        <f t="shared" ca="1" si="40"/>
        <v>0</v>
      </c>
      <c r="P187" s="81">
        <f t="shared" ca="1" si="41"/>
        <v>0</v>
      </c>
      <c r="Q187" s="81">
        <f t="shared" ca="1" si="42"/>
        <v>0</v>
      </c>
      <c r="R187" s="24">
        <f t="shared" ca="1" si="33"/>
        <v>5.8445097233074013E-2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>
      <c r="A188" s="87"/>
      <c r="B188" s="87"/>
      <c r="C188" s="87"/>
      <c r="D188" s="88">
        <f t="shared" si="30"/>
        <v>0</v>
      </c>
      <c r="E188" s="88">
        <f t="shared" si="30"/>
        <v>0</v>
      </c>
      <c r="F188" s="81">
        <f t="shared" si="31"/>
        <v>0</v>
      </c>
      <c r="G188" s="81">
        <f t="shared" si="31"/>
        <v>0</v>
      </c>
      <c r="H188" s="81">
        <f t="shared" si="34"/>
        <v>0</v>
      </c>
      <c r="I188" s="81">
        <f t="shared" si="35"/>
        <v>0</v>
      </c>
      <c r="J188" s="81">
        <f t="shared" si="36"/>
        <v>0</v>
      </c>
      <c r="K188" s="81">
        <f t="shared" si="37"/>
        <v>0</v>
      </c>
      <c r="L188" s="81">
        <f t="shared" si="38"/>
        <v>0</v>
      </c>
      <c r="M188" s="81">
        <f t="shared" ca="1" si="32"/>
        <v>-5.8445097233074013E-2</v>
      </c>
      <c r="N188" s="81">
        <f t="shared" ca="1" si="39"/>
        <v>0</v>
      </c>
      <c r="O188" s="39">
        <f t="shared" ca="1" si="40"/>
        <v>0</v>
      </c>
      <c r="P188" s="81">
        <f t="shared" ca="1" si="41"/>
        <v>0</v>
      </c>
      <c r="Q188" s="81">
        <f t="shared" ca="1" si="42"/>
        <v>0</v>
      </c>
      <c r="R188" s="24">
        <f t="shared" ca="1" si="33"/>
        <v>5.8445097233074013E-2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>
      <c r="A189" s="87"/>
      <c r="B189" s="87"/>
      <c r="C189" s="87"/>
      <c r="D189" s="88">
        <f t="shared" si="30"/>
        <v>0</v>
      </c>
      <c r="E189" s="88">
        <f t="shared" si="30"/>
        <v>0</v>
      </c>
      <c r="F189" s="81">
        <f t="shared" si="31"/>
        <v>0</v>
      </c>
      <c r="G189" s="81">
        <f t="shared" si="31"/>
        <v>0</v>
      </c>
      <c r="H189" s="81">
        <f t="shared" si="34"/>
        <v>0</v>
      </c>
      <c r="I189" s="81">
        <f t="shared" si="35"/>
        <v>0</v>
      </c>
      <c r="J189" s="81">
        <f t="shared" si="36"/>
        <v>0</v>
      </c>
      <c r="K189" s="81">
        <f t="shared" si="37"/>
        <v>0</v>
      </c>
      <c r="L189" s="81">
        <f t="shared" si="38"/>
        <v>0</v>
      </c>
      <c r="M189" s="81">
        <f t="shared" ca="1" si="32"/>
        <v>-5.8445097233074013E-2</v>
      </c>
      <c r="N189" s="81">
        <f t="shared" ca="1" si="39"/>
        <v>0</v>
      </c>
      <c r="O189" s="39">
        <f t="shared" ca="1" si="40"/>
        <v>0</v>
      </c>
      <c r="P189" s="81">
        <f t="shared" ca="1" si="41"/>
        <v>0</v>
      </c>
      <c r="Q189" s="81">
        <f t="shared" ca="1" si="42"/>
        <v>0</v>
      </c>
      <c r="R189" s="24">
        <f t="shared" ca="1" si="33"/>
        <v>5.8445097233074013E-2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>
      <c r="A190" s="87"/>
      <c r="B190" s="87"/>
      <c r="C190" s="87"/>
      <c r="D190" s="88">
        <f t="shared" si="30"/>
        <v>0</v>
      </c>
      <c r="E190" s="88">
        <f t="shared" si="30"/>
        <v>0</v>
      </c>
      <c r="F190" s="81">
        <f t="shared" si="31"/>
        <v>0</v>
      </c>
      <c r="G190" s="81">
        <f t="shared" si="31"/>
        <v>0</v>
      </c>
      <c r="H190" s="81">
        <f t="shared" si="34"/>
        <v>0</v>
      </c>
      <c r="I190" s="81">
        <f t="shared" si="35"/>
        <v>0</v>
      </c>
      <c r="J190" s="81">
        <f t="shared" si="36"/>
        <v>0</v>
      </c>
      <c r="K190" s="81">
        <f t="shared" si="37"/>
        <v>0</v>
      </c>
      <c r="L190" s="81">
        <f t="shared" si="38"/>
        <v>0</v>
      </c>
      <c r="M190" s="81">
        <f t="shared" ca="1" si="32"/>
        <v>-5.8445097233074013E-2</v>
      </c>
      <c r="N190" s="81">
        <f t="shared" ca="1" si="39"/>
        <v>0</v>
      </c>
      <c r="O190" s="39">
        <f t="shared" ca="1" si="40"/>
        <v>0</v>
      </c>
      <c r="P190" s="81">
        <f t="shared" ca="1" si="41"/>
        <v>0</v>
      </c>
      <c r="Q190" s="81">
        <f t="shared" ca="1" si="42"/>
        <v>0</v>
      </c>
      <c r="R190" s="24">
        <f t="shared" ca="1" si="33"/>
        <v>5.8445097233074013E-2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>
      <c r="A191" s="87"/>
      <c r="B191" s="87"/>
      <c r="C191" s="87"/>
      <c r="D191" s="88">
        <f t="shared" si="30"/>
        <v>0</v>
      </c>
      <c r="E191" s="88">
        <f t="shared" si="30"/>
        <v>0</v>
      </c>
      <c r="F191" s="81">
        <f t="shared" si="31"/>
        <v>0</v>
      </c>
      <c r="G191" s="81">
        <f t="shared" si="31"/>
        <v>0</v>
      </c>
      <c r="H191" s="81">
        <f t="shared" si="34"/>
        <v>0</v>
      </c>
      <c r="I191" s="81">
        <f t="shared" si="35"/>
        <v>0</v>
      </c>
      <c r="J191" s="81">
        <f t="shared" si="36"/>
        <v>0</v>
      </c>
      <c r="K191" s="81">
        <f t="shared" si="37"/>
        <v>0</v>
      </c>
      <c r="L191" s="81">
        <f t="shared" si="38"/>
        <v>0</v>
      </c>
      <c r="M191" s="81">
        <f t="shared" ca="1" si="32"/>
        <v>-5.8445097233074013E-2</v>
      </c>
      <c r="N191" s="81">
        <f t="shared" ca="1" si="39"/>
        <v>0</v>
      </c>
      <c r="O191" s="39">
        <f t="shared" ca="1" si="40"/>
        <v>0</v>
      </c>
      <c r="P191" s="81">
        <f t="shared" ca="1" si="41"/>
        <v>0</v>
      </c>
      <c r="Q191" s="81">
        <f t="shared" ca="1" si="42"/>
        <v>0</v>
      </c>
      <c r="R191" s="24">
        <f t="shared" ca="1" si="33"/>
        <v>5.8445097233074013E-2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>
      <c r="A192" s="87"/>
      <c r="B192" s="87"/>
      <c r="C192" s="87"/>
      <c r="D192" s="88">
        <f t="shared" si="30"/>
        <v>0</v>
      </c>
      <c r="E192" s="88">
        <f t="shared" si="30"/>
        <v>0</v>
      </c>
      <c r="F192" s="81">
        <f t="shared" si="31"/>
        <v>0</v>
      </c>
      <c r="G192" s="81">
        <f t="shared" si="31"/>
        <v>0</v>
      </c>
      <c r="H192" s="81">
        <f t="shared" si="34"/>
        <v>0</v>
      </c>
      <c r="I192" s="81">
        <f t="shared" si="35"/>
        <v>0</v>
      </c>
      <c r="J192" s="81">
        <f t="shared" si="36"/>
        <v>0</v>
      </c>
      <c r="K192" s="81">
        <f t="shared" si="37"/>
        <v>0</v>
      </c>
      <c r="L192" s="81">
        <f t="shared" si="38"/>
        <v>0</v>
      </c>
      <c r="M192" s="81">
        <f t="shared" ca="1" si="32"/>
        <v>-5.8445097233074013E-2</v>
      </c>
      <c r="N192" s="81">
        <f t="shared" ca="1" si="39"/>
        <v>0</v>
      </c>
      <c r="O192" s="39">
        <f t="shared" ca="1" si="40"/>
        <v>0</v>
      </c>
      <c r="P192" s="81">
        <f t="shared" ca="1" si="41"/>
        <v>0</v>
      </c>
      <c r="Q192" s="81">
        <f t="shared" ca="1" si="42"/>
        <v>0</v>
      </c>
      <c r="R192" s="24">
        <f t="shared" ca="1" si="33"/>
        <v>5.8445097233074013E-2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>
      <c r="A193" s="87"/>
      <c r="B193" s="87"/>
      <c r="C193" s="87"/>
      <c r="D193" s="88">
        <f t="shared" si="30"/>
        <v>0</v>
      </c>
      <c r="E193" s="88">
        <f t="shared" si="30"/>
        <v>0</v>
      </c>
      <c r="F193" s="81">
        <f t="shared" si="31"/>
        <v>0</v>
      </c>
      <c r="G193" s="81">
        <f t="shared" si="31"/>
        <v>0</v>
      </c>
      <c r="H193" s="81">
        <f t="shared" si="34"/>
        <v>0</v>
      </c>
      <c r="I193" s="81">
        <f t="shared" si="35"/>
        <v>0</v>
      </c>
      <c r="J193" s="81">
        <f t="shared" si="36"/>
        <v>0</v>
      </c>
      <c r="K193" s="81">
        <f t="shared" si="37"/>
        <v>0</v>
      </c>
      <c r="L193" s="81">
        <f t="shared" si="38"/>
        <v>0</v>
      </c>
      <c r="M193" s="81">
        <f t="shared" ca="1" si="32"/>
        <v>-5.8445097233074013E-2</v>
      </c>
      <c r="N193" s="81">
        <f t="shared" ca="1" si="39"/>
        <v>0</v>
      </c>
      <c r="O193" s="39">
        <f t="shared" ca="1" si="40"/>
        <v>0</v>
      </c>
      <c r="P193" s="81">
        <f t="shared" ca="1" si="41"/>
        <v>0</v>
      </c>
      <c r="Q193" s="81">
        <f t="shared" ca="1" si="42"/>
        <v>0</v>
      </c>
      <c r="R193" s="24">
        <f t="shared" ca="1" si="33"/>
        <v>5.8445097233074013E-2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>
      <c r="A194" s="87"/>
      <c r="B194" s="87"/>
      <c r="C194" s="87"/>
      <c r="D194" s="88">
        <f t="shared" si="30"/>
        <v>0</v>
      </c>
      <c r="E194" s="88">
        <f t="shared" si="30"/>
        <v>0</v>
      </c>
      <c r="F194" s="81">
        <f t="shared" si="31"/>
        <v>0</v>
      </c>
      <c r="G194" s="81">
        <f t="shared" si="31"/>
        <v>0</v>
      </c>
      <c r="H194" s="81">
        <f t="shared" si="34"/>
        <v>0</v>
      </c>
      <c r="I194" s="81">
        <f t="shared" si="35"/>
        <v>0</v>
      </c>
      <c r="J194" s="81">
        <f t="shared" si="36"/>
        <v>0</v>
      </c>
      <c r="K194" s="81">
        <f t="shared" si="37"/>
        <v>0</v>
      </c>
      <c r="L194" s="81">
        <f t="shared" si="38"/>
        <v>0</v>
      </c>
      <c r="M194" s="81">
        <f t="shared" ca="1" si="32"/>
        <v>-5.8445097233074013E-2</v>
      </c>
      <c r="N194" s="81">
        <f t="shared" ca="1" si="39"/>
        <v>0</v>
      </c>
      <c r="O194" s="39">
        <f t="shared" ca="1" si="40"/>
        <v>0</v>
      </c>
      <c r="P194" s="81">
        <f t="shared" ca="1" si="41"/>
        <v>0</v>
      </c>
      <c r="Q194" s="81">
        <f t="shared" ca="1" si="42"/>
        <v>0</v>
      </c>
      <c r="R194" s="24">
        <f t="shared" ca="1" si="33"/>
        <v>5.8445097233074013E-2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>
      <c r="A195" s="87"/>
      <c r="B195" s="87"/>
      <c r="C195" s="87"/>
      <c r="D195" s="88">
        <f t="shared" si="30"/>
        <v>0</v>
      </c>
      <c r="E195" s="88">
        <f t="shared" si="30"/>
        <v>0</v>
      </c>
      <c r="F195" s="81">
        <f t="shared" si="31"/>
        <v>0</v>
      </c>
      <c r="G195" s="81">
        <f t="shared" si="31"/>
        <v>0</v>
      </c>
      <c r="H195" s="81">
        <f t="shared" si="34"/>
        <v>0</v>
      </c>
      <c r="I195" s="81">
        <f t="shared" si="35"/>
        <v>0</v>
      </c>
      <c r="J195" s="81">
        <f t="shared" si="36"/>
        <v>0</v>
      </c>
      <c r="K195" s="81">
        <f t="shared" si="37"/>
        <v>0</v>
      </c>
      <c r="L195" s="81">
        <f t="shared" si="38"/>
        <v>0</v>
      </c>
      <c r="M195" s="81">
        <f t="shared" ca="1" si="32"/>
        <v>-5.8445097233074013E-2</v>
      </c>
      <c r="N195" s="81">
        <f t="shared" ca="1" si="39"/>
        <v>0</v>
      </c>
      <c r="O195" s="39">
        <f t="shared" ca="1" si="40"/>
        <v>0</v>
      </c>
      <c r="P195" s="81">
        <f t="shared" ca="1" si="41"/>
        <v>0</v>
      </c>
      <c r="Q195" s="81">
        <f t="shared" ca="1" si="42"/>
        <v>0</v>
      </c>
      <c r="R195" s="24">
        <f t="shared" ca="1" si="33"/>
        <v>5.8445097233074013E-2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>
      <c r="A196" s="87"/>
      <c r="B196" s="87"/>
      <c r="C196" s="87"/>
      <c r="D196" s="88">
        <f t="shared" si="30"/>
        <v>0</v>
      </c>
      <c r="E196" s="88">
        <f t="shared" si="30"/>
        <v>0</v>
      </c>
      <c r="F196" s="81">
        <f t="shared" si="31"/>
        <v>0</v>
      </c>
      <c r="G196" s="81">
        <f t="shared" si="31"/>
        <v>0</v>
      </c>
      <c r="H196" s="81">
        <f t="shared" si="34"/>
        <v>0</v>
      </c>
      <c r="I196" s="81">
        <f t="shared" si="35"/>
        <v>0</v>
      </c>
      <c r="J196" s="81">
        <f t="shared" si="36"/>
        <v>0</v>
      </c>
      <c r="K196" s="81">
        <f t="shared" si="37"/>
        <v>0</v>
      </c>
      <c r="L196" s="81">
        <f t="shared" si="38"/>
        <v>0</v>
      </c>
      <c r="M196" s="81">
        <f t="shared" ca="1" si="32"/>
        <v>-5.8445097233074013E-2</v>
      </c>
      <c r="N196" s="81">
        <f t="shared" ca="1" si="39"/>
        <v>0</v>
      </c>
      <c r="O196" s="39">
        <f t="shared" ca="1" si="40"/>
        <v>0</v>
      </c>
      <c r="P196" s="81">
        <f t="shared" ca="1" si="41"/>
        <v>0</v>
      </c>
      <c r="Q196" s="81">
        <f t="shared" ca="1" si="42"/>
        <v>0</v>
      </c>
      <c r="R196" s="24">
        <f t="shared" ca="1" si="33"/>
        <v>5.8445097233074013E-2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>
      <c r="A197" s="87"/>
      <c r="B197" s="87"/>
      <c r="C197" s="87"/>
      <c r="D197" s="88">
        <f t="shared" si="30"/>
        <v>0</v>
      </c>
      <c r="E197" s="88">
        <f t="shared" si="30"/>
        <v>0</v>
      </c>
      <c r="F197" s="81">
        <f t="shared" si="31"/>
        <v>0</v>
      </c>
      <c r="G197" s="81">
        <f t="shared" si="31"/>
        <v>0</v>
      </c>
      <c r="H197" s="81">
        <f t="shared" si="34"/>
        <v>0</v>
      </c>
      <c r="I197" s="81">
        <f t="shared" si="35"/>
        <v>0</v>
      </c>
      <c r="J197" s="81">
        <f t="shared" si="36"/>
        <v>0</v>
      </c>
      <c r="K197" s="81">
        <f t="shared" si="37"/>
        <v>0</v>
      </c>
      <c r="L197" s="81">
        <f t="shared" si="38"/>
        <v>0</v>
      </c>
      <c r="M197" s="81">
        <f t="shared" ca="1" si="32"/>
        <v>-5.8445097233074013E-2</v>
      </c>
      <c r="N197" s="81">
        <f t="shared" ca="1" si="39"/>
        <v>0</v>
      </c>
      <c r="O197" s="39">
        <f t="shared" ca="1" si="40"/>
        <v>0</v>
      </c>
      <c r="P197" s="81">
        <f t="shared" ca="1" si="41"/>
        <v>0</v>
      </c>
      <c r="Q197" s="81">
        <f t="shared" ca="1" si="42"/>
        <v>0</v>
      </c>
      <c r="R197" s="24">
        <f t="shared" ca="1" si="33"/>
        <v>5.8445097233074013E-2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>
      <c r="A198" s="87"/>
      <c r="B198" s="87"/>
      <c r="C198" s="87"/>
      <c r="D198" s="88">
        <f t="shared" si="30"/>
        <v>0</v>
      </c>
      <c r="E198" s="88">
        <f t="shared" si="30"/>
        <v>0</v>
      </c>
      <c r="F198" s="81">
        <f t="shared" si="31"/>
        <v>0</v>
      </c>
      <c r="G198" s="81">
        <f t="shared" si="31"/>
        <v>0</v>
      </c>
      <c r="H198" s="81">
        <f t="shared" si="34"/>
        <v>0</v>
      </c>
      <c r="I198" s="81">
        <f t="shared" si="35"/>
        <v>0</v>
      </c>
      <c r="J198" s="81">
        <f t="shared" si="36"/>
        <v>0</v>
      </c>
      <c r="K198" s="81">
        <f t="shared" si="37"/>
        <v>0</v>
      </c>
      <c r="L198" s="81">
        <f t="shared" si="38"/>
        <v>0</v>
      </c>
      <c r="M198" s="81">
        <f t="shared" ca="1" si="32"/>
        <v>-5.8445097233074013E-2</v>
      </c>
      <c r="N198" s="81">
        <f t="shared" ca="1" si="39"/>
        <v>0</v>
      </c>
      <c r="O198" s="39">
        <f t="shared" ca="1" si="40"/>
        <v>0</v>
      </c>
      <c r="P198" s="81">
        <f t="shared" ca="1" si="41"/>
        <v>0</v>
      </c>
      <c r="Q198" s="81">
        <f t="shared" ca="1" si="42"/>
        <v>0</v>
      </c>
      <c r="R198" s="24">
        <f t="shared" ca="1" si="33"/>
        <v>5.8445097233074013E-2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>
      <c r="A199" s="87"/>
      <c r="B199" s="87"/>
      <c r="C199" s="87"/>
      <c r="D199" s="88">
        <f t="shared" si="30"/>
        <v>0</v>
      </c>
      <c r="E199" s="88">
        <f t="shared" si="30"/>
        <v>0</v>
      </c>
      <c r="F199" s="81">
        <f t="shared" si="31"/>
        <v>0</v>
      </c>
      <c r="G199" s="81">
        <f t="shared" si="31"/>
        <v>0</v>
      </c>
      <c r="H199" s="81">
        <f t="shared" si="34"/>
        <v>0</v>
      </c>
      <c r="I199" s="81">
        <f t="shared" si="35"/>
        <v>0</v>
      </c>
      <c r="J199" s="81">
        <f t="shared" si="36"/>
        <v>0</v>
      </c>
      <c r="K199" s="81">
        <f t="shared" si="37"/>
        <v>0</v>
      </c>
      <c r="L199" s="81">
        <f t="shared" si="38"/>
        <v>0</v>
      </c>
      <c r="M199" s="81">
        <f t="shared" ca="1" si="32"/>
        <v>-5.8445097233074013E-2</v>
      </c>
      <c r="N199" s="81">
        <f t="shared" ca="1" si="39"/>
        <v>0</v>
      </c>
      <c r="O199" s="39">
        <f t="shared" ca="1" si="40"/>
        <v>0</v>
      </c>
      <c r="P199" s="81">
        <f t="shared" ca="1" si="41"/>
        <v>0</v>
      </c>
      <c r="Q199" s="81">
        <f t="shared" ca="1" si="42"/>
        <v>0</v>
      </c>
      <c r="R199" s="24">
        <f t="shared" ca="1" si="33"/>
        <v>5.8445097233074013E-2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>
      <c r="A200" s="87"/>
      <c r="B200" s="87"/>
      <c r="C200" s="87"/>
      <c r="D200" s="88">
        <f t="shared" si="30"/>
        <v>0</v>
      </c>
      <c r="E200" s="88">
        <f t="shared" si="30"/>
        <v>0</v>
      </c>
      <c r="F200" s="81">
        <f t="shared" si="31"/>
        <v>0</v>
      </c>
      <c r="G200" s="81">
        <f t="shared" si="31"/>
        <v>0</v>
      </c>
      <c r="H200" s="81">
        <f t="shared" si="34"/>
        <v>0</v>
      </c>
      <c r="I200" s="81">
        <f t="shared" si="35"/>
        <v>0</v>
      </c>
      <c r="J200" s="81">
        <f t="shared" si="36"/>
        <v>0</v>
      </c>
      <c r="K200" s="81">
        <f t="shared" si="37"/>
        <v>0</v>
      </c>
      <c r="L200" s="81">
        <f t="shared" si="38"/>
        <v>0</v>
      </c>
      <c r="M200" s="81">
        <f t="shared" ca="1" si="32"/>
        <v>-5.8445097233074013E-2</v>
      </c>
      <c r="N200" s="81">
        <f t="shared" ca="1" si="39"/>
        <v>0</v>
      </c>
      <c r="O200" s="39">
        <f t="shared" ca="1" si="40"/>
        <v>0</v>
      </c>
      <c r="P200" s="81">
        <f t="shared" ca="1" si="41"/>
        <v>0</v>
      </c>
      <c r="Q200" s="81">
        <f t="shared" ca="1" si="42"/>
        <v>0</v>
      </c>
      <c r="R200" s="24">
        <f t="shared" ca="1" si="33"/>
        <v>5.8445097233074013E-2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>
      <c r="A201" s="87"/>
      <c r="B201" s="87"/>
      <c r="C201" s="87"/>
      <c r="D201" s="88">
        <f t="shared" si="30"/>
        <v>0</v>
      </c>
      <c r="E201" s="88">
        <f t="shared" si="30"/>
        <v>0</v>
      </c>
      <c r="F201" s="81">
        <f t="shared" si="31"/>
        <v>0</v>
      </c>
      <c r="G201" s="81">
        <f t="shared" si="31"/>
        <v>0</v>
      </c>
      <c r="H201" s="81">
        <f t="shared" si="34"/>
        <v>0</v>
      </c>
      <c r="I201" s="81">
        <f t="shared" si="35"/>
        <v>0</v>
      </c>
      <c r="J201" s="81">
        <f t="shared" si="36"/>
        <v>0</v>
      </c>
      <c r="K201" s="81">
        <f t="shared" si="37"/>
        <v>0</v>
      </c>
      <c r="L201" s="81">
        <f t="shared" si="38"/>
        <v>0</v>
      </c>
      <c r="M201" s="81">
        <f t="shared" ca="1" si="32"/>
        <v>-5.8445097233074013E-2</v>
      </c>
      <c r="N201" s="81">
        <f t="shared" ca="1" si="39"/>
        <v>0</v>
      </c>
      <c r="O201" s="39">
        <f t="shared" ca="1" si="40"/>
        <v>0</v>
      </c>
      <c r="P201" s="81">
        <f t="shared" ca="1" si="41"/>
        <v>0</v>
      </c>
      <c r="Q201" s="81">
        <f t="shared" ca="1" si="42"/>
        <v>0</v>
      </c>
      <c r="R201" s="24">
        <f t="shared" ca="1" si="33"/>
        <v>5.8445097233074013E-2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>
      <c r="A202" s="87"/>
      <c r="B202" s="87"/>
      <c r="C202" s="87"/>
      <c r="D202" s="88">
        <f t="shared" si="30"/>
        <v>0</v>
      </c>
      <c r="E202" s="88">
        <f t="shared" si="30"/>
        <v>0</v>
      </c>
      <c r="F202" s="81">
        <f t="shared" si="31"/>
        <v>0</v>
      </c>
      <c r="G202" s="81">
        <f t="shared" si="31"/>
        <v>0</v>
      </c>
      <c r="H202" s="81">
        <f t="shared" si="34"/>
        <v>0</v>
      </c>
      <c r="I202" s="81">
        <f t="shared" si="35"/>
        <v>0</v>
      </c>
      <c r="J202" s="81">
        <f t="shared" si="36"/>
        <v>0</v>
      </c>
      <c r="K202" s="81">
        <f t="shared" si="37"/>
        <v>0</v>
      </c>
      <c r="L202" s="81">
        <f t="shared" si="38"/>
        <v>0</v>
      </c>
      <c r="M202" s="81">
        <f t="shared" ca="1" si="32"/>
        <v>-5.8445097233074013E-2</v>
      </c>
      <c r="N202" s="81">
        <f t="shared" ca="1" si="39"/>
        <v>0</v>
      </c>
      <c r="O202" s="39">
        <f t="shared" ca="1" si="40"/>
        <v>0</v>
      </c>
      <c r="P202" s="81">
        <f t="shared" ca="1" si="41"/>
        <v>0</v>
      </c>
      <c r="Q202" s="81">
        <f t="shared" ca="1" si="42"/>
        <v>0</v>
      </c>
      <c r="R202" s="24">
        <f t="shared" ca="1" si="33"/>
        <v>5.8445097233074013E-2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>
      <c r="A203" s="87"/>
      <c r="B203" s="87"/>
      <c r="C203" s="87"/>
      <c r="D203" s="88">
        <f t="shared" si="30"/>
        <v>0</v>
      </c>
      <c r="E203" s="88">
        <f t="shared" si="30"/>
        <v>0</v>
      </c>
      <c r="F203" s="81">
        <f t="shared" si="31"/>
        <v>0</v>
      </c>
      <c r="G203" s="81">
        <f t="shared" si="31"/>
        <v>0</v>
      </c>
      <c r="H203" s="81">
        <f t="shared" si="34"/>
        <v>0</v>
      </c>
      <c r="I203" s="81">
        <f t="shared" si="35"/>
        <v>0</v>
      </c>
      <c r="J203" s="81">
        <f t="shared" si="36"/>
        <v>0</v>
      </c>
      <c r="K203" s="81">
        <f t="shared" si="37"/>
        <v>0</v>
      </c>
      <c r="L203" s="81">
        <f t="shared" si="38"/>
        <v>0</v>
      </c>
      <c r="M203" s="81">
        <f t="shared" ca="1" si="32"/>
        <v>-5.8445097233074013E-2</v>
      </c>
      <c r="N203" s="81">
        <f t="shared" ca="1" si="39"/>
        <v>0</v>
      </c>
      <c r="O203" s="39">
        <f t="shared" ca="1" si="40"/>
        <v>0</v>
      </c>
      <c r="P203" s="81">
        <f t="shared" ca="1" si="41"/>
        <v>0</v>
      </c>
      <c r="Q203" s="81">
        <f t="shared" ca="1" si="42"/>
        <v>0</v>
      </c>
      <c r="R203" s="24">
        <f t="shared" ca="1" si="33"/>
        <v>5.8445097233074013E-2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 spans="1:35">
      <c r="A204" s="87"/>
      <c r="B204" s="87"/>
      <c r="C204" s="87"/>
      <c r="D204" s="88">
        <f t="shared" si="30"/>
        <v>0</v>
      </c>
      <c r="E204" s="88">
        <f t="shared" si="30"/>
        <v>0</v>
      </c>
      <c r="F204" s="81">
        <f t="shared" si="31"/>
        <v>0</v>
      </c>
      <c r="G204" s="81">
        <f t="shared" si="31"/>
        <v>0</v>
      </c>
      <c r="H204" s="81">
        <f t="shared" si="34"/>
        <v>0</v>
      </c>
      <c r="I204" s="81">
        <f t="shared" si="35"/>
        <v>0</v>
      </c>
      <c r="J204" s="81">
        <f t="shared" si="36"/>
        <v>0</v>
      </c>
      <c r="K204" s="81">
        <f t="shared" si="37"/>
        <v>0</v>
      </c>
      <c r="L204" s="81">
        <f t="shared" si="38"/>
        <v>0</v>
      </c>
      <c r="M204" s="81">
        <f t="shared" ca="1" si="32"/>
        <v>-5.8445097233074013E-2</v>
      </c>
      <c r="N204" s="81">
        <f t="shared" ca="1" si="39"/>
        <v>0</v>
      </c>
      <c r="O204" s="39">
        <f t="shared" ca="1" si="40"/>
        <v>0</v>
      </c>
      <c r="P204" s="81">
        <f t="shared" ca="1" si="41"/>
        <v>0</v>
      </c>
      <c r="Q204" s="81">
        <f t="shared" ca="1" si="42"/>
        <v>0</v>
      </c>
      <c r="R204" s="24">
        <f t="shared" ca="1" si="33"/>
        <v>5.8445097233074013E-2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</row>
    <row r="205" spans="1:35">
      <c r="A205" s="87"/>
      <c r="B205" s="87"/>
      <c r="C205" s="87"/>
      <c r="D205" s="88">
        <f t="shared" si="30"/>
        <v>0</v>
      </c>
      <c r="E205" s="88">
        <f t="shared" si="30"/>
        <v>0</v>
      </c>
      <c r="F205" s="81">
        <f t="shared" si="31"/>
        <v>0</v>
      </c>
      <c r="G205" s="81">
        <f t="shared" si="31"/>
        <v>0</v>
      </c>
      <c r="H205" s="81">
        <f t="shared" si="34"/>
        <v>0</v>
      </c>
      <c r="I205" s="81">
        <f t="shared" si="35"/>
        <v>0</v>
      </c>
      <c r="J205" s="81">
        <f t="shared" si="36"/>
        <v>0</v>
      </c>
      <c r="K205" s="81">
        <f t="shared" si="37"/>
        <v>0</v>
      </c>
      <c r="L205" s="81">
        <f t="shared" si="38"/>
        <v>0</v>
      </c>
      <c r="M205" s="81">
        <f t="shared" ca="1" si="32"/>
        <v>-5.8445097233074013E-2</v>
      </c>
      <c r="N205" s="81">
        <f t="shared" ca="1" si="39"/>
        <v>0</v>
      </c>
      <c r="O205" s="39">
        <f t="shared" ca="1" si="40"/>
        <v>0</v>
      </c>
      <c r="P205" s="81">
        <f t="shared" ca="1" si="41"/>
        <v>0</v>
      </c>
      <c r="Q205" s="81">
        <f t="shared" ca="1" si="42"/>
        <v>0</v>
      </c>
      <c r="R205" s="24">
        <f t="shared" ca="1" si="33"/>
        <v>5.8445097233074013E-2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</row>
    <row r="206" spans="1:35">
      <c r="A206" s="87"/>
      <c r="B206" s="87"/>
      <c r="C206" s="87"/>
      <c r="D206" s="88">
        <f t="shared" si="30"/>
        <v>0</v>
      </c>
      <c r="E206" s="88">
        <f t="shared" si="30"/>
        <v>0</v>
      </c>
      <c r="F206" s="81">
        <f t="shared" si="31"/>
        <v>0</v>
      </c>
      <c r="G206" s="81">
        <f t="shared" si="31"/>
        <v>0</v>
      </c>
      <c r="H206" s="81">
        <f t="shared" si="34"/>
        <v>0</v>
      </c>
      <c r="I206" s="81">
        <f t="shared" si="35"/>
        <v>0</v>
      </c>
      <c r="J206" s="81">
        <f t="shared" si="36"/>
        <v>0</v>
      </c>
      <c r="K206" s="81">
        <f t="shared" si="37"/>
        <v>0</v>
      </c>
      <c r="L206" s="81">
        <f t="shared" si="38"/>
        <v>0</v>
      </c>
      <c r="M206" s="81">
        <f t="shared" ca="1" si="32"/>
        <v>-5.8445097233074013E-2</v>
      </c>
      <c r="N206" s="81">
        <f t="shared" ca="1" si="39"/>
        <v>0</v>
      </c>
      <c r="O206" s="39">
        <f t="shared" ca="1" si="40"/>
        <v>0</v>
      </c>
      <c r="P206" s="81">
        <f t="shared" ca="1" si="41"/>
        <v>0</v>
      </c>
      <c r="Q206" s="81">
        <f t="shared" ca="1" si="42"/>
        <v>0</v>
      </c>
      <c r="R206" s="24">
        <f t="shared" ca="1" si="33"/>
        <v>5.8445097233074013E-2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</row>
    <row r="207" spans="1:35">
      <c r="A207" s="87"/>
      <c r="B207" s="87"/>
      <c r="C207" s="87"/>
      <c r="D207" s="88">
        <f t="shared" ref="D207:E270" si="43">A207/A$18</f>
        <v>0</v>
      </c>
      <c r="E207" s="88">
        <f t="shared" si="43"/>
        <v>0</v>
      </c>
      <c r="F207" s="81">
        <f t="shared" ref="F207:G270" si="44">$C207*D207</f>
        <v>0</v>
      </c>
      <c r="G207" s="81">
        <f t="shared" si="44"/>
        <v>0</v>
      </c>
      <c r="H207" s="81">
        <f t="shared" si="34"/>
        <v>0</v>
      </c>
      <c r="I207" s="81">
        <f t="shared" si="35"/>
        <v>0</v>
      </c>
      <c r="J207" s="81">
        <f t="shared" si="36"/>
        <v>0</v>
      </c>
      <c r="K207" s="81">
        <f t="shared" si="37"/>
        <v>0</v>
      </c>
      <c r="L207" s="81">
        <f t="shared" si="38"/>
        <v>0</v>
      </c>
      <c r="M207" s="81">
        <f t="shared" ca="1" si="32"/>
        <v>-5.8445097233074013E-2</v>
      </c>
      <c r="N207" s="81">
        <f t="shared" ca="1" si="39"/>
        <v>0</v>
      </c>
      <c r="O207" s="39">
        <f t="shared" ca="1" si="40"/>
        <v>0</v>
      </c>
      <c r="P207" s="81">
        <f t="shared" ca="1" si="41"/>
        <v>0</v>
      </c>
      <c r="Q207" s="81">
        <f t="shared" ca="1" si="42"/>
        <v>0</v>
      </c>
      <c r="R207" s="24">
        <f t="shared" ca="1" si="33"/>
        <v>5.8445097233074013E-2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</row>
    <row r="208" spans="1:35">
      <c r="A208" s="87"/>
      <c r="B208" s="87"/>
      <c r="C208" s="87"/>
      <c r="D208" s="88">
        <f t="shared" si="43"/>
        <v>0</v>
      </c>
      <c r="E208" s="88">
        <f t="shared" si="43"/>
        <v>0</v>
      </c>
      <c r="F208" s="81">
        <f t="shared" si="44"/>
        <v>0</v>
      </c>
      <c r="G208" s="81">
        <f t="shared" si="44"/>
        <v>0</v>
      </c>
      <c r="H208" s="81">
        <f t="shared" si="34"/>
        <v>0</v>
      </c>
      <c r="I208" s="81">
        <f t="shared" si="35"/>
        <v>0</v>
      </c>
      <c r="J208" s="81">
        <f t="shared" si="36"/>
        <v>0</v>
      </c>
      <c r="K208" s="81">
        <f t="shared" si="37"/>
        <v>0</v>
      </c>
      <c r="L208" s="81">
        <f t="shared" si="38"/>
        <v>0</v>
      </c>
      <c r="M208" s="81">
        <f t="shared" ca="1" si="32"/>
        <v>-5.8445097233074013E-2</v>
      </c>
      <c r="N208" s="81">
        <f t="shared" ca="1" si="39"/>
        <v>0</v>
      </c>
      <c r="O208" s="39">
        <f t="shared" ca="1" si="40"/>
        <v>0</v>
      </c>
      <c r="P208" s="81">
        <f t="shared" ca="1" si="41"/>
        <v>0</v>
      </c>
      <c r="Q208" s="81">
        <f t="shared" ca="1" si="42"/>
        <v>0</v>
      </c>
      <c r="R208" s="24">
        <f t="shared" ca="1" si="33"/>
        <v>5.8445097233074013E-2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</row>
    <row r="209" spans="1:35">
      <c r="A209" s="87"/>
      <c r="B209" s="87"/>
      <c r="C209" s="87"/>
      <c r="D209" s="88">
        <f t="shared" si="43"/>
        <v>0</v>
      </c>
      <c r="E209" s="88">
        <f t="shared" si="43"/>
        <v>0</v>
      </c>
      <c r="F209" s="81">
        <f t="shared" si="44"/>
        <v>0</v>
      </c>
      <c r="G209" s="81">
        <f t="shared" si="44"/>
        <v>0</v>
      </c>
      <c r="H209" s="81">
        <f t="shared" si="34"/>
        <v>0</v>
      </c>
      <c r="I209" s="81">
        <f t="shared" si="35"/>
        <v>0</v>
      </c>
      <c r="J209" s="81">
        <f t="shared" si="36"/>
        <v>0</v>
      </c>
      <c r="K209" s="81">
        <f t="shared" si="37"/>
        <v>0</v>
      </c>
      <c r="L209" s="81">
        <f t="shared" si="38"/>
        <v>0</v>
      </c>
      <c r="M209" s="81">
        <f t="shared" ca="1" si="32"/>
        <v>-5.8445097233074013E-2</v>
      </c>
      <c r="N209" s="81">
        <f t="shared" ca="1" si="39"/>
        <v>0</v>
      </c>
      <c r="O209" s="39">
        <f t="shared" ca="1" si="40"/>
        <v>0</v>
      </c>
      <c r="P209" s="81">
        <f t="shared" ca="1" si="41"/>
        <v>0</v>
      </c>
      <c r="Q209" s="81">
        <f t="shared" ca="1" si="42"/>
        <v>0</v>
      </c>
      <c r="R209" s="24">
        <f t="shared" ca="1" si="33"/>
        <v>5.8445097233074013E-2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</row>
    <row r="210" spans="1:35">
      <c r="A210" s="87"/>
      <c r="B210" s="87"/>
      <c r="C210" s="87"/>
      <c r="D210" s="88">
        <f t="shared" si="43"/>
        <v>0</v>
      </c>
      <c r="E210" s="88">
        <f t="shared" si="43"/>
        <v>0</v>
      </c>
      <c r="F210" s="81">
        <f t="shared" si="44"/>
        <v>0</v>
      </c>
      <c r="G210" s="81">
        <f t="shared" si="44"/>
        <v>0</v>
      </c>
      <c r="H210" s="81">
        <f t="shared" si="34"/>
        <v>0</v>
      </c>
      <c r="I210" s="81">
        <f t="shared" si="35"/>
        <v>0</v>
      </c>
      <c r="J210" s="81">
        <f t="shared" si="36"/>
        <v>0</v>
      </c>
      <c r="K210" s="81">
        <f t="shared" si="37"/>
        <v>0</v>
      </c>
      <c r="L210" s="81">
        <f t="shared" si="38"/>
        <v>0</v>
      </c>
      <c r="M210" s="81">
        <f t="shared" ca="1" si="32"/>
        <v>-5.8445097233074013E-2</v>
      </c>
      <c r="N210" s="81">
        <f t="shared" ca="1" si="39"/>
        <v>0</v>
      </c>
      <c r="O210" s="39">
        <f t="shared" ca="1" si="40"/>
        <v>0</v>
      </c>
      <c r="P210" s="81">
        <f t="shared" ca="1" si="41"/>
        <v>0</v>
      </c>
      <c r="Q210" s="81">
        <f t="shared" ca="1" si="42"/>
        <v>0</v>
      </c>
      <c r="R210" s="24">
        <f t="shared" ca="1" si="33"/>
        <v>5.8445097233074013E-2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</row>
    <row r="211" spans="1:35">
      <c r="A211" s="87"/>
      <c r="B211" s="87"/>
      <c r="C211" s="87"/>
      <c r="D211" s="88">
        <f t="shared" si="43"/>
        <v>0</v>
      </c>
      <c r="E211" s="88">
        <f t="shared" si="43"/>
        <v>0</v>
      </c>
      <c r="F211" s="81">
        <f t="shared" si="44"/>
        <v>0</v>
      </c>
      <c r="G211" s="81">
        <f t="shared" si="44"/>
        <v>0</v>
      </c>
      <c r="H211" s="81">
        <f t="shared" si="34"/>
        <v>0</v>
      </c>
      <c r="I211" s="81">
        <f t="shared" si="35"/>
        <v>0</v>
      </c>
      <c r="J211" s="81">
        <f t="shared" si="36"/>
        <v>0</v>
      </c>
      <c r="K211" s="81">
        <f t="shared" si="37"/>
        <v>0</v>
      </c>
      <c r="L211" s="81">
        <f t="shared" si="38"/>
        <v>0</v>
      </c>
      <c r="M211" s="81">
        <f t="shared" ref="M211:M274" ca="1" si="45">+E$4+E$5*D211+E$6*D211^2</f>
        <v>-5.8445097233074013E-2</v>
      </c>
      <c r="N211" s="81">
        <f t="shared" ca="1" si="39"/>
        <v>0</v>
      </c>
      <c r="O211" s="39">
        <f t="shared" ca="1" si="40"/>
        <v>0</v>
      </c>
      <c r="P211" s="81">
        <f t="shared" ca="1" si="41"/>
        <v>0</v>
      </c>
      <c r="Q211" s="81">
        <f t="shared" ca="1" si="42"/>
        <v>0</v>
      </c>
      <c r="R211" s="24">
        <f t="shared" ref="R211:R274" ca="1" si="46">+E211-M211</f>
        <v>5.8445097233074013E-2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</row>
    <row r="212" spans="1:35">
      <c r="A212" s="87"/>
      <c r="B212" s="87"/>
      <c r="C212" s="87"/>
      <c r="D212" s="88">
        <f t="shared" si="43"/>
        <v>0</v>
      </c>
      <c r="E212" s="88">
        <f t="shared" si="43"/>
        <v>0</v>
      </c>
      <c r="F212" s="81">
        <f t="shared" si="44"/>
        <v>0</v>
      </c>
      <c r="G212" s="81">
        <f t="shared" si="44"/>
        <v>0</v>
      </c>
      <c r="H212" s="81">
        <f t="shared" ref="H212:H275" si="47">C212*D212*D212</f>
        <v>0</v>
      </c>
      <c r="I212" s="81">
        <f t="shared" ref="I212:I275" si="48">C212*D212*D212*D212</f>
        <v>0</v>
      </c>
      <c r="J212" s="81">
        <f t="shared" ref="J212:J275" si="49">C212*D212*D212*D212*D212</f>
        <v>0</v>
      </c>
      <c r="K212" s="81">
        <f t="shared" ref="K212:K275" si="50">C212*E212*D212</f>
        <v>0</v>
      </c>
      <c r="L212" s="81">
        <f t="shared" ref="L212:L275" si="51">C212*E212*D212*D212</f>
        <v>0</v>
      </c>
      <c r="M212" s="81">
        <f t="shared" ca="1" si="45"/>
        <v>-5.8445097233074013E-2</v>
      </c>
      <c r="N212" s="81">
        <f t="shared" ref="N212:N275" ca="1" si="52">C212*(M212-E212)^2</f>
        <v>0</v>
      </c>
      <c r="O212" s="39">
        <f t="shared" ref="O212:O275" ca="1" si="53">(C212*O$1-O$2*F212+O$3*H212)^2</f>
        <v>0</v>
      </c>
      <c r="P212" s="81">
        <f t="shared" ref="P212:P275" ca="1" si="54">(-C212*O$2+O$4*F212-O$5*H212)^2</f>
        <v>0</v>
      </c>
      <c r="Q212" s="81">
        <f t="shared" ref="Q212:Q275" ca="1" si="55">+(C212*O$3-F212*O$5+H212*O$6)^2</f>
        <v>0</v>
      </c>
      <c r="R212" s="24">
        <f t="shared" ca="1" si="46"/>
        <v>5.8445097233074013E-2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</row>
    <row r="213" spans="1:35">
      <c r="A213" s="87"/>
      <c r="B213" s="87"/>
      <c r="C213" s="87"/>
      <c r="D213" s="88">
        <f t="shared" si="43"/>
        <v>0</v>
      </c>
      <c r="E213" s="88">
        <f t="shared" si="43"/>
        <v>0</v>
      </c>
      <c r="F213" s="81">
        <f t="shared" si="44"/>
        <v>0</v>
      </c>
      <c r="G213" s="81">
        <f t="shared" si="44"/>
        <v>0</v>
      </c>
      <c r="H213" s="81">
        <f t="shared" si="47"/>
        <v>0</v>
      </c>
      <c r="I213" s="81">
        <f t="shared" si="48"/>
        <v>0</v>
      </c>
      <c r="J213" s="81">
        <f t="shared" si="49"/>
        <v>0</v>
      </c>
      <c r="K213" s="81">
        <f t="shared" si="50"/>
        <v>0</v>
      </c>
      <c r="L213" s="81">
        <f t="shared" si="51"/>
        <v>0</v>
      </c>
      <c r="M213" s="81">
        <f t="shared" ca="1" si="45"/>
        <v>-5.8445097233074013E-2</v>
      </c>
      <c r="N213" s="81">
        <f t="shared" ca="1" si="52"/>
        <v>0</v>
      </c>
      <c r="O213" s="39">
        <f t="shared" ca="1" si="53"/>
        <v>0</v>
      </c>
      <c r="P213" s="81">
        <f t="shared" ca="1" si="54"/>
        <v>0</v>
      </c>
      <c r="Q213" s="81">
        <f t="shared" ca="1" si="55"/>
        <v>0</v>
      </c>
      <c r="R213" s="24">
        <f t="shared" ca="1" si="46"/>
        <v>5.8445097233074013E-2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</row>
    <row r="214" spans="1:35">
      <c r="A214" s="87"/>
      <c r="B214" s="87"/>
      <c r="C214" s="87"/>
      <c r="D214" s="88">
        <f t="shared" si="43"/>
        <v>0</v>
      </c>
      <c r="E214" s="88">
        <f t="shared" si="43"/>
        <v>0</v>
      </c>
      <c r="F214" s="81">
        <f t="shared" si="44"/>
        <v>0</v>
      </c>
      <c r="G214" s="81">
        <f t="shared" si="44"/>
        <v>0</v>
      </c>
      <c r="H214" s="81">
        <f t="shared" si="47"/>
        <v>0</v>
      </c>
      <c r="I214" s="81">
        <f t="shared" si="48"/>
        <v>0</v>
      </c>
      <c r="J214" s="81">
        <f t="shared" si="49"/>
        <v>0</v>
      </c>
      <c r="K214" s="81">
        <f t="shared" si="50"/>
        <v>0</v>
      </c>
      <c r="L214" s="81">
        <f t="shared" si="51"/>
        <v>0</v>
      </c>
      <c r="M214" s="81">
        <f t="shared" ca="1" si="45"/>
        <v>-5.8445097233074013E-2</v>
      </c>
      <c r="N214" s="81">
        <f t="shared" ca="1" si="52"/>
        <v>0</v>
      </c>
      <c r="O214" s="39">
        <f t="shared" ca="1" si="53"/>
        <v>0</v>
      </c>
      <c r="P214" s="81">
        <f t="shared" ca="1" si="54"/>
        <v>0</v>
      </c>
      <c r="Q214" s="81">
        <f t="shared" ca="1" si="55"/>
        <v>0</v>
      </c>
      <c r="R214" s="24">
        <f t="shared" ca="1" si="46"/>
        <v>5.8445097233074013E-2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</row>
    <row r="215" spans="1:35">
      <c r="A215" s="87"/>
      <c r="B215" s="87"/>
      <c r="C215" s="87"/>
      <c r="D215" s="88">
        <f t="shared" si="43"/>
        <v>0</v>
      </c>
      <c r="E215" s="88">
        <f t="shared" si="43"/>
        <v>0</v>
      </c>
      <c r="F215" s="81">
        <f t="shared" si="44"/>
        <v>0</v>
      </c>
      <c r="G215" s="81">
        <f t="shared" si="44"/>
        <v>0</v>
      </c>
      <c r="H215" s="81">
        <f t="shared" si="47"/>
        <v>0</v>
      </c>
      <c r="I215" s="81">
        <f t="shared" si="48"/>
        <v>0</v>
      </c>
      <c r="J215" s="81">
        <f t="shared" si="49"/>
        <v>0</v>
      </c>
      <c r="K215" s="81">
        <f t="shared" si="50"/>
        <v>0</v>
      </c>
      <c r="L215" s="81">
        <f t="shared" si="51"/>
        <v>0</v>
      </c>
      <c r="M215" s="81">
        <f t="shared" ca="1" si="45"/>
        <v>-5.8445097233074013E-2</v>
      </c>
      <c r="N215" s="81">
        <f t="shared" ca="1" si="52"/>
        <v>0</v>
      </c>
      <c r="O215" s="39">
        <f t="shared" ca="1" si="53"/>
        <v>0</v>
      </c>
      <c r="P215" s="81">
        <f t="shared" ca="1" si="54"/>
        <v>0</v>
      </c>
      <c r="Q215" s="81">
        <f t="shared" ca="1" si="55"/>
        <v>0</v>
      </c>
      <c r="R215" s="24">
        <f t="shared" ca="1" si="46"/>
        <v>5.8445097233074013E-2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</row>
    <row r="216" spans="1:35">
      <c r="A216" s="87"/>
      <c r="B216" s="87"/>
      <c r="C216" s="87"/>
      <c r="D216" s="88">
        <f t="shared" si="43"/>
        <v>0</v>
      </c>
      <c r="E216" s="88">
        <f t="shared" si="43"/>
        <v>0</v>
      </c>
      <c r="F216" s="81">
        <f t="shared" si="44"/>
        <v>0</v>
      </c>
      <c r="G216" s="81">
        <f t="shared" si="44"/>
        <v>0</v>
      </c>
      <c r="H216" s="81">
        <f t="shared" si="47"/>
        <v>0</v>
      </c>
      <c r="I216" s="81">
        <f t="shared" si="48"/>
        <v>0</v>
      </c>
      <c r="J216" s="81">
        <f t="shared" si="49"/>
        <v>0</v>
      </c>
      <c r="K216" s="81">
        <f t="shared" si="50"/>
        <v>0</v>
      </c>
      <c r="L216" s="81">
        <f t="shared" si="51"/>
        <v>0</v>
      </c>
      <c r="M216" s="81">
        <f t="shared" ca="1" si="45"/>
        <v>-5.8445097233074013E-2</v>
      </c>
      <c r="N216" s="81">
        <f t="shared" ca="1" si="52"/>
        <v>0</v>
      </c>
      <c r="O216" s="39">
        <f t="shared" ca="1" si="53"/>
        <v>0</v>
      </c>
      <c r="P216" s="81">
        <f t="shared" ca="1" si="54"/>
        <v>0</v>
      </c>
      <c r="Q216" s="81">
        <f t="shared" ca="1" si="55"/>
        <v>0</v>
      </c>
      <c r="R216" s="24">
        <f t="shared" ca="1" si="46"/>
        <v>5.8445097233074013E-2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</row>
    <row r="217" spans="1:35">
      <c r="A217" s="87"/>
      <c r="B217" s="87"/>
      <c r="C217" s="87"/>
      <c r="D217" s="88">
        <f t="shared" si="43"/>
        <v>0</v>
      </c>
      <c r="E217" s="88">
        <f t="shared" si="43"/>
        <v>0</v>
      </c>
      <c r="F217" s="81">
        <f t="shared" si="44"/>
        <v>0</v>
      </c>
      <c r="G217" s="81">
        <f t="shared" si="44"/>
        <v>0</v>
      </c>
      <c r="H217" s="81">
        <f t="shared" si="47"/>
        <v>0</v>
      </c>
      <c r="I217" s="81">
        <f t="shared" si="48"/>
        <v>0</v>
      </c>
      <c r="J217" s="81">
        <f t="shared" si="49"/>
        <v>0</v>
      </c>
      <c r="K217" s="81">
        <f t="shared" si="50"/>
        <v>0</v>
      </c>
      <c r="L217" s="81">
        <f t="shared" si="51"/>
        <v>0</v>
      </c>
      <c r="M217" s="81">
        <f t="shared" ca="1" si="45"/>
        <v>-5.8445097233074013E-2</v>
      </c>
      <c r="N217" s="81">
        <f t="shared" ca="1" si="52"/>
        <v>0</v>
      </c>
      <c r="O217" s="39">
        <f t="shared" ca="1" si="53"/>
        <v>0</v>
      </c>
      <c r="P217" s="81">
        <f t="shared" ca="1" si="54"/>
        <v>0</v>
      </c>
      <c r="Q217" s="81">
        <f t="shared" ca="1" si="55"/>
        <v>0</v>
      </c>
      <c r="R217" s="24">
        <f t="shared" ca="1" si="46"/>
        <v>5.8445097233074013E-2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</row>
    <row r="218" spans="1:35">
      <c r="A218" s="87"/>
      <c r="B218" s="87"/>
      <c r="C218" s="87"/>
      <c r="D218" s="88">
        <f t="shared" si="43"/>
        <v>0</v>
      </c>
      <c r="E218" s="88">
        <f t="shared" si="43"/>
        <v>0</v>
      </c>
      <c r="F218" s="81">
        <f t="shared" si="44"/>
        <v>0</v>
      </c>
      <c r="G218" s="81">
        <f t="shared" si="44"/>
        <v>0</v>
      </c>
      <c r="H218" s="81">
        <f t="shared" si="47"/>
        <v>0</v>
      </c>
      <c r="I218" s="81">
        <f t="shared" si="48"/>
        <v>0</v>
      </c>
      <c r="J218" s="81">
        <f t="shared" si="49"/>
        <v>0</v>
      </c>
      <c r="K218" s="81">
        <f t="shared" si="50"/>
        <v>0</v>
      </c>
      <c r="L218" s="81">
        <f t="shared" si="51"/>
        <v>0</v>
      </c>
      <c r="M218" s="81">
        <f t="shared" ca="1" si="45"/>
        <v>-5.8445097233074013E-2</v>
      </c>
      <c r="N218" s="81">
        <f t="shared" ca="1" si="52"/>
        <v>0</v>
      </c>
      <c r="O218" s="39">
        <f t="shared" ca="1" si="53"/>
        <v>0</v>
      </c>
      <c r="P218" s="81">
        <f t="shared" ca="1" si="54"/>
        <v>0</v>
      </c>
      <c r="Q218" s="81">
        <f t="shared" ca="1" si="55"/>
        <v>0</v>
      </c>
      <c r="R218" s="24">
        <f t="shared" ca="1" si="46"/>
        <v>5.8445097233074013E-2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</row>
    <row r="219" spans="1:35">
      <c r="A219" s="87"/>
      <c r="B219" s="87"/>
      <c r="C219" s="87"/>
      <c r="D219" s="88">
        <f t="shared" si="43"/>
        <v>0</v>
      </c>
      <c r="E219" s="88">
        <f t="shared" si="43"/>
        <v>0</v>
      </c>
      <c r="F219" s="81">
        <f t="shared" si="44"/>
        <v>0</v>
      </c>
      <c r="G219" s="81">
        <f t="shared" si="44"/>
        <v>0</v>
      </c>
      <c r="H219" s="81">
        <f t="shared" si="47"/>
        <v>0</v>
      </c>
      <c r="I219" s="81">
        <f t="shared" si="48"/>
        <v>0</v>
      </c>
      <c r="J219" s="81">
        <f t="shared" si="49"/>
        <v>0</v>
      </c>
      <c r="K219" s="81">
        <f t="shared" si="50"/>
        <v>0</v>
      </c>
      <c r="L219" s="81">
        <f t="shared" si="51"/>
        <v>0</v>
      </c>
      <c r="M219" s="81">
        <f t="shared" ca="1" si="45"/>
        <v>-5.8445097233074013E-2</v>
      </c>
      <c r="N219" s="81">
        <f t="shared" ca="1" si="52"/>
        <v>0</v>
      </c>
      <c r="O219" s="39">
        <f t="shared" ca="1" si="53"/>
        <v>0</v>
      </c>
      <c r="P219" s="81">
        <f t="shared" ca="1" si="54"/>
        <v>0</v>
      </c>
      <c r="Q219" s="81">
        <f t="shared" ca="1" si="55"/>
        <v>0</v>
      </c>
      <c r="R219" s="24">
        <f t="shared" ca="1" si="46"/>
        <v>5.8445097233074013E-2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</row>
    <row r="220" spans="1:35">
      <c r="A220" s="87"/>
      <c r="B220" s="87"/>
      <c r="C220" s="87"/>
      <c r="D220" s="88">
        <f t="shared" si="43"/>
        <v>0</v>
      </c>
      <c r="E220" s="88">
        <f t="shared" si="43"/>
        <v>0</v>
      </c>
      <c r="F220" s="81">
        <f t="shared" si="44"/>
        <v>0</v>
      </c>
      <c r="G220" s="81">
        <f t="shared" si="44"/>
        <v>0</v>
      </c>
      <c r="H220" s="81">
        <f t="shared" si="47"/>
        <v>0</v>
      </c>
      <c r="I220" s="81">
        <f t="shared" si="48"/>
        <v>0</v>
      </c>
      <c r="J220" s="81">
        <f t="shared" si="49"/>
        <v>0</v>
      </c>
      <c r="K220" s="81">
        <f t="shared" si="50"/>
        <v>0</v>
      </c>
      <c r="L220" s="81">
        <f t="shared" si="51"/>
        <v>0</v>
      </c>
      <c r="M220" s="81">
        <f t="shared" ca="1" si="45"/>
        <v>-5.8445097233074013E-2</v>
      </c>
      <c r="N220" s="81">
        <f t="shared" ca="1" si="52"/>
        <v>0</v>
      </c>
      <c r="O220" s="39">
        <f t="shared" ca="1" si="53"/>
        <v>0</v>
      </c>
      <c r="P220" s="81">
        <f t="shared" ca="1" si="54"/>
        <v>0</v>
      </c>
      <c r="Q220" s="81">
        <f t="shared" ca="1" si="55"/>
        <v>0</v>
      </c>
      <c r="R220" s="24">
        <f t="shared" ca="1" si="46"/>
        <v>5.8445097233074013E-2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</row>
    <row r="221" spans="1:35">
      <c r="A221" s="87"/>
      <c r="B221" s="87"/>
      <c r="C221" s="87"/>
      <c r="D221" s="88">
        <f t="shared" si="43"/>
        <v>0</v>
      </c>
      <c r="E221" s="88">
        <f t="shared" si="43"/>
        <v>0</v>
      </c>
      <c r="F221" s="81">
        <f t="shared" si="44"/>
        <v>0</v>
      </c>
      <c r="G221" s="81">
        <f t="shared" si="44"/>
        <v>0</v>
      </c>
      <c r="H221" s="81">
        <f t="shared" si="47"/>
        <v>0</v>
      </c>
      <c r="I221" s="81">
        <f t="shared" si="48"/>
        <v>0</v>
      </c>
      <c r="J221" s="81">
        <f t="shared" si="49"/>
        <v>0</v>
      </c>
      <c r="K221" s="81">
        <f t="shared" si="50"/>
        <v>0</v>
      </c>
      <c r="L221" s="81">
        <f t="shared" si="51"/>
        <v>0</v>
      </c>
      <c r="M221" s="81">
        <f t="shared" ca="1" si="45"/>
        <v>-5.8445097233074013E-2</v>
      </c>
      <c r="N221" s="81">
        <f t="shared" ca="1" si="52"/>
        <v>0</v>
      </c>
      <c r="O221" s="39">
        <f t="shared" ca="1" si="53"/>
        <v>0</v>
      </c>
      <c r="P221" s="81">
        <f t="shared" ca="1" si="54"/>
        <v>0</v>
      </c>
      <c r="Q221" s="81">
        <f t="shared" ca="1" si="55"/>
        <v>0</v>
      </c>
      <c r="R221" s="24">
        <f t="shared" ca="1" si="46"/>
        <v>5.8445097233074013E-2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</row>
    <row r="222" spans="1:35">
      <c r="A222" s="87"/>
      <c r="B222" s="87"/>
      <c r="C222" s="87"/>
      <c r="D222" s="88">
        <f t="shared" si="43"/>
        <v>0</v>
      </c>
      <c r="E222" s="88">
        <f t="shared" si="43"/>
        <v>0</v>
      </c>
      <c r="F222" s="81">
        <f t="shared" si="44"/>
        <v>0</v>
      </c>
      <c r="G222" s="81">
        <f t="shared" si="44"/>
        <v>0</v>
      </c>
      <c r="H222" s="81">
        <f t="shared" si="47"/>
        <v>0</v>
      </c>
      <c r="I222" s="81">
        <f t="shared" si="48"/>
        <v>0</v>
      </c>
      <c r="J222" s="81">
        <f t="shared" si="49"/>
        <v>0</v>
      </c>
      <c r="K222" s="81">
        <f t="shared" si="50"/>
        <v>0</v>
      </c>
      <c r="L222" s="81">
        <f t="shared" si="51"/>
        <v>0</v>
      </c>
      <c r="M222" s="81">
        <f t="shared" ca="1" si="45"/>
        <v>-5.8445097233074013E-2</v>
      </c>
      <c r="N222" s="81">
        <f t="shared" ca="1" si="52"/>
        <v>0</v>
      </c>
      <c r="O222" s="39">
        <f t="shared" ca="1" si="53"/>
        <v>0</v>
      </c>
      <c r="P222" s="81">
        <f t="shared" ca="1" si="54"/>
        <v>0</v>
      </c>
      <c r="Q222" s="81">
        <f t="shared" ca="1" si="55"/>
        <v>0</v>
      </c>
      <c r="R222" s="24">
        <f t="shared" ca="1" si="46"/>
        <v>5.8445097233074013E-2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</row>
    <row r="223" spans="1:35">
      <c r="A223" s="87"/>
      <c r="B223" s="87"/>
      <c r="C223" s="87"/>
      <c r="D223" s="88">
        <f t="shared" si="43"/>
        <v>0</v>
      </c>
      <c r="E223" s="88">
        <f t="shared" si="43"/>
        <v>0</v>
      </c>
      <c r="F223" s="81">
        <f t="shared" si="44"/>
        <v>0</v>
      </c>
      <c r="G223" s="81">
        <f t="shared" si="44"/>
        <v>0</v>
      </c>
      <c r="H223" s="81">
        <f t="shared" si="47"/>
        <v>0</v>
      </c>
      <c r="I223" s="81">
        <f t="shared" si="48"/>
        <v>0</v>
      </c>
      <c r="J223" s="81">
        <f t="shared" si="49"/>
        <v>0</v>
      </c>
      <c r="K223" s="81">
        <f t="shared" si="50"/>
        <v>0</v>
      </c>
      <c r="L223" s="81">
        <f t="shared" si="51"/>
        <v>0</v>
      </c>
      <c r="M223" s="81">
        <f t="shared" ca="1" si="45"/>
        <v>-5.8445097233074013E-2</v>
      </c>
      <c r="N223" s="81">
        <f t="shared" ca="1" si="52"/>
        <v>0</v>
      </c>
      <c r="O223" s="39">
        <f t="shared" ca="1" si="53"/>
        <v>0</v>
      </c>
      <c r="P223" s="81">
        <f t="shared" ca="1" si="54"/>
        <v>0</v>
      </c>
      <c r="Q223" s="81">
        <f t="shared" ca="1" si="55"/>
        <v>0</v>
      </c>
      <c r="R223" s="24">
        <f t="shared" ca="1" si="46"/>
        <v>5.8445097233074013E-2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</row>
    <row r="224" spans="1:35">
      <c r="A224" s="87"/>
      <c r="B224" s="87"/>
      <c r="C224" s="87"/>
      <c r="D224" s="88">
        <f t="shared" si="43"/>
        <v>0</v>
      </c>
      <c r="E224" s="88">
        <f t="shared" si="43"/>
        <v>0</v>
      </c>
      <c r="F224" s="81">
        <f t="shared" si="44"/>
        <v>0</v>
      </c>
      <c r="G224" s="81">
        <f t="shared" si="44"/>
        <v>0</v>
      </c>
      <c r="H224" s="81">
        <f t="shared" si="47"/>
        <v>0</v>
      </c>
      <c r="I224" s="81">
        <f t="shared" si="48"/>
        <v>0</v>
      </c>
      <c r="J224" s="81">
        <f t="shared" si="49"/>
        <v>0</v>
      </c>
      <c r="K224" s="81">
        <f t="shared" si="50"/>
        <v>0</v>
      </c>
      <c r="L224" s="81">
        <f t="shared" si="51"/>
        <v>0</v>
      </c>
      <c r="M224" s="81">
        <f t="shared" ca="1" si="45"/>
        <v>-5.8445097233074013E-2</v>
      </c>
      <c r="N224" s="81">
        <f t="shared" ca="1" si="52"/>
        <v>0</v>
      </c>
      <c r="O224" s="39">
        <f t="shared" ca="1" si="53"/>
        <v>0</v>
      </c>
      <c r="P224" s="81">
        <f t="shared" ca="1" si="54"/>
        <v>0</v>
      </c>
      <c r="Q224" s="81">
        <f t="shared" ca="1" si="55"/>
        <v>0</v>
      </c>
      <c r="R224" s="24">
        <f t="shared" ca="1" si="46"/>
        <v>5.8445097233074013E-2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</row>
    <row r="225" spans="1:35">
      <c r="A225" s="87"/>
      <c r="B225" s="87"/>
      <c r="C225" s="87"/>
      <c r="D225" s="88">
        <f t="shared" si="43"/>
        <v>0</v>
      </c>
      <c r="E225" s="88">
        <f t="shared" si="43"/>
        <v>0</v>
      </c>
      <c r="F225" s="81">
        <f t="shared" si="44"/>
        <v>0</v>
      </c>
      <c r="G225" s="81">
        <f t="shared" si="44"/>
        <v>0</v>
      </c>
      <c r="H225" s="81">
        <f t="shared" si="47"/>
        <v>0</v>
      </c>
      <c r="I225" s="81">
        <f t="shared" si="48"/>
        <v>0</v>
      </c>
      <c r="J225" s="81">
        <f t="shared" si="49"/>
        <v>0</v>
      </c>
      <c r="K225" s="81">
        <f t="shared" si="50"/>
        <v>0</v>
      </c>
      <c r="L225" s="81">
        <f t="shared" si="51"/>
        <v>0</v>
      </c>
      <c r="M225" s="81">
        <f t="shared" ca="1" si="45"/>
        <v>-5.8445097233074013E-2</v>
      </c>
      <c r="N225" s="81">
        <f t="shared" ca="1" si="52"/>
        <v>0</v>
      </c>
      <c r="O225" s="39">
        <f t="shared" ca="1" si="53"/>
        <v>0</v>
      </c>
      <c r="P225" s="81">
        <f t="shared" ca="1" si="54"/>
        <v>0</v>
      </c>
      <c r="Q225" s="81">
        <f t="shared" ca="1" si="55"/>
        <v>0</v>
      </c>
      <c r="R225" s="24">
        <f t="shared" ca="1" si="46"/>
        <v>5.8445097233074013E-2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</row>
    <row r="226" spans="1:35">
      <c r="A226" s="87"/>
      <c r="B226" s="87"/>
      <c r="C226" s="87"/>
      <c r="D226" s="88">
        <f t="shared" si="43"/>
        <v>0</v>
      </c>
      <c r="E226" s="88">
        <f t="shared" si="43"/>
        <v>0</v>
      </c>
      <c r="F226" s="81">
        <f t="shared" si="44"/>
        <v>0</v>
      </c>
      <c r="G226" s="81">
        <f t="shared" si="44"/>
        <v>0</v>
      </c>
      <c r="H226" s="81">
        <f t="shared" si="47"/>
        <v>0</v>
      </c>
      <c r="I226" s="81">
        <f t="shared" si="48"/>
        <v>0</v>
      </c>
      <c r="J226" s="81">
        <f t="shared" si="49"/>
        <v>0</v>
      </c>
      <c r="K226" s="81">
        <f t="shared" si="50"/>
        <v>0</v>
      </c>
      <c r="L226" s="81">
        <f t="shared" si="51"/>
        <v>0</v>
      </c>
      <c r="M226" s="81">
        <f t="shared" ca="1" si="45"/>
        <v>-5.8445097233074013E-2</v>
      </c>
      <c r="N226" s="81">
        <f t="shared" ca="1" si="52"/>
        <v>0</v>
      </c>
      <c r="O226" s="39">
        <f t="shared" ca="1" si="53"/>
        <v>0</v>
      </c>
      <c r="P226" s="81">
        <f t="shared" ca="1" si="54"/>
        <v>0</v>
      </c>
      <c r="Q226" s="81">
        <f t="shared" ca="1" si="55"/>
        <v>0</v>
      </c>
      <c r="R226" s="24">
        <f t="shared" ca="1" si="46"/>
        <v>5.8445097233074013E-2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</row>
    <row r="227" spans="1:35">
      <c r="A227" s="87"/>
      <c r="B227" s="87"/>
      <c r="C227" s="87"/>
      <c r="D227" s="88">
        <f t="shared" si="43"/>
        <v>0</v>
      </c>
      <c r="E227" s="88">
        <f t="shared" si="43"/>
        <v>0</v>
      </c>
      <c r="F227" s="81">
        <f t="shared" si="44"/>
        <v>0</v>
      </c>
      <c r="G227" s="81">
        <f t="shared" si="44"/>
        <v>0</v>
      </c>
      <c r="H227" s="81">
        <f t="shared" si="47"/>
        <v>0</v>
      </c>
      <c r="I227" s="81">
        <f t="shared" si="48"/>
        <v>0</v>
      </c>
      <c r="J227" s="81">
        <f t="shared" si="49"/>
        <v>0</v>
      </c>
      <c r="K227" s="81">
        <f t="shared" si="50"/>
        <v>0</v>
      </c>
      <c r="L227" s="81">
        <f t="shared" si="51"/>
        <v>0</v>
      </c>
      <c r="M227" s="81">
        <f t="shared" ca="1" si="45"/>
        <v>-5.8445097233074013E-2</v>
      </c>
      <c r="N227" s="81">
        <f t="shared" ca="1" si="52"/>
        <v>0</v>
      </c>
      <c r="O227" s="39">
        <f t="shared" ca="1" si="53"/>
        <v>0</v>
      </c>
      <c r="P227" s="81">
        <f t="shared" ca="1" si="54"/>
        <v>0</v>
      </c>
      <c r="Q227" s="81">
        <f t="shared" ca="1" si="55"/>
        <v>0</v>
      </c>
      <c r="R227" s="24">
        <f t="shared" ca="1" si="46"/>
        <v>5.8445097233074013E-2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</row>
    <row r="228" spans="1:35">
      <c r="A228" s="87"/>
      <c r="B228" s="87"/>
      <c r="C228" s="87"/>
      <c r="D228" s="88">
        <f t="shared" si="43"/>
        <v>0</v>
      </c>
      <c r="E228" s="88">
        <f t="shared" si="43"/>
        <v>0</v>
      </c>
      <c r="F228" s="81">
        <f t="shared" si="44"/>
        <v>0</v>
      </c>
      <c r="G228" s="81">
        <f t="shared" si="44"/>
        <v>0</v>
      </c>
      <c r="H228" s="81">
        <f t="shared" si="47"/>
        <v>0</v>
      </c>
      <c r="I228" s="81">
        <f t="shared" si="48"/>
        <v>0</v>
      </c>
      <c r="J228" s="81">
        <f t="shared" si="49"/>
        <v>0</v>
      </c>
      <c r="K228" s="81">
        <f t="shared" si="50"/>
        <v>0</v>
      </c>
      <c r="L228" s="81">
        <f t="shared" si="51"/>
        <v>0</v>
      </c>
      <c r="M228" s="81">
        <f t="shared" ca="1" si="45"/>
        <v>-5.8445097233074013E-2</v>
      </c>
      <c r="N228" s="81">
        <f t="shared" ca="1" si="52"/>
        <v>0</v>
      </c>
      <c r="O228" s="39">
        <f t="shared" ca="1" si="53"/>
        <v>0</v>
      </c>
      <c r="P228" s="81">
        <f t="shared" ca="1" si="54"/>
        <v>0</v>
      </c>
      <c r="Q228" s="81">
        <f t="shared" ca="1" si="55"/>
        <v>0</v>
      </c>
      <c r="R228" s="24">
        <f t="shared" ca="1" si="46"/>
        <v>5.8445097233074013E-2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>
      <c r="A229" s="87"/>
      <c r="B229" s="87"/>
      <c r="C229" s="87"/>
      <c r="D229" s="88">
        <f t="shared" si="43"/>
        <v>0</v>
      </c>
      <c r="E229" s="88">
        <f t="shared" si="43"/>
        <v>0</v>
      </c>
      <c r="F229" s="81">
        <f t="shared" si="44"/>
        <v>0</v>
      </c>
      <c r="G229" s="81">
        <f t="shared" si="44"/>
        <v>0</v>
      </c>
      <c r="H229" s="81">
        <f t="shared" si="47"/>
        <v>0</v>
      </c>
      <c r="I229" s="81">
        <f t="shared" si="48"/>
        <v>0</v>
      </c>
      <c r="J229" s="81">
        <f t="shared" si="49"/>
        <v>0</v>
      </c>
      <c r="K229" s="81">
        <f t="shared" si="50"/>
        <v>0</v>
      </c>
      <c r="L229" s="81">
        <f t="shared" si="51"/>
        <v>0</v>
      </c>
      <c r="M229" s="81">
        <f t="shared" ca="1" si="45"/>
        <v>-5.8445097233074013E-2</v>
      </c>
      <c r="N229" s="81">
        <f t="shared" ca="1" si="52"/>
        <v>0</v>
      </c>
      <c r="O229" s="39">
        <f t="shared" ca="1" si="53"/>
        <v>0</v>
      </c>
      <c r="P229" s="81">
        <f t="shared" ca="1" si="54"/>
        <v>0</v>
      </c>
      <c r="Q229" s="81">
        <f t="shared" ca="1" si="55"/>
        <v>0</v>
      </c>
      <c r="R229" s="24">
        <f t="shared" ca="1" si="46"/>
        <v>5.8445097233074013E-2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</row>
    <row r="230" spans="1:35">
      <c r="A230" s="87"/>
      <c r="B230" s="87"/>
      <c r="C230" s="87"/>
      <c r="D230" s="88">
        <f t="shared" si="43"/>
        <v>0</v>
      </c>
      <c r="E230" s="88">
        <f t="shared" si="43"/>
        <v>0</v>
      </c>
      <c r="F230" s="81">
        <f t="shared" si="44"/>
        <v>0</v>
      </c>
      <c r="G230" s="81">
        <f t="shared" si="44"/>
        <v>0</v>
      </c>
      <c r="H230" s="81">
        <f t="shared" si="47"/>
        <v>0</v>
      </c>
      <c r="I230" s="81">
        <f t="shared" si="48"/>
        <v>0</v>
      </c>
      <c r="J230" s="81">
        <f t="shared" si="49"/>
        <v>0</v>
      </c>
      <c r="K230" s="81">
        <f t="shared" si="50"/>
        <v>0</v>
      </c>
      <c r="L230" s="81">
        <f t="shared" si="51"/>
        <v>0</v>
      </c>
      <c r="M230" s="81">
        <f t="shared" ca="1" si="45"/>
        <v>-5.8445097233074013E-2</v>
      </c>
      <c r="N230" s="81">
        <f t="shared" ca="1" si="52"/>
        <v>0</v>
      </c>
      <c r="O230" s="39">
        <f t="shared" ca="1" si="53"/>
        <v>0</v>
      </c>
      <c r="P230" s="81">
        <f t="shared" ca="1" si="54"/>
        <v>0</v>
      </c>
      <c r="Q230" s="81">
        <f t="shared" ca="1" si="55"/>
        <v>0</v>
      </c>
      <c r="R230" s="24">
        <f t="shared" ca="1" si="46"/>
        <v>5.8445097233074013E-2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</row>
    <row r="231" spans="1:35">
      <c r="A231" s="87"/>
      <c r="B231" s="87"/>
      <c r="C231" s="87"/>
      <c r="D231" s="88">
        <f t="shared" si="43"/>
        <v>0</v>
      </c>
      <c r="E231" s="88">
        <f t="shared" si="43"/>
        <v>0</v>
      </c>
      <c r="F231" s="81">
        <f t="shared" si="44"/>
        <v>0</v>
      </c>
      <c r="G231" s="81">
        <f t="shared" si="44"/>
        <v>0</v>
      </c>
      <c r="H231" s="81">
        <f t="shared" si="47"/>
        <v>0</v>
      </c>
      <c r="I231" s="81">
        <f t="shared" si="48"/>
        <v>0</v>
      </c>
      <c r="J231" s="81">
        <f t="shared" si="49"/>
        <v>0</v>
      </c>
      <c r="K231" s="81">
        <f t="shared" si="50"/>
        <v>0</v>
      </c>
      <c r="L231" s="81">
        <f t="shared" si="51"/>
        <v>0</v>
      </c>
      <c r="M231" s="81">
        <f t="shared" ca="1" si="45"/>
        <v>-5.8445097233074013E-2</v>
      </c>
      <c r="N231" s="81">
        <f t="shared" ca="1" si="52"/>
        <v>0</v>
      </c>
      <c r="O231" s="39">
        <f t="shared" ca="1" si="53"/>
        <v>0</v>
      </c>
      <c r="P231" s="81">
        <f t="shared" ca="1" si="54"/>
        <v>0</v>
      </c>
      <c r="Q231" s="81">
        <f t="shared" ca="1" si="55"/>
        <v>0</v>
      </c>
      <c r="R231" s="24">
        <f t="shared" ca="1" si="46"/>
        <v>5.8445097233074013E-2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</row>
    <row r="232" spans="1:35">
      <c r="A232" s="87"/>
      <c r="B232" s="87"/>
      <c r="C232" s="87"/>
      <c r="D232" s="88">
        <f t="shared" si="43"/>
        <v>0</v>
      </c>
      <c r="E232" s="88">
        <f t="shared" si="43"/>
        <v>0</v>
      </c>
      <c r="F232" s="81">
        <f t="shared" si="44"/>
        <v>0</v>
      </c>
      <c r="G232" s="81">
        <f t="shared" si="44"/>
        <v>0</v>
      </c>
      <c r="H232" s="81">
        <f t="shared" si="47"/>
        <v>0</v>
      </c>
      <c r="I232" s="81">
        <f t="shared" si="48"/>
        <v>0</v>
      </c>
      <c r="J232" s="81">
        <f t="shared" si="49"/>
        <v>0</v>
      </c>
      <c r="K232" s="81">
        <f t="shared" si="50"/>
        <v>0</v>
      </c>
      <c r="L232" s="81">
        <f t="shared" si="51"/>
        <v>0</v>
      </c>
      <c r="M232" s="81">
        <f t="shared" ca="1" si="45"/>
        <v>-5.8445097233074013E-2</v>
      </c>
      <c r="N232" s="81">
        <f t="shared" ca="1" si="52"/>
        <v>0</v>
      </c>
      <c r="O232" s="39">
        <f t="shared" ca="1" si="53"/>
        <v>0</v>
      </c>
      <c r="P232" s="81">
        <f t="shared" ca="1" si="54"/>
        <v>0</v>
      </c>
      <c r="Q232" s="81">
        <f t="shared" ca="1" si="55"/>
        <v>0</v>
      </c>
      <c r="R232" s="24">
        <f t="shared" ca="1" si="46"/>
        <v>5.8445097233074013E-2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</row>
    <row r="233" spans="1:35">
      <c r="A233" s="87"/>
      <c r="B233" s="87"/>
      <c r="C233" s="87"/>
      <c r="D233" s="88">
        <f t="shared" si="43"/>
        <v>0</v>
      </c>
      <c r="E233" s="88">
        <f t="shared" si="43"/>
        <v>0</v>
      </c>
      <c r="F233" s="81">
        <f t="shared" si="44"/>
        <v>0</v>
      </c>
      <c r="G233" s="81">
        <f t="shared" si="44"/>
        <v>0</v>
      </c>
      <c r="H233" s="81">
        <f t="shared" si="47"/>
        <v>0</v>
      </c>
      <c r="I233" s="81">
        <f t="shared" si="48"/>
        <v>0</v>
      </c>
      <c r="J233" s="81">
        <f t="shared" si="49"/>
        <v>0</v>
      </c>
      <c r="K233" s="81">
        <f t="shared" si="50"/>
        <v>0</v>
      </c>
      <c r="L233" s="81">
        <f t="shared" si="51"/>
        <v>0</v>
      </c>
      <c r="M233" s="81">
        <f t="shared" ca="1" si="45"/>
        <v>-5.8445097233074013E-2</v>
      </c>
      <c r="N233" s="81">
        <f t="shared" ca="1" si="52"/>
        <v>0</v>
      </c>
      <c r="O233" s="39">
        <f t="shared" ca="1" si="53"/>
        <v>0</v>
      </c>
      <c r="P233" s="81">
        <f t="shared" ca="1" si="54"/>
        <v>0</v>
      </c>
      <c r="Q233" s="81">
        <f t="shared" ca="1" si="55"/>
        <v>0</v>
      </c>
      <c r="R233" s="24">
        <f t="shared" ca="1" si="46"/>
        <v>5.8445097233074013E-2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</row>
    <row r="234" spans="1:35">
      <c r="A234" s="87"/>
      <c r="B234" s="87"/>
      <c r="C234" s="87"/>
      <c r="D234" s="88">
        <f t="shared" si="43"/>
        <v>0</v>
      </c>
      <c r="E234" s="88">
        <f t="shared" si="43"/>
        <v>0</v>
      </c>
      <c r="F234" s="81">
        <f t="shared" si="44"/>
        <v>0</v>
      </c>
      <c r="G234" s="81">
        <f t="shared" si="44"/>
        <v>0</v>
      </c>
      <c r="H234" s="81">
        <f t="shared" si="47"/>
        <v>0</v>
      </c>
      <c r="I234" s="81">
        <f t="shared" si="48"/>
        <v>0</v>
      </c>
      <c r="J234" s="81">
        <f t="shared" si="49"/>
        <v>0</v>
      </c>
      <c r="K234" s="81">
        <f t="shared" si="50"/>
        <v>0</v>
      </c>
      <c r="L234" s="81">
        <f t="shared" si="51"/>
        <v>0</v>
      </c>
      <c r="M234" s="81">
        <f t="shared" ca="1" si="45"/>
        <v>-5.8445097233074013E-2</v>
      </c>
      <c r="N234" s="81">
        <f t="shared" ca="1" si="52"/>
        <v>0</v>
      </c>
      <c r="O234" s="39">
        <f t="shared" ca="1" si="53"/>
        <v>0</v>
      </c>
      <c r="P234" s="81">
        <f t="shared" ca="1" si="54"/>
        <v>0</v>
      </c>
      <c r="Q234" s="81">
        <f t="shared" ca="1" si="55"/>
        <v>0</v>
      </c>
      <c r="R234" s="24">
        <f t="shared" ca="1" si="46"/>
        <v>5.8445097233074013E-2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</row>
    <row r="235" spans="1:35">
      <c r="A235" s="87"/>
      <c r="B235" s="87"/>
      <c r="C235" s="87"/>
      <c r="D235" s="88">
        <f t="shared" si="43"/>
        <v>0</v>
      </c>
      <c r="E235" s="88">
        <f t="shared" si="43"/>
        <v>0</v>
      </c>
      <c r="F235" s="81">
        <f t="shared" si="44"/>
        <v>0</v>
      </c>
      <c r="G235" s="81">
        <f t="shared" si="44"/>
        <v>0</v>
      </c>
      <c r="H235" s="81">
        <f t="shared" si="47"/>
        <v>0</v>
      </c>
      <c r="I235" s="81">
        <f t="shared" si="48"/>
        <v>0</v>
      </c>
      <c r="J235" s="81">
        <f t="shared" si="49"/>
        <v>0</v>
      </c>
      <c r="K235" s="81">
        <f t="shared" si="50"/>
        <v>0</v>
      </c>
      <c r="L235" s="81">
        <f t="shared" si="51"/>
        <v>0</v>
      </c>
      <c r="M235" s="81">
        <f t="shared" ca="1" si="45"/>
        <v>-5.8445097233074013E-2</v>
      </c>
      <c r="N235" s="81">
        <f t="shared" ca="1" si="52"/>
        <v>0</v>
      </c>
      <c r="O235" s="39">
        <f t="shared" ca="1" si="53"/>
        <v>0</v>
      </c>
      <c r="P235" s="81">
        <f t="shared" ca="1" si="54"/>
        <v>0</v>
      </c>
      <c r="Q235" s="81">
        <f t="shared" ca="1" si="55"/>
        <v>0</v>
      </c>
      <c r="R235" s="24">
        <f t="shared" ca="1" si="46"/>
        <v>5.8445097233074013E-2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</row>
    <row r="236" spans="1:35">
      <c r="A236" s="87"/>
      <c r="B236" s="87"/>
      <c r="C236" s="87"/>
      <c r="D236" s="88">
        <f t="shared" si="43"/>
        <v>0</v>
      </c>
      <c r="E236" s="88">
        <f t="shared" si="43"/>
        <v>0</v>
      </c>
      <c r="F236" s="81">
        <f t="shared" si="44"/>
        <v>0</v>
      </c>
      <c r="G236" s="81">
        <f t="shared" si="44"/>
        <v>0</v>
      </c>
      <c r="H236" s="81">
        <f t="shared" si="47"/>
        <v>0</v>
      </c>
      <c r="I236" s="81">
        <f t="shared" si="48"/>
        <v>0</v>
      </c>
      <c r="J236" s="81">
        <f t="shared" si="49"/>
        <v>0</v>
      </c>
      <c r="K236" s="81">
        <f t="shared" si="50"/>
        <v>0</v>
      </c>
      <c r="L236" s="81">
        <f t="shared" si="51"/>
        <v>0</v>
      </c>
      <c r="M236" s="81">
        <f t="shared" ca="1" si="45"/>
        <v>-5.8445097233074013E-2</v>
      </c>
      <c r="N236" s="81">
        <f t="shared" ca="1" si="52"/>
        <v>0</v>
      </c>
      <c r="O236" s="39">
        <f t="shared" ca="1" si="53"/>
        <v>0</v>
      </c>
      <c r="P236" s="81">
        <f t="shared" ca="1" si="54"/>
        <v>0</v>
      </c>
      <c r="Q236" s="81">
        <f t="shared" ca="1" si="55"/>
        <v>0</v>
      </c>
      <c r="R236" s="24">
        <f t="shared" ca="1" si="46"/>
        <v>5.8445097233074013E-2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</row>
    <row r="237" spans="1:35">
      <c r="A237" s="87"/>
      <c r="B237" s="87"/>
      <c r="C237" s="87"/>
      <c r="D237" s="88">
        <f t="shared" si="43"/>
        <v>0</v>
      </c>
      <c r="E237" s="88">
        <f t="shared" si="43"/>
        <v>0</v>
      </c>
      <c r="F237" s="81">
        <f t="shared" si="44"/>
        <v>0</v>
      </c>
      <c r="G237" s="81">
        <f t="shared" si="44"/>
        <v>0</v>
      </c>
      <c r="H237" s="81">
        <f t="shared" si="47"/>
        <v>0</v>
      </c>
      <c r="I237" s="81">
        <f t="shared" si="48"/>
        <v>0</v>
      </c>
      <c r="J237" s="81">
        <f t="shared" si="49"/>
        <v>0</v>
      </c>
      <c r="K237" s="81">
        <f t="shared" si="50"/>
        <v>0</v>
      </c>
      <c r="L237" s="81">
        <f t="shared" si="51"/>
        <v>0</v>
      </c>
      <c r="M237" s="81">
        <f t="shared" ca="1" si="45"/>
        <v>-5.8445097233074013E-2</v>
      </c>
      <c r="N237" s="81">
        <f t="shared" ca="1" si="52"/>
        <v>0</v>
      </c>
      <c r="O237" s="39">
        <f t="shared" ca="1" si="53"/>
        <v>0</v>
      </c>
      <c r="P237" s="81">
        <f t="shared" ca="1" si="54"/>
        <v>0</v>
      </c>
      <c r="Q237" s="81">
        <f t="shared" ca="1" si="55"/>
        <v>0</v>
      </c>
      <c r="R237" s="24">
        <f t="shared" ca="1" si="46"/>
        <v>5.8445097233074013E-2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</row>
    <row r="238" spans="1:35">
      <c r="A238" s="87"/>
      <c r="B238" s="87"/>
      <c r="C238" s="87"/>
      <c r="D238" s="88">
        <f t="shared" si="43"/>
        <v>0</v>
      </c>
      <c r="E238" s="88">
        <f t="shared" si="43"/>
        <v>0</v>
      </c>
      <c r="F238" s="81">
        <f t="shared" si="44"/>
        <v>0</v>
      </c>
      <c r="G238" s="81">
        <f t="shared" si="44"/>
        <v>0</v>
      </c>
      <c r="H238" s="81">
        <f t="shared" si="47"/>
        <v>0</v>
      </c>
      <c r="I238" s="81">
        <f t="shared" si="48"/>
        <v>0</v>
      </c>
      <c r="J238" s="81">
        <f t="shared" si="49"/>
        <v>0</v>
      </c>
      <c r="K238" s="81">
        <f t="shared" si="50"/>
        <v>0</v>
      </c>
      <c r="L238" s="81">
        <f t="shared" si="51"/>
        <v>0</v>
      </c>
      <c r="M238" s="81">
        <f t="shared" ca="1" si="45"/>
        <v>-5.8445097233074013E-2</v>
      </c>
      <c r="N238" s="81">
        <f t="shared" ca="1" si="52"/>
        <v>0</v>
      </c>
      <c r="O238" s="39">
        <f t="shared" ca="1" si="53"/>
        <v>0</v>
      </c>
      <c r="P238" s="81">
        <f t="shared" ca="1" si="54"/>
        <v>0</v>
      </c>
      <c r="Q238" s="81">
        <f t="shared" ca="1" si="55"/>
        <v>0</v>
      </c>
      <c r="R238" s="24">
        <f t="shared" ca="1" si="46"/>
        <v>5.8445097233074013E-2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</row>
    <row r="239" spans="1:35">
      <c r="A239" s="87"/>
      <c r="B239" s="87"/>
      <c r="C239" s="87"/>
      <c r="D239" s="88">
        <f t="shared" si="43"/>
        <v>0</v>
      </c>
      <c r="E239" s="88">
        <f t="shared" si="43"/>
        <v>0</v>
      </c>
      <c r="F239" s="81">
        <f t="shared" si="44"/>
        <v>0</v>
      </c>
      <c r="G239" s="81">
        <f t="shared" si="44"/>
        <v>0</v>
      </c>
      <c r="H239" s="81">
        <f t="shared" si="47"/>
        <v>0</v>
      </c>
      <c r="I239" s="81">
        <f t="shared" si="48"/>
        <v>0</v>
      </c>
      <c r="J239" s="81">
        <f t="shared" si="49"/>
        <v>0</v>
      </c>
      <c r="K239" s="81">
        <f t="shared" si="50"/>
        <v>0</v>
      </c>
      <c r="L239" s="81">
        <f t="shared" si="51"/>
        <v>0</v>
      </c>
      <c r="M239" s="81">
        <f t="shared" ca="1" si="45"/>
        <v>-5.8445097233074013E-2</v>
      </c>
      <c r="N239" s="81">
        <f t="shared" ca="1" si="52"/>
        <v>0</v>
      </c>
      <c r="O239" s="39">
        <f t="shared" ca="1" si="53"/>
        <v>0</v>
      </c>
      <c r="P239" s="81">
        <f t="shared" ca="1" si="54"/>
        <v>0</v>
      </c>
      <c r="Q239" s="81">
        <f t="shared" ca="1" si="55"/>
        <v>0</v>
      </c>
      <c r="R239" s="24">
        <f t="shared" ca="1" si="46"/>
        <v>5.8445097233074013E-2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</row>
    <row r="240" spans="1:35">
      <c r="A240" s="87"/>
      <c r="B240" s="87"/>
      <c r="C240" s="87"/>
      <c r="D240" s="88">
        <f t="shared" si="43"/>
        <v>0</v>
      </c>
      <c r="E240" s="88">
        <f t="shared" si="43"/>
        <v>0</v>
      </c>
      <c r="F240" s="81">
        <f t="shared" si="44"/>
        <v>0</v>
      </c>
      <c r="G240" s="81">
        <f t="shared" si="44"/>
        <v>0</v>
      </c>
      <c r="H240" s="81">
        <f t="shared" si="47"/>
        <v>0</v>
      </c>
      <c r="I240" s="81">
        <f t="shared" si="48"/>
        <v>0</v>
      </c>
      <c r="J240" s="81">
        <f t="shared" si="49"/>
        <v>0</v>
      </c>
      <c r="K240" s="81">
        <f t="shared" si="50"/>
        <v>0</v>
      </c>
      <c r="L240" s="81">
        <f t="shared" si="51"/>
        <v>0</v>
      </c>
      <c r="M240" s="81">
        <f t="shared" ca="1" si="45"/>
        <v>-5.8445097233074013E-2</v>
      </c>
      <c r="N240" s="81">
        <f t="shared" ca="1" si="52"/>
        <v>0</v>
      </c>
      <c r="O240" s="39">
        <f t="shared" ca="1" si="53"/>
        <v>0</v>
      </c>
      <c r="P240" s="81">
        <f t="shared" ca="1" si="54"/>
        <v>0</v>
      </c>
      <c r="Q240" s="81">
        <f t="shared" ca="1" si="55"/>
        <v>0</v>
      </c>
      <c r="R240" s="24">
        <f t="shared" ca="1" si="46"/>
        <v>5.8445097233074013E-2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</row>
    <row r="241" spans="1:35">
      <c r="A241" s="87"/>
      <c r="B241" s="87"/>
      <c r="C241" s="87"/>
      <c r="D241" s="88">
        <f t="shared" si="43"/>
        <v>0</v>
      </c>
      <c r="E241" s="88">
        <f t="shared" si="43"/>
        <v>0</v>
      </c>
      <c r="F241" s="81">
        <f t="shared" si="44"/>
        <v>0</v>
      </c>
      <c r="G241" s="81">
        <f t="shared" si="44"/>
        <v>0</v>
      </c>
      <c r="H241" s="81">
        <f t="shared" si="47"/>
        <v>0</v>
      </c>
      <c r="I241" s="81">
        <f t="shared" si="48"/>
        <v>0</v>
      </c>
      <c r="J241" s="81">
        <f t="shared" si="49"/>
        <v>0</v>
      </c>
      <c r="K241" s="81">
        <f t="shared" si="50"/>
        <v>0</v>
      </c>
      <c r="L241" s="81">
        <f t="shared" si="51"/>
        <v>0</v>
      </c>
      <c r="M241" s="81">
        <f t="shared" ca="1" si="45"/>
        <v>-5.8445097233074013E-2</v>
      </c>
      <c r="N241" s="81">
        <f t="shared" ca="1" si="52"/>
        <v>0</v>
      </c>
      <c r="O241" s="39">
        <f t="shared" ca="1" si="53"/>
        <v>0</v>
      </c>
      <c r="P241" s="81">
        <f t="shared" ca="1" si="54"/>
        <v>0</v>
      </c>
      <c r="Q241" s="81">
        <f t="shared" ca="1" si="55"/>
        <v>0</v>
      </c>
      <c r="R241" s="24">
        <f t="shared" ca="1" si="46"/>
        <v>5.8445097233074013E-2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</row>
    <row r="242" spans="1:35">
      <c r="A242" s="87"/>
      <c r="B242" s="87"/>
      <c r="C242" s="87"/>
      <c r="D242" s="88">
        <f t="shared" si="43"/>
        <v>0</v>
      </c>
      <c r="E242" s="88">
        <f t="shared" si="43"/>
        <v>0</v>
      </c>
      <c r="F242" s="81">
        <f t="shared" si="44"/>
        <v>0</v>
      </c>
      <c r="G242" s="81">
        <f t="shared" si="44"/>
        <v>0</v>
      </c>
      <c r="H242" s="81">
        <f t="shared" si="47"/>
        <v>0</v>
      </c>
      <c r="I242" s="81">
        <f t="shared" si="48"/>
        <v>0</v>
      </c>
      <c r="J242" s="81">
        <f t="shared" si="49"/>
        <v>0</v>
      </c>
      <c r="K242" s="81">
        <f t="shared" si="50"/>
        <v>0</v>
      </c>
      <c r="L242" s="81">
        <f t="shared" si="51"/>
        <v>0</v>
      </c>
      <c r="M242" s="81">
        <f t="shared" ca="1" si="45"/>
        <v>-5.8445097233074013E-2</v>
      </c>
      <c r="N242" s="81">
        <f t="shared" ca="1" si="52"/>
        <v>0</v>
      </c>
      <c r="O242" s="39">
        <f t="shared" ca="1" si="53"/>
        <v>0</v>
      </c>
      <c r="P242" s="81">
        <f t="shared" ca="1" si="54"/>
        <v>0</v>
      </c>
      <c r="Q242" s="81">
        <f t="shared" ca="1" si="55"/>
        <v>0</v>
      </c>
      <c r="R242" s="24">
        <f t="shared" ca="1" si="46"/>
        <v>5.8445097233074013E-2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</row>
    <row r="243" spans="1:35">
      <c r="A243" s="87"/>
      <c r="B243" s="87"/>
      <c r="C243" s="87"/>
      <c r="D243" s="88">
        <f t="shared" si="43"/>
        <v>0</v>
      </c>
      <c r="E243" s="88">
        <f t="shared" si="43"/>
        <v>0</v>
      </c>
      <c r="F243" s="81">
        <f t="shared" si="44"/>
        <v>0</v>
      </c>
      <c r="G243" s="81">
        <f t="shared" si="44"/>
        <v>0</v>
      </c>
      <c r="H243" s="81">
        <f t="shared" si="47"/>
        <v>0</v>
      </c>
      <c r="I243" s="81">
        <f t="shared" si="48"/>
        <v>0</v>
      </c>
      <c r="J243" s="81">
        <f t="shared" si="49"/>
        <v>0</v>
      </c>
      <c r="K243" s="81">
        <f t="shared" si="50"/>
        <v>0</v>
      </c>
      <c r="L243" s="81">
        <f t="shared" si="51"/>
        <v>0</v>
      </c>
      <c r="M243" s="81">
        <f t="shared" ca="1" si="45"/>
        <v>-5.8445097233074013E-2</v>
      </c>
      <c r="N243" s="81">
        <f t="shared" ca="1" si="52"/>
        <v>0</v>
      </c>
      <c r="O243" s="39">
        <f t="shared" ca="1" si="53"/>
        <v>0</v>
      </c>
      <c r="P243" s="81">
        <f t="shared" ca="1" si="54"/>
        <v>0</v>
      </c>
      <c r="Q243" s="81">
        <f t="shared" ca="1" si="55"/>
        <v>0</v>
      </c>
      <c r="R243" s="24">
        <f t="shared" ca="1" si="46"/>
        <v>5.8445097233074013E-2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</row>
    <row r="244" spans="1:35">
      <c r="A244" s="87"/>
      <c r="B244" s="87"/>
      <c r="C244" s="87"/>
      <c r="D244" s="88">
        <f t="shared" si="43"/>
        <v>0</v>
      </c>
      <c r="E244" s="88">
        <f t="shared" si="43"/>
        <v>0</v>
      </c>
      <c r="F244" s="81">
        <f t="shared" si="44"/>
        <v>0</v>
      </c>
      <c r="G244" s="81">
        <f t="shared" si="44"/>
        <v>0</v>
      </c>
      <c r="H244" s="81">
        <f t="shared" si="47"/>
        <v>0</v>
      </c>
      <c r="I244" s="81">
        <f t="shared" si="48"/>
        <v>0</v>
      </c>
      <c r="J244" s="81">
        <f t="shared" si="49"/>
        <v>0</v>
      </c>
      <c r="K244" s="81">
        <f t="shared" si="50"/>
        <v>0</v>
      </c>
      <c r="L244" s="81">
        <f t="shared" si="51"/>
        <v>0</v>
      </c>
      <c r="M244" s="81">
        <f t="shared" ca="1" si="45"/>
        <v>-5.8445097233074013E-2</v>
      </c>
      <c r="N244" s="81">
        <f t="shared" ca="1" si="52"/>
        <v>0</v>
      </c>
      <c r="O244" s="39">
        <f t="shared" ca="1" si="53"/>
        <v>0</v>
      </c>
      <c r="P244" s="81">
        <f t="shared" ca="1" si="54"/>
        <v>0</v>
      </c>
      <c r="Q244" s="81">
        <f t="shared" ca="1" si="55"/>
        <v>0</v>
      </c>
      <c r="R244" s="24">
        <f t="shared" ca="1" si="46"/>
        <v>5.8445097233074013E-2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</row>
    <row r="245" spans="1:35">
      <c r="A245" s="87"/>
      <c r="B245" s="87"/>
      <c r="C245" s="87"/>
      <c r="D245" s="88">
        <f t="shared" si="43"/>
        <v>0</v>
      </c>
      <c r="E245" s="88">
        <f t="shared" si="43"/>
        <v>0</v>
      </c>
      <c r="F245" s="81">
        <f t="shared" si="44"/>
        <v>0</v>
      </c>
      <c r="G245" s="81">
        <f t="shared" si="44"/>
        <v>0</v>
      </c>
      <c r="H245" s="81">
        <f t="shared" si="47"/>
        <v>0</v>
      </c>
      <c r="I245" s="81">
        <f t="shared" si="48"/>
        <v>0</v>
      </c>
      <c r="J245" s="81">
        <f t="shared" si="49"/>
        <v>0</v>
      </c>
      <c r="K245" s="81">
        <f t="shared" si="50"/>
        <v>0</v>
      </c>
      <c r="L245" s="81">
        <f t="shared" si="51"/>
        <v>0</v>
      </c>
      <c r="M245" s="81">
        <f t="shared" ca="1" si="45"/>
        <v>-5.8445097233074013E-2</v>
      </c>
      <c r="N245" s="81">
        <f t="shared" ca="1" si="52"/>
        <v>0</v>
      </c>
      <c r="O245" s="39">
        <f t="shared" ca="1" si="53"/>
        <v>0</v>
      </c>
      <c r="P245" s="81">
        <f t="shared" ca="1" si="54"/>
        <v>0</v>
      </c>
      <c r="Q245" s="81">
        <f t="shared" ca="1" si="55"/>
        <v>0</v>
      </c>
      <c r="R245" s="24">
        <f t="shared" ca="1" si="46"/>
        <v>5.8445097233074013E-2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</row>
    <row r="246" spans="1:35">
      <c r="A246" s="87"/>
      <c r="B246" s="87"/>
      <c r="C246" s="87"/>
      <c r="D246" s="88">
        <f t="shared" si="43"/>
        <v>0</v>
      </c>
      <c r="E246" s="88">
        <f t="shared" si="43"/>
        <v>0</v>
      </c>
      <c r="F246" s="81">
        <f t="shared" si="44"/>
        <v>0</v>
      </c>
      <c r="G246" s="81">
        <f t="shared" si="44"/>
        <v>0</v>
      </c>
      <c r="H246" s="81">
        <f t="shared" si="47"/>
        <v>0</v>
      </c>
      <c r="I246" s="81">
        <f t="shared" si="48"/>
        <v>0</v>
      </c>
      <c r="J246" s="81">
        <f t="shared" si="49"/>
        <v>0</v>
      </c>
      <c r="K246" s="81">
        <f t="shared" si="50"/>
        <v>0</v>
      </c>
      <c r="L246" s="81">
        <f t="shared" si="51"/>
        <v>0</v>
      </c>
      <c r="M246" s="81">
        <f t="shared" ca="1" si="45"/>
        <v>-5.8445097233074013E-2</v>
      </c>
      <c r="N246" s="81">
        <f t="shared" ca="1" si="52"/>
        <v>0</v>
      </c>
      <c r="O246" s="39">
        <f t="shared" ca="1" si="53"/>
        <v>0</v>
      </c>
      <c r="P246" s="81">
        <f t="shared" ca="1" si="54"/>
        <v>0</v>
      </c>
      <c r="Q246" s="81">
        <f t="shared" ca="1" si="55"/>
        <v>0</v>
      </c>
      <c r="R246" s="24">
        <f t="shared" ca="1" si="46"/>
        <v>5.8445097233074013E-2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</row>
    <row r="247" spans="1:35">
      <c r="A247" s="87"/>
      <c r="B247" s="87"/>
      <c r="C247" s="87"/>
      <c r="D247" s="88">
        <f t="shared" si="43"/>
        <v>0</v>
      </c>
      <c r="E247" s="88">
        <f t="shared" si="43"/>
        <v>0</v>
      </c>
      <c r="F247" s="81">
        <f t="shared" si="44"/>
        <v>0</v>
      </c>
      <c r="G247" s="81">
        <f t="shared" si="44"/>
        <v>0</v>
      </c>
      <c r="H247" s="81">
        <f t="shared" si="47"/>
        <v>0</v>
      </c>
      <c r="I247" s="81">
        <f t="shared" si="48"/>
        <v>0</v>
      </c>
      <c r="J247" s="81">
        <f t="shared" si="49"/>
        <v>0</v>
      </c>
      <c r="K247" s="81">
        <f t="shared" si="50"/>
        <v>0</v>
      </c>
      <c r="L247" s="81">
        <f t="shared" si="51"/>
        <v>0</v>
      </c>
      <c r="M247" s="81">
        <f t="shared" ca="1" si="45"/>
        <v>-5.8445097233074013E-2</v>
      </c>
      <c r="N247" s="81">
        <f t="shared" ca="1" si="52"/>
        <v>0</v>
      </c>
      <c r="O247" s="39">
        <f t="shared" ca="1" si="53"/>
        <v>0</v>
      </c>
      <c r="P247" s="81">
        <f t="shared" ca="1" si="54"/>
        <v>0</v>
      </c>
      <c r="Q247" s="81">
        <f t="shared" ca="1" si="55"/>
        <v>0</v>
      </c>
      <c r="R247" s="24">
        <f t="shared" ca="1" si="46"/>
        <v>5.8445097233074013E-2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</row>
    <row r="248" spans="1:35">
      <c r="A248" s="87"/>
      <c r="B248" s="87"/>
      <c r="C248" s="87"/>
      <c r="D248" s="88">
        <f t="shared" si="43"/>
        <v>0</v>
      </c>
      <c r="E248" s="88">
        <f t="shared" si="43"/>
        <v>0</v>
      </c>
      <c r="F248" s="81">
        <f t="shared" si="44"/>
        <v>0</v>
      </c>
      <c r="G248" s="81">
        <f t="shared" si="44"/>
        <v>0</v>
      </c>
      <c r="H248" s="81">
        <f t="shared" si="47"/>
        <v>0</v>
      </c>
      <c r="I248" s="81">
        <f t="shared" si="48"/>
        <v>0</v>
      </c>
      <c r="J248" s="81">
        <f t="shared" si="49"/>
        <v>0</v>
      </c>
      <c r="K248" s="81">
        <f t="shared" si="50"/>
        <v>0</v>
      </c>
      <c r="L248" s="81">
        <f t="shared" si="51"/>
        <v>0</v>
      </c>
      <c r="M248" s="81">
        <f t="shared" ca="1" si="45"/>
        <v>-5.8445097233074013E-2</v>
      </c>
      <c r="N248" s="81">
        <f t="shared" ca="1" si="52"/>
        <v>0</v>
      </c>
      <c r="O248" s="39">
        <f t="shared" ca="1" si="53"/>
        <v>0</v>
      </c>
      <c r="P248" s="81">
        <f t="shared" ca="1" si="54"/>
        <v>0</v>
      </c>
      <c r="Q248" s="81">
        <f t="shared" ca="1" si="55"/>
        <v>0</v>
      </c>
      <c r="R248" s="24">
        <f t="shared" ca="1" si="46"/>
        <v>5.8445097233074013E-2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</row>
    <row r="249" spans="1:35">
      <c r="A249" s="87"/>
      <c r="B249" s="87"/>
      <c r="C249" s="87"/>
      <c r="D249" s="88">
        <f t="shared" si="43"/>
        <v>0</v>
      </c>
      <c r="E249" s="88">
        <f t="shared" si="43"/>
        <v>0</v>
      </c>
      <c r="F249" s="81">
        <f t="shared" si="44"/>
        <v>0</v>
      </c>
      <c r="G249" s="81">
        <f t="shared" si="44"/>
        <v>0</v>
      </c>
      <c r="H249" s="81">
        <f t="shared" si="47"/>
        <v>0</v>
      </c>
      <c r="I249" s="81">
        <f t="shared" si="48"/>
        <v>0</v>
      </c>
      <c r="J249" s="81">
        <f t="shared" si="49"/>
        <v>0</v>
      </c>
      <c r="K249" s="81">
        <f t="shared" si="50"/>
        <v>0</v>
      </c>
      <c r="L249" s="81">
        <f t="shared" si="51"/>
        <v>0</v>
      </c>
      <c r="M249" s="81">
        <f t="shared" ca="1" si="45"/>
        <v>-5.8445097233074013E-2</v>
      </c>
      <c r="N249" s="81">
        <f t="shared" ca="1" si="52"/>
        <v>0</v>
      </c>
      <c r="O249" s="39">
        <f t="shared" ca="1" si="53"/>
        <v>0</v>
      </c>
      <c r="P249" s="81">
        <f t="shared" ca="1" si="54"/>
        <v>0</v>
      </c>
      <c r="Q249" s="81">
        <f t="shared" ca="1" si="55"/>
        <v>0</v>
      </c>
      <c r="R249" s="24">
        <f t="shared" ca="1" si="46"/>
        <v>5.8445097233074013E-2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</row>
    <row r="250" spans="1:35">
      <c r="A250" s="87"/>
      <c r="B250" s="87"/>
      <c r="C250" s="87"/>
      <c r="D250" s="88">
        <f t="shared" si="43"/>
        <v>0</v>
      </c>
      <c r="E250" s="88">
        <f t="shared" si="43"/>
        <v>0</v>
      </c>
      <c r="F250" s="81">
        <f t="shared" si="44"/>
        <v>0</v>
      </c>
      <c r="G250" s="81">
        <f t="shared" si="44"/>
        <v>0</v>
      </c>
      <c r="H250" s="81">
        <f t="shared" si="47"/>
        <v>0</v>
      </c>
      <c r="I250" s="81">
        <f t="shared" si="48"/>
        <v>0</v>
      </c>
      <c r="J250" s="81">
        <f t="shared" si="49"/>
        <v>0</v>
      </c>
      <c r="K250" s="81">
        <f t="shared" si="50"/>
        <v>0</v>
      </c>
      <c r="L250" s="81">
        <f t="shared" si="51"/>
        <v>0</v>
      </c>
      <c r="M250" s="81">
        <f t="shared" ca="1" si="45"/>
        <v>-5.8445097233074013E-2</v>
      </c>
      <c r="N250" s="81">
        <f t="shared" ca="1" si="52"/>
        <v>0</v>
      </c>
      <c r="O250" s="39">
        <f t="shared" ca="1" si="53"/>
        <v>0</v>
      </c>
      <c r="P250" s="81">
        <f t="shared" ca="1" si="54"/>
        <v>0</v>
      </c>
      <c r="Q250" s="81">
        <f t="shared" ca="1" si="55"/>
        <v>0</v>
      </c>
      <c r="R250" s="24">
        <f t="shared" ca="1" si="46"/>
        <v>5.8445097233074013E-2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</row>
    <row r="251" spans="1:35">
      <c r="A251" s="87"/>
      <c r="B251" s="87"/>
      <c r="C251" s="87"/>
      <c r="D251" s="88">
        <f t="shared" si="43"/>
        <v>0</v>
      </c>
      <c r="E251" s="88">
        <f t="shared" si="43"/>
        <v>0</v>
      </c>
      <c r="F251" s="81">
        <f t="shared" si="44"/>
        <v>0</v>
      </c>
      <c r="G251" s="81">
        <f t="shared" si="44"/>
        <v>0</v>
      </c>
      <c r="H251" s="81">
        <f t="shared" si="47"/>
        <v>0</v>
      </c>
      <c r="I251" s="81">
        <f t="shared" si="48"/>
        <v>0</v>
      </c>
      <c r="J251" s="81">
        <f t="shared" si="49"/>
        <v>0</v>
      </c>
      <c r="K251" s="81">
        <f t="shared" si="50"/>
        <v>0</v>
      </c>
      <c r="L251" s="81">
        <f t="shared" si="51"/>
        <v>0</v>
      </c>
      <c r="M251" s="81">
        <f t="shared" ca="1" si="45"/>
        <v>-5.8445097233074013E-2</v>
      </c>
      <c r="N251" s="81">
        <f t="shared" ca="1" si="52"/>
        <v>0</v>
      </c>
      <c r="O251" s="39">
        <f t="shared" ca="1" si="53"/>
        <v>0</v>
      </c>
      <c r="P251" s="81">
        <f t="shared" ca="1" si="54"/>
        <v>0</v>
      </c>
      <c r="Q251" s="81">
        <f t="shared" ca="1" si="55"/>
        <v>0</v>
      </c>
      <c r="R251" s="24">
        <f t="shared" ca="1" si="46"/>
        <v>5.8445097233074013E-2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</row>
    <row r="252" spans="1:35">
      <c r="A252" s="87"/>
      <c r="B252" s="87"/>
      <c r="C252" s="87"/>
      <c r="D252" s="88">
        <f t="shared" si="43"/>
        <v>0</v>
      </c>
      <c r="E252" s="88">
        <f t="shared" si="43"/>
        <v>0</v>
      </c>
      <c r="F252" s="81">
        <f t="shared" si="44"/>
        <v>0</v>
      </c>
      <c r="G252" s="81">
        <f t="shared" si="44"/>
        <v>0</v>
      </c>
      <c r="H252" s="81">
        <f t="shared" si="47"/>
        <v>0</v>
      </c>
      <c r="I252" s="81">
        <f t="shared" si="48"/>
        <v>0</v>
      </c>
      <c r="J252" s="81">
        <f t="shared" si="49"/>
        <v>0</v>
      </c>
      <c r="K252" s="81">
        <f t="shared" si="50"/>
        <v>0</v>
      </c>
      <c r="L252" s="81">
        <f t="shared" si="51"/>
        <v>0</v>
      </c>
      <c r="M252" s="81">
        <f t="shared" ca="1" si="45"/>
        <v>-5.8445097233074013E-2</v>
      </c>
      <c r="N252" s="81">
        <f t="shared" ca="1" si="52"/>
        <v>0</v>
      </c>
      <c r="O252" s="39">
        <f t="shared" ca="1" si="53"/>
        <v>0</v>
      </c>
      <c r="P252" s="81">
        <f t="shared" ca="1" si="54"/>
        <v>0</v>
      </c>
      <c r="Q252" s="81">
        <f t="shared" ca="1" si="55"/>
        <v>0</v>
      </c>
      <c r="R252" s="24">
        <f t="shared" ca="1" si="46"/>
        <v>5.8445097233074013E-2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</row>
    <row r="253" spans="1:35">
      <c r="A253" s="87"/>
      <c r="B253" s="87"/>
      <c r="C253" s="87"/>
      <c r="D253" s="88">
        <f t="shared" si="43"/>
        <v>0</v>
      </c>
      <c r="E253" s="88">
        <f t="shared" si="43"/>
        <v>0</v>
      </c>
      <c r="F253" s="81">
        <f t="shared" si="44"/>
        <v>0</v>
      </c>
      <c r="G253" s="81">
        <f t="shared" si="44"/>
        <v>0</v>
      </c>
      <c r="H253" s="81">
        <f t="shared" si="47"/>
        <v>0</v>
      </c>
      <c r="I253" s="81">
        <f t="shared" si="48"/>
        <v>0</v>
      </c>
      <c r="J253" s="81">
        <f t="shared" si="49"/>
        <v>0</v>
      </c>
      <c r="K253" s="81">
        <f t="shared" si="50"/>
        <v>0</v>
      </c>
      <c r="L253" s="81">
        <f t="shared" si="51"/>
        <v>0</v>
      </c>
      <c r="M253" s="81">
        <f t="shared" ca="1" si="45"/>
        <v>-5.8445097233074013E-2</v>
      </c>
      <c r="N253" s="81">
        <f t="shared" ca="1" si="52"/>
        <v>0</v>
      </c>
      <c r="O253" s="39">
        <f t="shared" ca="1" si="53"/>
        <v>0</v>
      </c>
      <c r="P253" s="81">
        <f t="shared" ca="1" si="54"/>
        <v>0</v>
      </c>
      <c r="Q253" s="81">
        <f t="shared" ca="1" si="55"/>
        <v>0</v>
      </c>
      <c r="R253" s="24">
        <f t="shared" ca="1" si="46"/>
        <v>5.8445097233074013E-2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</row>
    <row r="254" spans="1:35">
      <c r="A254" s="87"/>
      <c r="B254" s="87"/>
      <c r="C254" s="87"/>
      <c r="D254" s="88">
        <f t="shared" si="43"/>
        <v>0</v>
      </c>
      <c r="E254" s="88">
        <f t="shared" si="43"/>
        <v>0</v>
      </c>
      <c r="F254" s="81">
        <f t="shared" si="44"/>
        <v>0</v>
      </c>
      <c r="G254" s="81">
        <f t="shared" si="44"/>
        <v>0</v>
      </c>
      <c r="H254" s="81">
        <f t="shared" si="47"/>
        <v>0</v>
      </c>
      <c r="I254" s="81">
        <f t="shared" si="48"/>
        <v>0</v>
      </c>
      <c r="J254" s="81">
        <f t="shared" si="49"/>
        <v>0</v>
      </c>
      <c r="K254" s="81">
        <f t="shared" si="50"/>
        <v>0</v>
      </c>
      <c r="L254" s="81">
        <f t="shared" si="51"/>
        <v>0</v>
      </c>
      <c r="M254" s="81">
        <f t="shared" ca="1" si="45"/>
        <v>-5.8445097233074013E-2</v>
      </c>
      <c r="N254" s="81">
        <f t="shared" ca="1" si="52"/>
        <v>0</v>
      </c>
      <c r="O254" s="39">
        <f t="shared" ca="1" si="53"/>
        <v>0</v>
      </c>
      <c r="P254" s="81">
        <f t="shared" ca="1" si="54"/>
        <v>0</v>
      </c>
      <c r="Q254" s="81">
        <f t="shared" ca="1" si="55"/>
        <v>0</v>
      </c>
      <c r="R254" s="24">
        <f t="shared" ca="1" si="46"/>
        <v>5.8445097233074013E-2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</row>
    <row r="255" spans="1:35">
      <c r="A255" s="87"/>
      <c r="B255" s="87"/>
      <c r="C255" s="87"/>
      <c r="D255" s="88">
        <f t="shared" si="43"/>
        <v>0</v>
      </c>
      <c r="E255" s="88">
        <f t="shared" si="43"/>
        <v>0</v>
      </c>
      <c r="F255" s="81">
        <f t="shared" si="44"/>
        <v>0</v>
      </c>
      <c r="G255" s="81">
        <f t="shared" si="44"/>
        <v>0</v>
      </c>
      <c r="H255" s="81">
        <f t="shared" si="47"/>
        <v>0</v>
      </c>
      <c r="I255" s="81">
        <f t="shared" si="48"/>
        <v>0</v>
      </c>
      <c r="J255" s="81">
        <f t="shared" si="49"/>
        <v>0</v>
      </c>
      <c r="K255" s="81">
        <f t="shared" si="50"/>
        <v>0</v>
      </c>
      <c r="L255" s="81">
        <f t="shared" si="51"/>
        <v>0</v>
      </c>
      <c r="M255" s="81">
        <f t="shared" ca="1" si="45"/>
        <v>-5.8445097233074013E-2</v>
      </c>
      <c r="N255" s="81">
        <f t="shared" ca="1" si="52"/>
        <v>0</v>
      </c>
      <c r="O255" s="39">
        <f t="shared" ca="1" si="53"/>
        <v>0</v>
      </c>
      <c r="P255" s="81">
        <f t="shared" ca="1" si="54"/>
        <v>0</v>
      </c>
      <c r="Q255" s="81">
        <f t="shared" ca="1" si="55"/>
        <v>0</v>
      </c>
      <c r="R255" s="24">
        <f t="shared" ca="1" si="46"/>
        <v>5.8445097233074013E-2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</row>
    <row r="256" spans="1:35">
      <c r="A256" s="87"/>
      <c r="B256" s="87"/>
      <c r="C256" s="87"/>
      <c r="D256" s="88">
        <f t="shared" si="43"/>
        <v>0</v>
      </c>
      <c r="E256" s="88">
        <f t="shared" si="43"/>
        <v>0</v>
      </c>
      <c r="F256" s="81">
        <f t="shared" si="44"/>
        <v>0</v>
      </c>
      <c r="G256" s="81">
        <f t="shared" si="44"/>
        <v>0</v>
      </c>
      <c r="H256" s="81">
        <f t="shared" si="47"/>
        <v>0</v>
      </c>
      <c r="I256" s="81">
        <f t="shared" si="48"/>
        <v>0</v>
      </c>
      <c r="J256" s="81">
        <f t="shared" si="49"/>
        <v>0</v>
      </c>
      <c r="K256" s="81">
        <f t="shared" si="50"/>
        <v>0</v>
      </c>
      <c r="L256" s="81">
        <f t="shared" si="51"/>
        <v>0</v>
      </c>
      <c r="M256" s="81">
        <f t="shared" ca="1" si="45"/>
        <v>-5.8445097233074013E-2</v>
      </c>
      <c r="N256" s="81">
        <f t="shared" ca="1" si="52"/>
        <v>0</v>
      </c>
      <c r="O256" s="39">
        <f t="shared" ca="1" si="53"/>
        <v>0</v>
      </c>
      <c r="P256" s="81">
        <f t="shared" ca="1" si="54"/>
        <v>0</v>
      </c>
      <c r="Q256" s="81">
        <f t="shared" ca="1" si="55"/>
        <v>0</v>
      </c>
      <c r="R256" s="24">
        <f t="shared" ca="1" si="46"/>
        <v>5.8445097233074013E-2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</row>
    <row r="257" spans="1:35">
      <c r="A257" s="87"/>
      <c r="B257" s="87"/>
      <c r="C257" s="87"/>
      <c r="D257" s="88">
        <f t="shared" si="43"/>
        <v>0</v>
      </c>
      <c r="E257" s="88">
        <f t="shared" si="43"/>
        <v>0</v>
      </c>
      <c r="F257" s="81">
        <f t="shared" si="44"/>
        <v>0</v>
      </c>
      <c r="G257" s="81">
        <f t="shared" si="44"/>
        <v>0</v>
      </c>
      <c r="H257" s="81">
        <f t="shared" si="47"/>
        <v>0</v>
      </c>
      <c r="I257" s="81">
        <f t="shared" si="48"/>
        <v>0</v>
      </c>
      <c r="J257" s="81">
        <f t="shared" si="49"/>
        <v>0</v>
      </c>
      <c r="K257" s="81">
        <f t="shared" si="50"/>
        <v>0</v>
      </c>
      <c r="L257" s="81">
        <f t="shared" si="51"/>
        <v>0</v>
      </c>
      <c r="M257" s="81">
        <f t="shared" ca="1" si="45"/>
        <v>-5.8445097233074013E-2</v>
      </c>
      <c r="N257" s="81">
        <f t="shared" ca="1" si="52"/>
        <v>0</v>
      </c>
      <c r="O257" s="39">
        <f t="shared" ca="1" si="53"/>
        <v>0</v>
      </c>
      <c r="P257" s="81">
        <f t="shared" ca="1" si="54"/>
        <v>0</v>
      </c>
      <c r="Q257" s="81">
        <f t="shared" ca="1" si="55"/>
        <v>0</v>
      </c>
      <c r="R257" s="24">
        <f t="shared" ca="1" si="46"/>
        <v>5.8445097233074013E-2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</row>
    <row r="258" spans="1:35">
      <c r="A258" s="87"/>
      <c r="B258" s="87"/>
      <c r="C258" s="87"/>
      <c r="D258" s="88">
        <f t="shared" si="43"/>
        <v>0</v>
      </c>
      <c r="E258" s="88">
        <f t="shared" si="43"/>
        <v>0</v>
      </c>
      <c r="F258" s="81">
        <f t="shared" si="44"/>
        <v>0</v>
      </c>
      <c r="G258" s="81">
        <f t="shared" si="44"/>
        <v>0</v>
      </c>
      <c r="H258" s="81">
        <f t="shared" si="47"/>
        <v>0</v>
      </c>
      <c r="I258" s="81">
        <f t="shared" si="48"/>
        <v>0</v>
      </c>
      <c r="J258" s="81">
        <f t="shared" si="49"/>
        <v>0</v>
      </c>
      <c r="K258" s="81">
        <f t="shared" si="50"/>
        <v>0</v>
      </c>
      <c r="L258" s="81">
        <f t="shared" si="51"/>
        <v>0</v>
      </c>
      <c r="M258" s="81">
        <f t="shared" ca="1" si="45"/>
        <v>-5.8445097233074013E-2</v>
      </c>
      <c r="N258" s="81">
        <f t="shared" ca="1" si="52"/>
        <v>0</v>
      </c>
      <c r="O258" s="39">
        <f t="shared" ca="1" si="53"/>
        <v>0</v>
      </c>
      <c r="P258" s="81">
        <f t="shared" ca="1" si="54"/>
        <v>0</v>
      </c>
      <c r="Q258" s="81">
        <f t="shared" ca="1" si="55"/>
        <v>0</v>
      </c>
      <c r="R258" s="24">
        <f t="shared" ca="1" si="46"/>
        <v>5.8445097233074013E-2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</row>
    <row r="259" spans="1:35">
      <c r="A259" s="87"/>
      <c r="B259" s="87"/>
      <c r="C259" s="87"/>
      <c r="D259" s="88">
        <f t="shared" si="43"/>
        <v>0</v>
      </c>
      <c r="E259" s="88">
        <f t="shared" si="43"/>
        <v>0</v>
      </c>
      <c r="F259" s="81">
        <f t="shared" si="44"/>
        <v>0</v>
      </c>
      <c r="G259" s="81">
        <f t="shared" si="44"/>
        <v>0</v>
      </c>
      <c r="H259" s="81">
        <f t="shared" si="47"/>
        <v>0</v>
      </c>
      <c r="I259" s="81">
        <f t="shared" si="48"/>
        <v>0</v>
      </c>
      <c r="J259" s="81">
        <f t="shared" si="49"/>
        <v>0</v>
      </c>
      <c r="K259" s="81">
        <f t="shared" si="50"/>
        <v>0</v>
      </c>
      <c r="L259" s="81">
        <f t="shared" si="51"/>
        <v>0</v>
      </c>
      <c r="M259" s="81">
        <f t="shared" ca="1" si="45"/>
        <v>-5.8445097233074013E-2</v>
      </c>
      <c r="N259" s="81">
        <f t="shared" ca="1" si="52"/>
        <v>0</v>
      </c>
      <c r="O259" s="39">
        <f t="shared" ca="1" si="53"/>
        <v>0</v>
      </c>
      <c r="P259" s="81">
        <f t="shared" ca="1" si="54"/>
        <v>0</v>
      </c>
      <c r="Q259" s="81">
        <f t="shared" ca="1" si="55"/>
        <v>0</v>
      </c>
      <c r="R259" s="24">
        <f t="shared" ca="1" si="46"/>
        <v>5.8445097233074013E-2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</row>
    <row r="260" spans="1:35">
      <c r="A260" s="87"/>
      <c r="B260" s="87"/>
      <c r="C260" s="87"/>
      <c r="D260" s="88">
        <f t="shared" si="43"/>
        <v>0</v>
      </c>
      <c r="E260" s="88">
        <f t="shared" si="43"/>
        <v>0</v>
      </c>
      <c r="F260" s="81">
        <f t="shared" si="44"/>
        <v>0</v>
      </c>
      <c r="G260" s="81">
        <f t="shared" si="44"/>
        <v>0</v>
      </c>
      <c r="H260" s="81">
        <f t="shared" si="47"/>
        <v>0</v>
      </c>
      <c r="I260" s="81">
        <f t="shared" si="48"/>
        <v>0</v>
      </c>
      <c r="J260" s="81">
        <f t="shared" si="49"/>
        <v>0</v>
      </c>
      <c r="K260" s="81">
        <f t="shared" si="50"/>
        <v>0</v>
      </c>
      <c r="L260" s="81">
        <f t="shared" si="51"/>
        <v>0</v>
      </c>
      <c r="M260" s="81">
        <f t="shared" ca="1" si="45"/>
        <v>-5.8445097233074013E-2</v>
      </c>
      <c r="N260" s="81">
        <f t="shared" ca="1" si="52"/>
        <v>0</v>
      </c>
      <c r="O260" s="39">
        <f t="shared" ca="1" si="53"/>
        <v>0</v>
      </c>
      <c r="P260" s="81">
        <f t="shared" ca="1" si="54"/>
        <v>0</v>
      </c>
      <c r="Q260" s="81">
        <f t="shared" ca="1" si="55"/>
        <v>0</v>
      </c>
      <c r="R260" s="24">
        <f t="shared" ca="1" si="46"/>
        <v>5.8445097233074013E-2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</row>
    <row r="261" spans="1:35">
      <c r="A261" s="87"/>
      <c r="B261" s="87"/>
      <c r="C261" s="87"/>
      <c r="D261" s="88">
        <f t="shared" si="43"/>
        <v>0</v>
      </c>
      <c r="E261" s="88">
        <f t="shared" si="43"/>
        <v>0</v>
      </c>
      <c r="F261" s="81">
        <f t="shared" si="44"/>
        <v>0</v>
      </c>
      <c r="G261" s="81">
        <f t="shared" si="44"/>
        <v>0</v>
      </c>
      <c r="H261" s="81">
        <f t="shared" si="47"/>
        <v>0</v>
      </c>
      <c r="I261" s="81">
        <f t="shared" si="48"/>
        <v>0</v>
      </c>
      <c r="J261" s="81">
        <f t="shared" si="49"/>
        <v>0</v>
      </c>
      <c r="K261" s="81">
        <f t="shared" si="50"/>
        <v>0</v>
      </c>
      <c r="L261" s="81">
        <f t="shared" si="51"/>
        <v>0</v>
      </c>
      <c r="M261" s="81">
        <f t="shared" ca="1" si="45"/>
        <v>-5.8445097233074013E-2</v>
      </c>
      <c r="N261" s="81">
        <f t="shared" ca="1" si="52"/>
        <v>0</v>
      </c>
      <c r="O261" s="39">
        <f t="shared" ca="1" si="53"/>
        <v>0</v>
      </c>
      <c r="P261" s="81">
        <f t="shared" ca="1" si="54"/>
        <v>0</v>
      </c>
      <c r="Q261" s="81">
        <f t="shared" ca="1" si="55"/>
        <v>0</v>
      </c>
      <c r="R261" s="24">
        <f t="shared" ca="1" si="46"/>
        <v>5.8445097233074013E-2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</row>
    <row r="262" spans="1:35">
      <c r="A262" s="87"/>
      <c r="B262" s="87"/>
      <c r="C262" s="87"/>
      <c r="D262" s="88">
        <f t="shared" si="43"/>
        <v>0</v>
      </c>
      <c r="E262" s="88">
        <f t="shared" si="43"/>
        <v>0</v>
      </c>
      <c r="F262" s="81">
        <f t="shared" si="44"/>
        <v>0</v>
      </c>
      <c r="G262" s="81">
        <f t="shared" si="44"/>
        <v>0</v>
      </c>
      <c r="H262" s="81">
        <f t="shared" si="47"/>
        <v>0</v>
      </c>
      <c r="I262" s="81">
        <f t="shared" si="48"/>
        <v>0</v>
      </c>
      <c r="J262" s="81">
        <f t="shared" si="49"/>
        <v>0</v>
      </c>
      <c r="K262" s="81">
        <f t="shared" si="50"/>
        <v>0</v>
      </c>
      <c r="L262" s="81">
        <f t="shared" si="51"/>
        <v>0</v>
      </c>
      <c r="M262" s="81">
        <f t="shared" ca="1" si="45"/>
        <v>-5.8445097233074013E-2</v>
      </c>
      <c r="N262" s="81">
        <f t="shared" ca="1" si="52"/>
        <v>0</v>
      </c>
      <c r="O262" s="39">
        <f t="shared" ca="1" si="53"/>
        <v>0</v>
      </c>
      <c r="P262" s="81">
        <f t="shared" ca="1" si="54"/>
        <v>0</v>
      </c>
      <c r="Q262" s="81">
        <f t="shared" ca="1" si="55"/>
        <v>0</v>
      </c>
      <c r="R262" s="24">
        <f t="shared" ca="1" si="46"/>
        <v>5.8445097233074013E-2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</row>
    <row r="263" spans="1:35">
      <c r="A263" s="87"/>
      <c r="B263" s="87"/>
      <c r="C263" s="87"/>
      <c r="D263" s="88">
        <f t="shared" si="43"/>
        <v>0</v>
      </c>
      <c r="E263" s="88">
        <f t="shared" si="43"/>
        <v>0</v>
      </c>
      <c r="F263" s="81">
        <f t="shared" si="44"/>
        <v>0</v>
      </c>
      <c r="G263" s="81">
        <f t="shared" si="44"/>
        <v>0</v>
      </c>
      <c r="H263" s="81">
        <f t="shared" si="47"/>
        <v>0</v>
      </c>
      <c r="I263" s="81">
        <f t="shared" si="48"/>
        <v>0</v>
      </c>
      <c r="J263" s="81">
        <f t="shared" si="49"/>
        <v>0</v>
      </c>
      <c r="K263" s="81">
        <f t="shared" si="50"/>
        <v>0</v>
      </c>
      <c r="L263" s="81">
        <f t="shared" si="51"/>
        <v>0</v>
      </c>
      <c r="M263" s="81">
        <f t="shared" ca="1" si="45"/>
        <v>-5.8445097233074013E-2</v>
      </c>
      <c r="N263" s="81">
        <f t="shared" ca="1" si="52"/>
        <v>0</v>
      </c>
      <c r="O263" s="39">
        <f t="shared" ca="1" si="53"/>
        <v>0</v>
      </c>
      <c r="P263" s="81">
        <f t="shared" ca="1" si="54"/>
        <v>0</v>
      </c>
      <c r="Q263" s="81">
        <f t="shared" ca="1" si="55"/>
        <v>0</v>
      </c>
      <c r="R263" s="24">
        <f t="shared" ca="1" si="46"/>
        <v>5.8445097233074013E-2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</row>
    <row r="264" spans="1:35">
      <c r="A264" s="87"/>
      <c r="B264" s="87"/>
      <c r="C264" s="87"/>
      <c r="D264" s="88">
        <f t="shared" si="43"/>
        <v>0</v>
      </c>
      <c r="E264" s="88">
        <f t="shared" si="43"/>
        <v>0</v>
      </c>
      <c r="F264" s="81">
        <f t="shared" si="44"/>
        <v>0</v>
      </c>
      <c r="G264" s="81">
        <f t="shared" si="44"/>
        <v>0</v>
      </c>
      <c r="H264" s="81">
        <f t="shared" si="47"/>
        <v>0</v>
      </c>
      <c r="I264" s="81">
        <f t="shared" si="48"/>
        <v>0</v>
      </c>
      <c r="J264" s="81">
        <f t="shared" si="49"/>
        <v>0</v>
      </c>
      <c r="K264" s="81">
        <f t="shared" si="50"/>
        <v>0</v>
      </c>
      <c r="L264" s="81">
        <f t="shared" si="51"/>
        <v>0</v>
      </c>
      <c r="M264" s="81">
        <f t="shared" ca="1" si="45"/>
        <v>-5.8445097233074013E-2</v>
      </c>
      <c r="N264" s="81">
        <f t="shared" ca="1" si="52"/>
        <v>0</v>
      </c>
      <c r="O264" s="39">
        <f t="shared" ca="1" si="53"/>
        <v>0</v>
      </c>
      <c r="P264" s="81">
        <f t="shared" ca="1" si="54"/>
        <v>0</v>
      </c>
      <c r="Q264" s="81">
        <f t="shared" ca="1" si="55"/>
        <v>0</v>
      </c>
      <c r="R264" s="24">
        <f t="shared" ca="1" si="46"/>
        <v>5.8445097233074013E-2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</row>
    <row r="265" spans="1:35">
      <c r="A265" s="87"/>
      <c r="B265" s="87"/>
      <c r="C265" s="87"/>
      <c r="D265" s="88">
        <f t="shared" si="43"/>
        <v>0</v>
      </c>
      <c r="E265" s="88">
        <f t="shared" si="43"/>
        <v>0</v>
      </c>
      <c r="F265" s="81">
        <f t="shared" si="44"/>
        <v>0</v>
      </c>
      <c r="G265" s="81">
        <f t="shared" si="44"/>
        <v>0</v>
      </c>
      <c r="H265" s="81">
        <f t="shared" si="47"/>
        <v>0</v>
      </c>
      <c r="I265" s="81">
        <f t="shared" si="48"/>
        <v>0</v>
      </c>
      <c r="J265" s="81">
        <f t="shared" si="49"/>
        <v>0</v>
      </c>
      <c r="K265" s="81">
        <f t="shared" si="50"/>
        <v>0</v>
      </c>
      <c r="L265" s="81">
        <f t="shared" si="51"/>
        <v>0</v>
      </c>
      <c r="M265" s="81">
        <f t="shared" ca="1" si="45"/>
        <v>-5.8445097233074013E-2</v>
      </c>
      <c r="N265" s="81">
        <f t="shared" ca="1" si="52"/>
        <v>0</v>
      </c>
      <c r="O265" s="39">
        <f t="shared" ca="1" si="53"/>
        <v>0</v>
      </c>
      <c r="P265" s="81">
        <f t="shared" ca="1" si="54"/>
        <v>0</v>
      </c>
      <c r="Q265" s="81">
        <f t="shared" ca="1" si="55"/>
        <v>0</v>
      </c>
      <c r="R265" s="24">
        <f t="shared" ca="1" si="46"/>
        <v>5.8445097233074013E-2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</row>
    <row r="266" spans="1:35">
      <c r="A266" s="87"/>
      <c r="B266" s="87"/>
      <c r="C266" s="87"/>
      <c r="D266" s="88">
        <f t="shared" si="43"/>
        <v>0</v>
      </c>
      <c r="E266" s="88">
        <f t="shared" si="43"/>
        <v>0</v>
      </c>
      <c r="F266" s="81">
        <f t="shared" si="44"/>
        <v>0</v>
      </c>
      <c r="G266" s="81">
        <f t="shared" si="44"/>
        <v>0</v>
      </c>
      <c r="H266" s="81">
        <f t="shared" si="47"/>
        <v>0</v>
      </c>
      <c r="I266" s="81">
        <f t="shared" si="48"/>
        <v>0</v>
      </c>
      <c r="J266" s="81">
        <f t="shared" si="49"/>
        <v>0</v>
      </c>
      <c r="K266" s="81">
        <f t="shared" si="50"/>
        <v>0</v>
      </c>
      <c r="L266" s="81">
        <f t="shared" si="51"/>
        <v>0</v>
      </c>
      <c r="M266" s="81">
        <f t="shared" ca="1" si="45"/>
        <v>-5.8445097233074013E-2</v>
      </c>
      <c r="N266" s="81">
        <f t="shared" ca="1" si="52"/>
        <v>0</v>
      </c>
      <c r="O266" s="39">
        <f t="shared" ca="1" si="53"/>
        <v>0</v>
      </c>
      <c r="P266" s="81">
        <f t="shared" ca="1" si="54"/>
        <v>0</v>
      </c>
      <c r="Q266" s="81">
        <f t="shared" ca="1" si="55"/>
        <v>0</v>
      </c>
      <c r="R266" s="24">
        <f t="shared" ca="1" si="46"/>
        <v>5.8445097233074013E-2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</row>
    <row r="267" spans="1:35">
      <c r="A267" s="87"/>
      <c r="B267" s="87"/>
      <c r="C267" s="87"/>
      <c r="D267" s="88">
        <f t="shared" si="43"/>
        <v>0</v>
      </c>
      <c r="E267" s="88">
        <f t="shared" si="43"/>
        <v>0</v>
      </c>
      <c r="F267" s="81">
        <f t="shared" si="44"/>
        <v>0</v>
      </c>
      <c r="G267" s="81">
        <f t="shared" si="44"/>
        <v>0</v>
      </c>
      <c r="H267" s="81">
        <f t="shared" si="47"/>
        <v>0</v>
      </c>
      <c r="I267" s="81">
        <f t="shared" si="48"/>
        <v>0</v>
      </c>
      <c r="J267" s="81">
        <f t="shared" si="49"/>
        <v>0</v>
      </c>
      <c r="K267" s="81">
        <f t="shared" si="50"/>
        <v>0</v>
      </c>
      <c r="L267" s="81">
        <f t="shared" si="51"/>
        <v>0</v>
      </c>
      <c r="M267" s="81">
        <f t="shared" ca="1" si="45"/>
        <v>-5.8445097233074013E-2</v>
      </c>
      <c r="N267" s="81">
        <f t="shared" ca="1" si="52"/>
        <v>0</v>
      </c>
      <c r="O267" s="39">
        <f t="shared" ca="1" si="53"/>
        <v>0</v>
      </c>
      <c r="P267" s="81">
        <f t="shared" ca="1" si="54"/>
        <v>0</v>
      </c>
      <c r="Q267" s="81">
        <f t="shared" ca="1" si="55"/>
        <v>0</v>
      </c>
      <c r="R267" s="24">
        <f t="shared" ca="1" si="46"/>
        <v>5.8445097233074013E-2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</row>
    <row r="268" spans="1:35">
      <c r="A268" s="87"/>
      <c r="B268" s="87"/>
      <c r="C268" s="87"/>
      <c r="D268" s="88">
        <f t="shared" si="43"/>
        <v>0</v>
      </c>
      <c r="E268" s="88">
        <f t="shared" si="43"/>
        <v>0</v>
      </c>
      <c r="F268" s="81">
        <f t="shared" si="44"/>
        <v>0</v>
      </c>
      <c r="G268" s="81">
        <f t="shared" si="44"/>
        <v>0</v>
      </c>
      <c r="H268" s="81">
        <f t="shared" si="47"/>
        <v>0</v>
      </c>
      <c r="I268" s="81">
        <f t="shared" si="48"/>
        <v>0</v>
      </c>
      <c r="J268" s="81">
        <f t="shared" si="49"/>
        <v>0</v>
      </c>
      <c r="K268" s="81">
        <f t="shared" si="50"/>
        <v>0</v>
      </c>
      <c r="L268" s="81">
        <f t="shared" si="51"/>
        <v>0</v>
      </c>
      <c r="M268" s="81">
        <f t="shared" ca="1" si="45"/>
        <v>-5.8445097233074013E-2</v>
      </c>
      <c r="N268" s="81">
        <f t="shared" ca="1" si="52"/>
        <v>0</v>
      </c>
      <c r="O268" s="39">
        <f t="shared" ca="1" si="53"/>
        <v>0</v>
      </c>
      <c r="P268" s="81">
        <f t="shared" ca="1" si="54"/>
        <v>0</v>
      </c>
      <c r="Q268" s="81">
        <f t="shared" ca="1" si="55"/>
        <v>0</v>
      </c>
      <c r="R268" s="24">
        <f t="shared" ca="1" si="46"/>
        <v>5.8445097233074013E-2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</row>
    <row r="269" spans="1:35">
      <c r="A269" s="87"/>
      <c r="B269" s="87"/>
      <c r="C269" s="87"/>
      <c r="D269" s="88">
        <f t="shared" si="43"/>
        <v>0</v>
      </c>
      <c r="E269" s="88">
        <f t="shared" si="43"/>
        <v>0</v>
      </c>
      <c r="F269" s="81">
        <f t="shared" si="44"/>
        <v>0</v>
      </c>
      <c r="G269" s="81">
        <f t="shared" si="44"/>
        <v>0</v>
      </c>
      <c r="H269" s="81">
        <f t="shared" si="47"/>
        <v>0</v>
      </c>
      <c r="I269" s="81">
        <f t="shared" si="48"/>
        <v>0</v>
      </c>
      <c r="J269" s="81">
        <f t="shared" si="49"/>
        <v>0</v>
      </c>
      <c r="K269" s="81">
        <f t="shared" si="50"/>
        <v>0</v>
      </c>
      <c r="L269" s="81">
        <f t="shared" si="51"/>
        <v>0</v>
      </c>
      <c r="M269" s="81">
        <f t="shared" ca="1" si="45"/>
        <v>-5.8445097233074013E-2</v>
      </c>
      <c r="N269" s="81">
        <f t="shared" ca="1" si="52"/>
        <v>0</v>
      </c>
      <c r="O269" s="39">
        <f t="shared" ca="1" si="53"/>
        <v>0</v>
      </c>
      <c r="P269" s="81">
        <f t="shared" ca="1" si="54"/>
        <v>0</v>
      </c>
      <c r="Q269" s="81">
        <f t="shared" ca="1" si="55"/>
        <v>0</v>
      </c>
      <c r="R269" s="24">
        <f t="shared" ca="1" si="46"/>
        <v>5.8445097233074013E-2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</row>
    <row r="270" spans="1:35">
      <c r="A270" s="87"/>
      <c r="B270" s="87"/>
      <c r="C270" s="87"/>
      <c r="D270" s="88">
        <f t="shared" si="43"/>
        <v>0</v>
      </c>
      <c r="E270" s="88">
        <f t="shared" si="43"/>
        <v>0</v>
      </c>
      <c r="F270" s="81">
        <f t="shared" si="44"/>
        <v>0</v>
      </c>
      <c r="G270" s="81">
        <f t="shared" si="44"/>
        <v>0</v>
      </c>
      <c r="H270" s="81">
        <f t="shared" si="47"/>
        <v>0</v>
      </c>
      <c r="I270" s="81">
        <f t="shared" si="48"/>
        <v>0</v>
      </c>
      <c r="J270" s="81">
        <f t="shared" si="49"/>
        <v>0</v>
      </c>
      <c r="K270" s="81">
        <f t="shared" si="50"/>
        <v>0</v>
      </c>
      <c r="L270" s="81">
        <f t="shared" si="51"/>
        <v>0</v>
      </c>
      <c r="M270" s="81">
        <f t="shared" ca="1" si="45"/>
        <v>-5.8445097233074013E-2</v>
      </c>
      <c r="N270" s="81">
        <f t="shared" ca="1" si="52"/>
        <v>0</v>
      </c>
      <c r="O270" s="39">
        <f t="shared" ca="1" si="53"/>
        <v>0</v>
      </c>
      <c r="P270" s="81">
        <f t="shared" ca="1" si="54"/>
        <v>0</v>
      </c>
      <c r="Q270" s="81">
        <f t="shared" ca="1" si="55"/>
        <v>0</v>
      </c>
      <c r="R270" s="24">
        <f t="shared" ca="1" si="46"/>
        <v>5.8445097233074013E-2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</row>
    <row r="271" spans="1:35">
      <c r="A271" s="87"/>
      <c r="B271" s="87"/>
      <c r="C271" s="87"/>
      <c r="D271" s="88">
        <f t="shared" ref="D271:E334" si="56">A271/A$18</f>
        <v>0</v>
      </c>
      <c r="E271" s="88">
        <f t="shared" si="56"/>
        <v>0</v>
      </c>
      <c r="F271" s="81">
        <f t="shared" ref="F271:G334" si="57">$C271*D271</f>
        <v>0</v>
      </c>
      <c r="G271" s="81">
        <f t="shared" si="57"/>
        <v>0</v>
      </c>
      <c r="H271" s="81">
        <f t="shared" si="47"/>
        <v>0</v>
      </c>
      <c r="I271" s="81">
        <f t="shared" si="48"/>
        <v>0</v>
      </c>
      <c r="J271" s="81">
        <f t="shared" si="49"/>
        <v>0</v>
      </c>
      <c r="K271" s="81">
        <f t="shared" si="50"/>
        <v>0</v>
      </c>
      <c r="L271" s="81">
        <f t="shared" si="51"/>
        <v>0</v>
      </c>
      <c r="M271" s="81">
        <f t="shared" ca="1" si="45"/>
        <v>-5.8445097233074013E-2</v>
      </c>
      <c r="N271" s="81">
        <f t="shared" ca="1" si="52"/>
        <v>0</v>
      </c>
      <c r="O271" s="39">
        <f t="shared" ca="1" si="53"/>
        <v>0</v>
      </c>
      <c r="P271" s="81">
        <f t="shared" ca="1" si="54"/>
        <v>0</v>
      </c>
      <c r="Q271" s="81">
        <f t="shared" ca="1" si="55"/>
        <v>0</v>
      </c>
      <c r="R271" s="24">
        <f t="shared" ca="1" si="46"/>
        <v>5.8445097233074013E-2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</row>
    <row r="272" spans="1:35">
      <c r="A272" s="87"/>
      <c r="B272" s="87"/>
      <c r="C272" s="87"/>
      <c r="D272" s="88">
        <f t="shared" si="56"/>
        <v>0</v>
      </c>
      <c r="E272" s="88">
        <f t="shared" si="56"/>
        <v>0</v>
      </c>
      <c r="F272" s="81">
        <f t="shared" si="57"/>
        <v>0</v>
      </c>
      <c r="G272" s="81">
        <f t="shared" si="57"/>
        <v>0</v>
      </c>
      <c r="H272" s="81">
        <f t="shared" si="47"/>
        <v>0</v>
      </c>
      <c r="I272" s="81">
        <f t="shared" si="48"/>
        <v>0</v>
      </c>
      <c r="J272" s="81">
        <f t="shared" si="49"/>
        <v>0</v>
      </c>
      <c r="K272" s="81">
        <f t="shared" si="50"/>
        <v>0</v>
      </c>
      <c r="L272" s="81">
        <f t="shared" si="51"/>
        <v>0</v>
      </c>
      <c r="M272" s="81">
        <f t="shared" ca="1" si="45"/>
        <v>-5.8445097233074013E-2</v>
      </c>
      <c r="N272" s="81">
        <f t="shared" ca="1" si="52"/>
        <v>0</v>
      </c>
      <c r="O272" s="39">
        <f t="shared" ca="1" si="53"/>
        <v>0</v>
      </c>
      <c r="P272" s="81">
        <f t="shared" ca="1" si="54"/>
        <v>0</v>
      </c>
      <c r="Q272" s="81">
        <f t="shared" ca="1" si="55"/>
        <v>0</v>
      </c>
      <c r="R272" s="24">
        <f t="shared" ca="1" si="46"/>
        <v>5.8445097233074013E-2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</row>
    <row r="273" spans="1:35">
      <c r="A273" s="87"/>
      <c r="B273" s="87"/>
      <c r="C273" s="87"/>
      <c r="D273" s="88">
        <f t="shared" si="56"/>
        <v>0</v>
      </c>
      <c r="E273" s="88">
        <f t="shared" si="56"/>
        <v>0</v>
      </c>
      <c r="F273" s="81">
        <f t="shared" si="57"/>
        <v>0</v>
      </c>
      <c r="G273" s="81">
        <f t="shared" si="57"/>
        <v>0</v>
      </c>
      <c r="H273" s="81">
        <f t="shared" si="47"/>
        <v>0</v>
      </c>
      <c r="I273" s="81">
        <f t="shared" si="48"/>
        <v>0</v>
      </c>
      <c r="J273" s="81">
        <f t="shared" si="49"/>
        <v>0</v>
      </c>
      <c r="K273" s="81">
        <f t="shared" si="50"/>
        <v>0</v>
      </c>
      <c r="L273" s="81">
        <f t="shared" si="51"/>
        <v>0</v>
      </c>
      <c r="M273" s="81">
        <f t="shared" ca="1" si="45"/>
        <v>-5.8445097233074013E-2</v>
      </c>
      <c r="N273" s="81">
        <f t="shared" ca="1" si="52"/>
        <v>0</v>
      </c>
      <c r="O273" s="39">
        <f t="shared" ca="1" si="53"/>
        <v>0</v>
      </c>
      <c r="P273" s="81">
        <f t="shared" ca="1" si="54"/>
        <v>0</v>
      </c>
      <c r="Q273" s="81">
        <f t="shared" ca="1" si="55"/>
        <v>0</v>
      </c>
      <c r="R273" s="24">
        <f t="shared" ca="1" si="46"/>
        <v>5.8445097233074013E-2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</row>
    <row r="274" spans="1:35">
      <c r="A274" s="87"/>
      <c r="B274" s="87"/>
      <c r="C274" s="87"/>
      <c r="D274" s="88">
        <f t="shared" si="56"/>
        <v>0</v>
      </c>
      <c r="E274" s="88">
        <f t="shared" si="56"/>
        <v>0</v>
      </c>
      <c r="F274" s="81">
        <f t="shared" si="57"/>
        <v>0</v>
      </c>
      <c r="G274" s="81">
        <f t="shared" si="57"/>
        <v>0</v>
      </c>
      <c r="H274" s="81">
        <f t="shared" si="47"/>
        <v>0</v>
      </c>
      <c r="I274" s="81">
        <f t="shared" si="48"/>
        <v>0</v>
      </c>
      <c r="J274" s="81">
        <f t="shared" si="49"/>
        <v>0</v>
      </c>
      <c r="K274" s="81">
        <f t="shared" si="50"/>
        <v>0</v>
      </c>
      <c r="L274" s="81">
        <f t="shared" si="51"/>
        <v>0</v>
      </c>
      <c r="M274" s="81">
        <f t="shared" ca="1" si="45"/>
        <v>-5.8445097233074013E-2</v>
      </c>
      <c r="N274" s="81">
        <f t="shared" ca="1" si="52"/>
        <v>0</v>
      </c>
      <c r="O274" s="39">
        <f t="shared" ca="1" si="53"/>
        <v>0</v>
      </c>
      <c r="P274" s="81">
        <f t="shared" ca="1" si="54"/>
        <v>0</v>
      </c>
      <c r="Q274" s="81">
        <f t="shared" ca="1" si="55"/>
        <v>0</v>
      </c>
      <c r="R274" s="24">
        <f t="shared" ca="1" si="46"/>
        <v>5.8445097233074013E-2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</row>
    <row r="275" spans="1:35">
      <c r="A275" s="87"/>
      <c r="B275" s="87"/>
      <c r="C275" s="87"/>
      <c r="D275" s="88">
        <f t="shared" si="56"/>
        <v>0</v>
      </c>
      <c r="E275" s="88">
        <f t="shared" si="56"/>
        <v>0</v>
      </c>
      <c r="F275" s="81">
        <f t="shared" si="57"/>
        <v>0</v>
      </c>
      <c r="G275" s="81">
        <f t="shared" si="57"/>
        <v>0</v>
      </c>
      <c r="H275" s="81">
        <f t="shared" si="47"/>
        <v>0</v>
      </c>
      <c r="I275" s="81">
        <f t="shared" si="48"/>
        <v>0</v>
      </c>
      <c r="J275" s="81">
        <f t="shared" si="49"/>
        <v>0</v>
      </c>
      <c r="K275" s="81">
        <f t="shared" si="50"/>
        <v>0</v>
      </c>
      <c r="L275" s="81">
        <f t="shared" si="51"/>
        <v>0</v>
      </c>
      <c r="M275" s="81">
        <f t="shared" ref="M275:M335" ca="1" si="58">+E$4+E$5*D275+E$6*D275^2</f>
        <v>-5.8445097233074013E-2</v>
      </c>
      <c r="N275" s="81">
        <f t="shared" ca="1" si="52"/>
        <v>0</v>
      </c>
      <c r="O275" s="39">
        <f t="shared" ca="1" si="53"/>
        <v>0</v>
      </c>
      <c r="P275" s="81">
        <f t="shared" ca="1" si="54"/>
        <v>0</v>
      </c>
      <c r="Q275" s="81">
        <f t="shared" ca="1" si="55"/>
        <v>0</v>
      </c>
      <c r="R275" s="24">
        <f t="shared" ref="R275:R335" ca="1" si="59">+E275-M275</f>
        <v>5.8445097233074013E-2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</row>
    <row r="276" spans="1:35">
      <c r="A276" s="87"/>
      <c r="B276" s="87"/>
      <c r="C276" s="87"/>
      <c r="D276" s="88">
        <f t="shared" si="56"/>
        <v>0</v>
      </c>
      <c r="E276" s="88">
        <f t="shared" si="56"/>
        <v>0</v>
      </c>
      <c r="F276" s="81">
        <f t="shared" si="57"/>
        <v>0</v>
      </c>
      <c r="G276" s="81">
        <f t="shared" si="57"/>
        <v>0</v>
      </c>
      <c r="H276" s="81">
        <f t="shared" ref="H276:H334" si="60">C276*D276*D276</f>
        <v>0</v>
      </c>
      <c r="I276" s="81">
        <f t="shared" ref="I276:I334" si="61">C276*D276*D276*D276</f>
        <v>0</v>
      </c>
      <c r="J276" s="81">
        <f t="shared" ref="J276:J334" si="62">C276*D276*D276*D276*D276</f>
        <v>0</v>
      </c>
      <c r="K276" s="81">
        <f t="shared" ref="K276:K334" si="63">C276*E276*D276</f>
        <v>0</v>
      </c>
      <c r="L276" s="81">
        <f t="shared" ref="L276:L334" si="64">C276*E276*D276*D276</f>
        <v>0</v>
      </c>
      <c r="M276" s="81">
        <f t="shared" ca="1" si="58"/>
        <v>-5.8445097233074013E-2</v>
      </c>
      <c r="N276" s="81">
        <f t="shared" ref="N276:N334" ca="1" si="65">C276*(M276-E276)^2</f>
        <v>0</v>
      </c>
      <c r="O276" s="39">
        <f t="shared" ref="O276:O334" ca="1" si="66">(C276*O$1-O$2*F276+O$3*H276)^2</f>
        <v>0</v>
      </c>
      <c r="P276" s="81">
        <f t="shared" ref="P276:P334" ca="1" si="67">(-C276*O$2+O$4*F276-O$5*H276)^2</f>
        <v>0</v>
      </c>
      <c r="Q276" s="81">
        <f t="shared" ref="Q276:Q334" ca="1" si="68">+(C276*O$3-F276*O$5+H276*O$6)^2</f>
        <v>0</v>
      </c>
      <c r="R276" s="24">
        <f t="shared" ca="1" si="59"/>
        <v>5.8445097233074013E-2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</row>
    <row r="277" spans="1:35">
      <c r="A277" s="87"/>
      <c r="B277" s="87"/>
      <c r="C277" s="87"/>
      <c r="D277" s="88">
        <f t="shared" si="56"/>
        <v>0</v>
      </c>
      <c r="E277" s="88">
        <f t="shared" si="56"/>
        <v>0</v>
      </c>
      <c r="F277" s="81">
        <f t="shared" si="57"/>
        <v>0</v>
      </c>
      <c r="G277" s="81">
        <f t="shared" si="57"/>
        <v>0</v>
      </c>
      <c r="H277" s="81">
        <f t="shared" si="60"/>
        <v>0</v>
      </c>
      <c r="I277" s="81">
        <f t="shared" si="61"/>
        <v>0</v>
      </c>
      <c r="J277" s="81">
        <f t="shared" si="62"/>
        <v>0</v>
      </c>
      <c r="K277" s="81">
        <f t="shared" si="63"/>
        <v>0</v>
      </c>
      <c r="L277" s="81">
        <f t="shared" si="64"/>
        <v>0</v>
      </c>
      <c r="M277" s="81">
        <f t="shared" ca="1" si="58"/>
        <v>-5.8445097233074013E-2</v>
      </c>
      <c r="N277" s="81">
        <f t="shared" ca="1" si="65"/>
        <v>0</v>
      </c>
      <c r="O277" s="39">
        <f t="shared" ca="1" si="66"/>
        <v>0</v>
      </c>
      <c r="P277" s="81">
        <f t="shared" ca="1" si="67"/>
        <v>0</v>
      </c>
      <c r="Q277" s="81">
        <f t="shared" ca="1" si="68"/>
        <v>0</v>
      </c>
      <c r="R277" s="24">
        <f t="shared" ca="1" si="59"/>
        <v>5.8445097233074013E-2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</row>
    <row r="278" spans="1:35">
      <c r="A278" s="87"/>
      <c r="B278" s="87"/>
      <c r="C278" s="87"/>
      <c r="D278" s="88">
        <f t="shared" si="56"/>
        <v>0</v>
      </c>
      <c r="E278" s="88">
        <f t="shared" si="56"/>
        <v>0</v>
      </c>
      <c r="F278" s="81">
        <f t="shared" si="57"/>
        <v>0</v>
      </c>
      <c r="G278" s="81">
        <f t="shared" si="57"/>
        <v>0</v>
      </c>
      <c r="H278" s="81">
        <f t="shared" si="60"/>
        <v>0</v>
      </c>
      <c r="I278" s="81">
        <f t="shared" si="61"/>
        <v>0</v>
      </c>
      <c r="J278" s="81">
        <f t="shared" si="62"/>
        <v>0</v>
      </c>
      <c r="K278" s="81">
        <f t="shared" si="63"/>
        <v>0</v>
      </c>
      <c r="L278" s="81">
        <f t="shared" si="64"/>
        <v>0</v>
      </c>
      <c r="M278" s="81">
        <f t="shared" ca="1" si="58"/>
        <v>-5.8445097233074013E-2</v>
      </c>
      <c r="N278" s="81">
        <f t="shared" ca="1" si="65"/>
        <v>0</v>
      </c>
      <c r="O278" s="39">
        <f t="shared" ca="1" si="66"/>
        <v>0</v>
      </c>
      <c r="P278" s="81">
        <f t="shared" ca="1" si="67"/>
        <v>0</v>
      </c>
      <c r="Q278" s="81">
        <f t="shared" ca="1" si="68"/>
        <v>0</v>
      </c>
      <c r="R278" s="24">
        <f t="shared" ca="1" si="59"/>
        <v>5.8445097233074013E-2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</row>
    <row r="279" spans="1:35">
      <c r="A279" s="87"/>
      <c r="B279" s="87"/>
      <c r="C279" s="87"/>
      <c r="D279" s="88">
        <f t="shared" si="56"/>
        <v>0</v>
      </c>
      <c r="E279" s="88">
        <f t="shared" si="56"/>
        <v>0</v>
      </c>
      <c r="F279" s="81">
        <f t="shared" si="57"/>
        <v>0</v>
      </c>
      <c r="G279" s="81">
        <f t="shared" si="57"/>
        <v>0</v>
      </c>
      <c r="H279" s="81">
        <f t="shared" si="60"/>
        <v>0</v>
      </c>
      <c r="I279" s="81">
        <f t="shared" si="61"/>
        <v>0</v>
      </c>
      <c r="J279" s="81">
        <f t="shared" si="62"/>
        <v>0</v>
      </c>
      <c r="K279" s="81">
        <f t="shared" si="63"/>
        <v>0</v>
      </c>
      <c r="L279" s="81">
        <f t="shared" si="64"/>
        <v>0</v>
      </c>
      <c r="M279" s="81">
        <f t="shared" ca="1" si="58"/>
        <v>-5.8445097233074013E-2</v>
      </c>
      <c r="N279" s="81">
        <f t="shared" ca="1" si="65"/>
        <v>0</v>
      </c>
      <c r="O279" s="39">
        <f t="shared" ca="1" si="66"/>
        <v>0</v>
      </c>
      <c r="P279" s="81">
        <f t="shared" ca="1" si="67"/>
        <v>0</v>
      </c>
      <c r="Q279" s="81">
        <f t="shared" ca="1" si="68"/>
        <v>0</v>
      </c>
      <c r="R279" s="24">
        <f t="shared" ca="1" si="59"/>
        <v>5.8445097233074013E-2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</row>
    <row r="280" spans="1:35">
      <c r="A280" s="87"/>
      <c r="B280" s="87"/>
      <c r="C280" s="87"/>
      <c r="D280" s="88">
        <f t="shared" si="56"/>
        <v>0</v>
      </c>
      <c r="E280" s="88">
        <f t="shared" si="56"/>
        <v>0</v>
      </c>
      <c r="F280" s="81">
        <f t="shared" si="57"/>
        <v>0</v>
      </c>
      <c r="G280" s="81">
        <f t="shared" si="57"/>
        <v>0</v>
      </c>
      <c r="H280" s="81">
        <f t="shared" si="60"/>
        <v>0</v>
      </c>
      <c r="I280" s="81">
        <f t="shared" si="61"/>
        <v>0</v>
      </c>
      <c r="J280" s="81">
        <f t="shared" si="62"/>
        <v>0</v>
      </c>
      <c r="K280" s="81">
        <f t="shared" si="63"/>
        <v>0</v>
      </c>
      <c r="L280" s="81">
        <f t="shared" si="64"/>
        <v>0</v>
      </c>
      <c r="M280" s="81">
        <f t="shared" ca="1" si="58"/>
        <v>-5.8445097233074013E-2</v>
      </c>
      <c r="N280" s="81">
        <f t="shared" ca="1" si="65"/>
        <v>0</v>
      </c>
      <c r="O280" s="39">
        <f t="shared" ca="1" si="66"/>
        <v>0</v>
      </c>
      <c r="P280" s="81">
        <f t="shared" ca="1" si="67"/>
        <v>0</v>
      </c>
      <c r="Q280" s="81">
        <f t="shared" ca="1" si="68"/>
        <v>0</v>
      </c>
      <c r="R280" s="24">
        <f t="shared" ca="1" si="59"/>
        <v>5.8445097233074013E-2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</row>
    <row r="281" spans="1:35">
      <c r="A281" s="87"/>
      <c r="B281" s="87"/>
      <c r="C281" s="87"/>
      <c r="D281" s="88">
        <f t="shared" si="56"/>
        <v>0</v>
      </c>
      <c r="E281" s="88">
        <f t="shared" si="56"/>
        <v>0</v>
      </c>
      <c r="F281" s="81">
        <f t="shared" si="57"/>
        <v>0</v>
      </c>
      <c r="G281" s="81">
        <f t="shared" si="57"/>
        <v>0</v>
      </c>
      <c r="H281" s="81">
        <f t="shared" si="60"/>
        <v>0</v>
      </c>
      <c r="I281" s="81">
        <f t="shared" si="61"/>
        <v>0</v>
      </c>
      <c r="J281" s="81">
        <f t="shared" si="62"/>
        <v>0</v>
      </c>
      <c r="K281" s="81">
        <f t="shared" si="63"/>
        <v>0</v>
      </c>
      <c r="L281" s="81">
        <f t="shared" si="64"/>
        <v>0</v>
      </c>
      <c r="M281" s="81">
        <f t="shared" ca="1" si="58"/>
        <v>-5.8445097233074013E-2</v>
      </c>
      <c r="N281" s="81">
        <f t="shared" ca="1" si="65"/>
        <v>0</v>
      </c>
      <c r="O281" s="39">
        <f t="shared" ca="1" si="66"/>
        <v>0</v>
      </c>
      <c r="P281" s="81">
        <f t="shared" ca="1" si="67"/>
        <v>0</v>
      </c>
      <c r="Q281" s="81">
        <f t="shared" ca="1" si="68"/>
        <v>0</v>
      </c>
      <c r="R281" s="24">
        <f t="shared" ca="1" si="59"/>
        <v>5.8445097233074013E-2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</row>
    <row r="282" spans="1:35">
      <c r="A282" s="87"/>
      <c r="B282" s="87"/>
      <c r="C282" s="87"/>
      <c r="D282" s="88">
        <f t="shared" si="56"/>
        <v>0</v>
      </c>
      <c r="E282" s="88">
        <f t="shared" si="56"/>
        <v>0</v>
      </c>
      <c r="F282" s="81">
        <f t="shared" si="57"/>
        <v>0</v>
      </c>
      <c r="G282" s="81">
        <f t="shared" si="57"/>
        <v>0</v>
      </c>
      <c r="H282" s="81">
        <f t="shared" si="60"/>
        <v>0</v>
      </c>
      <c r="I282" s="81">
        <f t="shared" si="61"/>
        <v>0</v>
      </c>
      <c r="J282" s="81">
        <f t="shared" si="62"/>
        <v>0</v>
      </c>
      <c r="K282" s="81">
        <f t="shared" si="63"/>
        <v>0</v>
      </c>
      <c r="L282" s="81">
        <f t="shared" si="64"/>
        <v>0</v>
      </c>
      <c r="M282" s="81">
        <f t="shared" ca="1" si="58"/>
        <v>-5.8445097233074013E-2</v>
      </c>
      <c r="N282" s="81">
        <f t="shared" ca="1" si="65"/>
        <v>0</v>
      </c>
      <c r="O282" s="39">
        <f t="shared" ca="1" si="66"/>
        <v>0</v>
      </c>
      <c r="P282" s="81">
        <f t="shared" ca="1" si="67"/>
        <v>0</v>
      </c>
      <c r="Q282" s="81">
        <f t="shared" ca="1" si="68"/>
        <v>0</v>
      </c>
      <c r="R282" s="24">
        <f t="shared" ca="1" si="59"/>
        <v>5.8445097233074013E-2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</row>
    <row r="283" spans="1:35">
      <c r="A283" s="87"/>
      <c r="B283" s="87"/>
      <c r="C283" s="87"/>
      <c r="D283" s="88">
        <f t="shared" si="56"/>
        <v>0</v>
      </c>
      <c r="E283" s="88">
        <f t="shared" si="56"/>
        <v>0</v>
      </c>
      <c r="F283" s="81">
        <f t="shared" si="57"/>
        <v>0</v>
      </c>
      <c r="G283" s="81">
        <f t="shared" si="57"/>
        <v>0</v>
      </c>
      <c r="H283" s="81">
        <f t="shared" si="60"/>
        <v>0</v>
      </c>
      <c r="I283" s="81">
        <f t="shared" si="61"/>
        <v>0</v>
      </c>
      <c r="J283" s="81">
        <f t="shared" si="62"/>
        <v>0</v>
      </c>
      <c r="K283" s="81">
        <f t="shared" si="63"/>
        <v>0</v>
      </c>
      <c r="L283" s="81">
        <f t="shared" si="64"/>
        <v>0</v>
      </c>
      <c r="M283" s="81">
        <f t="shared" ca="1" si="58"/>
        <v>-5.8445097233074013E-2</v>
      </c>
      <c r="N283" s="81">
        <f t="shared" ca="1" si="65"/>
        <v>0</v>
      </c>
      <c r="O283" s="39">
        <f t="shared" ca="1" si="66"/>
        <v>0</v>
      </c>
      <c r="P283" s="81">
        <f t="shared" ca="1" si="67"/>
        <v>0</v>
      </c>
      <c r="Q283" s="81">
        <f t="shared" ca="1" si="68"/>
        <v>0</v>
      </c>
      <c r="R283" s="24">
        <f t="shared" ca="1" si="59"/>
        <v>5.8445097233074013E-2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</row>
    <row r="284" spans="1:35">
      <c r="A284" s="87"/>
      <c r="B284" s="87"/>
      <c r="C284" s="87"/>
      <c r="D284" s="88">
        <f t="shared" si="56"/>
        <v>0</v>
      </c>
      <c r="E284" s="88">
        <f t="shared" si="56"/>
        <v>0</v>
      </c>
      <c r="F284" s="81">
        <f t="shared" si="57"/>
        <v>0</v>
      </c>
      <c r="G284" s="81">
        <f t="shared" si="57"/>
        <v>0</v>
      </c>
      <c r="H284" s="81">
        <f t="shared" si="60"/>
        <v>0</v>
      </c>
      <c r="I284" s="81">
        <f t="shared" si="61"/>
        <v>0</v>
      </c>
      <c r="J284" s="81">
        <f t="shared" si="62"/>
        <v>0</v>
      </c>
      <c r="K284" s="81">
        <f t="shared" si="63"/>
        <v>0</v>
      </c>
      <c r="L284" s="81">
        <f t="shared" si="64"/>
        <v>0</v>
      </c>
      <c r="M284" s="81">
        <f t="shared" ca="1" si="58"/>
        <v>-5.8445097233074013E-2</v>
      </c>
      <c r="N284" s="81">
        <f t="shared" ca="1" si="65"/>
        <v>0</v>
      </c>
      <c r="O284" s="39">
        <f t="shared" ca="1" si="66"/>
        <v>0</v>
      </c>
      <c r="P284" s="81">
        <f t="shared" ca="1" si="67"/>
        <v>0</v>
      </c>
      <c r="Q284" s="81">
        <f t="shared" ca="1" si="68"/>
        <v>0</v>
      </c>
      <c r="R284" s="24">
        <f t="shared" ca="1" si="59"/>
        <v>5.8445097233074013E-2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</row>
    <row r="285" spans="1:35">
      <c r="A285" s="87"/>
      <c r="B285" s="87"/>
      <c r="C285" s="87"/>
      <c r="D285" s="88">
        <f t="shared" si="56"/>
        <v>0</v>
      </c>
      <c r="E285" s="88">
        <f t="shared" si="56"/>
        <v>0</v>
      </c>
      <c r="F285" s="81">
        <f t="shared" si="57"/>
        <v>0</v>
      </c>
      <c r="G285" s="81">
        <f t="shared" si="57"/>
        <v>0</v>
      </c>
      <c r="H285" s="81">
        <f t="shared" si="60"/>
        <v>0</v>
      </c>
      <c r="I285" s="81">
        <f t="shared" si="61"/>
        <v>0</v>
      </c>
      <c r="J285" s="81">
        <f t="shared" si="62"/>
        <v>0</v>
      </c>
      <c r="K285" s="81">
        <f t="shared" si="63"/>
        <v>0</v>
      </c>
      <c r="L285" s="81">
        <f t="shared" si="64"/>
        <v>0</v>
      </c>
      <c r="M285" s="81">
        <f t="shared" ca="1" si="58"/>
        <v>-5.8445097233074013E-2</v>
      </c>
      <c r="N285" s="81">
        <f t="shared" ca="1" si="65"/>
        <v>0</v>
      </c>
      <c r="O285" s="39">
        <f t="shared" ca="1" si="66"/>
        <v>0</v>
      </c>
      <c r="P285" s="81">
        <f t="shared" ca="1" si="67"/>
        <v>0</v>
      </c>
      <c r="Q285" s="81">
        <f t="shared" ca="1" si="68"/>
        <v>0</v>
      </c>
      <c r="R285" s="24">
        <f t="shared" ca="1" si="59"/>
        <v>5.8445097233074013E-2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</row>
    <row r="286" spans="1:35">
      <c r="A286" s="87"/>
      <c r="B286" s="87"/>
      <c r="C286" s="87"/>
      <c r="D286" s="88">
        <f t="shared" si="56"/>
        <v>0</v>
      </c>
      <c r="E286" s="88">
        <f t="shared" si="56"/>
        <v>0</v>
      </c>
      <c r="F286" s="81">
        <f t="shared" si="57"/>
        <v>0</v>
      </c>
      <c r="G286" s="81">
        <f t="shared" si="57"/>
        <v>0</v>
      </c>
      <c r="H286" s="81">
        <f t="shared" si="60"/>
        <v>0</v>
      </c>
      <c r="I286" s="81">
        <f t="shared" si="61"/>
        <v>0</v>
      </c>
      <c r="J286" s="81">
        <f t="shared" si="62"/>
        <v>0</v>
      </c>
      <c r="K286" s="81">
        <f t="shared" si="63"/>
        <v>0</v>
      </c>
      <c r="L286" s="81">
        <f t="shared" si="64"/>
        <v>0</v>
      </c>
      <c r="M286" s="81">
        <f t="shared" ca="1" si="58"/>
        <v>-5.8445097233074013E-2</v>
      </c>
      <c r="N286" s="81">
        <f t="shared" ca="1" si="65"/>
        <v>0</v>
      </c>
      <c r="O286" s="39">
        <f t="shared" ca="1" si="66"/>
        <v>0</v>
      </c>
      <c r="P286" s="81">
        <f t="shared" ca="1" si="67"/>
        <v>0</v>
      </c>
      <c r="Q286" s="81">
        <f t="shared" ca="1" si="68"/>
        <v>0</v>
      </c>
      <c r="R286" s="24">
        <f t="shared" ca="1" si="59"/>
        <v>5.8445097233074013E-2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</row>
    <row r="287" spans="1:35">
      <c r="A287" s="87"/>
      <c r="B287" s="87"/>
      <c r="C287" s="87"/>
      <c r="D287" s="88">
        <f t="shared" si="56"/>
        <v>0</v>
      </c>
      <c r="E287" s="88">
        <f t="shared" si="56"/>
        <v>0</v>
      </c>
      <c r="F287" s="81">
        <f t="shared" si="57"/>
        <v>0</v>
      </c>
      <c r="G287" s="81">
        <f t="shared" si="57"/>
        <v>0</v>
      </c>
      <c r="H287" s="81">
        <f t="shared" si="60"/>
        <v>0</v>
      </c>
      <c r="I287" s="81">
        <f t="shared" si="61"/>
        <v>0</v>
      </c>
      <c r="J287" s="81">
        <f t="shared" si="62"/>
        <v>0</v>
      </c>
      <c r="K287" s="81">
        <f t="shared" si="63"/>
        <v>0</v>
      </c>
      <c r="L287" s="81">
        <f t="shared" si="64"/>
        <v>0</v>
      </c>
      <c r="M287" s="81">
        <f t="shared" ca="1" si="58"/>
        <v>-5.8445097233074013E-2</v>
      </c>
      <c r="N287" s="81">
        <f t="shared" ca="1" si="65"/>
        <v>0</v>
      </c>
      <c r="O287" s="39">
        <f t="shared" ca="1" si="66"/>
        <v>0</v>
      </c>
      <c r="P287" s="81">
        <f t="shared" ca="1" si="67"/>
        <v>0</v>
      </c>
      <c r="Q287" s="81">
        <f t="shared" ca="1" si="68"/>
        <v>0</v>
      </c>
      <c r="R287" s="24">
        <f t="shared" ca="1" si="59"/>
        <v>5.8445097233074013E-2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</row>
    <row r="288" spans="1:35">
      <c r="A288" s="87"/>
      <c r="B288" s="87"/>
      <c r="C288" s="87"/>
      <c r="D288" s="88">
        <f t="shared" si="56"/>
        <v>0</v>
      </c>
      <c r="E288" s="88">
        <f t="shared" si="56"/>
        <v>0</v>
      </c>
      <c r="F288" s="81">
        <f t="shared" si="57"/>
        <v>0</v>
      </c>
      <c r="G288" s="81">
        <f t="shared" si="57"/>
        <v>0</v>
      </c>
      <c r="H288" s="81">
        <f t="shared" si="60"/>
        <v>0</v>
      </c>
      <c r="I288" s="81">
        <f t="shared" si="61"/>
        <v>0</v>
      </c>
      <c r="J288" s="81">
        <f t="shared" si="62"/>
        <v>0</v>
      </c>
      <c r="K288" s="81">
        <f t="shared" si="63"/>
        <v>0</v>
      </c>
      <c r="L288" s="81">
        <f t="shared" si="64"/>
        <v>0</v>
      </c>
      <c r="M288" s="81">
        <f t="shared" ca="1" si="58"/>
        <v>-5.8445097233074013E-2</v>
      </c>
      <c r="N288" s="81">
        <f t="shared" ca="1" si="65"/>
        <v>0</v>
      </c>
      <c r="O288" s="39">
        <f t="shared" ca="1" si="66"/>
        <v>0</v>
      </c>
      <c r="P288" s="81">
        <f t="shared" ca="1" si="67"/>
        <v>0</v>
      </c>
      <c r="Q288" s="81">
        <f t="shared" ca="1" si="68"/>
        <v>0</v>
      </c>
      <c r="R288" s="24">
        <f t="shared" ca="1" si="59"/>
        <v>5.8445097233074013E-2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</row>
    <row r="289" spans="1:35">
      <c r="A289" s="87"/>
      <c r="B289" s="87"/>
      <c r="C289" s="87"/>
      <c r="D289" s="88">
        <f t="shared" si="56"/>
        <v>0</v>
      </c>
      <c r="E289" s="88">
        <f t="shared" si="56"/>
        <v>0</v>
      </c>
      <c r="F289" s="81">
        <f t="shared" si="57"/>
        <v>0</v>
      </c>
      <c r="G289" s="81">
        <f t="shared" si="57"/>
        <v>0</v>
      </c>
      <c r="H289" s="81">
        <f t="shared" si="60"/>
        <v>0</v>
      </c>
      <c r="I289" s="81">
        <f t="shared" si="61"/>
        <v>0</v>
      </c>
      <c r="J289" s="81">
        <f t="shared" si="62"/>
        <v>0</v>
      </c>
      <c r="K289" s="81">
        <f t="shared" si="63"/>
        <v>0</v>
      </c>
      <c r="L289" s="81">
        <f t="shared" si="64"/>
        <v>0</v>
      </c>
      <c r="M289" s="81">
        <f t="shared" ca="1" si="58"/>
        <v>-5.8445097233074013E-2</v>
      </c>
      <c r="N289" s="81">
        <f t="shared" ca="1" si="65"/>
        <v>0</v>
      </c>
      <c r="O289" s="39">
        <f t="shared" ca="1" si="66"/>
        <v>0</v>
      </c>
      <c r="P289" s="81">
        <f t="shared" ca="1" si="67"/>
        <v>0</v>
      </c>
      <c r="Q289" s="81">
        <f t="shared" ca="1" si="68"/>
        <v>0</v>
      </c>
      <c r="R289" s="24">
        <f t="shared" ca="1" si="59"/>
        <v>5.8445097233074013E-2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</row>
    <row r="290" spans="1:35">
      <c r="A290" s="87"/>
      <c r="B290" s="87"/>
      <c r="C290" s="87"/>
      <c r="D290" s="88">
        <f t="shared" si="56"/>
        <v>0</v>
      </c>
      <c r="E290" s="88">
        <f t="shared" si="56"/>
        <v>0</v>
      </c>
      <c r="F290" s="81">
        <f t="shared" si="57"/>
        <v>0</v>
      </c>
      <c r="G290" s="81">
        <f t="shared" si="57"/>
        <v>0</v>
      </c>
      <c r="H290" s="81">
        <f t="shared" si="60"/>
        <v>0</v>
      </c>
      <c r="I290" s="81">
        <f t="shared" si="61"/>
        <v>0</v>
      </c>
      <c r="J290" s="81">
        <f t="shared" si="62"/>
        <v>0</v>
      </c>
      <c r="K290" s="81">
        <f t="shared" si="63"/>
        <v>0</v>
      </c>
      <c r="L290" s="81">
        <f t="shared" si="64"/>
        <v>0</v>
      </c>
      <c r="M290" s="81">
        <f t="shared" ca="1" si="58"/>
        <v>-5.8445097233074013E-2</v>
      </c>
      <c r="N290" s="81">
        <f t="shared" ca="1" si="65"/>
        <v>0</v>
      </c>
      <c r="O290" s="39">
        <f t="shared" ca="1" si="66"/>
        <v>0</v>
      </c>
      <c r="P290" s="81">
        <f t="shared" ca="1" si="67"/>
        <v>0</v>
      </c>
      <c r="Q290" s="81">
        <f t="shared" ca="1" si="68"/>
        <v>0</v>
      </c>
      <c r="R290" s="24">
        <f t="shared" ca="1" si="59"/>
        <v>5.8445097233074013E-2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</row>
    <row r="291" spans="1:35">
      <c r="A291" s="87"/>
      <c r="B291" s="87"/>
      <c r="C291" s="87"/>
      <c r="D291" s="88">
        <f t="shared" si="56"/>
        <v>0</v>
      </c>
      <c r="E291" s="88">
        <f t="shared" si="56"/>
        <v>0</v>
      </c>
      <c r="F291" s="81">
        <f t="shared" si="57"/>
        <v>0</v>
      </c>
      <c r="G291" s="81">
        <f t="shared" si="57"/>
        <v>0</v>
      </c>
      <c r="H291" s="81">
        <f t="shared" si="60"/>
        <v>0</v>
      </c>
      <c r="I291" s="81">
        <f t="shared" si="61"/>
        <v>0</v>
      </c>
      <c r="J291" s="81">
        <f t="shared" si="62"/>
        <v>0</v>
      </c>
      <c r="K291" s="81">
        <f t="shared" si="63"/>
        <v>0</v>
      </c>
      <c r="L291" s="81">
        <f t="shared" si="64"/>
        <v>0</v>
      </c>
      <c r="M291" s="81">
        <f t="shared" ca="1" si="58"/>
        <v>-5.8445097233074013E-2</v>
      </c>
      <c r="N291" s="81">
        <f t="shared" ca="1" si="65"/>
        <v>0</v>
      </c>
      <c r="O291" s="39">
        <f t="shared" ca="1" si="66"/>
        <v>0</v>
      </c>
      <c r="P291" s="81">
        <f t="shared" ca="1" si="67"/>
        <v>0</v>
      </c>
      <c r="Q291" s="81">
        <f t="shared" ca="1" si="68"/>
        <v>0</v>
      </c>
      <c r="R291" s="24">
        <f t="shared" ca="1" si="59"/>
        <v>5.8445097233074013E-2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</row>
    <row r="292" spans="1:35">
      <c r="A292" s="87"/>
      <c r="B292" s="87"/>
      <c r="C292" s="87"/>
      <c r="D292" s="88">
        <f t="shared" si="56"/>
        <v>0</v>
      </c>
      <c r="E292" s="88">
        <f t="shared" si="56"/>
        <v>0</v>
      </c>
      <c r="F292" s="81">
        <f t="shared" si="57"/>
        <v>0</v>
      </c>
      <c r="G292" s="81">
        <f t="shared" si="57"/>
        <v>0</v>
      </c>
      <c r="H292" s="81">
        <f t="shared" si="60"/>
        <v>0</v>
      </c>
      <c r="I292" s="81">
        <f t="shared" si="61"/>
        <v>0</v>
      </c>
      <c r="J292" s="81">
        <f t="shared" si="62"/>
        <v>0</v>
      </c>
      <c r="K292" s="81">
        <f t="shared" si="63"/>
        <v>0</v>
      </c>
      <c r="L292" s="81">
        <f t="shared" si="64"/>
        <v>0</v>
      </c>
      <c r="M292" s="81">
        <f t="shared" ca="1" si="58"/>
        <v>-5.8445097233074013E-2</v>
      </c>
      <c r="N292" s="81">
        <f t="shared" ca="1" si="65"/>
        <v>0</v>
      </c>
      <c r="O292" s="39">
        <f t="shared" ca="1" si="66"/>
        <v>0</v>
      </c>
      <c r="P292" s="81">
        <f t="shared" ca="1" si="67"/>
        <v>0</v>
      </c>
      <c r="Q292" s="81">
        <f t="shared" ca="1" si="68"/>
        <v>0</v>
      </c>
      <c r="R292" s="24">
        <f t="shared" ca="1" si="59"/>
        <v>5.8445097233074013E-2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</row>
    <row r="293" spans="1:35">
      <c r="A293" s="87"/>
      <c r="B293" s="87"/>
      <c r="C293" s="87"/>
      <c r="D293" s="88">
        <f t="shared" si="56"/>
        <v>0</v>
      </c>
      <c r="E293" s="88">
        <f t="shared" si="56"/>
        <v>0</v>
      </c>
      <c r="F293" s="81">
        <f t="shared" si="57"/>
        <v>0</v>
      </c>
      <c r="G293" s="81">
        <f t="shared" si="57"/>
        <v>0</v>
      </c>
      <c r="H293" s="81">
        <f t="shared" si="60"/>
        <v>0</v>
      </c>
      <c r="I293" s="81">
        <f t="shared" si="61"/>
        <v>0</v>
      </c>
      <c r="J293" s="81">
        <f t="shared" si="62"/>
        <v>0</v>
      </c>
      <c r="K293" s="81">
        <f t="shared" si="63"/>
        <v>0</v>
      </c>
      <c r="L293" s="81">
        <f t="shared" si="64"/>
        <v>0</v>
      </c>
      <c r="M293" s="81">
        <f t="shared" ca="1" si="58"/>
        <v>-5.8445097233074013E-2</v>
      </c>
      <c r="N293" s="81">
        <f t="shared" ca="1" si="65"/>
        <v>0</v>
      </c>
      <c r="O293" s="39">
        <f t="shared" ca="1" si="66"/>
        <v>0</v>
      </c>
      <c r="P293" s="81">
        <f t="shared" ca="1" si="67"/>
        <v>0</v>
      </c>
      <c r="Q293" s="81">
        <f t="shared" ca="1" si="68"/>
        <v>0</v>
      </c>
      <c r="R293" s="24">
        <f t="shared" ca="1" si="59"/>
        <v>5.8445097233074013E-2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</row>
    <row r="294" spans="1:35">
      <c r="A294" s="87"/>
      <c r="B294" s="87"/>
      <c r="C294" s="87"/>
      <c r="D294" s="88">
        <f t="shared" si="56"/>
        <v>0</v>
      </c>
      <c r="E294" s="88">
        <f t="shared" si="56"/>
        <v>0</v>
      </c>
      <c r="F294" s="81">
        <f t="shared" si="57"/>
        <v>0</v>
      </c>
      <c r="G294" s="81">
        <f t="shared" si="57"/>
        <v>0</v>
      </c>
      <c r="H294" s="81">
        <f t="shared" si="60"/>
        <v>0</v>
      </c>
      <c r="I294" s="81">
        <f t="shared" si="61"/>
        <v>0</v>
      </c>
      <c r="J294" s="81">
        <f t="shared" si="62"/>
        <v>0</v>
      </c>
      <c r="K294" s="81">
        <f t="shared" si="63"/>
        <v>0</v>
      </c>
      <c r="L294" s="81">
        <f t="shared" si="64"/>
        <v>0</v>
      </c>
      <c r="M294" s="81">
        <f t="shared" ca="1" si="58"/>
        <v>-5.8445097233074013E-2</v>
      </c>
      <c r="N294" s="81">
        <f t="shared" ca="1" si="65"/>
        <v>0</v>
      </c>
      <c r="O294" s="39">
        <f t="shared" ca="1" si="66"/>
        <v>0</v>
      </c>
      <c r="P294" s="81">
        <f t="shared" ca="1" si="67"/>
        <v>0</v>
      </c>
      <c r="Q294" s="81">
        <f t="shared" ca="1" si="68"/>
        <v>0</v>
      </c>
      <c r="R294" s="24">
        <f t="shared" ca="1" si="59"/>
        <v>5.8445097233074013E-2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</row>
    <row r="295" spans="1:35">
      <c r="A295" s="87"/>
      <c r="B295" s="87"/>
      <c r="C295" s="87"/>
      <c r="D295" s="88">
        <f t="shared" si="56"/>
        <v>0</v>
      </c>
      <c r="E295" s="88">
        <f t="shared" si="56"/>
        <v>0</v>
      </c>
      <c r="F295" s="81">
        <f t="shared" si="57"/>
        <v>0</v>
      </c>
      <c r="G295" s="81">
        <f t="shared" si="57"/>
        <v>0</v>
      </c>
      <c r="H295" s="81">
        <f t="shared" si="60"/>
        <v>0</v>
      </c>
      <c r="I295" s="81">
        <f t="shared" si="61"/>
        <v>0</v>
      </c>
      <c r="J295" s="81">
        <f t="shared" si="62"/>
        <v>0</v>
      </c>
      <c r="K295" s="81">
        <f t="shared" si="63"/>
        <v>0</v>
      </c>
      <c r="L295" s="81">
        <f t="shared" si="64"/>
        <v>0</v>
      </c>
      <c r="M295" s="81">
        <f t="shared" ca="1" si="58"/>
        <v>-5.8445097233074013E-2</v>
      </c>
      <c r="N295" s="81">
        <f t="shared" ca="1" si="65"/>
        <v>0</v>
      </c>
      <c r="O295" s="39">
        <f t="shared" ca="1" si="66"/>
        <v>0</v>
      </c>
      <c r="P295" s="81">
        <f t="shared" ca="1" si="67"/>
        <v>0</v>
      </c>
      <c r="Q295" s="81">
        <f t="shared" ca="1" si="68"/>
        <v>0</v>
      </c>
      <c r="R295" s="24">
        <f t="shared" ca="1" si="59"/>
        <v>5.8445097233074013E-2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</row>
    <row r="296" spans="1:35">
      <c r="A296" s="87"/>
      <c r="B296" s="87"/>
      <c r="C296" s="87"/>
      <c r="D296" s="88">
        <f t="shared" si="56"/>
        <v>0</v>
      </c>
      <c r="E296" s="88">
        <f t="shared" si="56"/>
        <v>0</v>
      </c>
      <c r="F296" s="81">
        <f t="shared" si="57"/>
        <v>0</v>
      </c>
      <c r="G296" s="81">
        <f t="shared" si="57"/>
        <v>0</v>
      </c>
      <c r="H296" s="81">
        <f t="shared" si="60"/>
        <v>0</v>
      </c>
      <c r="I296" s="81">
        <f t="shared" si="61"/>
        <v>0</v>
      </c>
      <c r="J296" s="81">
        <f t="shared" si="62"/>
        <v>0</v>
      </c>
      <c r="K296" s="81">
        <f t="shared" si="63"/>
        <v>0</v>
      </c>
      <c r="L296" s="81">
        <f t="shared" si="64"/>
        <v>0</v>
      </c>
      <c r="M296" s="81">
        <f t="shared" ca="1" si="58"/>
        <v>-5.8445097233074013E-2</v>
      </c>
      <c r="N296" s="81">
        <f t="shared" ca="1" si="65"/>
        <v>0</v>
      </c>
      <c r="O296" s="39">
        <f t="shared" ca="1" si="66"/>
        <v>0</v>
      </c>
      <c r="P296" s="81">
        <f t="shared" ca="1" si="67"/>
        <v>0</v>
      </c>
      <c r="Q296" s="81">
        <f t="shared" ca="1" si="68"/>
        <v>0</v>
      </c>
      <c r="R296" s="24">
        <f t="shared" ca="1" si="59"/>
        <v>5.8445097233074013E-2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</row>
    <row r="297" spans="1:35">
      <c r="A297" s="87"/>
      <c r="B297" s="87"/>
      <c r="C297" s="87"/>
      <c r="D297" s="88">
        <f t="shared" si="56"/>
        <v>0</v>
      </c>
      <c r="E297" s="88">
        <f t="shared" si="56"/>
        <v>0</v>
      </c>
      <c r="F297" s="81">
        <f t="shared" si="57"/>
        <v>0</v>
      </c>
      <c r="G297" s="81">
        <f t="shared" si="57"/>
        <v>0</v>
      </c>
      <c r="H297" s="81">
        <f t="shared" si="60"/>
        <v>0</v>
      </c>
      <c r="I297" s="81">
        <f t="shared" si="61"/>
        <v>0</v>
      </c>
      <c r="J297" s="81">
        <f t="shared" si="62"/>
        <v>0</v>
      </c>
      <c r="K297" s="81">
        <f t="shared" si="63"/>
        <v>0</v>
      </c>
      <c r="L297" s="81">
        <f t="shared" si="64"/>
        <v>0</v>
      </c>
      <c r="M297" s="81">
        <f t="shared" ca="1" si="58"/>
        <v>-5.8445097233074013E-2</v>
      </c>
      <c r="N297" s="81">
        <f t="shared" ca="1" si="65"/>
        <v>0</v>
      </c>
      <c r="O297" s="39">
        <f t="shared" ca="1" si="66"/>
        <v>0</v>
      </c>
      <c r="P297" s="81">
        <f t="shared" ca="1" si="67"/>
        <v>0</v>
      </c>
      <c r="Q297" s="81">
        <f t="shared" ca="1" si="68"/>
        <v>0</v>
      </c>
      <c r="R297" s="24">
        <f t="shared" ca="1" si="59"/>
        <v>5.8445097233074013E-2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</row>
    <row r="298" spans="1:35">
      <c r="A298" s="87"/>
      <c r="B298" s="87"/>
      <c r="C298" s="87"/>
      <c r="D298" s="88">
        <f t="shared" si="56"/>
        <v>0</v>
      </c>
      <c r="E298" s="88">
        <f t="shared" si="56"/>
        <v>0</v>
      </c>
      <c r="F298" s="81">
        <f t="shared" si="57"/>
        <v>0</v>
      </c>
      <c r="G298" s="81">
        <f t="shared" si="57"/>
        <v>0</v>
      </c>
      <c r="H298" s="81">
        <f t="shared" si="60"/>
        <v>0</v>
      </c>
      <c r="I298" s="81">
        <f t="shared" si="61"/>
        <v>0</v>
      </c>
      <c r="J298" s="81">
        <f t="shared" si="62"/>
        <v>0</v>
      </c>
      <c r="K298" s="81">
        <f t="shared" si="63"/>
        <v>0</v>
      </c>
      <c r="L298" s="81">
        <f t="shared" si="64"/>
        <v>0</v>
      </c>
      <c r="M298" s="81">
        <f t="shared" ca="1" si="58"/>
        <v>-5.8445097233074013E-2</v>
      </c>
      <c r="N298" s="81">
        <f t="shared" ca="1" si="65"/>
        <v>0</v>
      </c>
      <c r="O298" s="39">
        <f t="shared" ca="1" si="66"/>
        <v>0</v>
      </c>
      <c r="P298" s="81">
        <f t="shared" ca="1" si="67"/>
        <v>0</v>
      </c>
      <c r="Q298" s="81">
        <f t="shared" ca="1" si="68"/>
        <v>0</v>
      </c>
      <c r="R298" s="24">
        <f t="shared" ca="1" si="59"/>
        <v>5.8445097233074013E-2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</row>
    <row r="299" spans="1:35">
      <c r="A299" s="87"/>
      <c r="B299" s="87"/>
      <c r="C299" s="87"/>
      <c r="D299" s="88">
        <f t="shared" si="56"/>
        <v>0</v>
      </c>
      <c r="E299" s="88">
        <f t="shared" si="56"/>
        <v>0</v>
      </c>
      <c r="F299" s="81">
        <f t="shared" si="57"/>
        <v>0</v>
      </c>
      <c r="G299" s="81">
        <f t="shared" si="57"/>
        <v>0</v>
      </c>
      <c r="H299" s="81">
        <f t="shared" si="60"/>
        <v>0</v>
      </c>
      <c r="I299" s="81">
        <f t="shared" si="61"/>
        <v>0</v>
      </c>
      <c r="J299" s="81">
        <f t="shared" si="62"/>
        <v>0</v>
      </c>
      <c r="K299" s="81">
        <f t="shared" si="63"/>
        <v>0</v>
      </c>
      <c r="L299" s="81">
        <f t="shared" si="64"/>
        <v>0</v>
      </c>
      <c r="M299" s="81">
        <f t="shared" ca="1" si="58"/>
        <v>-5.8445097233074013E-2</v>
      </c>
      <c r="N299" s="81">
        <f t="shared" ca="1" si="65"/>
        <v>0</v>
      </c>
      <c r="O299" s="39">
        <f t="shared" ca="1" si="66"/>
        <v>0</v>
      </c>
      <c r="P299" s="81">
        <f t="shared" ca="1" si="67"/>
        <v>0</v>
      </c>
      <c r="Q299" s="81">
        <f t="shared" ca="1" si="68"/>
        <v>0</v>
      </c>
      <c r="R299" s="24">
        <f t="shared" ca="1" si="59"/>
        <v>5.8445097233074013E-2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</row>
    <row r="300" spans="1:35">
      <c r="A300" s="87"/>
      <c r="B300" s="87"/>
      <c r="C300" s="87"/>
      <c r="D300" s="88">
        <f t="shared" si="56"/>
        <v>0</v>
      </c>
      <c r="E300" s="88">
        <f t="shared" si="56"/>
        <v>0</v>
      </c>
      <c r="F300" s="81">
        <f t="shared" si="57"/>
        <v>0</v>
      </c>
      <c r="G300" s="81">
        <f t="shared" si="57"/>
        <v>0</v>
      </c>
      <c r="H300" s="81">
        <f t="shared" si="60"/>
        <v>0</v>
      </c>
      <c r="I300" s="81">
        <f t="shared" si="61"/>
        <v>0</v>
      </c>
      <c r="J300" s="81">
        <f t="shared" si="62"/>
        <v>0</v>
      </c>
      <c r="K300" s="81">
        <f t="shared" si="63"/>
        <v>0</v>
      </c>
      <c r="L300" s="81">
        <f t="shared" si="64"/>
        <v>0</v>
      </c>
      <c r="M300" s="81">
        <f t="shared" ca="1" si="58"/>
        <v>-5.8445097233074013E-2</v>
      </c>
      <c r="N300" s="81">
        <f t="shared" ca="1" si="65"/>
        <v>0</v>
      </c>
      <c r="O300" s="39">
        <f t="shared" ca="1" si="66"/>
        <v>0</v>
      </c>
      <c r="P300" s="81">
        <f t="shared" ca="1" si="67"/>
        <v>0</v>
      </c>
      <c r="Q300" s="81">
        <f t="shared" ca="1" si="68"/>
        <v>0</v>
      </c>
      <c r="R300" s="24">
        <f t="shared" ca="1" si="59"/>
        <v>5.8445097233074013E-2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</row>
    <row r="301" spans="1:35">
      <c r="A301" s="87"/>
      <c r="B301" s="87"/>
      <c r="C301" s="87"/>
      <c r="D301" s="88">
        <f t="shared" si="56"/>
        <v>0</v>
      </c>
      <c r="E301" s="88">
        <f t="shared" si="56"/>
        <v>0</v>
      </c>
      <c r="F301" s="81">
        <f t="shared" si="57"/>
        <v>0</v>
      </c>
      <c r="G301" s="81">
        <f t="shared" si="57"/>
        <v>0</v>
      </c>
      <c r="H301" s="81">
        <f t="shared" si="60"/>
        <v>0</v>
      </c>
      <c r="I301" s="81">
        <f t="shared" si="61"/>
        <v>0</v>
      </c>
      <c r="J301" s="81">
        <f t="shared" si="62"/>
        <v>0</v>
      </c>
      <c r="K301" s="81">
        <f t="shared" si="63"/>
        <v>0</v>
      </c>
      <c r="L301" s="81">
        <f t="shared" si="64"/>
        <v>0</v>
      </c>
      <c r="M301" s="81">
        <f t="shared" ca="1" si="58"/>
        <v>-5.8445097233074013E-2</v>
      </c>
      <c r="N301" s="81">
        <f t="shared" ca="1" si="65"/>
        <v>0</v>
      </c>
      <c r="O301" s="39">
        <f t="shared" ca="1" si="66"/>
        <v>0</v>
      </c>
      <c r="P301" s="81">
        <f t="shared" ca="1" si="67"/>
        <v>0</v>
      </c>
      <c r="Q301" s="81">
        <f t="shared" ca="1" si="68"/>
        <v>0</v>
      </c>
      <c r="R301" s="24">
        <f t="shared" ca="1" si="59"/>
        <v>5.8445097233074013E-2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</row>
    <row r="302" spans="1:35">
      <c r="A302" s="87"/>
      <c r="B302" s="87"/>
      <c r="C302" s="87"/>
      <c r="D302" s="88">
        <f t="shared" si="56"/>
        <v>0</v>
      </c>
      <c r="E302" s="88">
        <f t="shared" si="56"/>
        <v>0</v>
      </c>
      <c r="F302" s="81">
        <f t="shared" si="57"/>
        <v>0</v>
      </c>
      <c r="G302" s="81">
        <f t="shared" si="57"/>
        <v>0</v>
      </c>
      <c r="H302" s="81">
        <f t="shared" si="60"/>
        <v>0</v>
      </c>
      <c r="I302" s="81">
        <f t="shared" si="61"/>
        <v>0</v>
      </c>
      <c r="J302" s="81">
        <f t="shared" si="62"/>
        <v>0</v>
      </c>
      <c r="K302" s="81">
        <f t="shared" si="63"/>
        <v>0</v>
      </c>
      <c r="L302" s="81">
        <f t="shared" si="64"/>
        <v>0</v>
      </c>
      <c r="M302" s="81">
        <f t="shared" ca="1" si="58"/>
        <v>-5.8445097233074013E-2</v>
      </c>
      <c r="N302" s="81">
        <f t="shared" ca="1" si="65"/>
        <v>0</v>
      </c>
      <c r="O302" s="39">
        <f t="shared" ca="1" si="66"/>
        <v>0</v>
      </c>
      <c r="P302" s="81">
        <f t="shared" ca="1" si="67"/>
        <v>0</v>
      </c>
      <c r="Q302" s="81">
        <f t="shared" ca="1" si="68"/>
        <v>0</v>
      </c>
      <c r="R302" s="24">
        <f t="shared" ca="1" si="59"/>
        <v>5.8445097233074013E-2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</row>
    <row r="303" spans="1:35">
      <c r="A303" s="87"/>
      <c r="B303" s="87"/>
      <c r="C303" s="87"/>
      <c r="D303" s="88">
        <f t="shared" si="56"/>
        <v>0</v>
      </c>
      <c r="E303" s="88">
        <f t="shared" si="56"/>
        <v>0</v>
      </c>
      <c r="F303" s="81">
        <f t="shared" si="57"/>
        <v>0</v>
      </c>
      <c r="G303" s="81">
        <f t="shared" si="57"/>
        <v>0</v>
      </c>
      <c r="H303" s="81">
        <f t="shared" si="60"/>
        <v>0</v>
      </c>
      <c r="I303" s="81">
        <f t="shared" si="61"/>
        <v>0</v>
      </c>
      <c r="J303" s="81">
        <f t="shared" si="62"/>
        <v>0</v>
      </c>
      <c r="K303" s="81">
        <f t="shared" si="63"/>
        <v>0</v>
      </c>
      <c r="L303" s="81">
        <f t="shared" si="64"/>
        <v>0</v>
      </c>
      <c r="M303" s="81">
        <f t="shared" ca="1" si="58"/>
        <v>-5.8445097233074013E-2</v>
      </c>
      <c r="N303" s="81">
        <f t="shared" ca="1" si="65"/>
        <v>0</v>
      </c>
      <c r="O303" s="39">
        <f t="shared" ca="1" si="66"/>
        <v>0</v>
      </c>
      <c r="P303" s="81">
        <f t="shared" ca="1" si="67"/>
        <v>0</v>
      </c>
      <c r="Q303" s="81">
        <f t="shared" ca="1" si="68"/>
        <v>0</v>
      </c>
      <c r="R303" s="24">
        <f t="shared" ca="1" si="59"/>
        <v>5.8445097233074013E-2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</row>
    <row r="304" spans="1:35">
      <c r="A304" s="87"/>
      <c r="B304" s="87"/>
      <c r="C304" s="87"/>
      <c r="D304" s="88">
        <f t="shared" si="56"/>
        <v>0</v>
      </c>
      <c r="E304" s="88">
        <f t="shared" si="56"/>
        <v>0</v>
      </c>
      <c r="F304" s="81">
        <f t="shared" si="57"/>
        <v>0</v>
      </c>
      <c r="G304" s="81">
        <f t="shared" si="57"/>
        <v>0</v>
      </c>
      <c r="H304" s="81">
        <f t="shared" si="60"/>
        <v>0</v>
      </c>
      <c r="I304" s="81">
        <f t="shared" si="61"/>
        <v>0</v>
      </c>
      <c r="J304" s="81">
        <f t="shared" si="62"/>
        <v>0</v>
      </c>
      <c r="K304" s="81">
        <f t="shared" si="63"/>
        <v>0</v>
      </c>
      <c r="L304" s="81">
        <f t="shared" si="64"/>
        <v>0</v>
      </c>
      <c r="M304" s="81">
        <f t="shared" ca="1" si="58"/>
        <v>-5.8445097233074013E-2</v>
      </c>
      <c r="N304" s="81">
        <f t="shared" ca="1" si="65"/>
        <v>0</v>
      </c>
      <c r="O304" s="39">
        <f t="shared" ca="1" si="66"/>
        <v>0</v>
      </c>
      <c r="P304" s="81">
        <f t="shared" ca="1" si="67"/>
        <v>0</v>
      </c>
      <c r="Q304" s="81">
        <f t="shared" ca="1" si="68"/>
        <v>0</v>
      </c>
      <c r="R304" s="24">
        <f t="shared" ca="1" si="59"/>
        <v>5.8445097233074013E-2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>
      <c r="A305" s="87"/>
      <c r="B305" s="87"/>
      <c r="C305" s="87"/>
      <c r="D305" s="88">
        <f t="shared" si="56"/>
        <v>0</v>
      </c>
      <c r="E305" s="88">
        <f t="shared" si="56"/>
        <v>0</v>
      </c>
      <c r="F305" s="81">
        <f t="shared" si="57"/>
        <v>0</v>
      </c>
      <c r="G305" s="81">
        <f t="shared" si="57"/>
        <v>0</v>
      </c>
      <c r="H305" s="81">
        <f t="shared" si="60"/>
        <v>0</v>
      </c>
      <c r="I305" s="81">
        <f t="shared" si="61"/>
        <v>0</v>
      </c>
      <c r="J305" s="81">
        <f t="shared" si="62"/>
        <v>0</v>
      </c>
      <c r="K305" s="81">
        <f t="shared" si="63"/>
        <v>0</v>
      </c>
      <c r="L305" s="81">
        <f t="shared" si="64"/>
        <v>0</v>
      </c>
      <c r="M305" s="81">
        <f t="shared" ca="1" si="58"/>
        <v>-5.8445097233074013E-2</v>
      </c>
      <c r="N305" s="81">
        <f t="shared" ca="1" si="65"/>
        <v>0</v>
      </c>
      <c r="O305" s="39">
        <f t="shared" ca="1" si="66"/>
        <v>0</v>
      </c>
      <c r="P305" s="81">
        <f t="shared" ca="1" si="67"/>
        <v>0</v>
      </c>
      <c r="Q305" s="81">
        <f t="shared" ca="1" si="68"/>
        <v>0</v>
      </c>
      <c r="R305" s="24">
        <f t="shared" ca="1" si="59"/>
        <v>5.8445097233074013E-2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>
      <c r="A306" s="87"/>
      <c r="B306" s="87"/>
      <c r="C306" s="87"/>
      <c r="D306" s="88">
        <f t="shared" si="56"/>
        <v>0</v>
      </c>
      <c r="E306" s="88">
        <f t="shared" si="56"/>
        <v>0</v>
      </c>
      <c r="F306" s="81">
        <f t="shared" si="57"/>
        <v>0</v>
      </c>
      <c r="G306" s="81">
        <f t="shared" si="57"/>
        <v>0</v>
      </c>
      <c r="H306" s="81">
        <f t="shared" si="60"/>
        <v>0</v>
      </c>
      <c r="I306" s="81">
        <f t="shared" si="61"/>
        <v>0</v>
      </c>
      <c r="J306" s="81">
        <f t="shared" si="62"/>
        <v>0</v>
      </c>
      <c r="K306" s="81">
        <f t="shared" si="63"/>
        <v>0</v>
      </c>
      <c r="L306" s="81">
        <f t="shared" si="64"/>
        <v>0</v>
      </c>
      <c r="M306" s="81">
        <f t="shared" ca="1" si="58"/>
        <v>-5.8445097233074013E-2</v>
      </c>
      <c r="N306" s="81">
        <f t="shared" ca="1" si="65"/>
        <v>0</v>
      </c>
      <c r="O306" s="39">
        <f t="shared" ca="1" si="66"/>
        <v>0</v>
      </c>
      <c r="P306" s="81">
        <f t="shared" ca="1" si="67"/>
        <v>0</v>
      </c>
      <c r="Q306" s="81">
        <f t="shared" ca="1" si="68"/>
        <v>0</v>
      </c>
      <c r="R306" s="24">
        <f t="shared" ca="1" si="59"/>
        <v>5.8445097233074013E-2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>
      <c r="A307" s="87"/>
      <c r="B307" s="87"/>
      <c r="C307" s="87"/>
      <c r="D307" s="88">
        <f t="shared" si="56"/>
        <v>0</v>
      </c>
      <c r="E307" s="88">
        <f t="shared" si="56"/>
        <v>0</v>
      </c>
      <c r="F307" s="81">
        <f t="shared" si="57"/>
        <v>0</v>
      </c>
      <c r="G307" s="81">
        <f t="shared" si="57"/>
        <v>0</v>
      </c>
      <c r="H307" s="81">
        <f t="shared" si="60"/>
        <v>0</v>
      </c>
      <c r="I307" s="81">
        <f t="shared" si="61"/>
        <v>0</v>
      </c>
      <c r="J307" s="81">
        <f t="shared" si="62"/>
        <v>0</v>
      </c>
      <c r="K307" s="81">
        <f t="shared" si="63"/>
        <v>0</v>
      </c>
      <c r="L307" s="81">
        <f t="shared" si="64"/>
        <v>0</v>
      </c>
      <c r="M307" s="81">
        <f t="shared" ca="1" si="58"/>
        <v>-5.8445097233074013E-2</v>
      </c>
      <c r="N307" s="81">
        <f t="shared" ca="1" si="65"/>
        <v>0</v>
      </c>
      <c r="O307" s="39">
        <f t="shared" ca="1" si="66"/>
        <v>0</v>
      </c>
      <c r="P307" s="81">
        <f t="shared" ca="1" si="67"/>
        <v>0</v>
      </c>
      <c r="Q307" s="81">
        <f t="shared" ca="1" si="68"/>
        <v>0</v>
      </c>
      <c r="R307" s="24">
        <f t="shared" ca="1" si="59"/>
        <v>5.8445097233074013E-2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>
      <c r="A308" s="87"/>
      <c r="B308" s="87"/>
      <c r="C308" s="87"/>
      <c r="D308" s="88">
        <f t="shared" si="56"/>
        <v>0</v>
      </c>
      <c r="E308" s="88">
        <f t="shared" si="56"/>
        <v>0</v>
      </c>
      <c r="F308" s="81">
        <f t="shared" si="57"/>
        <v>0</v>
      </c>
      <c r="G308" s="81">
        <f t="shared" si="57"/>
        <v>0</v>
      </c>
      <c r="H308" s="81">
        <f t="shared" si="60"/>
        <v>0</v>
      </c>
      <c r="I308" s="81">
        <f t="shared" si="61"/>
        <v>0</v>
      </c>
      <c r="J308" s="81">
        <f t="shared" si="62"/>
        <v>0</v>
      </c>
      <c r="K308" s="81">
        <f t="shared" si="63"/>
        <v>0</v>
      </c>
      <c r="L308" s="81">
        <f t="shared" si="64"/>
        <v>0</v>
      </c>
      <c r="M308" s="81">
        <f t="shared" ca="1" si="58"/>
        <v>-5.8445097233074013E-2</v>
      </c>
      <c r="N308" s="81">
        <f t="shared" ca="1" si="65"/>
        <v>0</v>
      </c>
      <c r="O308" s="39">
        <f t="shared" ca="1" si="66"/>
        <v>0</v>
      </c>
      <c r="P308" s="81">
        <f t="shared" ca="1" si="67"/>
        <v>0</v>
      </c>
      <c r="Q308" s="81">
        <f t="shared" ca="1" si="68"/>
        <v>0</v>
      </c>
      <c r="R308" s="24">
        <f t="shared" ca="1" si="59"/>
        <v>5.8445097233074013E-2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>
      <c r="A309" s="87"/>
      <c r="B309" s="87"/>
      <c r="C309" s="87"/>
      <c r="D309" s="88">
        <f t="shared" si="56"/>
        <v>0</v>
      </c>
      <c r="E309" s="88">
        <f t="shared" si="56"/>
        <v>0</v>
      </c>
      <c r="F309" s="81">
        <f t="shared" si="57"/>
        <v>0</v>
      </c>
      <c r="G309" s="81">
        <f t="shared" si="57"/>
        <v>0</v>
      </c>
      <c r="H309" s="81">
        <f t="shared" si="60"/>
        <v>0</v>
      </c>
      <c r="I309" s="81">
        <f t="shared" si="61"/>
        <v>0</v>
      </c>
      <c r="J309" s="81">
        <f t="shared" si="62"/>
        <v>0</v>
      </c>
      <c r="K309" s="81">
        <f t="shared" si="63"/>
        <v>0</v>
      </c>
      <c r="L309" s="81">
        <f t="shared" si="64"/>
        <v>0</v>
      </c>
      <c r="M309" s="81">
        <f t="shared" ca="1" si="58"/>
        <v>-5.8445097233074013E-2</v>
      </c>
      <c r="N309" s="81">
        <f t="shared" ca="1" si="65"/>
        <v>0</v>
      </c>
      <c r="O309" s="39">
        <f t="shared" ca="1" si="66"/>
        <v>0</v>
      </c>
      <c r="P309" s="81">
        <f t="shared" ca="1" si="67"/>
        <v>0</v>
      </c>
      <c r="Q309" s="81">
        <f t="shared" ca="1" si="68"/>
        <v>0</v>
      </c>
      <c r="R309" s="24">
        <f t="shared" ca="1" si="59"/>
        <v>5.8445097233074013E-2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>
      <c r="A310" s="87"/>
      <c r="B310" s="87"/>
      <c r="C310" s="87"/>
      <c r="D310" s="88">
        <f t="shared" si="56"/>
        <v>0</v>
      </c>
      <c r="E310" s="88">
        <f t="shared" si="56"/>
        <v>0</v>
      </c>
      <c r="F310" s="81">
        <f t="shared" si="57"/>
        <v>0</v>
      </c>
      <c r="G310" s="81">
        <f t="shared" si="57"/>
        <v>0</v>
      </c>
      <c r="H310" s="81">
        <f t="shared" si="60"/>
        <v>0</v>
      </c>
      <c r="I310" s="81">
        <f t="shared" si="61"/>
        <v>0</v>
      </c>
      <c r="J310" s="81">
        <f t="shared" si="62"/>
        <v>0</v>
      </c>
      <c r="K310" s="81">
        <f t="shared" si="63"/>
        <v>0</v>
      </c>
      <c r="L310" s="81">
        <f t="shared" si="64"/>
        <v>0</v>
      </c>
      <c r="M310" s="81">
        <f t="shared" ca="1" si="58"/>
        <v>-5.8445097233074013E-2</v>
      </c>
      <c r="N310" s="81">
        <f t="shared" ca="1" si="65"/>
        <v>0</v>
      </c>
      <c r="O310" s="39">
        <f t="shared" ca="1" si="66"/>
        <v>0</v>
      </c>
      <c r="P310" s="81">
        <f t="shared" ca="1" si="67"/>
        <v>0</v>
      </c>
      <c r="Q310" s="81">
        <f t="shared" ca="1" si="68"/>
        <v>0</v>
      </c>
      <c r="R310" s="24">
        <f t="shared" ca="1" si="59"/>
        <v>5.8445097233074013E-2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>
      <c r="A311" s="87"/>
      <c r="B311" s="87"/>
      <c r="C311" s="87"/>
      <c r="D311" s="88">
        <f t="shared" si="56"/>
        <v>0</v>
      </c>
      <c r="E311" s="88">
        <f t="shared" si="56"/>
        <v>0</v>
      </c>
      <c r="F311" s="81">
        <f t="shared" si="57"/>
        <v>0</v>
      </c>
      <c r="G311" s="81">
        <f t="shared" si="57"/>
        <v>0</v>
      </c>
      <c r="H311" s="81">
        <f t="shared" si="60"/>
        <v>0</v>
      </c>
      <c r="I311" s="81">
        <f t="shared" si="61"/>
        <v>0</v>
      </c>
      <c r="J311" s="81">
        <f t="shared" si="62"/>
        <v>0</v>
      </c>
      <c r="K311" s="81">
        <f t="shared" si="63"/>
        <v>0</v>
      </c>
      <c r="L311" s="81">
        <f t="shared" si="64"/>
        <v>0</v>
      </c>
      <c r="M311" s="81">
        <f t="shared" ca="1" si="58"/>
        <v>-5.8445097233074013E-2</v>
      </c>
      <c r="N311" s="81">
        <f t="shared" ca="1" si="65"/>
        <v>0</v>
      </c>
      <c r="O311" s="39">
        <f t="shared" ca="1" si="66"/>
        <v>0</v>
      </c>
      <c r="P311" s="81">
        <f t="shared" ca="1" si="67"/>
        <v>0</v>
      </c>
      <c r="Q311" s="81">
        <f t="shared" ca="1" si="68"/>
        <v>0</v>
      </c>
      <c r="R311" s="24">
        <f t="shared" ca="1" si="59"/>
        <v>5.8445097233074013E-2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>
      <c r="A312" s="87"/>
      <c r="B312" s="87"/>
      <c r="C312" s="87"/>
      <c r="D312" s="88">
        <f t="shared" si="56"/>
        <v>0</v>
      </c>
      <c r="E312" s="88">
        <f t="shared" si="56"/>
        <v>0</v>
      </c>
      <c r="F312" s="81">
        <f t="shared" si="57"/>
        <v>0</v>
      </c>
      <c r="G312" s="81">
        <f t="shared" si="57"/>
        <v>0</v>
      </c>
      <c r="H312" s="81">
        <f t="shared" si="60"/>
        <v>0</v>
      </c>
      <c r="I312" s="81">
        <f t="shared" si="61"/>
        <v>0</v>
      </c>
      <c r="J312" s="81">
        <f t="shared" si="62"/>
        <v>0</v>
      </c>
      <c r="K312" s="81">
        <f t="shared" si="63"/>
        <v>0</v>
      </c>
      <c r="L312" s="81">
        <f t="shared" si="64"/>
        <v>0</v>
      </c>
      <c r="M312" s="81">
        <f t="shared" ca="1" si="58"/>
        <v>-5.8445097233074013E-2</v>
      </c>
      <c r="N312" s="81">
        <f t="shared" ca="1" si="65"/>
        <v>0</v>
      </c>
      <c r="O312" s="39">
        <f t="shared" ca="1" si="66"/>
        <v>0</v>
      </c>
      <c r="P312" s="81">
        <f t="shared" ca="1" si="67"/>
        <v>0</v>
      </c>
      <c r="Q312" s="81">
        <f t="shared" ca="1" si="68"/>
        <v>0</v>
      </c>
      <c r="R312" s="24">
        <f t="shared" ca="1" si="59"/>
        <v>5.8445097233074013E-2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>
      <c r="A313" s="87"/>
      <c r="B313" s="87"/>
      <c r="C313" s="87"/>
      <c r="D313" s="88">
        <f t="shared" si="56"/>
        <v>0</v>
      </c>
      <c r="E313" s="88">
        <f t="shared" si="56"/>
        <v>0</v>
      </c>
      <c r="F313" s="81">
        <f t="shared" si="57"/>
        <v>0</v>
      </c>
      <c r="G313" s="81">
        <f t="shared" si="57"/>
        <v>0</v>
      </c>
      <c r="H313" s="81">
        <f t="shared" si="60"/>
        <v>0</v>
      </c>
      <c r="I313" s="81">
        <f t="shared" si="61"/>
        <v>0</v>
      </c>
      <c r="J313" s="81">
        <f t="shared" si="62"/>
        <v>0</v>
      </c>
      <c r="K313" s="81">
        <f t="shared" si="63"/>
        <v>0</v>
      </c>
      <c r="L313" s="81">
        <f t="shared" si="64"/>
        <v>0</v>
      </c>
      <c r="M313" s="81">
        <f t="shared" ca="1" si="58"/>
        <v>-5.8445097233074013E-2</v>
      </c>
      <c r="N313" s="81">
        <f t="shared" ca="1" si="65"/>
        <v>0</v>
      </c>
      <c r="O313" s="39">
        <f t="shared" ca="1" si="66"/>
        <v>0</v>
      </c>
      <c r="P313" s="81">
        <f t="shared" ca="1" si="67"/>
        <v>0</v>
      </c>
      <c r="Q313" s="81">
        <f t="shared" ca="1" si="68"/>
        <v>0</v>
      </c>
      <c r="R313" s="24">
        <f t="shared" ca="1" si="59"/>
        <v>5.8445097233074013E-2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>
      <c r="A314" s="87"/>
      <c r="B314" s="87"/>
      <c r="C314" s="87"/>
      <c r="D314" s="88">
        <f t="shared" si="56"/>
        <v>0</v>
      </c>
      <c r="E314" s="88">
        <f t="shared" si="56"/>
        <v>0</v>
      </c>
      <c r="F314" s="81">
        <f t="shared" si="57"/>
        <v>0</v>
      </c>
      <c r="G314" s="81">
        <f t="shared" si="57"/>
        <v>0</v>
      </c>
      <c r="H314" s="81">
        <f t="shared" si="60"/>
        <v>0</v>
      </c>
      <c r="I314" s="81">
        <f t="shared" si="61"/>
        <v>0</v>
      </c>
      <c r="J314" s="81">
        <f t="shared" si="62"/>
        <v>0</v>
      </c>
      <c r="K314" s="81">
        <f t="shared" si="63"/>
        <v>0</v>
      </c>
      <c r="L314" s="81">
        <f t="shared" si="64"/>
        <v>0</v>
      </c>
      <c r="M314" s="81">
        <f t="shared" ca="1" si="58"/>
        <v>-5.8445097233074013E-2</v>
      </c>
      <c r="N314" s="81">
        <f t="shared" ca="1" si="65"/>
        <v>0</v>
      </c>
      <c r="O314" s="39">
        <f t="shared" ca="1" si="66"/>
        <v>0</v>
      </c>
      <c r="P314" s="81">
        <f t="shared" ca="1" si="67"/>
        <v>0</v>
      </c>
      <c r="Q314" s="81">
        <f t="shared" ca="1" si="68"/>
        <v>0</v>
      </c>
      <c r="R314" s="24">
        <f t="shared" ca="1" si="59"/>
        <v>5.8445097233074013E-2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>
      <c r="A315" s="87"/>
      <c r="B315" s="87"/>
      <c r="C315" s="87"/>
      <c r="D315" s="88">
        <f t="shared" si="56"/>
        <v>0</v>
      </c>
      <c r="E315" s="88">
        <f t="shared" si="56"/>
        <v>0</v>
      </c>
      <c r="F315" s="81">
        <f t="shared" si="57"/>
        <v>0</v>
      </c>
      <c r="G315" s="81">
        <f t="shared" si="57"/>
        <v>0</v>
      </c>
      <c r="H315" s="81">
        <f t="shared" si="60"/>
        <v>0</v>
      </c>
      <c r="I315" s="81">
        <f t="shared" si="61"/>
        <v>0</v>
      </c>
      <c r="J315" s="81">
        <f t="shared" si="62"/>
        <v>0</v>
      </c>
      <c r="K315" s="81">
        <f t="shared" si="63"/>
        <v>0</v>
      </c>
      <c r="L315" s="81">
        <f t="shared" si="64"/>
        <v>0</v>
      </c>
      <c r="M315" s="81">
        <f t="shared" ca="1" si="58"/>
        <v>-5.8445097233074013E-2</v>
      </c>
      <c r="N315" s="81">
        <f t="shared" ca="1" si="65"/>
        <v>0</v>
      </c>
      <c r="O315" s="39">
        <f t="shared" ca="1" si="66"/>
        <v>0</v>
      </c>
      <c r="P315" s="81">
        <f t="shared" ca="1" si="67"/>
        <v>0</v>
      </c>
      <c r="Q315" s="81">
        <f t="shared" ca="1" si="68"/>
        <v>0</v>
      </c>
      <c r="R315" s="24">
        <f t="shared" ca="1" si="59"/>
        <v>5.8445097233074013E-2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>
      <c r="A316" s="87"/>
      <c r="B316" s="87"/>
      <c r="C316" s="87"/>
      <c r="D316" s="88">
        <f t="shared" si="56"/>
        <v>0</v>
      </c>
      <c r="E316" s="88">
        <f t="shared" si="56"/>
        <v>0</v>
      </c>
      <c r="F316" s="81">
        <f t="shared" si="57"/>
        <v>0</v>
      </c>
      <c r="G316" s="81">
        <f t="shared" si="57"/>
        <v>0</v>
      </c>
      <c r="H316" s="81">
        <f t="shared" si="60"/>
        <v>0</v>
      </c>
      <c r="I316" s="81">
        <f t="shared" si="61"/>
        <v>0</v>
      </c>
      <c r="J316" s="81">
        <f t="shared" si="62"/>
        <v>0</v>
      </c>
      <c r="K316" s="81">
        <f t="shared" si="63"/>
        <v>0</v>
      </c>
      <c r="L316" s="81">
        <f t="shared" si="64"/>
        <v>0</v>
      </c>
      <c r="M316" s="81">
        <f t="shared" ca="1" si="58"/>
        <v>-5.8445097233074013E-2</v>
      </c>
      <c r="N316" s="81">
        <f t="shared" ca="1" si="65"/>
        <v>0</v>
      </c>
      <c r="O316" s="39">
        <f t="shared" ca="1" si="66"/>
        <v>0</v>
      </c>
      <c r="P316" s="81">
        <f t="shared" ca="1" si="67"/>
        <v>0</v>
      </c>
      <c r="Q316" s="81">
        <f t="shared" ca="1" si="68"/>
        <v>0</v>
      </c>
      <c r="R316" s="24">
        <f t="shared" ca="1" si="59"/>
        <v>5.8445097233074013E-2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>
      <c r="A317" s="87"/>
      <c r="B317" s="87"/>
      <c r="C317" s="87"/>
      <c r="D317" s="88">
        <f t="shared" si="56"/>
        <v>0</v>
      </c>
      <c r="E317" s="88">
        <f t="shared" si="56"/>
        <v>0</v>
      </c>
      <c r="F317" s="81">
        <f t="shared" si="57"/>
        <v>0</v>
      </c>
      <c r="G317" s="81">
        <f t="shared" si="57"/>
        <v>0</v>
      </c>
      <c r="H317" s="81">
        <f t="shared" si="60"/>
        <v>0</v>
      </c>
      <c r="I317" s="81">
        <f t="shared" si="61"/>
        <v>0</v>
      </c>
      <c r="J317" s="81">
        <f t="shared" si="62"/>
        <v>0</v>
      </c>
      <c r="K317" s="81">
        <f t="shared" si="63"/>
        <v>0</v>
      </c>
      <c r="L317" s="81">
        <f t="shared" si="64"/>
        <v>0</v>
      </c>
      <c r="M317" s="81">
        <f t="shared" ca="1" si="58"/>
        <v>-5.8445097233074013E-2</v>
      </c>
      <c r="N317" s="81">
        <f t="shared" ca="1" si="65"/>
        <v>0</v>
      </c>
      <c r="O317" s="39">
        <f t="shared" ca="1" si="66"/>
        <v>0</v>
      </c>
      <c r="P317" s="81">
        <f t="shared" ca="1" si="67"/>
        <v>0</v>
      </c>
      <c r="Q317" s="81">
        <f t="shared" ca="1" si="68"/>
        <v>0</v>
      </c>
      <c r="R317" s="24">
        <f t="shared" ca="1" si="59"/>
        <v>5.8445097233074013E-2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>
      <c r="A318" s="87"/>
      <c r="B318" s="87"/>
      <c r="C318" s="87"/>
      <c r="D318" s="88">
        <f t="shared" si="56"/>
        <v>0</v>
      </c>
      <c r="E318" s="88">
        <f t="shared" si="56"/>
        <v>0</v>
      </c>
      <c r="F318" s="81">
        <f t="shared" si="57"/>
        <v>0</v>
      </c>
      <c r="G318" s="81">
        <f t="shared" si="57"/>
        <v>0</v>
      </c>
      <c r="H318" s="81">
        <f t="shared" si="60"/>
        <v>0</v>
      </c>
      <c r="I318" s="81">
        <f t="shared" si="61"/>
        <v>0</v>
      </c>
      <c r="J318" s="81">
        <f t="shared" si="62"/>
        <v>0</v>
      </c>
      <c r="K318" s="81">
        <f t="shared" si="63"/>
        <v>0</v>
      </c>
      <c r="L318" s="81">
        <f t="shared" si="64"/>
        <v>0</v>
      </c>
      <c r="M318" s="81">
        <f t="shared" ca="1" si="58"/>
        <v>-5.8445097233074013E-2</v>
      </c>
      <c r="N318" s="81">
        <f t="shared" ca="1" si="65"/>
        <v>0</v>
      </c>
      <c r="O318" s="39">
        <f t="shared" ca="1" si="66"/>
        <v>0</v>
      </c>
      <c r="P318" s="81">
        <f t="shared" ca="1" si="67"/>
        <v>0</v>
      </c>
      <c r="Q318" s="81">
        <f t="shared" ca="1" si="68"/>
        <v>0</v>
      </c>
      <c r="R318" s="24">
        <f t="shared" ca="1" si="59"/>
        <v>5.8445097233074013E-2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>
      <c r="A319" s="87"/>
      <c r="B319" s="87"/>
      <c r="C319" s="87"/>
      <c r="D319" s="88">
        <f t="shared" si="56"/>
        <v>0</v>
      </c>
      <c r="E319" s="88">
        <f t="shared" si="56"/>
        <v>0</v>
      </c>
      <c r="F319" s="81">
        <f t="shared" si="57"/>
        <v>0</v>
      </c>
      <c r="G319" s="81">
        <f t="shared" si="57"/>
        <v>0</v>
      </c>
      <c r="H319" s="81">
        <f t="shared" si="60"/>
        <v>0</v>
      </c>
      <c r="I319" s="81">
        <f t="shared" si="61"/>
        <v>0</v>
      </c>
      <c r="J319" s="81">
        <f t="shared" si="62"/>
        <v>0</v>
      </c>
      <c r="K319" s="81">
        <f t="shared" si="63"/>
        <v>0</v>
      </c>
      <c r="L319" s="81">
        <f t="shared" si="64"/>
        <v>0</v>
      </c>
      <c r="M319" s="81">
        <f t="shared" ca="1" si="58"/>
        <v>-5.8445097233074013E-2</v>
      </c>
      <c r="N319" s="81">
        <f t="shared" ca="1" si="65"/>
        <v>0</v>
      </c>
      <c r="O319" s="39">
        <f t="shared" ca="1" si="66"/>
        <v>0</v>
      </c>
      <c r="P319" s="81">
        <f t="shared" ca="1" si="67"/>
        <v>0</v>
      </c>
      <c r="Q319" s="81">
        <f t="shared" ca="1" si="68"/>
        <v>0</v>
      </c>
      <c r="R319" s="24">
        <f t="shared" ca="1" si="59"/>
        <v>5.8445097233074013E-2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>
      <c r="A320" s="87"/>
      <c r="B320" s="87"/>
      <c r="C320" s="87"/>
      <c r="D320" s="88">
        <f t="shared" si="56"/>
        <v>0</v>
      </c>
      <c r="E320" s="88">
        <f t="shared" si="56"/>
        <v>0</v>
      </c>
      <c r="F320" s="81">
        <f t="shared" si="57"/>
        <v>0</v>
      </c>
      <c r="G320" s="81">
        <f t="shared" si="57"/>
        <v>0</v>
      </c>
      <c r="H320" s="81">
        <f t="shared" si="60"/>
        <v>0</v>
      </c>
      <c r="I320" s="81">
        <f t="shared" si="61"/>
        <v>0</v>
      </c>
      <c r="J320" s="81">
        <f t="shared" si="62"/>
        <v>0</v>
      </c>
      <c r="K320" s="81">
        <f t="shared" si="63"/>
        <v>0</v>
      </c>
      <c r="L320" s="81">
        <f t="shared" si="64"/>
        <v>0</v>
      </c>
      <c r="M320" s="81">
        <f t="shared" ca="1" si="58"/>
        <v>-5.8445097233074013E-2</v>
      </c>
      <c r="N320" s="81">
        <f t="shared" ca="1" si="65"/>
        <v>0</v>
      </c>
      <c r="O320" s="39">
        <f t="shared" ca="1" si="66"/>
        <v>0</v>
      </c>
      <c r="P320" s="81">
        <f t="shared" ca="1" si="67"/>
        <v>0</v>
      </c>
      <c r="Q320" s="81">
        <f t="shared" ca="1" si="68"/>
        <v>0</v>
      </c>
      <c r="R320" s="24">
        <f t="shared" ca="1" si="59"/>
        <v>5.8445097233074013E-2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>
      <c r="A321" s="87"/>
      <c r="B321" s="87"/>
      <c r="C321" s="87"/>
      <c r="D321" s="88">
        <f t="shared" si="56"/>
        <v>0</v>
      </c>
      <c r="E321" s="88">
        <f t="shared" si="56"/>
        <v>0</v>
      </c>
      <c r="F321" s="81">
        <f t="shared" si="57"/>
        <v>0</v>
      </c>
      <c r="G321" s="81">
        <f t="shared" si="57"/>
        <v>0</v>
      </c>
      <c r="H321" s="81">
        <f t="shared" si="60"/>
        <v>0</v>
      </c>
      <c r="I321" s="81">
        <f t="shared" si="61"/>
        <v>0</v>
      </c>
      <c r="J321" s="81">
        <f t="shared" si="62"/>
        <v>0</v>
      </c>
      <c r="K321" s="81">
        <f t="shared" si="63"/>
        <v>0</v>
      </c>
      <c r="L321" s="81">
        <f t="shared" si="64"/>
        <v>0</v>
      </c>
      <c r="M321" s="81">
        <f t="shared" ca="1" si="58"/>
        <v>-5.8445097233074013E-2</v>
      </c>
      <c r="N321" s="81">
        <f t="shared" ca="1" si="65"/>
        <v>0</v>
      </c>
      <c r="O321" s="39">
        <f t="shared" ca="1" si="66"/>
        <v>0</v>
      </c>
      <c r="P321" s="81">
        <f t="shared" ca="1" si="67"/>
        <v>0</v>
      </c>
      <c r="Q321" s="81">
        <f t="shared" ca="1" si="68"/>
        <v>0</v>
      </c>
      <c r="R321" s="24">
        <f t="shared" ca="1" si="59"/>
        <v>5.8445097233074013E-2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>
      <c r="A322" s="87"/>
      <c r="B322" s="87"/>
      <c r="C322" s="87"/>
      <c r="D322" s="88">
        <f t="shared" si="56"/>
        <v>0</v>
      </c>
      <c r="E322" s="88">
        <f t="shared" si="56"/>
        <v>0</v>
      </c>
      <c r="F322" s="81">
        <f t="shared" si="57"/>
        <v>0</v>
      </c>
      <c r="G322" s="81">
        <f t="shared" si="57"/>
        <v>0</v>
      </c>
      <c r="H322" s="81">
        <f t="shared" si="60"/>
        <v>0</v>
      </c>
      <c r="I322" s="81">
        <f t="shared" si="61"/>
        <v>0</v>
      </c>
      <c r="J322" s="81">
        <f t="shared" si="62"/>
        <v>0</v>
      </c>
      <c r="K322" s="81">
        <f t="shared" si="63"/>
        <v>0</v>
      </c>
      <c r="L322" s="81">
        <f t="shared" si="64"/>
        <v>0</v>
      </c>
      <c r="M322" s="81">
        <f t="shared" ca="1" si="58"/>
        <v>-5.8445097233074013E-2</v>
      </c>
      <c r="N322" s="81">
        <f t="shared" ca="1" si="65"/>
        <v>0</v>
      </c>
      <c r="O322" s="39">
        <f t="shared" ca="1" si="66"/>
        <v>0</v>
      </c>
      <c r="P322" s="81">
        <f t="shared" ca="1" si="67"/>
        <v>0</v>
      </c>
      <c r="Q322" s="81">
        <f t="shared" ca="1" si="68"/>
        <v>0</v>
      </c>
      <c r="R322" s="24">
        <f t="shared" ca="1" si="59"/>
        <v>5.8445097233074013E-2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>
      <c r="A323" s="87"/>
      <c r="B323" s="87"/>
      <c r="C323" s="87"/>
      <c r="D323" s="88">
        <f t="shared" si="56"/>
        <v>0</v>
      </c>
      <c r="E323" s="88">
        <f t="shared" si="56"/>
        <v>0</v>
      </c>
      <c r="F323" s="81">
        <f t="shared" si="57"/>
        <v>0</v>
      </c>
      <c r="G323" s="81">
        <f t="shared" si="57"/>
        <v>0</v>
      </c>
      <c r="H323" s="81">
        <f t="shared" si="60"/>
        <v>0</v>
      </c>
      <c r="I323" s="81">
        <f t="shared" si="61"/>
        <v>0</v>
      </c>
      <c r="J323" s="81">
        <f t="shared" si="62"/>
        <v>0</v>
      </c>
      <c r="K323" s="81">
        <f t="shared" si="63"/>
        <v>0</v>
      </c>
      <c r="L323" s="81">
        <f t="shared" si="64"/>
        <v>0</v>
      </c>
      <c r="M323" s="81">
        <f t="shared" ca="1" si="58"/>
        <v>-5.8445097233074013E-2</v>
      </c>
      <c r="N323" s="81">
        <f t="shared" ca="1" si="65"/>
        <v>0</v>
      </c>
      <c r="O323" s="39">
        <f t="shared" ca="1" si="66"/>
        <v>0</v>
      </c>
      <c r="P323" s="81">
        <f t="shared" ca="1" si="67"/>
        <v>0</v>
      </c>
      <c r="Q323" s="81">
        <f t="shared" ca="1" si="68"/>
        <v>0</v>
      </c>
      <c r="R323" s="24">
        <f t="shared" ca="1" si="59"/>
        <v>5.8445097233074013E-2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>
      <c r="A324" s="87"/>
      <c r="B324" s="87"/>
      <c r="C324" s="87"/>
      <c r="D324" s="88">
        <f t="shared" si="56"/>
        <v>0</v>
      </c>
      <c r="E324" s="88">
        <f t="shared" si="56"/>
        <v>0</v>
      </c>
      <c r="F324" s="81">
        <f t="shared" si="57"/>
        <v>0</v>
      </c>
      <c r="G324" s="81">
        <f t="shared" si="57"/>
        <v>0</v>
      </c>
      <c r="H324" s="81">
        <f t="shared" si="60"/>
        <v>0</v>
      </c>
      <c r="I324" s="81">
        <f t="shared" si="61"/>
        <v>0</v>
      </c>
      <c r="J324" s="81">
        <f t="shared" si="62"/>
        <v>0</v>
      </c>
      <c r="K324" s="81">
        <f t="shared" si="63"/>
        <v>0</v>
      </c>
      <c r="L324" s="81">
        <f t="shared" si="64"/>
        <v>0</v>
      </c>
      <c r="M324" s="81">
        <f t="shared" ca="1" si="58"/>
        <v>-5.8445097233074013E-2</v>
      </c>
      <c r="N324" s="81">
        <f t="shared" ca="1" si="65"/>
        <v>0</v>
      </c>
      <c r="O324" s="39">
        <f t="shared" ca="1" si="66"/>
        <v>0</v>
      </c>
      <c r="P324" s="81">
        <f t="shared" ca="1" si="67"/>
        <v>0</v>
      </c>
      <c r="Q324" s="81">
        <f t="shared" ca="1" si="68"/>
        <v>0</v>
      </c>
      <c r="R324" s="24">
        <f t="shared" ca="1" si="59"/>
        <v>5.8445097233074013E-2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>
      <c r="A325" s="87"/>
      <c r="B325" s="87"/>
      <c r="C325" s="87"/>
      <c r="D325" s="88">
        <f t="shared" si="56"/>
        <v>0</v>
      </c>
      <c r="E325" s="88">
        <f t="shared" si="56"/>
        <v>0</v>
      </c>
      <c r="F325" s="81">
        <f t="shared" si="57"/>
        <v>0</v>
      </c>
      <c r="G325" s="81">
        <f t="shared" si="57"/>
        <v>0</v>
      </c>
      <c r="H325" s="81">
        <f t="shared" si="60"/>
        <v>0</v>
      </c>
      <c r="I325" s="81">
        <f t="shared" si="61"/>
        <v>0</v>
      </c>
      <c r="J325" s="81">
        <f t="shared" si="62"/>
        <v>0</v>
      </c>
      <c r="K325" s="81">
        <f t="shared" si="63"/>
        <v>0</v>
      </c>
      <c r="L325" s="81">
        <f t="shared" si="64"/>
        <v>0</v>
      </c>
      <c r="M325" s="81">
        <f t="shared" ca="1" si="58"/>
        <v>-5.8445097233074013E-2</v>
      </c>
      <c r="N325" s="81">
        <f t="shared" ca="1" si="65"/>
        <v>0</v>
      </c>
      <c r="O325" s="39">
        <f t="shared" ca="1" si="66"/>
        <v>0</v>
      </c>
      <c r="P325" s="81">
        <f t="shared" ca="1" si="67"/>
        <v>0</v>
      </c>
      <c r="Q325" s="81">
        <f t="shared" ca="1" si="68"/>
        <v>0</v>
      </c>
      <c r="R325" s="24">
        <f t="shared" ca="1" si="59"/>
        <v>5.8445097233074013E-2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>
      <c r="A326" s="87"/>
      <c r="B326" s="87"/>
      <c r="C326" s="87"/>
      <c r="D326" s="88">
        <f t="shared" si="56"/>
        <v>0</v>
      </c>
      <c r="E326" s="88">
        <f t="shared" si="56"/>
        <v>0</v>
      </c>
      <c r="F326" s="81">
        <f t="shared" si="57"/>
        <v>0</v>
      </c>
      <c r="G326" s="81">
        <f t="shared" si="57"/>
        <v>0</v>
      </c>
      <c r="H326" s="81">
        <f t="shared" si="60"/>
        <v>0</v>
      </c>
      <c r="I326" s="81">
        <f t="shared" si="61"/>
        <v>0</v>
      </c>
      <c r="J326" s="81">
        <f t="shared" si="62"/>
        <v>0</v>
      </c>
      <c r="K326" s="81">
        <f t="shared" si="63"/>
        <v>0</v>
      </c>
      <c r="L326" s="81">
        <f t="shared" si="64"/>
        <v>0</v>
      </c>
      <c r="M326" s="81">
        <f t="shared" ca="1" si="58"/>
        <v>-5.8445097233074013E-2</v>
      </c>
      <c r="N326" s="81">
        <f t="shared" ca="1" si="65"/>
        <v>0</v>
      </c>
      <c r="O326" s="39">
        <f t="shared" ca="1" si="66"/>
        <v>0</v>
      </c>
      <c r="P326" s="81">
        <f t="shared" ca="1" si="67"/>
        <v>0</v>
      </c>
      <c r="Q326" s="81">
        <f t="shared" ca="1" si="68"/>
        <v>0</v>
      </c>
      <c r="R326" s="24">
        <f t="shared" ca="1" si="59"/>
        <v>5.8445097233074013E-2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>
      <c r="A327" s="87"/>
      <c r="B327" s="87"/>
      <c r="C327" s="87"/>
      <c r="D327" s="88">
        <f t="shared" si="56"/>
        <v>0</v>
      </c>
      <c r="E327" s="88">
        <f t="shared" si="56"/>
        <v>0</v>
      </c>
      <c r="F327" s="81">
        <f t="shared" si="57"/>
        <v>0</v>
      </c>
      <c r="G327" s="81">
        <f t="shared" si="57"/>
        <v>0</v>
      </c>
      <c r="H327" s="81">
        <f t="shared" si="60"/>
        <v>0</v>
      </c>
      <c r="I327" s="81">
        <f t="shared" si="61"/>
        <v>0</v>
      </c>
      <c r="J327" s="81">
        <f t="shared" si="62"/>
        <v>0</v>
      </c>
      <c r="K327" s="81">
        <f t="shared" si="63"/>
        <v>0</v>
      </c>
      <c r="L327" s="81">
        <f t="shared" si="64"/>
        <v>0</v>
      </c>
      <c r="M327" s="81">
        <f t="shared" ca="1" si="58"/>
        <v>-5.8445097233074013E-2</v>
      </c>
      <c r="N327" s="81">
        <f t="shared" ca="1" si="65"/>
        <v>0</v>
      </c>
      <c r="O327" s="39">
        <f t="shared" ca="1" si="66"/>
        <v>0</v>
      </c>
      <c r="P327" s="81">
        <f t="shared" ca="1" si="67"/>
        <v>0</v>
      </c>
      <c r="Q327" s="81">
        <f t="shared" ca="1" si="68"/>
        <v>0</v>
      </c>
      <c r="R327" s="24">
        <f t="shared" ca="1" si="59"/>
        <v>5.8445097233074013E-2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>
      <c r="A328" s="87"/>
      <c r="B328" s="87"/>
      <c r="C328" s="87"/>
      <c r="D328" s="88">
        <f t="shared" si="56"/>
        <v>0</v>
      </c>
      <c r="E328" s="88">
        <f t="shared" si="56"/>
        <v>0</v>
      </c>
      <c r="F328" s="81">
        <f t="shared" si="57"/>
        <v>0</v>
      </c>
      <c r="G328" s="81">
        <f t="shared" si="57"/>
        <v>0</v>
      </c>
      <c r="H328" s="81">
        <f t="shared" si="60"/>
        <v>0</v>
      </c>
      <c r="I328" s="81">
        <f t="shared" si="61"/>
        <v>0</v>
      </c>
      <c r="J328" s="81">
        <f t="shared" si="62"/>
        <v>0</v>
      </c>
      <c r="K328" s="81">
        <f t="shared" si="63"/>
        <v>0</v>
      </c>
      <c r="L328" s="81">
        <f t="shared" si="64"/>
        <v>0</v>
      </c>
      <c r="M328" s="81">
        <f t="shared" ca="1" si="58"/>
        <v>-5.8445097233074013E-2</v>
      </c>
      <c r="N328" s="81">
        <f t="shared" ca="1" si="65"/>
        <v>0</v>
      </c>
      <c r="O328" s="39">
        <f t="shared" ca="1" si="66"/>
        <v>0</v>
      </c>
      <c r="P328" s="81">
        <f t="shared" ca="1" si="67"/>
        <v>0</v>
      </c>
      <c r="Q328" s="81">
        <f t="shared" ca="1" si="68"/>
        <v>0</v>
      </c>
      <c r="R328" s="24">
        <f t="shared" ca="1" si="59"/>
        <v>5.8445097233074013E-2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>
      <c r="A329" s="87"/>
      <c r="B329" s="87"/>
      <c r="C329" s="87"/>
      <c r="D329" s="88">
        <f t="shared" si="56"/>
        <v>0</v>
      </c>
      <c r="E329" s="88">
        <f t="shared" si="56"/>
        <v>0</v>
      </c>
      <c r="F329" s="81">
        <f t="shared" si="57"/>
        <v>0</v>
      </c>
      <c r="G329" s="81">
        <f t="shared" si="57"/>
        <v>0</v>
      </c>
      <c r="H329" s="81">
        <f t="shared" si="60"/>
        <v>0</v>
      </c>
      <c r="I329" s="81">
        <f t="shared" si="61"/>
        <v>0</v>
      </c>
      <c r="J329" s="81">
        <f t="shared" si="62"/>
        <v>0</v>
      </c>
      <c r="K329" s="81">
        <f t="shared" si="63"/>
        <v>0</v>
      </c>
      <c r="L329" s="81">
        <f t="shared" si="64"/>
        <v>0</v>
      </c>
      <c r="M329" s="81">
        <f t="shared" ca="1" si="58"/>
        <v>-5.8445097233074013E-2</v>
      </c>
      <c r="N329" s="81">
        <f t="shared" ca="1" si="65"/>
        <v>0</v>
      </c>
      <c r="O329" s="39">
        <f t="shared" ca="1" si="66"/>
        <v>0</v>
      </c>
      <c r="P329" s="81">
        <f t="shared" ca="1" si="67"/>
        <v>0</v>
      </c>
      <c r="Q329" s="81">
        <f t="shared" ca="1" si="68"/>
        <v>0</v>
      </c>
      <c r="R329" s="24">
        <f t="shared" ca="1" si="59"/>
        <v>5.8445097233074013E-2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>
      <c r="A330" s="87"/>
      <c r="B330" s="87"/>
      <c r="C330" s="87"/>
      <c r="D330" s="88">
        <f t="shared" si="56"/>
        <v>0</v>
      </c>
      <c r="E330" s="88">
        <f t="shared" si="56"/>
        <v>0</v>
      </c>
      <c r="F330" s="81">
        <f t="shared" si="57"/>
        <v>0</v>
      </c>
      <c r="G330" s="81">
        <f t="shared" si="57"/>
        <v>0</v>
      </c>
      <c r="H330" s="81">
        <f t="shared" si="60"/>
        <v>0</v>
      </c>
      <c r="I330" s="81">
        <f t="shared" si="61"/>
        <v>0</v>
      </c>
      <c r="J330" s="81">
        <f t="shared" si="62"/>
        <v>0</v>
      </c>
      <c r="K330" s="81">
        <f t="shared" si="63"/>
        <v>0</v>
      </c>
      <c r="L330" s="81">
        <f t="shared" si="64"/>
        <v>0</v>
      </c>
      <c r="M330" s="81">
        <f t="shared" ca="1" si="58"/>
        <v>-5.8445097233074013E-2</v>
      </c>
      <c r="N330" s="81">
        <f t="shared" ca="1" si="65"/>
        <v>0</v>
      </c>
      <c r="O330" s="39">
        <f t="shared" ca="1" si="66"/>
        <v>0</v>
      </c>
      <c r="P330" s="81">
        <f t="shared" ca="1" si="67"/>
        <v>0</v>
      </c>
      <c r="Q330" s="81">
        <f t="shared" ca="1" si="68"/>
        <v>0</v>
      </c>
      <c r="R330" s="24">
        <f t="shared" ca="1" si="59"/>
        <v>5.8445097233074013E-2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>
      <c r="A331" s="87"/>
      <c r="B331" s="87"/>
      <c r="C331" s="87"/>
      <c r="D331" s="88">
        <f t="shared" si="56"/>
        <v>0</v>
      </c>
      <c r="E331" s="88">
        <f t="shared" si="56"/>
        <v>0</v>
      </c>
      <c r="F331" s="81">
        <f t="shared" si="57"/>
        <v>0</v>
      </c>
      <c r="G331" s="81">
        <f t="shared" si="57"/>
        <v>0</v>
      </c>
      <c r="H331" s="81">
        <f t="shared" si="60"/>
        <v>0</v>
      </c>
      <c r="I331" s="81">
        <f t="shared" si="61"/>
        <v>0</v>
      </c>
      <c r="J331" s="81">
        <f t="shared" si="62"/>
        <v>0</v>
      </c>
      <c r="K331" s="81">
        <f t="shared" si="63"/>
        <v>0</v>
      </c>
      <c r="L331" s="81">
        <f t="shared" si="64"/>
        <v>0</v>
      </c>
      <c r="M331" s="81">
        <f t="shared" ca="1" si="58"/>
        <v>-5.8445097233074013E-2</v>
      </c>
      <c r="N331" s="81">
        <f t="shared" ca="1" si="65"/>
        <v>0</v>
      </c>
      <c r="O331" s="39">
        <f t="shared" ca="1" si="66"/>
        <v>0</v>
      </c>
      <c r="P331" s="81">
        <f t="shared" ca="1" si="67"/>
        <v>0</v>
      </c>
      <c r="Q331" s="81">
        <f t="shared" ca="1" si="68"/>
        <v>0</v>
      </c>
      <c r="R331" s="24">
        <f t="shared" ca="1" si="59"/>
        <v>5.8445097233074013E-2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>
      <c r="A332" s="87"/>
      <c r="B332" s="87"/>
      <c r="C332" s="87"/>
      <c r="D332" s="88">
        <f t="shared" si="56"/>
        <v>0</v>
      </c>
      <c r="E332" s="88">
        <f t="shared" si="56"/>
        <v>0</v>
      </c>
      <c r="F332" s="81">
        <f t="shared" si="57"/>
        <v>0</v>
      </c>
      <c r="G332" s="81">
        <f t="shared" si="57"/>
        <v>0</v>
      </c>
      <c r="H332" s="81">
        <f t="shared" si="60"/>
        <v>0</v>
      </c>
      <c r="I332" s="81">
        <f t="shared" si="61"/>
        <v>0</v>
      </c>
      <c r="J332" s="81">
        <f t="shared" si="62"/>
        <v>0</v>
      </c>
      <c r="K332" s="81">
        <f t="shared" si="63"/>
        <v>0</v>
      </c>
      <c r="L332" s="81">
        <f t="shared" si="64"/>
        <v>0</v>
      </c>
      <c r="M332" s="81">
        <f t="shared" ca="1" si="58"/>
        <v>-5.8445097233074013E-2</v>
      </c>
      <c r="N332" s="81">
        <f t="shared" ca="1" si="65"/>
        <v>0</v>
      </c>
      <c r="O332" s="39">
        <f t="shared" ca="1" si="66"/>
        <v>0</v>
      </c>
      <c r="P332" s="81">
        <f t="shared" ca="1" si="67"/>
        <v>0</v>
      </c>
      <c r="Q332" s="81">
        <f t="shared" ca="1" si="68"/>
        <v>0</v>
      </c>
      <c r="R332" s="24">
        <f t="shared" ca="1" si="59"/>
        <v>5.8445097233074013E-2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>
      <c r="A333" s="87"/>
      <c r="B333" s="87"/>
      <c r="C333" s="87"/>
      <c r="D333" s="88">
        <f t="shared" si="56"/>
        <v>0</v>
      </c>
      <c r="E333" s="88">
        <f t="shared" si="56"/>
        <v>0</v>
      </c>
      <c r="F333" s="81">
        <f t="shared" si="57"/>
        <v>0</v>
      </c>
      <c r="G333" s="81">
        <f t="shared" si="57"/>
        <v>0</v>
      </c>
      <c r="H333" s="81">
        <f t="shared" si="60"/>
        <v>0</v>
      </c>
      <c r="I333" s="81">
        <f t="shared" si="61"/>
        <v>0</v>
      </c>
      <c r="J333" s="81">
        <f t="shared" si="62"/>
        <v>0</v>
      </c>
      <c r="K333" s="81">
        <f t="shared" si="63"/>
        <v>0</v>
      </c>
      <c r="L333" s="81">
        <f t="shared" si="64"/>
        <v>0</v>
      </c>
      <c r="M333" s="81">
        <f t="shared" ca="1" si="58"/>
        <v>-5.8445097233074013E-2</v>
      </c>
      <c r="N333" s="81">
        <f t="shared" ca="1" si="65"/>
        <v>0</v>
      </c>
      <c r="O333" s="39">
        <f t="shared" ca="1" si="66"/>
        <v>0</v>
      </c>
      <c r="P333" s="81">
        <f t="shared" ca="1" si="67"/>
        <v>0</v>
      </c>
      <c r="Q333" s="81">
        <f t="shared" ca="1" si="68"/>
        <v>0</v>
      </c>
      <c r="R333" s="24">
        <f t="shared" ca="1" si="59"/>
        <v>5.8445097233074013E-2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>
      <c r="A334" s="87"/>
      <c r="B334" s="87"/>
      <c r="C334" s="87"/>
      <c r="D334" s="88">
        <f t="shared" si="56"/>
        <v>0</v>
      </c>
      <c r="E334" s="88">
        <f t="shared" si="56"/>
        <v>0</v>
      </c>
      <c r="F334" s="81">
        <f t="shared" si="57"/>
        <v>0</v>
      </c>
      <c r="G334" s="81">
        <f t="shared" si="57"/>
        <v>0</v>
      </c>
      <c r="H334" s="81">
        <f t="shared" si="60"/>
        <v>0</v>
      </c>
      <c r="I334" s="81">
        <f t="shared" si="61"/>
        <v>0</v>
      </c>
      <c r="J334" s="81">
        <f t="shared" si="62"/>
        <v>0</v>
      </c>
      <c r="K334" s="81">
        <f t="shared" si="63"/>
        <v>0</v>
      </c>
      <c r="L334" s="81">
        <f t="shared" si="64"/>
        <v>0</v>
      </c>
      <c r="M334" s="81">
        <f t="shared" ca="1" si="58"/>
        <v>-5.8445097233074013E-2</v>
      </c>
      <c r="N334" s="81">
        <f t="shared" ca="1" si="65"/>
        <v>0</v>
      </c>
      <c r="O334" s="39">
        <f t="shared" ca="1" si="66"/>
        <v>0</v>
      </c>
      <c r="P334" s="81">
        <f t="shared" ca="1" si="67"/>
        <v>0</v>
      </c>
      <c r="Q334" s="81">
        <f t="shared" ca="1" si="68"/>
        <v>0</v>
      </c>
      <c r="R334" s="24">
        <f t="shared" ca="1" si="59"/>
        <v>5.8445097233074013E-2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>
      <c r="A335" s="87"/>
      <c r="B335" s="87"/>
      <c r="C335" s="87"/>
      <c r="D335" s="88">
        <f>A335/A$18</f>
        <v>0</v>
      </c>
      <c r="E335" s="88">
        <f>B335/B$18</f>
        <v>0</v>
      </c>
      <c r="F335" s="81">
        <f>$C335*D335</f>
        <v>0</v>
      </c>
      <c r="G335" s="81">
        <f>$C335*E335</f>
        <v>0</v>
      </c>
      <c r="H335" s="81">
        <f>C335*D335*D335</f>
        <v>0</v>
      </c>
      <c r="I335" s="81">
        <f>C335*D335*D335*D335</f>
        <v>0</v>
      </c>
      <c r="J335" s="81">
        <f>C335*D335*D335*D335*D335</f>
        <v>0</v>
      </c>
      <c r="K335" s="81">
        <f>C335*E335*D335</f>
        <v>0</v>
      </c>
      <c r="L335" s="81">
        <f>C335*E335*D335*D335</f>
        <v>0</v>
      </c>
      <c r="M335" s="81">
        <f t="shared" ca="1" si="58"/>
        <v>-5.8445097233074013E-2</v>
      </c>
      <c r="N335" s="81">
        <f ca="1">C335*(M335-E335)^2</f>
        <v>0</v>
      </c>
      <c r="O335" s="39">
        <f ca="1">(C335*O$1-O$2*F335+O$3*H335)^2</f>
        <v>0</v>
      </c>
      <c r="P335" s="81">
        <f ca="1">(-C335*O$2+O$4*F335-O$5*H335)^2</f>
        <v>0</v>
      </c>
      <c r="Q335" s="81">
        <f ca="1">+(C335*O$3-F335*O$5+H335*O$6)^2</f>
        <v>0</v>
      </c>
      <c r="R335" s="24">
        <f t="shared" ca="1" si="59"/>
        <v>5.8445097233074013E-2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1: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1: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1: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</sheetData>
  <phoneticPr fontId="2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CN2536"/>
  <sheetViews>
    <sheetView workbookViewId="0">
      <pane ySplit="20" topLeftCell="A107" activePane="bottomLeft" state="frozen"/>
      <selection pane="bottomLeft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32" width="10.28515625" customWidth="1"/>
    <col min="33" max="33" width="12.140625" customWidth="1"/>
    <col min="34" max="34" width="9.42578125" customWidth="1"/>
    <col min="35" max="37" width="10.42578125" customWidth="1"/>
    <col min="38" max="38" width="10.5703125" customWidth="1"/>
    <col min="39" max="39" width="10.28515625" customWidth="1"/>
    <col min="40" max="43" width="9.42578125" customWidth="1"/>
    <col min="44" max="58" width="10.28515625" customWidth="1"/>
    <col min="59" max="59" width="11.85546875" customWidth="1"/>
    <col min="60" max="60" width="14.7109375" customWidth="1"/>
    <col min="61" max="92" width="10.28515625" customWidth="1"/>
  </cols>
  <sheetData>
    <row r="1" spans="1:70" ht="21" thickBot="1">
      <c r="A1" s="1" t="s">
        <v>115</v>
      </c>
      <c r="T1" s="194" t="s">
        <v>770</v>
      </c>
      <c r="U1" s="200">
        <v>2.6877312682066584E-2</v>
      </c>
      <c r="V1" s="200">
        <v>8.8554767790718335E-8</v>
      </c>
      <c r="W1" s="200">
        <v>-4.1185468804396384E-11</v>
      </c>
      <c r="X1" s="200">
        <v>3.4034449504333014E-2</v>
      </c>
      <c r="Y1" s="200">
        <v>6.7292269258272474E-4</v>
      </c>
      <c r="Z1" s="200">
        <v>81.013543545423261</v>
      </c>
      <c r="AA1" s="200">
        <v>270.4260712713475</v>
      </c>
      <c r="AB1" s="200">
        <v>34202.414386128716</v>
      </c>
      <c r="AC1" s="200">
        <v>5.8968778820341701</v>
      </c>
      <c r="AD1" s="194">
        <v>3.124288605428284E-2</v>
      </c>
      <c r="AE1" s="194">
        <v>-9.1193827569954134E-8</v>
      </c>
      <c r="AG1" s="159" t="s">
        <v>24</v>
      </c>
      <c r="AH1" s="160"/>
      <c r="AI1" s="160" t="s">
        <v>25</v>
      </c>
      <c r="AJ1" s="160" t="s">
        <v>26</v>
      </c>
      <c r="AK1" s="98"/>
      <c r="AS1" s="106"/>
      <c r="BC1" s="161" t="s">
        <v>65</v>
      </c>
      <c r="BD1" s="162" t="s">
        <v>20</v>
      </c>
      <c r="BE1" s="8" t="s">
        <v>27</v>
      </c>
      <c r="BF1" s="163" t="s">
        <v>28</v>
      </c>
      <c r="BG1" s="164" t="s">
        <v>29</v>
      </c>
      <c r="BH1" s="163" t="s">
        <v>30</v>
      </c>
      <c r="BI1" s="164" t="s">
        <v>31</v>
      </c>
      <c r="BJ1" s="163" t="s">
        <v>32</v>
      </c>
      <c r="BK1" s="165" t="s">
        <v>757</v>
      </c>
      <c r="BL1" s="164" t="s">
        <v>758</v>
      </c>
      <c r="BM1" s="163" t="s">
        <v>759</v>
      </c>
      <c r="BN1" s="165" t="s">
        <v>760</v>
      </c>
      <c r="BO1" s="164" t="s">
        <v>761</v>
      </c>
      <c r="BP1" s="163" t="s">
        <v>762</v>
      </c>
      <c r="BQ1" s="165" t="s">
        <v>763</v>
      </c>
      <c r="BR1" s="164" t="s">
        <v>188</v>
      </c>
    </row>
    <row r="2" spans="1:70" ht="16.5" thickBot="1">
      <c r="A2" t="s">
        <v>80</v>
      </c>
      <c r="B2" t="s">
        <v>85</v>
      </c>
      <c r="D2" s="197" t="s">
        <v>13</v>
      </c>
      <c r="E2" s="198"/>
      <c r="T2" s="5"/>
      <c r="U2" s="201" t="s">
        <v>40</v>
      </c>
      <c r="V2" s="202" t="s">
        <v>41</v>
      </c>
      <c r="W2" s="203" t="s">
        <v>23</v>
      </c>
      <c r="X2" s="203" t="s">
        <v>771</v>
      </c>
      <c r="Y2" s="202" t="s">
        <v>48</v>
      </c>
      <c r="Z2" s="202" t="s">
        <v>772</v>
      </c>
      <c r="AA2" s="204" t="s">
        <v>773</v>
      </c>
      <c r="AB2" s="202" t="s">
        <v>774</v>
      </c>
      <c r="AC2" s="202" t="s">
        <v>775</v>
      </c>
      <c r="AD2" s="202" t="s">
        <v>776</v>
      </c>
      <c r="AE2" s="202" t="s">
        <v>236</v>
      </c>
      <c r="AG2" s="166" t="s">
        <v>0</v>
      </c>
      <c r="AH2" s="167">
        <f>C7</f>
        <v>44559.960400000004</v>
      </c>
      <c r="AI2" s="168" t="s">
        <v>1</v>
      </c>
      <c r="AJ2" s="167">
        <f>C8</f>
        <v>0.32990348200000003</v>
      </c>
      <c r="AK2" s="169" t="s">
        <v>21</v>
      </c>
      <c r="AR2" s="5"/>
      <c r="AU2" t="s">
        <v>767</v>
      </c>
      <c r="AV2" t="s">
        <v>768</v>
      </c>
      <c r="BC2">
        <v>-5000</v>
      </c>
      <c r="BD2">
        <f t="shared" ref="BD2:BD26" si="0">AH$3+AH$4*BC2+AH$5*BC2^2+BF2</f>
        <v>-6.9983170174548852E-3</v>
      </c>
      <c r="BE2">
        <f t="shared" ref="BE2:BE26" si="1">AH$3+AH$4*BC2+AH$5*BC2^2</f>
        <v>2.1667899752223843E-2</v>
      </c>
      <c r="BF2" s="101">
        <f t="shared" ref="BF2:BF26" si="2">$AH$6*($AH$11/BG2*BH2+$AH$12)</f>
        <v>-2.8666216769678728E-2</v>
      </c>
      <c r="BG2">
        <f t="shared" ref="BG2:BG26" si="3">1+$AH$7*COS(BI2)</f>
        <v>0.99931620557931</v>
      </c>
      <c r="BH2">
        <f t="shared" ref="BH2:BH26" si="4">SIN(BI2+RADIANS($AH$9))</f>
        <v>-0.98054239022185352</v>
      </c>
      <c r="BI2">
        <f t="shared" ref="BI2:BI26" si="5">2*ATAN(BJ2)</f>
        <v>-1.9744880061345922</v>
      </c>
      <c r="BJ2">
        <f t="shared" ref="BJ2:BJ26" si="6">SQRT((1+$AH$7)/(1-$AH$7))*TAN(BK2/2)</f>
        <v>-1.5145607043530103</v>
      </c>
      <c r="BK2">
        <f t="shared" ref="BK2:BQ11" si="7">$BR2+$AH$7*SIN(BL2)</f>
        <v>4.3102986730702622</v>
      </c>
      <c r="BL2">
        <f t="shared" si="7"/>
        <v>4.3102986730702622</v>
      </c>
      <c r="BM2">
        <f t="shared" si="7"/>
        <v>4.3102986730702622</v>
      </c>
      <c r="BN2">
        <f t="shared" si="7"/>
        <v>4.3102986730702622</v>
      </c>
      <c r="BO2">
        <f t="shared" si="7"/>
        <v>4.3102986730697568</v>
      </c>
      <c r="BP2">
        <f t="shared" si="7"/>
        <v>4.3102986738122704</v>
      </c>
      <c r="BQ2">
        <f t="shared" si="7"/>
        <v>4.3102975838523978</v>
      </c>
      <c r="BR2">
        <f t="shared" ref="BR2:BR33" si="8">RADIANS($AH$9)+$AH$18*(BC2-AH$15)</f>
        <v>4.3119005896760907</v>
      </c>
    </row>
    <row r="3" spans="1:70" ht="13.5" thickBot="1">
      <c r="A3" s="47"/>
      <c r="T3" s="5"/>
      <c r="U3">
        <f>AH3</f>
        <v>2.4318511163065756E-2</v>
      </c>
      <c r="V3">
        <f>AH4</f>
        <v>3.2084910003963244E-7</v>
      </c>
      <c r="W3">
        <f>AH5</f>
        <v>-4.1854636425750046E-11</v>
      </c>
      <c r="X3">
        <f>AH6</f>
        <v>2.9244508737072798E-2</v>
      </c>
      <c r="Y3">
        <f>AH7</f>
        <v>1.7407501736083366E-3</v>
      </c>
      <c r="Z3">
        <f>AH8</f>
        <v>76.321891664662473</v>
      </c>
      <c r="AA3">
        <f>AH9</f>
        <v>34.450941659000797</v>
      </c>
      <c r="AB3">
        <f>AH10</f>
        <v>26447.916710429596</v>
      </c>
      <c r="AC3">
        <f>AH13</f>
        <v>5.0669630111291912</v>
      </c>
      <c r="AD3">
        <f>AH17</f>
        <v>2.2332891186966616E-2</v>
      </c>
      <c r="AE3">
        <f>AH14</f>
        <v>-9.2675514156234022E-8</v>
      </c>
      <c r="AF3" s="172">
        <v>2.6877312682066585</v>
      </c>
      <c r="AG3" s="170" t="s">
        <v>40</v>
      </c>
      <c r="AH3" s="171">
        <f t="shared" ref="AH3:AH10" si="9">AI3*AJ3</f>
        <v>2.4318511163065756E-2</v>
      </c>
      <c r="AI3" s="172">
        <v>2.4318511163065755</v>
      </c>
      <c r="AJ3">
        <v>0.01</v>
      </c>
      <c r="AK3" s="173"/>
      <c r="AL3" s="172">
        <v>1.7813840659551923</v>
      </c>
      <c r="AM3" s="172">
        <v>1.7343844100397112</v>
      </c>
      <c r="AN3" s="172">
        <v>1.4587207211974407</v>
      </c>
      <c r="AO3" s="172">
        <v>1.7683715264997735</v>
      </c>
      <c r="AP3" s="172">
        <v>1.9681858846215281</v>
      </c>
      <c r="AQ3" s="172"/>
      <c r="AR3" s="172"/>
      <c r="AS3" s="172"/>
      <c r="AU3">
        <f t="shared" ref="AU3:AU10" si="10">AVERAGE(AL3:AS3)</f>
        <v>1.7422093216627292</v>
      </c>
      <c r="AV3">
        <f t="shared" ref="AV3:AV10" si="11">STDEV(AL3:AS3)</f>
        <v>0.18283294587865132</v>
      </c>
      <c r="BC3">
        <v>-4500</v>
      </c>
      <c r="BD3">
        <f t="shared" si="0"/>
        <v>-6.404333885421519E-3</v>
      </c>
      <c r="BE3">
        <f t="shared" si="1"/>
        <v>2.2027133825265974E-2</v>
      </c>
      <c r="BF3" s="101">
        <f t="shared" si="2"/>
        <v>-2.8431467710687493E-2</v>
      </c>
      <c r="BG3">
        <f t="shared" si="3"/>
        <v>0.99937610396301424</v>
      </c>
      <c r="BH3">
        <f t="shared" si="4"/>
        <v>-0.97257903126301248</v>
      </c>
      <c r="BI3">
        <f t="shared" si="5"/>
        <v>-1.9373566769505564</v>
      </c>
      <c r="BJ3">
        <f t="shared" si="6"/>
        <v>-1.4550732531328554</v>
      </c>
      <c r="BK3">
        <f t="shared" si="7"/>
        <v>4.3474542427911089</v>
      </c>
      <c r="BL3">
        <f t="shared" si="7"/>
        <v>4.3474542427911089</v>
      </c>
      <c r="BM3">
        <f t="shared" si="7"/>
        <v>4.3474542427911089</v>
      </c>
      <c r="BN3">
        <f t="shared" si="7"/>
        <v>4.3474542427911089</v>
      </c>
      <c r="BO3">
        <f t="shared" si="7"/>
        <v>4.3474542427907199</v>
      </c>
      <c r="BP3">
        <f t="shared" si="7"/>
        <v>4.3474542434173831</v>
      </c>
      <c r="BQ3">
        <f t="shared" si="7"/>
        <v>4.3474532347109536</v>
      </c>
      <c r="BR3">
        <f t="shared" si="8"/>
        <v>4.3490803594384841</v>
      </c>
    </row>
    <row r="4" spans="1:70" ht="14.25" thickTop="1" thickBot="1">
      <c r="A4" s="7" t="s">
        <v>56</v>
      </c>
      <c r="C4" s="2">
        <v>44559.960400000004</v>
      </c>
      <c r="D4" s="3">
        <v>0.32991700000000002</v>
      </c>
      <c r="E4" s="33" t="s">
        <v>256</v>
      </c>
      <c r="T4" s="5"/>
      <c r="AF4" s="176">
        <v>8.8554767790718344E-2</v>
      </c>
      <c r="AG4" s="174" t="s">
        <v>41</v>
      </c>
      <c r="AH4" s="175">
        <f t="shared" si="9"/>
        <v>3.2084910003963244E-7</v>
      </c>
      <c r="AI4" s="176">
        <v>0.32084910003963246</v>
      </c>
      <c r="AJ4" s="107">
        <v>9.9999999999999995E-7</v>
      </c>
      <c r="AK4" s="173"/>
      <c r="AL4" s="176">
        <v>0.36948884846524294</v>
      </c>
      <c r="AM4" s="176">
        <v>0.25011002146755551</v>
      </c>
      <c r="AN4" s="176">
        <v>0.54418870863791924</v>
      </c>
      <c r="AO4" s="176">
        <v>0.45107952923456962</v>
      </c>
      <c r="AP4" s="176">
        <v>2.2994929098491029E-2</v>
      </c>
      <c r="AQ4" s="176"/>
      <c r="AR4" s="176"/>
      <c r="AS4" s="176"/>
      <c r="AU4">
        <f t="shared" si="10"/>
        <v>0.32757240738075566</v>
      </c>
      <c r="AV4">
        <f t="shared" si="11"/>
        <v>0.20168135800086068</v>
      </c>
      <c r="BC4">
        <v>-4000</v>
      </c>
      <c r="BD4">
        <f t="shared" si="0"/>
        <v>-5.7920141910329584E-3</v>
      </c>
      <c r="BE4">
        <f t="shared" si="1"/>
        <v>2.2365440580095226E-2</v>
      </c>
      <c r="BF4" s="101">
        <f t="shared" si="2"/>
        <v>-2.8157454771128184E-2</v>
      </c>
      <c r="BG4">
        <f t="shared" si="3"/>
        <v>0.99943686982138424</v>
      </c>
      <c r="BH4">
        <f t="shared" si="4"/>
        <v>-0.96327369297996424</v>
      </c>
      <c r="BI4">
        <f t="shared" si="5"/>
        <v>-1.9002208637627129</v>
      </c>
      <c r="BJ4">
        <f t="shared" si="6"/>
        <v>-1.3987090182374746</v>
      </c>
      <c r="BK4">
        <f t="shared" si="7"/>
        <v>4.3846120559096233</v>
      </c>
      <c r="BL4">
        <f t="shared" si="7"/>
        <v>4.3846120559096233</v>
      </c>
      <c r="BM4">
        <f t="shared" si="7"/>
        <v>4.3846120559096233</v>
      </c>
      <c r="BN4">
        <f t="shared" si="7"/>
        <v>4.3846120559096233</v>
      </c>
      <c r="BO4">
        <f t="shared" si="7"/>
        <v>4.3846120559093338</v>
      </c>
      <c r="BP4">
        <f t="shared" si="7"/>
        <v>4.384612056425973</v>
      </c>
      <c r="BQ4">
        <f t="shared" si="7"/>
        <v>4.3846111345423369</v>
      </c>
      <c r="BR4">
        <f t="shared" si="8"/>
        <v>4.3862601292008785</v>
      </c>
    </row>
    <row r="5" spans="1:70" ht="13.5" thickTop="1">
      <c r="A5" t="s">
        <v>225</v>
      </c>
      <c r="C5" s="23">
        <v>7</v>
      </c>
      <c r="D5" s="106" t="s">
        <v>226</v>
      </c>
      <c r="S5" s="7" t="s">
        <v>777</v>
      </c>
      <c r="T5" s="5"/>
      <c r="U5" s="58">
        <f t="shared" ref="U5:AE5" si="12">(U3-U1)^2</f>
        <v>6.5474652136409442E-6</v>
      </c>
      <c r="V5" s="58">
        <f t="shared" si="12"/>
        <v>5.3960656794968891E-14</v>
      </c>
      <c r="W5" s="58">
        <f t="shared" si="12"/>
        <v>4.4778530546811712E-25</v>
      </c>
      <c r="X5" s="58">
        <f t="shared" si="12"/>
        <v>2.2943532553861392E-5</v>
      </c>
      <c r="Y5" s="58">
        <f t="shared" si="12"/>
        <v>1.1402555292335035E-6</v>
      </c>
      <c r="Z5" s="58">
        <f t="shared" si="12"/>
        <v>22.011597370246232</v>
      </c>
      <c r="AA5" s="58">
        <f t="shared" si="12"/>
        <v>55684.261795563827</v>
      </c>
      <c r="AB5" s="58">
        <f t="shared" si="12"/>
        <v>60132234.202423051</v>
      </c>
      <c r="AC5" s="58">
        <f t="shared" si="12"/>
        <v>0.68875869294922765</v>
      </c>
      <c r="AD5" s="58">
        <f t="shared" si="12"/>
        <v>7.9388008535601445E-5</v>
      </c>
      <c r="AE5" s="58">
        <f t="shared" si="12"/>
        <v>2.1953951399617491E-18</v>
      </c>
      <c r="AF5" s="176">
        <v>-4.1185468804396388</v>
      </c>
      <c r="AG5" s="174" t="s">
        <v>23</v>
      </c>
      <c r="AH5" s="175">
        <f t="shared" si="9"/>
        <v>-4.1854636425750046E-11</v>
      </c>
      <c r="AI5" s="176">
        <v>-4.1854636425750051</v>
      </c>
      <c r="AJ5">
        <v>9.9999999999999994E-12</v>
      </c>
      <c r="AK5" s="173"/>
      <c r="AL5" s="176">
        <v>-3.4080999150965301</v>
      </c>
      <c r="AM5" s="176">
        <v>-3.0630366608811848</v>
      </c>
      <c r="AN5" s="176">
        <v>-2.9585650887825721</v>
      </c>
      <c r="AO5" s="176">
        <v>-3.4052818052172809</v>
      </c>
      <c r="AP5" s="176">
        <v>-2.7516149195773005</v>
      </c>
      <c r="AQ5" s="176"/>
      <c r="AR5" s="176"/>
      <c r="AS5" s="176"/>
      <c r="AU5">
        <f t="shared" si="10"/>
        <v>-3.1173196779109738</v>
      </c>
      <c r="AV5">
        <f t="shared" si="11"/>
        <v>0.2869516374215072</v>
      </c>
      <c r="BC5">
        <v>-3500</v>
      </c>
      <c r="BD5">
        <f t="shared" si="0"/>
        <v>-5.1617288733489877E-3</v>
      </c>
      <c r="BE5">
        <f t="shared" si="1"/>
        <v>2.2682820016711604E-2</v>
      </c>
      <c r="BF5" s="101">
        <f t="shared" si="2"/>
        <v>-2.7844548890060591E-2</v>
      </c>
      <c r="BG5">
        <f t="shared" si="3"/>
        <v>0.99949841976291387</v>
      </c>
      <c r="BH5">
        <f t="shared" si="4"/>
        <v>-0.95263870448797539</v>
      </c>
      <c r="BI5">
        <f t="shared" si="5"/>
        <v>-1.863080504920863</v>
      </c>
      <c r="BJ5">
        <f t="shared" si="6"/>
        <v>-1.3451922891880768</v>
      </c>
      <c r="BK5">
        <f t="shared" si="7"/>
        <v>4.4217721431318679</v>
      </c>
      <c r="BL5">
        <f t="shared" si="7"/>
        <v>4.4217721431318679</v>
      </c>
      <c r="BM5">
        <f t="shared" si="7"/>
        <v>4.4217721431318679</v>
      </c>
      <c r="BN5">
        <f t="shared" si="7"/>
        <v>4.4217721431318679</v>
      </c>
      <c r="BO5">
        <f t="shared" si="7"/>
        <v>4.421772143131661</v>
      </c>
      <c r="BP5">
        <f t="shared" si="7"/>
        <v>4.4217721435456516</v>
      </c>
      <c r="BQ5">
        <f t="shared" si="7"/>
        <v>4.4217713135746424</v>
      </c>
      <c r="BR5">
        <f t="shared" si="8"/>
        <v>4.4234398989632719</v>
      </c>
    </row>
    <row r="6" spans="1:70">
      <c r="A6" s="7" t="s">
        <v>57</v>
      </c>
      <c r="T6" s="5"/>
      <c r="AF6" s="176">
        <v>3.4034449504333013</v>
      </c>
      <c r="AG6" s="174" t="s">
        <v>42</v>
      </c>
      <c r="AH6" s="175">
        <f t="shared" si="9"/>
        <v>2.9244508737072798E-2</v>
      </c>
      <c r="AI6" s="176">
        <v>2.9244508737072796</v>
      </c>
      <c r="AJ6">
        <v>0.01</v>
      </c>
      <c r="AK6" s="173" t="s">
        <v>21</v>
      </c>
      <c r="AL6" s="176">
        <v>2.5792486922310491</v>
      </c>
      <c r="AM6" s="176">
        <v>2.6686665160381819</v>
      </c>
      <c r="AN6" s="176">
        <v>2.006589807641018</v>
      </c>
      <c r="AO6" s="176">
        <v>2.3396545201113832</v>
      </c>
      <c r="AP6" s="176">
        <v>2.8317626061992152</v>
      </c>
      <c r="AQ6" s="176"/>
      <c r="AR6" s="176"/>
      <c r="AS6" s="176"/>
      <c r="AU6">
        <f t="shared" si="10"/>
        <v>2.4851844284441693</v>
      </c>
      <c r="AV6">
        <f t="shared" si="11"/>
        <v>0.32127167660980666</v>
      </c>
      <c r="BC6">
        <v>-3000</v>
      </c>
      <c r="BD6">
        <f t="shared" si="0"/>
        <v>-4.5139025943871577E-3</v>
      </c>
      <c r="BE6">
        <f t="shared" si="1"/>
        <v>2.2979272135115109E-2</v>
      </c>
      <c r="BF6">
        <f t="shared" si="2"/>
        <v>-2.7493174729502266E-2</v>
      </c>
      <c r="BG6">
        <f t="shared" si="3"/>
        <v>0.99956066925787135</v>
      </c>
      <c r="BH6">
        <f t="shared" si="4"/>
        <v>-0.94068823024823667</v>
      </c>
      <c r="BI6">
        <f t="shared" si="5"/>
        <v>-1.8259355450046004</v>
      </c>
      <c r="BJ6">
        <f t="shared" si="6"/>
        <v>-1.2942782800878532</v>
      </c>
      <c r="BK6">
        <f t="shared" si="7"/>
        <v>4.458934532041912</v>
      </c>
      <c r="BL6">
        <f t="shared" si="7"/>
        <v>4.458934532041912</v>
      </c>
      <c r="BM6">
        <f t="shared" si="7"/>
        <v>4.458934532041912</v>
      </c>
      <c r="BN6">
        <f t="shared" si="7"/>
        <v>4.458934532041912</v>
      </c>
      <c r="BO6">
        <f t="shared" si="7"/>
        <v>4.4589345320417726</v>
      </c>
      <c r="BP6">
        <f t="shared" si="7"/>
        <v>4.4589345323619298</v>
      </c>
      <c r="BQ6">
        <f t="shared" si="7"/>
        <v>4.4589337988857096</v>
      </c>
      <c r="BR6">
        <f t="shared" si="8"/>
        <v>4.4606196687256663</v>
      </c>
    </row>
    <row r="7" spans="1:70">
      <c r="A7" t="s">
        <v>58</v>
      </c>
      <c r="C7">
        <v>44559.960400000004</v>
      </c>
      <c r="T7" s="5"/>
      <c r="AF7" s="176">
        <v>6.7292269258272474E-4</v>
      </c>
      <c r="AG7" s="177" t="s">
        <v>48</v>
      </c>
      <c r="AH7" s="178">
        <f t="shared" si="9"/>
        <v>1.7407501736083366E-3</v>
      </c>
      <c r="AI7" s="176">
        <v>1.7407501736083366E-3</v>
      </c>
      <c r="AJ7">
        <v>1</v>
      </c>
      <c r="AK7" s="173"/>
      <c r="AL7" s="176">
        <v>0.13844755398873068</v>
      </c>
      <c r="AM7" s="176">
        <v>0.14803600754311752</v>
      </c>
      <c r="AN7" s="176">
        <v>0.24522189696947677</v>
      </c>
      <c r="AO7" s="176">
        <v>0.11435956346344604</v>
      </c>
      <c r="AP7" s="176">
        <v>7.577644986472111E-2</v>
      </c>
      <c r="AQ7" s="176"/>
      <c r="AR7" s="176"/>
      <c r="AS7" s="176"/>
      <c r="AU7">
        <f t="shared" si="10"/>
        <v>0.14436829436589843</v>
      </c>
      <c r="AV7">
        <f t="shared" si="11"/>
        <v>6.2899367061867509E-2</v>
      </c>
      <c r="BC7">
        <v>-2500</v>
      </c>
      <c r="BD7">
        <f t="shared" si="0"/>
        <v>-3.8490131953430526E-3</v>
      </c>
      <c r="BE7">
        <f t="shared" si="1"/>
        <v>2.3254796935305737E-2</v>
      </c>
      <c r="BF7">
        <f t="shared" si="2"/>
        <v>-2.7103810130648789E-2</v>
      </c>
      <c r="BG7">
        <f t="shared" si="3"/>
        <v>0.99962353275210225</v>
      </c>
      <c r="BH7">
        <f t="shared" si="4"/>
        <v>-0.92743825343728936</v>
      </c>
      <c r="BI7">
        <f t="shared" si="5"/>
        <v>-1.7887859349051163</v>
      </c>
      <c r="BJ7">
        <f t="shared" si="6"/>
        <v>-1.2457488861225459</v>
      </c>
      <c r="BK7">
        <f t="shared" si="7"/>
        <v>4.4960992470616183</v>
      </c>
      <c r="BL7">
        <f t="shared" si="7"/>
        <v>4.4960992470616183</v>
      </c>
      <c r="BM7">
        <f t="shared" si="7"/>
        <v>4.4960992470616183</v>
      </c>
      <c r="BN7">
        <f t="shared" si="7"/>
        <v>4.4960992470616183</v>
      </c>
      <c r="BO7">
        <f t="shared" si="7"/>
        <v>4.4960992470615295</v>
      </c>
      <c r="BP7">
        <f t="shared" si="7"/>
        <v>4.4960992472979795</v>
      </c>
      <c r="BQ7">
        <f t="shared" si="7"/>
        <v>4.4960986143656907</v>
      </c>
      <c r="BR7">
        <f t="shared" si="8"/>
        <v>4.4977994384880597</v>
      </c>
    </row>
    <row r="8" spans="1:70" ht="16.5" thickBot="1">
      <c r="A8" t="s">
        <v>59</v>
      </c>
      <c r="C8">
        <v>0.32990348200000003</v>
      </c>
      <c r="T8" s="5"/>
      <c r="AF8" s="176">
        <v>8.1013543545423268</v>
      </c>
      <c r="AG8" s="174" t="s">
        <v>2</v>
      </c>
      <c r="AH8" s="178">
        <f t="shared" si="9"/>
        <v>76.321891664662473</v>
      </c>
      <c r="AI8" s="176">
        <v>7.6321891664662473</v>
      </c>
      <c r="AJ8">
        <v>10</v>
      </c>
      <c r="AK8" s="173" t="s">
        <v>22</v>
      </c>
      <c r="AL8" s="176">
        <v>7.8436274363419054</v>
      </c>
      <c r="AM8" s="176">
        <v>7.9066922962068951</v>
      </c>
      <c r="AN8" s="176">
        <v>7.2717913675615655</v>
      </c>
      <c r="AO8" s="176">
        <v>7.2756839565749498</v>
      </c>
      <c r="AP8" s="176">
        <v>7.4864139791771729</v>
      </c>
      <c r="AQ8" s="176"/>
      <c r="AR8" s="176"/>
      <c r="AS8" s="176"/>
      <c r="AU8">
        <f t="shared" si="10"/>
        <v>7.5568418071724981</v>
      </c>
      <c r="AV8">
        <f t="shared" si="11"/>
        <v>0.30409905080699356</v>
      </c>
      <c r="BC8">
        <v>-2000</v>
      </c>
      <c r="BD8">
        <f t="shared" si="0"/>
        <v>-3.167591079286658E-3</v>
      </c>
      <c r="BE8">
        <f t="shared" si="1"/>
        <v>2.3509394417283492E-2</v>
      </c>
      <c r="BF8">
        <f t="shared" si="2"/>
        <v>-2.667698549657015E-2</v>
      </c>
      <c r="BG8">
        <f t="shared" si="3"/>
        <v>0.99968692378256285</v>
      </c>
      <c r="BH8">
        <f t="shared" si="4"/>
        <v>-0.91290655680308797</v>
      </c>
      <c r="BI8">
        <f t="shared" si="5"/>
        <v>-1.7516316318985388</v>
      </c>
      <c r="BJ8">
        <f t="shared" si="6"/>
        <v>-1.199409119203231</v>
      </c>
      <c r="BK8">
        <f t="shared" si="7"/>
        <v>4.5332663094147012</v>
      </c>
      <c r="BL8">
        <f t="shared" si="7"/>
        <v>4.5332663094147012</v>
      </c>
      <c r="BM8">
        <f t="shared" si="7"/>
        <v>4.5332663094147012</v>
      </c>
      <c r="BN8">
        <f t="shared" si="7"/>
        <v>4.5332663094147012</v>
      </c>
      <c r="BO8">
        <f t="shared" si="7"/>
        <v>4.5332663094146497</v>
      </c>
      <c r="BP8">
        <f t="shared" si="7"/>
        <v>4.5332663095786838</v>
      </c>
      <c r="BQ8">
        <f t="shared" si="7"/>
        <v>4.5332657806840393</v>
      </c>
      <c r="BR8">
        <f t="shared" si="8"/>
        <v>4.5349792082504541</v>
      </c>
    </row>
    <row r="9" spans="1:70" ht="16.5" thickBot="1">
      <c r="A9" s="44" t="s">
        <v>141</v>
      </c>
      <c r="C9" s="90">
        <v>137</v>
      </c>
      <c r="D9" s="44" t="str">
        <f>"F"&amp;C9</f>
        <v>F137</v>
      </c>
      <c r="E9" s="44" t="str">
        <f>"G"&amp;C9</f>
        <v>G137</v>
      </c>
      <c r="F9" s="7" t="s">
        <v>788</v>
      </c>
      <c r="G9" s="212" t="s">
        <v>783</v>
      </c>
      <c r="H9" s="213"/>
      <c r="I9" s="213">
        <v>3.9492639030966796E-3</v>
      </c>
      <c r="J9" s="213">
        <v>2.12211912961419E-3</v>
      </c>
      <c r="K9" s="214">
        <v>1.1619480255516618E-3</v>
      </c>
      <c r="T9" s="5"/>
      <c r="AF9" s="176">
        <v>27.042607127134751</v>
      </c>
      <c r="AG9" s="179" t="s">
        <v>3</v>
      </c>
      <c r="AH9" s="178">
        <f t="shared" si="9"/>
        <v>34.450941659000797</v>
      </c>
      <c r="AI9" s="176">
        <v>3.4450941659000796</v>
      </c>
      <c r="AJ9">
        <v>10</v>
      </c>
      <c r="AK9" s="173" t="s">
        <v>53</v>
      </c>
      <c r="AL9" s="176">
        <v>8.5927166629053513</v>
      </c>
      <c r="AM9" s="176">
        <v>8.9699556513736702</v>
      </c>
      <c r="AN9" s="176">
        <v>8.991796231214666</v>
      </c>
      <c r="AO9" s="176">
        <v>9.0969681662837516</v>
      </c>
      <c r="AP9" s="176">
        <v>10.191606541580086</v>
      </c>
      <c r="AQ9" s="176"/>
      <c r="AR9" s="176"/>
      <c r="AS9" s="176"/>
      <c r="AU9">
        <f t="shared" si="10"/>
        <v>9.168608650671505</v>
      </c>
      <c r="AV9">
        <f t="shared" si="11"/>
        <v>0.6029167171310178</v>
      </c>
      <c r="BC9">
        <v>-1500</v>
      </c>
      <c r="BD9">
        <f t="shared" si="0"/>
        <v>-2.4702185209503659E-3</v>
      </c>
      <c r="BE9">
        <f t="shared" si="1"/>
        <v>2.374306458104837E-2</v>
      </c>
      <c r="BF9">
        <f t="shared" si="2"/>
        <v>-2.6213283101998736E-2</v>
      </c>
      <c r="BG9">
        <f t="shared" si="3"/>
        <v>0.99975075509443823</v>
      </c>
      <c r="BH9">
        <f t="shared" si="4"/>
        <v>-0.89711270101795204</v>
      </c>
      <c r="BI9">
        <f t="shared" si="5"/>
        <v>-1.7144725997106935</v>
      </c>
      <c r="BJ9">
        <f t="shared" si="6"/>
        <v>-1.1550840991860283</v>
      </c>
      <c r="BK9">
        <f t="shared" si="7"/>
        <v>4.5704357370951021</v>
      </c>
      <c r="BL9">
        <f t="shared" si="7"/>
        <v>4.5704357370951021</v>
      </c>
      <c r="BM9">
        <f t="shared" si="7"/>
        <v>4.5704357370951021</v>
      </c>
      <c r="BN9">
        <f t="shared" si="7"/>
        <v>4.5704357370951021</v>
      </c>
      <c r="BO9">
        <f t="shared" si="7"/>
        <v>4.5704357370950763</v>
      </c>
      <c r="BP9">
        <f t="shared" si="7"/>
        <v>4.5704357371989897</v>
      </c>
      <c r="BQ9">
        <f t="shared" si="7"/>
        <v>4.5704353152609309</v>
      </c>
      <c r="BR9">
        <f t="shared" si="8"/>
        <v>4.5721589780128475</v>
      </c>
    </row>
    <row r="10" spans="1:70" ht="13.5" thickBot="1">
      <c r="C10" s="6" t="s">
        <v>75</v>
      </c>
      <c r="D10" s="6" t="s">
        <v>76</v>
      </c>
      <c r="T10" s="5"/>
      <c r="AF10" s="182">
        <v>3.4202414386128717</v>
      </c>
      <c r="AG10" s="180" t="s">
        <v>50</v>
      </c>
      <c r="AH10" s="181">
        <f t="shared" si="9"/>
        <v>26447.916710429596</v>
      </c>
      <c r="AI10" s="182">
        <v>2.6447916710429595</v>
      </c>
      <c r="AJ10">
        <v>10000</v>
      </c>
      <c r="AK10" s="173" t="s">
        <v>49</v>
      </c>
      <c r="AL10" s="182">
        <v>0.4027032359528579</v>
      </c>
      <c r="AM10" s="182">
        <v>0.40024269836718385</v>
      </c>
      <c r="AN10" s="182">
        <v>0.7419866081083204</v>
      </c>
      <c r="AO10" s="182">
        <v>0.82325379284440958</v>
      </c>
      <c r="AP10" s="182">
        <v>0.85544226490658826</v>
      </c>
      <c r="AQ10" s="182"/>
      <c r="AR10" s="182"/>
      <c r="AS10" s="182"/>
      <c r="AU10">
        <f t="shared" si="10"/>
        <v>0.64472572003587203</v>
      </c>
      <c r="AV10">
        <f t="shared" si="11"/>
        <v>0.22587620840716585</v>
      </c>
      <c r="BC10">
        <v>-1000</v>
      </c>
      <c r="BD10">
        <f t="shared" si="0"/>
        <v>-1.7575289043257718E-3</v>
      </c>
      <c r="BE10">
        <f t="shared" si="1"/>
        <v>2.3955807426600376E-2</v>
      </c>
      <c r="BF10">
        <f t="shared" si="2"/>
        <v>-2.5713336330926147E-2</v>
      </c>
      <c r="BG10">
        <f t="shared" si="3"/>
        <v>0.99981493875969663</v>
      </c>
      <c r="BH10">
        <f t="shared" si="4"/>
        <v>-0.88007800054216312</v>
      </c>
      <c r="BI10">
        <f t="shared" si="5"/>
        <v>-1.6773088085731469</v>
      </c>
      <c r="BJ10">
        <f t="shared" si="6"/>
        <v>-1.1126165021431471</v>
      </c>
      <c r="BK10">
        <f t="shared" si="7"/>
        <v>4.607607544839758</v>
      </c>
      <c r="BL10">
        <f t="shared" si="7"/>
        <v>4.607607544839758</v>
      </c>
      <c r="BM10">
        <f t="shared" si="7"/>
        <v>4.607607544839758</v>
      </c>
      <c r="BN10">
        <f t="shared" si="7"/>
        <v>4.607607544839758</v>
      </c>
      <c r="BO10">
        <f t="shared" si="7"/>
        <v>4.6076075448397473</v>
      </c>
      <c r="BP10">
        <f t="shared" si="7"/>
        <v>4.6076075448966707</v>
      </c>
      <c r="BQ10">
        <f t="shared" si="7"/>
        <v>4.6076072322431951</v>
      </c>
      <c r="BR10">
        <f t="shared" si="8"/>
        <v>4.609338747775241</v>
      </c>
    </row>
    <row r="11" spans="1:70" ht="14.25">
      <c r="A11" t="s">
        <v>71</v>
      </c>
      <c r="C11" s="37">
        <f ca="1">INTERCEPT(INDIRECT(E9):G1000,INDIRECT(D9):$F1000)</f>
        <v>0.1247356825737215</v>
      </c>
      <c r="D11" s="196">
        <f>AH3</f>
        <v>2.4318511163065756E-2</v>
      </c>
      <c r="E11" s="91"/>
      <c r="H11" t="s">
        <v>787</v>
      </c>
      <c r="T11" s="5"/>
      <c r="AG11" s="183" t="s">
        <v>4</v>
      </c>
      <c r="AH11" s="10">
        <f>1-AH7^2</f>
        <v>0.99999696978883312</v>
      </c>
      <c r="AI11" s="10">
        <f>SUM(AK21:AK21946)</f>
        <v>2.6614710382093779E-4</v>
      </c>
      <c r="AJ11" s="183" t="s">
        <v>5</v>
      </c>
      <c r="AK11" s="173"/>
      <c r="AL11" s="10">
        <v>3.9406609971188728E-4</v>
      </c>
      <c r="AM11" s="10">
        <v>3.9437257572203394E-4</v>
      </c>
      <c r="AN11" s="10">
        <v>4.0455813773082594E-4</v>
      </c>
      <c r="AO11" s="10">
        <v>3.9456653189068178E-4</v>
      </c>
      <c r="AP11" s="10">
        <v>3.9517393172786019E-4</v>
      </c>
      <c r="AQ11" s="10"/>
      <c r="AR11" s="10"/>
      <c r="AS11" s="10"/>
      <c r="BC11">
        <v>-500</v>
      </c>
      <c r="BD11">
        <f t="shared" si="0"/>
        <v>-1.0302058888889062E-3</v>
      </c>
      <c r="BE11">
        <f t="shared" si="1"/>
        <v>2.4147622953939501E-2</v>
      </c>
      <c r="BF11">
        <f t="shared" si="2"/>
        <v>-2.5177828842828407E-2</v>
      </c>
      <c r="BG11">
        <f t="shared" si="3"/>
        <v>0.99987938629693096</v>
      </c>
      <c r="BH11">
        <f t="shared" si="4"/>
        <v>-0.86182549701554911</v>
      </c>
      <c r="BI11">
        <f t="shared" si="5"/>
        <v>-1.6401402352704442</v>
      </c>
      <c r="BJ11">
        <f t="shared" si="6"/>
        <v>-1.0718643866318971</v>
      </c>
      <c r="BK11">
        <f t="shared" si="7"/>
        <v>4.6447817441057895</v>
      </c>
      <c r="BL11">
        <f t="shared" si="7"/>
        <v>4.6447817441057895</v>
      </c>
      <c r="BM11">
        <f t="shared" si="7"/>
        <v>4.6447817441057895</v>
      </c>
      <c r="BN11">
        <f t="shared" si="7"/>
        <v>4.6447817441057895</v>
      </c>
      <c r="BO11">
        <f t="shared" si="7"/>
        <v>4.6447817441057868</v>
      </c>
      <c r="BP11">
        <f t="shared" si="7"/>
        <v>4.6447817441294994</v>
      </c>
      <c r="BQ11">
        <f t="shared" si="7"/>
        <v>4.6447815424847585</v>
      </c>
      <c r="BR11">
        <f t="shared" si="8"/>
        <v>4.6465185175376353</v>
      </c>
    </row>
    <row r="12" spans="1:70">
      <c r="A12" t="s">
        <v>72</v>
      </c>
      <c r="C12" s="37">
        <f ca="1">SLOPE(INDIRECT(E9):G1000,INDIRECT(D9):$F1000)</f>
        <v>-3.1801847691543965E-6</v>
      </c>
      <c r="D12" s="196">
        <f>AH4</f>
        <v>3.2084910003963244E-7</v>
      </c>
      <c r="E12" s="92"/>
      <c r="F12" s="107"/>
      <c r="G12" t="s">
        <v>780</v>
      </c>
      <c r="H12">
        <v>21</v>
      </c>
      <c r="I12">
        <f>H14+1</f>
        <v>21</v>
      </c>
      <c r="J12">
        <f>I14+1</f>
        <v>27</v>
      </c>
      <c r="K12">
        <f>J14+1</f>
        <v>85</v>
      </c>
      <c r="T12" s="5"/>
      <c r="AG12" s="184" t="s">
        <v>44</v>
      </c>
      <c r="AH12" s="10">
        <f>AH7*SIN(RADIANS(AH9))</f>
        <v>9.8474304891647672E-4</v>
      </c>
      <c r="AK12" s="173"/>
      <c r="BC12">
        <v>0</v>
      </c>
      <c r="BD12">
        <f t="shared" si="0"/>
        <v>-2.889825053754673E-4</v>
      </c>
      <c r="BE12">
        <f t="shared" si="1"/>
        <v>2.4318511163065756E-2</v>
      </c>
      <c r="BF12">
        <f t="shared" si="2"/>
        <v>-2.4607493668441224E-2</v>
      </c>
      <c r="BG12">
        <f t="shared" si="3"/>
        <v>0.99994400879232681</v>
      </c>
      <c r="BH12">
        <f t="shared" si="4"/>
        <v>-0.84237993019802893</v>
      </c>
      <c r="BI12">
        <f t="shared" si="5"/>
        <v>-1.602966863178424</v>
      </c>
      <c r="BJ12">
        <f t="shared" si="6"/>
        <v>-1.0326993341551205</v>
      </c>
      <c r="BK12">
        <f t="shared" ref="BK12:BQ21" si="13">$BR12+$AH$7*SIN(BL12)</f>
        <v>4.6819583430521732</v>
      </c>
      <c r="BL12">
        <f t="shared" si="13"/>
        <v>4.6819583430521732</v>
      </c>
      <c r="BM12">
        <f t="shared" si="13"/>
        <v>4.6819583430521732</v>
      </c>
      <c r="BN12">
        <f t="shared" si="13"/>
        <v>4.6819583430521732</v>
      </c>
      <c r="BO12">
        <f t="shared" si="13"/>
        <v>4.6819583430521732</v>
      </c>
      <c r="BP12">
        <f t="shared" si="13"/>
        <v>4.6819583430569152</v>
      </c>
      <c r="BQ12">
        <f t="shared" si="13"/>
        <v>4.6819582535316373</v>
      </c>
      <c r="BR12">
        <f t="shared" si="8"/>
        <v>4.6836982873000288</v>
      </c>
    </row>
    <row r="13" spans="1:70" ht="16.5" thickBot="1">
      <c r="A13" t="s">
        <v>74</v>
      </c>
      <c r="C13" s="5" t="s">
        <v>69</v>
      </c>
      <c r="D13" s="196">
        <f>AH5</f>
        <v>-4.1854636425750046E-11</v>
      </c>
      <c r="E13" s="93"/>
      <c r="F13" s="107"/>
      <c r="G13" t="s">
        <v>781</v>
      </c>
      <c r="H13" t="str">
        <f>$H$11&amp;H12</f>
        <v>AM21</v>
      </c>
      <c r="I13" t="str">
        <f>$H$11&amp;I12</f>
        <v>AM21</v>
      </c>
      <c r="J13" t="str">
        <f>$H$11&amp;J12</f>
        <v>AM27</v>
      </c>
      <c r="K13" t="str">
        <f>$H$11&amp;K12</f>
        <v>AM85</v>
      </c>
      <c r="T13" s="5"/>
      <c r="AG13" s="185" t="s">
        <v>6</v>
      </c>
      <c r="AH13" s="186">
        <f>AH6*86400*300000/149600000</f>
        <v>5.0669630111291912</v>
      </c>
      <c r="AI13" t="s">
        <v>18</v>
      </c>
      <c r="AK13" s="173"/>
      <c r="AR13" s="5"/>
      <c r="BC13">
        <v>500</v>
      </c>
      <c r="BD13">
        <f t="shared" si="0"/>
        <v>4.653598178700237E-4</v>
      </c>
      <c r="BE13">
        <f t="shared" si="1"/>
        <v>2.4468472053979135E-2</v>
      </c>
      <c r="BF13">
        <f t="shared" si="2"/>
        <v>-2.4003112236109111E-2</v>
      </c>
      <c r="BG13">
        <f t="shared" si="3"/>
        <v>1.000008717021603</v>
      </c>
      <c r="BH13">
        <f t="shared" si="4"/>
        <v>-0.8217677064837966</v>
      </c>
      <c r="BI13">
        <f t="shared" si="5"/>
        <v>-1.5657886822935279</v>
      </c>
      <c r="BJ13">
        <f t="shared" si="6"/>
        <v>-0.99500485202287359</v>
      </c>
      <c r="BK13">
        <f t="shared" si="13"/>
        <v>4.7191373465259341</v>
      </c>
      <c r="BL13">
        <f t="shared" si="13"/>
        <v>4.7191373465259341</v>
      </c>
      <c r="BM13">
        <f t="shared" si="13"/>
        <v>4.7191373465259341</v>
      </c>
      <c r="BN13">
        <f t="shared" si="13"/>
        <v>4.7191373465259341</v>
      </c>
      <c r="BO13">
        <f t="shared" si="13"/>
        <v>4.7191373465259341</v>
      </c>
      <c r="BP13">
        <f t="shared" si="13"/>
        <v>4.719137346526205</v>
      </c>
      <c r="BQ13">
        <f t="shared" si="13"/>
        <v>4.7191373696115164</v>
      </c>
      <c r="BR13">
        <f t="shared" si="8"/>
        <v>4.7208780570624231</v>
      </c>
    </row>
    <row r="14" spans="1:70">
      <c r="A14" t="s">
        <v>79</v>
      </c>
      <c r="G14" t="s">
        <v>782</v>
      </c>
      <c r="H14">
        <f>H12+H19-1</f>
        <v>20</v>
      </c>
      <c r="I14">
        <f>H14+I19</f>
        <v>26</v>
      </c>
      <c r="J14">
        <f>I14+J19</f>
        <v>84</v>
      </c>
      <c r="K14">
        <f>J14+K19</f>
        <v>193</v>
      </c>
      <c r="T14" s="5"/>
      <c r="AG14" s="185" t="s">
        <v>45</v>
      </c>
      <c r="AH14" s="10">
        <f>2*AH5*365.24/C8</f>
        <v>-9.2675514156234022E-8</v>
      </c>
      <c r="AI14" t="s">
        <v>237</v>
      </c>
      <c r="AK14" s="173"/>
      <c r="AL14">
        <v>-7.5462944825168976E-8</v>
      </c>
      <c r="AM14">
        <f>$AH14</f>
        <v>-9.2675514156234022E-8</v>
      </c>
      <c r="AN14">
        <v>-6.5509239640395595E-8</v>
      </c>
      <c r="AO14">
        <v>-7.5400545577603789E-8</v>
      </c>
      <c r="AP14">
        <v>-6.0926900627645585E-8</v>
      </c>
      <c r="AU14">
        <f>AVERAGE(AL14:AS14)</f>
        <v>-7.3995028965409604E-8</v>
      </c>
      <c r="AV14">
        <f>STDEV(AL14:AS14)</f>
        <v>1.2205279386436531E-8</v>
      </c>
      <c r="BC14">
        <v>1000</v>
      </c>
      <c r="BD14">
        <f t="shared" si="0"/>
        <v>1.2319922968444738E-3</v>
      </c>
      <c r="BE14">
        <f t="shared" si="1"/>
        <v>2.4597505626679637E-2</v>
      </c>
      <c r="BF14">
        <f t="shared" si="2"/>
        <v>-2.3365513329835164E-2</v>
      </c>
      <c r="BG14">
        <f t="shared" si="3"/>
        <v>1.0000734215727574</v>
      </c>
      <c r="BH14">
        <f t="shared" si="4"/>
        <v>-0.80001686501758851</v>
      </c>
      <c r="BI14">
        <f t="shared" si="5"/>
        <v>-1.5286056892530446</v>
      </c>
      <c r="BJ14">
        <f t="shared" si="6"/>
        <v>-0.95867499635402775</v>
      </c>
      <c r="BK14">
        <f t="shared" si="13"/>
        <v>4.7563187560528704</v>
      </c>
      <c r="BL14">
        <f t="shared" si="13"/>
        <v>4.7563187560528704</v>
      </c>
      <c r="BM14">
        <f t="shared" si="13"/>
        <v>4.7563187560528704</v>
      </c>
      <c r="BN14">
        <f t="shared" si="13"/>
        <v>4.7563187560528704</v>
      </c>
      <c r="BO14">
        <f t="shared" si="13"/>
        <v>4.7563187560528712</v>
      </c>
      <c r="BP14">
        <f t="shared" si="13"/>
        <v>4.7563187560632345</v>
      </c>
      <c r="BQ14">
        <f t="shared" si="13"/>
        <v>4.7563188916278989</v>
      </c>
      <c r="BR14">
        <f t="shared" si="8"/>
        <v>4.7580578268248166</v>
      </c>
    </row>
    <row r="15" spans="1:70" ht="16.5" thickBot="1">
      <c r="A15" s="4" t="s">
        <v>73</v>
      </c>
      <c r="C15" s="35">
        <f ca="1">(C7+C11)+(C8+C12)*INT(MAX(F21:F3528))</f>
        <v>58767.90143395913</v>
      </c>
      <c r="D15" s="10">
        <f>+C7+INT(MAX(F21:F1583))*C8+D11+D12*INT(MAX(F21:F4018))+D13*INT(MAX(F21:F4045)^2)</f>
        <v>58767.87416523631</v>
      </c>
      <c r="E15" s="80" t="s">
        <v>142</v>
      </c>
      <c r="F15" s="89">
        <v>1</v>
      </c>
      <c r="G15" t="s">
        <v>781</v>
      </c>
      <c r="H15" t="str">
        <f>$H$11&amp;H14</f>
        <v>AM20</v>
      </c>
      <c r="I15" t="str">
        <f>$H$11&amp;I14</f>
        <v>AM26</v>
      </c>
      <c r="J15" t="str">
        <f>$H$11&amp;J14</f>
        <v>AM84</v>
      </c>
      <c r="K15" t="str">
        <f>$H$11&amp;K14</f>
        <v>AM193</v>
      </c>
      <c r="T15" s="5"/>
      <c r="U15" s="201" t="s">
        <v>40</v>
      </c>
      <c r="V15" s="202" t="s">
        <v>41</v>
      </c>
      <c r="W15" s="203" t="s">
        <v>23</v>
      </c>
      <c r="X15" s="203" t="s">
        <v>771</v>
      </c>
      <c r="Y15" s="202" t="s">
        <v>48</v>
      </c>
      <c r="Z15" s="202" t="s">
        <v>772</v>
      </c>
      <c r="AA15" s="204" t="s">
        <v>773</v>
      </c>
      <c r="AB15" s="202" t="s">
        <v>774</v>
      </c>
      <c r="AC15" s="202" t="s">
        <v>778</v>
      </c>
      <c r="AD15" s="202" t="s">
        <v>776</v>
      </c>
      <c r="AE15" s="202" t="s">
        <v>236</v>
      </c>
      <c r="AG15" s="184" t="s">
        <v>7</v>
      </c>
      <c r="AH15" s="187">
        <f>(AH10-AH2)/AJ2</f>
        <v>-54901.038266611584</v>
      </c>
      <c r="AI15" t="s">
        <v>51</v>
      </c>
      <c r="AK15" s="173"/>
      <c r="BC15">
        <v>1500</v>
      </c>
      <c r="BD15">
        <f t="shared" si="0"/>
        <v>2.0100399009088075E-3</v>
      </c>
      <c r="BE15">
        <f t="shared" si="1"/>
        <v>2.4705611881167266E-2</v>
      </c>
      <c r="BF15">
        <f t="shared" si="2"/>
        <v>-2.2695571980258459E-2</v>
      </c>
      <c r="BG15">
        <f t="shared" si="3"/>
        <v>1.0001380329694556</v>
      </c>
      <c r="BH15">
        <f t="shared" si="4"/>
        <v>-0.77715704144524111</v>
      </c>
      <c r="BI15">
        <f t="shared" si="5"/>
        <v>-1.4914178873461912</v>
      </c>
      <c r="BJ15">
        <f t="shared" si="6"/>
        <v>-0.92361318055699226</v>
      </c>
      <c r="BK15">
        <f t="shared" si="13"/>
        <v>4.7935025698328815</v>
      </c>
      <c r="BL15">
        <f t="shared" si="13"/>
        <v>4.7935025698328815</v>
      </c>
      <c r="BM15">
        <f t="shared" si="13"/>
        <v>4.7935025698328815</v>
      </c>
      <c r="BN15">
        <f t="shared" si="13"/>
        <v>4.7935025698328815</v>
      </c>
      <c r="BO15">
        <f t="shared" si="13"/>
        <v>4.7935025698328859</v>
      </c>
      <c r="BP15">
        <f t="shared" si="13"/>
        <v>4.7935025698677656</v>
      </c>
      <c r="BQ15">
        <f t="shared" si="13"/>
        <v>4.7935028171588625</v>
      </c>
      <c r="BR15">
        <f t="shared" si="8"/>
        <v>4.7952375965872109</v>
      </c>
    </row>
    <row r="16" spans="1:70" ht="16.5" thickBot="1">
      <c r="A16" s="7" t="s">
        <v>60</v>
      </c>
      <c r="C16" s="36">
        <f ca="1">+C8+C12</f>
        <v>0.32990030181523089</v>
      </c>
      <c r="D16" s="10">
        <f>+C8+D12+2*D13*MAX(F21:F891)</f>
        <v>0.3299001977418462</v>
      </c>
      <c r="E16" s="80" t="s">
        <v>143</v>
      </c>
      <c r="F16" s="94">
        <f ca="1">NOW()+15018.5+$C$5/24</f>
        <v>60679.47959224537</v>
      </c>
      <c r="S16" s="5" t="s">
        <v>779</v>
      </c>
      <c r="T16" s="5">
        <f>COUNT(U21:U478)</f>
        <v>20</v>
      </c>
      <c r="U16">
        <f t="shared" ref="U16:AE16" si="14">SQRT(SUM(U21:U652)*$C17/$T16)</f>
        <v>4.5946523297806258E-3</v>
      </c>
      <c r="V16">
        <f t="shared" si="14"/>
        <v>1.9756981998373284E-7</v>
      </c>
      <c r="W16">
        <f t="shared" si="14"/>
        <v>1.7011565677258719E-12</v>
      </c>
      <c r="X16">
        <f t="shared" si="14"/>
        <v>3.6540508627221644E-4</v>
      </c>
      <c r="Y16">
        <f t="shared" si="14"/>
        <v>7.6654935602984919E-2</v>
      </c>
      <c r="Z16">
        <f t="shared" si="14"/>
        <v>5.5475843236492359</v>
      </c>
      <c r="AA16">
        <f t="shared" si="14"/>
        <v>0.89769212024871758</v>
      </c>
      <c r="AB16">
        <f t="shared" si="14"/>
        <v>1533.9384221669184</v>
      </c>
      <c r="AC16">
        <f t="shared" si="14"/>
        <v>6.3310827781923429E-2</v>
      </c>
      <c r="AD16">
        <f t="shared" si="14"/>
        <v>5.2368441179530892E-3</v>
      </c>
      <c r="AE16">
        <f t="shared" si="14"/>
        <v>3.7667406298924271E-9</v>
      </c>
      <c r="AG16" s="183" t="s">
        <v>8</v>
      </c>
      <c r="AH16" s="187">
        <f>365.24*AH8</f>
        <v>27875.807711601323</v>
      </c>
      <c r="AI16" t="s">
        <v>21</v>
      </c>
      <c r="AJ16" s="10"/>
      <c r="AK16" s="173"/>
      <c r="BC16">
        <v>2000</v>
      </c>
      <c r="BD16">
        <f t="shared" si="0"/>
        <v>2.7985825275525303E-3</v>
      </c>
      <c r="BE16">
        <f t="shared" si="1"/>
        <v>2.4792790817442022E-2</v>
      </c>
      <c r="BF16">
        <f t="shared" si="2"/>
        <v>-2.1994208289889492E-2</v>
      </c>
      <c r="BG16">
        <f t="shared" si="3"/>
        <v>1.0002024617948917</v>
      </c>
      <c r="BH16">
        <f t="shared" si="4"/>
        <v>-0.75321942933463792</v>
      </c>
      <c r="BI16">
        <f t="shared" si="5"/>
        <v>-1.4542252865160263</v>
      </c>
      <c r="BJ16">
        <f t="shared" si="6"/>
        <v>-0.88973114072521753</v>
      </c>
      <c r="BK16">
        <f t="shared" si="13"/>
        <v>4.8306887827398635</v>
      </c>
      <c r="BL16">
        <f t="shared" si="13"/>
        <v>4.8306887827398635</v>
      </c>
      <c r="BM16">
        <f t="shared" si="13"/>
        <v>4.8306887827398635</v>
      </c>
      <c r="BN16">
        <f t="shared" si="13"/>
        <v>4.8306887827398635</v>
      </c>
      <c r="BO16">
        <f t="shared" si="13"/>
        <v>4.8306887827398786</v>
      </c>
      <c r="BP16">
        <f t="shared" si="13"/>
        <v>4.8306887828133567</v>
      </c>
      <c r="BQ16">
        <f t="shared" si="13"/>
        <v>4.830689140460402</v>
      </c>
      <c r="BR16">
        <f t="shared" si="8"/>
        <v>4.8324173663496044</v>
      </c>
    </row>
    <row r="17" spans="1:92" ht="16.5" thickBot="1">
      <c r="A17" s="37" t="s">
        <v>113</v>
      </c>
      <c r="C17">
        <f>COUNT(C21:C4734)</f>
        <v>173</v>
      </c>
      <c r="E17" s="80" t="s">
        <v>144</v>
      </c>
      <c r="F17" s="94">
        <f ca="1">ROUND(2*(F16-$C$7)/$C$8,0)/2+F15</f>
        <v>48862.5</v>
      </c>
      <c r="G17" s="215" t="s">
        <v>783</v>
      </c>
      <c r="H17" s="216"/>
      <c r="I17" s="216">
        <f ca="1">SQRT(I18/(I19-1))</f>
        <v>3.9452027981958663E-3</v>
      </c>
      <c r="J17" s="216">
        <f ca="1">SQRT(J18/(J19-1))</f>
        <v>2.118929589103541E-3</v>
      </c>
      <c r="K17" s="217">
        <f ca="1">SQRT(K18/(K19-1))</f>
        <v>1.1624454565500972E-3</v>
      </c>
      <c r="T17" s="5"/>
      <c r="U17" s="205">
        <f>ABS(U16/U1)</f>
        <v>0.17094909688818433</v>
      </c>
      <c r="V17" s="205">
        <f t="shared" ref="V17:AE17" si="15">ABS(V16/V1)</f>
        <v>2.2310466721639428</v>
      </c>
      <c r="W17" s="205">
        <f t="shared" si="15"/>
        <v>4.130477610453423E-2</v>
      </c>
      <c r="X17" s="205">
        <f t="shared" si="15"/>
        <v>1.0736330147655121E-2</v>
      </c>
      <c r="Y17" s="205">
        <f t="shared" si="15"/>
        <v>113.9134352993475</v>
      </c>
      <c r="Z17" s="205">
        <f t="shared" si="15"/>
        <v>6.8477245666198713E-2</v>
      </c>
      <c r="AA17" s="205">
        <f t="shared" si="15"/>
        <v>3.3195472464190288E-3</v>
      </c>
      <c r="AB17" s="205">
        <f t="shared" si="15"/>
        <v>4.4848834495994798E-2</v>
      </c>
      <c r="AC17" s="205">
        <f t="shared" si="15"/>
        <v>1.0736330147655E-2</v>
      </c>
      <c r="AD17" s="205">
        <f t="shared" si="15"/>
        <v>0.16761716919667258</v>
      </c>
      <c r="AE17" s="205">
        <f t="shared" si="15"/>
        <v>4.1304776104533911E-2</v>
      </c>
      <c r="AG17" s="183" t="s">
        <v>9</v>
      </c>
      <c r="AH17" s="188">
        <f>AH13^3/AH8^2</f>
        <v>2.2332891186966616E-2</v>
      </c>
      <c r="AI17" s="106" t="s">
        <v>10</v>
      </c>
      <c r="AK17" s="173"/>
      <c r="BC17">
        <v>2500</v>
      </c>
      <c r="BD17">
        <f t="shared" si="0"/>
        <v>3.5966562414713882E-3</v>
      </c>
      <c r="BE17">
        <f t="shared" si="1"/>
        <v>2.4859042435503902E-2</v>
      </c>
      <c r="BF17">
        <f t="shared" si="2"/>
        <v>-2.1262386194032513E-2</v>
      </c>
      <c r="BG17">
        <f t="shared" si="3"/>
        <v>1.0002666188159495</v>
      </c>
      <c r="BH17">
        <f t="shared" si="4"/>
        <v>-0.72823673930694754</v>
      </c>
      <c r="BI17">
        <f t="shared" si="5"/>
        <v>-1.4170279033521112</v>
      </c>
      <c r="BJ17">
        <f t="shared" si="6"/>
        <v>-0.85694803429880362</v>
      </c>
      <c r="BK17">
        <f t="shared" si="13"/>
        <v>4.8678773863262386</v>
      </c>
      <c r="BL17">
        <f t="shared" si="13"/>
        <v>4.8678773863262386</v>
      </c>
      <c r="BM17">
        <f t="shared" si="13"/>
        <v>4.8678773863262386</v>
      </c>
      <c r="BN17">
        <f t="shared" si="13"/>
        <v>4.8678773863262386</v>
      </c>
      <c r="BO17">
        <f t="shared" si="13"/>
        <v>4.8678773863262723</v>
      </c>
      <c r="BP17">
        <f t="shared" si="13"/>
        <v>4.8678773864519016</v>
      </c>
      <c r="BQ17">
        <f t="shared" si="13"/>
        <v>4.8678778524743738</v>
      </c>
      <c r="BR17">
        <f t="shared" si="8"/>
        <v>4.8695971361119978</v>
      </c>
    </row>
    <row r="18" spans="1:92" ht="17.25" thickTop="1" thickBot="1">
      <c r="A18" s="7" t="s">
        <v>147</v>
      </c>
      <c r="C18" s="95">
        <f ca="1">+C15</f>
        <v>58767.90143395913</v>
      </c>
      <c r="D18" s="96">
        <f ca="1">C16</f>
        <v>0.32990030181523089</v>
      </c>
      <c r="E18" s="80" t="s">
        <v>145</v>
      </c>
      <c r="F18" s="10">
        <f ca="1">ROUND(2*(F16-$C$15)/$C$16,0)/2+F15</f>
        <v>5795.5</v>
      </c>
      <c r="G18" s="208" t="s">
        <v>784</v>
      </c>
      <c r="H18" s="209">
        <f ca="1">SUM(INDIRECT(H13):INDIRECT(H15))</f>
        <v>1.6531769123748441E-6</v>
      </c>
      <c r="I18" s="209">
        <f ca="1">SUM(INDIRECT(I13):INDIRECT(I15))</f>
        <v>7.7823125594462459E-5</v>
      </c>
      <c r="J18" s="209">
        <f ca="1">SUM(INDIRECT(J13):INDIRECT(J15))</f>
        <v>2.5592216840397453E-4</v>
      </c>
      <c r="K18" s="209">
        <f ca="1">SUM(INDIRECT(K13):INDIRECT(K15))</f>
        <v>1.4593817946102809E-4</v>
      </c>
      <c r="P18" s="7"/>
      <c r="T18" s="5">
        <f>SUM(T21:T564)</f>
        <v>0</v>
      </c>
      <c r="X18" s="206"/>
      <c r="Y18" s="206"/>
      <c r="Z18" s="206"/>
      <c r="AA18" s="206"/>
      <c r="AB18" s="206"/>
      <c r="AC18" s="206"/>
      <c r="AD18" s="206"/>
      <c r="AE18" s="206"/>
      <c r="AG18" s="189" t="s">
        <v>11</v>
      </c>
      <c r="AH18" s="190">
        <f>2*PI()/(AH8*365.2422)*AJ2</f>
        <v>7.4359539524787731E-5</v>
      </c>
      <c r="AI18" s="191" t="s">
        <v>43</v>
      </c>
      <c r="AJ18" s="191"/>
      <c r="AK18" s="192"/>
      <c r="AN18" s="5" t="s">
        <v>765</v>
      </c>
      <c r="BC18">
        <v>3000</v>
      </c>
      <c r="BD18">
        <f t="shared" si="0"/>
        <v>4.4032545764278626E-3</v>
      </c>
      <c r="BE18">
        <f t="shared" si="1"/>
        <v>2.4904366735352901E-2</v>
      </c>
      <c r="BF18">
        <f t="shared" si="2"/>
        <v>-2.0501112158925038E-2</v>
      </c>
      <c r="BG18">
        <f t="shared" si="3"/>
        <v>1.0003304151074921</v>
      </c>
      <c r="BH18">
        <f t="shared" si="4"/>
        <v>-0.70224315592199826</v>
      </c>
      <c r="BI18">
        <f t="shared" si="5"/>
        <v>-1.379825761073926</v>
      </c>
      <c r="BJ18">
        <f t="shared" si="6"/>
        <v>-0.82518965232746599</v>
      </c>
      <c r="BK18">
        <f t="shared" si="13"/>
        <v>4.9050683688320937</v>
      </c>
      <c r="BL18">
        <f t="shared" si="13"/>
        <v>4.9050683688320937</v>
      </c>
      <c r="BM18">
        <f t="shared" si="13"/>
        <v>4.9050683688320937</v>
      </c>
      <c r="BN18">
        <f t="shared" si="13"/>
        <v>4.9050683688320937</v>
      </c>
      <c r="BO18">
        <f t="shared" si="13"/>
        <v>4.9050683688321577</v>
      </c>
      <c r="BP18">
        <f t="shared" si="13"/>
        <v>4.9050683690227652</v>
      </c>
      <c r="BQ18">
        <f t="shared" si="13"/>
        <v>4.9050689408410122</v>
      </c>
      <c r="BR18">
        <f t="shared" si="8"/>
        <v>4.9067769058743922</v>
      </c>
    </row>
    <row r="19" spans="1:92" ht="13.5" thickBot="1">
      <c r="A19" s="7" t="s">
        <v>148</v>
      </c>
      <c r="C19" s="97">
        <f>+D15</f>
        <v>58767.87416523631</v>
      </c>
      <c r="D19" s="98">
        <f>+D16</f>
        <v>0.3299001977418462</v>
      </c>
      <c r="E19" s="80" t="s">
        <v>146</v>
      </c>
      <c r="F19" s="99">
        <f ca="1">+$C$15+$C$16*F18-15018.5-$C$5/24</f>
        <v>45661.046966462636</v>
      </c>
      <c r="G19" s="210" t="s">
        <v>785</v>
      </c>
      <c r="H19" s="211">
        <f>COUNT(H21:H452)</f>
        <v>0</v>
      </c>
      <c r="I19" s="211">
        <f>COUNT(I21:I452)</f>
        <v>6</v>
      </c>
      <c r="J19" s="211">
        <f>COUNT(J21:J452)</f>
        <v>58</v>
      </c>
      <c r="K19" s="211">
        <f>COUNT(K21:K452)</f>
        <v>109</v>
      </c>
      <c r="P19" s="7"/>
      <c r="Q19" s="218" t="s">
        <v>789</v>
      </c>
      <c r="R19" s="219"/>
      <c r="S19" s="160"/>
      <c r="T19" s="207">
        <f ca="1">20+C17*RAND()</f>
        <v>22.378055531487615</v>
      </c>
      <c r="X19" s="206"/>
      <c r="Y19" s="206"/>
      <c r="Z19" s="206"/>
      <c r="AA19" s="206"/>
      <c r="AB19" s="206"/>
      <c r="AC19" s="206"/>
      <c r="AD19" s="206"/>
      <c r="AE19" s="206"/>
      <c r="AG19" s="193"/>
      <c r="AI19" s="193"/>
      <c r="AK19">
        <f>COUNT(AK21:AK2600)</f>
        <v>173</v>
      </c>
      <c r="AN19" s="5" t="s">
        <v>766</v>
      </c>
      <c r="BC19">
        <v>3500</v>
      </c>
      <c r="BD19">
        <f t="shared" si="0"/>
        <v>5.2173298982663291E-3</v>
      </c>
      <c r="BE19">
        <f t="shared" si="1"/>
        <v>2.492876371698903E-2</v>
      </c>
      <c r="BF19">
        <f t="shared" si="2"/>
        <v>-1.9711433818722701E-2</v>
      </c>
      <c r="BG19">
        <f t="shared" si="3"/>
        <v>1.0003937621765997</v>
      </c>
      <c r="BH19">
        <f t="shared" si="4"/>
        <v>-0.67527429236550252</v>
      </c>
      <c r="BI19">
        <f t="shared" si="5"/>
        <v>-1.3426188895050193</v>
      </c>
      <c r="BJ19">
        <f t="shared" si="6"/>
        <v>-0.79438772891421117</v>
      </c>
      <c r="BK19">
        <f t="shared" si="13"/>
        <v>4.9422617151989368</v>
      </c>
      <c r="BL19">
        <f t="shared" si="13"/>
        <v>4.9422617151989368</v>
      </c>
      <c r="BM19">
        <f t="shared" si="13"/>
        <v>4.9422617151989368</v>
      </c>
      <c r="BN19">
        <f t="shared" si="13"/>
        <v>4.9422617151989368</v>
      </c>
      <c r="BO19">
        <f t="shared" si="13"/>
        <v>4.9422617151990433</v>
      </c>
      <c r="BP19">
        <f t="shared" si="13"/>
        <v>4.9422617154665547</v>
      </c>
      <c r="BQ19">
        <f t="shared" si="13"/>
        <v>4.9422623899160127</v>
      </c>
      <c r="BR19">
        <f t="shared" si="8"/>
        <v>4.9439566756367856</v>
      </c>
    </row>
    <row r="20" spans="1:92" ht="15" thickBot="1">
      <c r="A20" s="6" t="s">
        <v>61</v>
      </c>
      <c r="B20" s="6" t="s">
        <v>62</v>
      </c>
      <c r="C20" s="6" t="s">
        <v>63</v>
      </c>
      <c r="D20" s="6" t="s">
        <v>68</v>
      </c>
      <c r="E20" s="6" t="s">
        <v>64</v>
      </c>
      <c r="F20" s="6" t="s">
        <v>65</v>
      </c>
      <c r="G20" s="6" t="s">
        <v>66</v>
      </c>
      <c r="H20" s="9" t="s">
        <v>263</v>
      </c>
      <c r="I20" s="9" t="s">
        <v>264</v>
      </c>
      <c r="J20" s="9" t="s">
        <v>261</v>
      </c>
      <c r="K20" s="9" t="s">
        <v>260</v>
      </c>
      <c r="L20" s="9" t="s">
        <v>747</v>
      </c>
      <c r="M20" s="9" t="s">
        <v>748</v>
      </c>
      <c r="N20" s="9" t="s">
        <v>749</v>
      </c>
      <c r="O20" s="9" t="s">
        <v>78</v>
      </c>
      <c r="P20" s="86" t="s">
        <v>77</v>
      </c>
      <c r="Q20" s="6" t="s">
        <v>70</v>
      </c>
      <c r="R20" s="8" t="s">
        <v>222</v>
      </c>
      <c r="S20" s="6" t="s">
        <v>224</v>
      </c>
      <c r="T20" s="220" t="s">
        <v>790</v>
      </c>
      <c r="U20" s="9"/>
      <c r="V20" s="199"/>
      <c r="W20" s="199"/>
      <c r="X20" s="199"/>
      <c r="Y20" s="199"/>
      <c r="Z20" s="199"/>
      <c r="AA20" s="199"/>
      <c r="AB20" s="101"/>
      <c r="AC20" s="101"/>
      <c r="AF20" s="6" t="s">
        <v>65</v>
      </c>
      <c r="AG20" s="8" t="s">
        <v>786</v>
      </c>
      <c r="AH20" s="8" t="s">
        <v>764</v>
      </c>
      <c r="AI20" s="8" t="s">
        <v>19</v>
      </c>
      <c r="AJ20" s="8" t="s">
        <v>46</v>
      </c>
      <c r="AK20" s="8" t="s">
        <v>12</v>
      </c>
      <c r="AL20" s="8" t="s">
        <v>17</v>
      </c>
      <c r="AM20" s="8" t="s">
        <v>222</v>
      </c>
      <c r="AN20" s="8" t="s">
        <v>28</v>
      </c>
      <c r="AO20" s="8" t="s">
        <v>29</v>
      </c>
      <c r="AP20" s="8" t="s">
        <v>30</v>
      </c>
      <c r="AQ20" s="8" t="s">
        <v>47</v>
      </c>
      <c r="AR20" s="8" t="s">
        <v>31</v>
      </c>
      <c r="AS20" s="8" t="s">
        <v>32</v>
      </c>
      <c r="AT20" s="6" t="s">
        <v>33</v>
      </c>
      <c r="AU20" s="6" t="s">
        <v>34</v>
      </c>
      <c r="AV20" s="6" t="s">
        <v>35</v>
      </c>
      <c r="AW20" s="6" t="s">
        <v>36</v>
      </c>
      <c r="AX20" s="6" t="s">
        <v>37</v>
      </c>
      <c r="AY20" s="6" t="s">
        <v>38</v>
      </c>
      <c r="AZ20" s="6" t="s">
        <v>39</v>
      </c>
      <c r="BA20" s="6" t="s">
        <v>188</v>
      </c>
      <c r="BB20" s="194"/>
      <c r="BC20">
        <v>4000</v>
      </c>
      <c r="BD20">
        <f t="shared" si="0"/>
        <v>6.03779482735756E-3</v>
      </c>
      <c r="BE20">
        <f t="shared" si="1"/>
        <v>2.4932233380412287E-2</v>
      </c>
      <c r="BF20">
        <f t="shared" si="2"/>
        <v>-1.8894438553054727E-2</v>
      </c>
      <c r="BG20">
        <f t="shared" si="3"/>
        <v>1.0004565720865819</v>
      </c>
      <c r="BH20">
        <f t="shared" si="4"/>
        <v>-0.64736714298975118</v>
      </c>
      <c r="BI20">
        <f t="shared" si="5"/>
        <v>-1.3054073250378795</v>
      </c>
      <c r="BJ20">
        <f t="shared" si="6"/>
        <v>-0.76447933407303104</v>
      </c>
      <c r="BK20">
        <f t="shared" si="13"/>
        <v>4.9794574070880788</v>
      </c>
      <c r="BL20">
        <f t="shared" si="13"/>
        <v>4.9794574070880788</v>
      </c>
      <c r="BM20">
        <f t="shared" si="13"/>
        <v>4.9794574070880788</v>
      </c>
      <c r="BN20">
        <f t="shared" si="13"/>
        <v>4.9794574070880788</v>
      </c>
      <c r="BO20">
        <f t="shared" si="13"/>
        <v>4.9794574070882422</v>
      </c>
      <c r="BP20">
        <f t="shared" si="13"/>
        <v>4.9794574074435127</v>
      </c>
      <c r="BQ20">
        <f t="shared" si="13"/>
        <v>4.9794581807921574</v>
      </c>
      <c r="BR20">
        <f t="shared" si="8"/>
        <v>4.98113644539918</v>
      </c>
    </row>
    <row r="21" spans="1:92" s="101" customFormat="1">
      <c r="A21" s="150" t="s">
        <v>55</v>
      </c>
      <c r="B21" s="151" t="s">
        <v>86</v>
      </c>
      <c r="C21" s="152">
        <v>57369.288</v>
      </c>
      <c r="D21" s="153">
        <v>3.0000000000000001E-3</v>
      </c>
      <c r="E21" s="101">
        <f t="shared" ref="E21:E52" si="16">+(C21-C$7)/C$8</f>
        <v>38827.50046269592</v>
      </c>
      <c r="F21" s="101">
        <f t="shared" ref="F21:F52" si="17">ROUND(2*E21,0)/2</f>
        <v>38827.5</v>
      </c>
      <c r="G21" s="101">
        <f t="shared" ref="G21:G26" si="18">+C21-(C$7+F21*C$8)+T21*I$9</f>
        <v>1.5264499234035611E-4</v>
      </c>
      <c r="I21" s="101">
        <f t="shared" ref="I21:I26" si="19">G21</f>
        <v>1.5264499234035611E-4</v>
      </c>
      <c r="K21"/>
      <c r="L21"/>
      <c r="O21" s="101">
        <f ca="1">+C$11+C$12*F21</f>
        <v>1.2570584493791642E-3</v>
      </c>
      <c r="P21" s="103">
        <f t="shared" ref="P21:P52" si="20">+D$11+D$12*F21+D$13*F21^2</f>
        <v>-2.6322713712627906E-2</v>
      </c>
      <c r="Q21" s="104">
        <f t="shared" ref="Q21:Q52" si="21">+C21-15018.5</f>
        <v>42350.788</v>
      </c>
      <c r="R21" s="101">
        <f t="shared" ref="R21:R52" si="22">+(P21-G21)^2</f>
        <v>7.0094461855673871E-4</v>
      </c>
      <c r="S21" s="101">
        <v>0.1</v>
      </c>
      <c r="T21" s="221"/>
      <c r="U21">
        <v>3.4028998809133315E-12</v>
      </c>
      <c r="V21">
        <v>1.2401495268922609E-20</v>
      </c>
      <c r="W21">
        <v>2.3686538603367252E-30</v>
      </c>
      <c r="X21">
        <v>7.2789273506459061E-12</v>
      </c>
      <c r="Y21">
        <v>5.0855868811516943E-7</v>
      </c>
      <c r="Z21">
        <v>6.1291930222892592E-6</v>
      </c>
      <c r="AA21">
        <v>5.2585215358938605E-7</v>
      </c>
      <c r="AB21">
        <v>7.6018164556904706</v>
      </c>
      <c r="AC21">
        <v>2.1851144658532943E-7</v>
      </c>
      <c r="AD21">
        <v>8.7205131549437883E-11</v>
      </c>
      <c r="AE21">
        <v>1.1613000939765562E-23</v>
      </c>
      <c r="AF21">
        <f t="shared" ref="AF21:AF52" si="23">F21</f>
        <v>38827.5</v>
      </c>
      <c r="AG21" s="101">
        <f t="shared" ref="AG21:AG52" si="24">AH$3+AH$4*AF21+AH$5*AF21^2+AN21</f>
        <v>1.4384042670006029E-3</v>
      </c>
      <c r="AH21" s="101">
        <f t="shared" ref="AH21:AH52" si="25">IF(S21&lt;&gt;0,G21-AN21, -9999)</f>
        <v>-2.7608472987288152E-2</v>
      </c>
      <c r="AI21" s="101">
        <f t="shared" ref="AI21:AI52" si="26">+G21-P21</f>
        <v>2.6475358704968262E-2</v>
      </c>
      <c r="AJ21" s="101">
        <f t="shared" ref="AJ21:AJ52" si="27">IF(S21&lt;&gt;0,G21-AG21, -9999)</f>
        <v>-1.2857592746602468E-3</v>
      </c>
      <c r="AK21" s="101">
        <f t="shared" ref="AK21:AK52" si="28">+(G21-AG21)^2*S21</f>
        <v>1.6531769123748442E-7</v>
      </c>
      <c r="AL21">
        <f t="shared" ref="AL21:AL52" si="29">IF(S21&lt;&gt;0,G21-P21, -9999)</f>
        <v>2.6475358704968262E-2</v>
      </c>
      <c r="AM21" s="195">
        <f>+(G21-AG21)^2</f>
        <v>1.6531769123748441E-6</v>
      </c>
      <c r="AN21">
        <f t="shared" ref="AN21:AN52" si="30">$AH$6*($AH$11/AO21*AP21+$AH$12)</f>
        <v>2.7761117979628509E-2</v>
      </c>
      <c r="AO21">
        <f t="shared" ref="AO21:AO52" si="31">1+$AH$7*COS(AR21)</f>
        <v>1.000480636798865</v>
      </c>
      <c r="AP21">
        <f t="shared" ref="AP21:AP52" si="32">SIN(AR21+RADIANS($AH$9))</f>
        <v>0.94875017909022463</v>
      </c>
      <c r="AQ21">
        <f t="shared" ref="AQ21:AQ52" si="33">$AH$7*SIN(AR21)</f>
        <v>1.6730808212678467E-3</v>
      </c>
      <c r="AR21">
        <f t="shared" ref="AR21:AR52" si="34">2*ATAN(AS21)</f>
        <v>1.2910529552714443</v>
      </c>
      <c r="AS21">
        <f t="shared" ref="AS21:AS52" si="35">SQRT((1+$AH$7)/(1-$AH$7))*TAN(AT21/2)</f>
        <v>0.75316945764070564</v>
      </c>
      <c r="AT21" s="101">
        <f t="shared" ref="AT21:AZ30" si="36">$BA21+$AH$7*SIN(AU21)</f>
        <v>7.5725655827284193</v>
      </c>
      <c r="AU21" s="101">
        <f t="shared" si="36"/>
        <v>7.5725655827284193</v>
      </c>
      <c r="AV21" s="101">
        <f t="shared" si="36"/>
        <v>7.5725655827284193</v>
      </c>
      <c r="AW21" s="101">
        <f t="shared" si="36"/>
        <v>7.5725655827284193</v>
      </c>
      <c r="AX21" s="101">
        <f t="shared" si="36"/>
        <v>7.5725655827282301</v>
      </c>
      <c r="AY21" s="101">
        <f t="shared" si="36"/>
        <v>7.5725655823364626</v>
      </c>
      <c r="AZ21" s="101">
        <f t="shared" si="36"/>
        <v>7.5725647719550793</v>
      </c>
      <c r="BA21" s="101">
        <f t="shared" ref="BA21:BA52" si="37">RADIANS($AH$9)+$AH$18*(F21-AH$15)</f>
        <v>7.5708933081987242</v>
      </c>
      <c r="BB21"/>
      <c r="BC21">
        <v>4500</v>
      </c>
      <c r="BD21">
        <f t="shared" si="0"/>
        <v>6.863523718650396E-3</v>
      </c>
      <c r="BE21">
        <f t="shared" si="1"/>
        <v>2.4914775725622663E-2</v>
      </c>
      <c r="BF21">
        <f t="shared" si="2"/>
        <v>-1.8051252006972267E-2</v>
      </c>
      <c r="BG21">
        <f t="shared" si="3"/>
        <v>1.000518757580579</v>
      </c>
      <c r="BH21">
        <f t="shared" si="4"/>
        <v>-0.61856003376331403</v>
      </c>
      <c r="BI21">
        <f t="shared" si="5"/>
        <v>-1.2681911105895658</v>
      </c>
      <c r="BJ21">
        <f t="shared" si="6"/>
        <v>-0.73540633841462189</v>
      </c>
      <c r="BK21">
        <f t="shared" si="13"/>
        <v>5.0166554229036073</v>
      </c>
      <c r="BL21">
        <f t="shared" si="13"/>
        <v>5.0166554229036073</v>
      </c>
      <c r="BM21">
        <f t="shared" si="13"/>
        <v>5.0166554229036073</v>
      </c>
      <c r="BN21">
        <f t="shared" si="13"/>
        <v>5.0166554229036073</v>
      </c>
      <c r="BO21">
        <f t="shared" si="13"/>
        <v>5.0166554229038436</v>
      </c>
      <c r="BP21">
        <f t="shared" si="13"/>
        <v>5.0166554233565046</v>
      </c>
      <c r="BQ21">
        <f t="shared" si="13"/>
        <v>5.0166562913254449</v>
      </c>
      <c r="BR21">
        <f t="shared" si="8"/>
        <v>5.0183162151615734</v>
      </c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101" customFormat="1">
      <c r="A22" s="146" t="s">
        <v>750</v>
      </c>
      <c r="B22" s="147" t="s">
        <v>86</v>
      </c>
      <c r="C22" s="146">
        <v>56670.559000000001</v>
      </c>
      <c r="D22" s="146" t="s">
        <v>264</v>
      </c>
      <c r="E22" s="101">
        <f t="shared" si="16"/>
        <v>36709.520392391605</v>
      </c>
      <c r="F22" s="101">
        <f t="shared" si="17"/>
        <v>36709.5</v>
      </c>
      <c r="G22" s="101">
        <f t="shared" si="18"/>
        <v>6.7275209949002601E-3</v>
      </c>
      <c r="I22" s="105">
        <f t="shared" si="19"/>
        <v>6.7275209949002601E-3</v>
      </c>
      <c r="K22"/>
      <c r="O22" s="101">
        <f ca="1">+C$11+C$12*F22</f>
        <v>7.9926897904481764E-3</v>
      </c>
      <c r="P22" s="103">
        <f t="shared" si="20"/>
        <v>-2.0306059069868453E-2</v>
      </c>
      <c r="Q22" s="104">
        <f t="shared" si="21"/>
        <v>41652.059000000001</v>
      </c>
      <c r="R22" s="101">
        <f t="shared" si="22"/>
        <v>7.3081445111826035E-4</v>
      </c>
      <c r="S22" s="101">
        <v>0.1</v>
      </c>
      <c r="T22" s="221"/>
      <c r="AB22"/>
      <c r="AC22"/>
      <c r="AD22"/>
      <c r="AE22"/>
      <c r="AF22">
        <f t="shared" si="23"/>
        <v>36709.5</v>
      </c>
      <c r="AG22" s="101">
        <f t="shared" si="24"/>
        <v>8.5542046886796855E-3</v>
      </c>
      <c r="AH22" s="101">
        <f t="shared" si="25"/>
        <v>-2.2132742763647878E-2</v>
      </c>
      <c r="AI22" s="101">
        <f t="shared" si="26"/>
        <v>2.7033580064768713E-2</v>
      </c>
      <c r="AJ22" s="101">
        <f t="shared" si="27"/>
        <v>-1.8266836937794254E-3</v>
      </c>
      <c r="AK22" s="101">
        <f t="shared" si="28"/>
        <v>3.3367733171196456E-7</v>
      </c>
      <c r="AL22">
        <f t="shared" si="29"/>
        <v>2.7033580064768713E-2</v>
      </c>
      <c r="AM22" s="195">
        <f t="shared" ref="AM22:AM85" si="38">+(G22-AG22)^2</f>
        <v>3.3367733171196456E-6</v>
      </c>
      <c r="AN22">
        <f t="shared" si="30"/>
        <v>2.8860263758548138E-2</v>
      </c>
      <c r="AO22">
        <f t="shared" si="31"/>
        <v>1.0007374039531964</v>
      </c>
      <c r="AP22">
        <f t="shared" si="32"/>
        <v>0.98660618846289683</v>
      </c>
      <c r="AQ22">
        <f t="shared" si="33"/>
        <v>1.5768470365662875E-3</v>
      </c>
      <c r="AR22">
        <f t="shared" si="34"/>
        <v>1.1333664457699595</v>
      </c>
      <c r="AS22">
        <f t="shared" si="35"/>
        <v>0.63629901768841024</v>
      </c>
      <c r="AT22" s="101">
        <f t="shared" si="36"/>
        <v>7.4149754862180215</v>
      </c>
      <c r="AU22" s="101">
        <f t="shared" si="36"/>
        <v>7.4149754862180215</v>
      </c>
      <c r="AV22" s="101">
        <f t="shared" si="36"/>
        <v>7.4149754862180215</v>
      </c>
      <c r="AW22" s="101">
        <f t="shared" si="36"/>
        <v>7.4149754862180215</v>
      </c>
      <c r="AX22" s="101">
        <f t="shared" si="36"/>
        <v>7.4149754862173829</v>
      </c>
      <c r="AY22" s="101">
        <f t="shared" si="36"/>
        <v>7.41497548535399</v>
      </c>
      <c r="AZ22" s="101">
        <f t="shared" si="36"/>
        <v>7.4149743184328312</v>
      </c>
      <c r="BA22" s="101">
        <f t="shared" si="37"/>
        <v>7.4133998034852233</v>
      </c>
      <c r="BB22"/>
      <c r="BC22">
        <v>5000</v>
      </c>
      <c r="BD22">
        <f t="shared" si="0"/>
        <v>7.6933541974154307E-3</v>
      </c>
      <c r="BE22">
        <f t="shared" si="1"/>
        <v>2.4876390752620166E-2</v>
      </c>
      <c r="BF22">
        <f t="shared" si="2"/>
        <v>-1.7183036555204735E-2</v>
      </c>
      <c r="BG22">
        <f t="shared" si="3"/>
        <v>1.0005802322045756</v>
      </c>
      <c r="BH22">
        <f t="shared" si="4"/>
        <v>-0.58889257068913126</v>
      </c>
      <c r="BI22">
        <f t="shared" si="5"/>
        <v>-1.2309702955481012</v>
      </c>
      <c r="BJ22">
        <f t="shared" si="6"/>
        <v>-0.707114939873421</v>
      </c>
      <c r="BK22">
        <f t="shared" ref="BK22:BQ31" si="39">$BR22+$AH$7*SIN(BL22)</f>
        <v>5.0538557378199593</v>
      </c>
      <c r="BL22">
        <f t="shared" si="39"/>
        <v>5.0538557378199593</v>
      </c>
      <c r="BM22">
        <f t="shared" si="39"/>
        <v>5.0538557378199593</v>
      </c>
      <c r="BN22">
        <f t="shared" si="39"/>
        <v>5.0538557378199593</v>
      </c>
      <c r="BO22">
        <f t="shared" si="39"/>
        <v>5.0538557378202853</v>
      </c>
      <c r="BP22">
        <f t="shared" si="39"/>
        <v>5.0538557383786031</v>
      </c>
      <c r="BQ22">
        <f t="shared" si="39"/>
        <v>5.0538566961657043</v>
      </c>
      <c r="BR22">
        <f t="shared" si="8"/>
        <v>5.0554959849239678</v>
      </c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101" customFormat="1">
      <c r="A23" s="15" t="s">
        <v>81</v>
      </c>
      <c r="B23" s="16" t="s">
        <v>87</v>
      </c>
      <c r="C23" s="13">
        <v>50434.245999999999</v>
      </c>
      <c r="D23" s="28">
        <v>1.2E-2</v>
      </c>
      <c r="E23" s="101">
        <f t="shared" si="16"/>
        <v>17806.073353296691</v>
      </c>
      <c r="F23" s="101">
        <f t="shared" si="17"/>
        <v>17806</v>
      </c>
      <c r="G23" s="101">
        <f t="shared" si="18"/>
        <v>2.419950799230719E-2</v>
      </c>
      <c r="I23" s="101">
        <f t="shared" si="19"/>
        <v>2.419950799230719E-2</v>
      </c>
      <c r="P23" s="103">
        <f t="shared" si="20"/>
        <v>1.6761385576129356E-2</v>
      </c>
      <c r="Q23" s="104">
        <f t="shared" si="21"/>
        <v>35415.745999999999</v>
      </c>
      <c r="R23" s="101">
        <f t="shared" si="22"/>
        <v>5.5325665078047176E-5</v>
      </c>
      <c r="S23" s="101">
        <v>0.1</v>
      </c>
      <c r="T23" s="221"/>
      <c r="AF23">
        <f t="shared" si="23"/>
        <v>17806</v>
      </c>
      <c r="AG23" s="101">
        <f t="shared" si="24"/>
        <v>2.6109596431358816E-2</v>
      </c>
      <c r="AH23" s="101">
        <f t="shared" si="25"/>
        <v>1.4851297137077731E-2</v>
      </c>
      <c r="AI23" s="101">
        <f t="shared" si="26"/>
        <v>7.4381224161778337E-3</v>
      </c>
      <c r="AJ23" s="101">
        <f t="shared" si="27"/>
        <v>-1.9100884390516257E-3</v>
      </c>
      <c r="AK23" s="101">
        <f t="shared" si="28"/>
        <v>3.6484378449986764E-7</v>
      </c>
      <c r="AL23">
        <f t="shared" si="29"/>
        <v>7.4381224161778337E-3</v>
      </c>
      <c r="AM23" s="195">
        <f t="shared" si="38"/>
        <v>3.6484378449986761E-6</v>
      </c>
      <c r="AN23">
        <f t="shared" si="30"/>
        <v>9.3482108552294593E-3</v>
      </c>
      <c r="AO23">
        <f t="shared" si="31"/>
        <v>1.0016746832058205</v>
      </c>
      <c r="AP23">
        <f t="shared" si="32"/>
        <v>0.31920686250112079</v>
      </c>
      <c r="AQ23">
        <f t="shared" si="33"/>
        <v>-4.7502350158736169E-4</v>
      </c>
      <c r="AR23">
        <f t="shared" si="34"/>
        <v>-0.27638991412816399</v>
      </c>
      <c r="AS23">
        <f t="shared" si="35"/>
        <v>-0.13908147190000344</v>
      </c>
      <c r="AT23" s="101">
        <f t="shared" si="36"/>
        <v>6.0072700194791935</v>
      </c>
      <c r="AU23" s="101">
        <f t="shared" si="36"/>
        <v>6.0072700194791935</v>
      </c>
      <c r="AV23" s="101">
        <f t="shared" si="36"/>
        <v>6.0072700194791935</v>
      </c>
      <c r="AW23" s="101">
        <f t="shared" si="36"/>
        <v>6.007270019479197</v>
      </c>
      <c r="AX23" s="101">
        <f t="shared" si="36"/>
        <v>6.0072700194814219</v>
      </c>
      <c r="AY23" s="101">
        <f t="shared" si="36"/>
        <v>6.0072700208096448</v>
      </c>
      <c r="AZ23" s="101">
        <f t="shared" si="36"/>
        <v>6.0072708138219895</v>
      </c>
      <c r="BA23" s="101">
        <f t="shared" si="37"/>
        <v>6.0077442480783985</v>
      </c>
      <c r="BB23"/>
      <c r="BC23">
        <v>5500</v>
      </c>
      <c r="BD23">
        <f t="shared" si="0"/>
        <v>8.526088748671827E-3</v>
      </c>
      <c r="BE23">
        <f t="shared" si="1"/>
        <v>2.4817078461404796E-2</v>
      </c>
      <c r="BF23">
        <f t="shared" si="2"/>
        <v>-1.6290989712732969E-2</v>
      </c>
      <c r="BG23">
        <f t="shared" si="3"/>
        <v>1.0006409104296397</v>
      </c>
      <c r="BH23">
        <f t="shared" si="4"/>
        <v>-0.55840558625426895</v>
      </c>
      <c r="BI23">
        <f t="shared" si="5"/>
        <v>-1.1937449357096972</v>
      </c>
      <c r="BJ23">
        <f t="shared" si="6"/>
        <v>-0.6795552441799384</v>
      </c>
      <c r="BK23">
        <f t="shared" si="39"/>
        <v>5.0910583238140372</v>
      </c>
      <c r="BL23">
        <f t="shared" si="39"/>
        <v>5.0910583238140372</v>
      </c>
      <c r="BM23">
        <f t="shared" si="39"/>
        <v>5.0910583238140372</v>
      </c>
      <c r="BN23">
        <f t="shared" si="39"/>
        <v>5.0910583238140372</v>
      </c>
      <c r="BO23">
        <f t="shared" si="39"/>
        <v>5.0910583238144689</v>
      </c>
      <c r="BP23">
        <f t="shared" si="39"/>
        <v>5.0910583244852239</v>
      </c>
      <c r="BQ23">
        <f t="shared" si="39"/>
        <v>5.0910593667916224</v>
      </c>
      <c r="BR23">
        <f t="shared" si="8"/>
        <v>5.0926757546863612</v>
      </c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101" customFormat="1">
      <c r="A24" s="15" t="s">
        <v>81</v>
      </c>
      <c r="B24" s="16" t="s">
        <v>86</v>
      </c>
      <c r="C24" s="13">
        <v>50415.281000000003</v>
      </c>
      <c r="D24" s="28">
        <v>1.7999999999999999E-2</v>
      </c>
      <c r="E24" s="101">
        <f t="shared" si="16"/>
        <v>17748.586842742079</v>
      </c>
      <c r="F24" s="101">
        <f t="shared" si="17"/>
        <v>17748.5</v>
      </c>
      <c r="G24" s="101">
        <f t="shared" si="18"/>
        <v>2.8649722997215576E-2</v>
      </c>
      <c r="I24" s="101">
        <f t="shared" si="19"/>
        <v>2.8649722997215576E-2</v>
      </c>
      <c r="P24" s="103">
        <f t="shared" si="20"/>
        <v>1.6828503691448039E-2</v>
      </c>
      <c r="Q24" s="104">
        <f t="shared" si="21"/>
        <v>35396.781000000003</v>
      </c>
      <c r="R24" s="101">
        <f t="shared" si="22"/>
        <v>1.3974122587505114E-4</v>
      </c>
      <c r="S24" s="101">
        <v>0.1</v>
      </c>
      <c r="T24" s="221"/>
      <c r="AF24">
        <f t="shared" si="23"/>
        <v>17748.5</v>
      </c>
      <c r="AG24" s="101">
        <f t="shared" si="24"/>
        <v>2.6057951114208489E-2</v>
      </c>
      <c r="AH24" s="101">
        <f t="shared" si="25"/>
        <v>1.9420275574455127E-2</v>
      </c>
      <c r="AI24" s="101">
        <f t="shared" si="26"/>
        <v>1.1821219305767537E-2</v>
      </c>
      <c r="AJ24" s="101">
        <f t="shared" si="27"/>
        <v>2.5917718830070872E-3</v>
      </c>
      <c r="AK24" s="101">
        <f t="shared" si="28"/>
        <v>6.7172814935461035E-7</v>
      </c>
      <c r="AL24">
        <f t="shared" si="29"/>
        <v>1.1821219305767537E-2</v>
      </c>
      <c r="AM24" s="195">
        <f t="shared" si="38"/>
        <v>6.717281493546103E-6</v>
      </c>
      <c r="AN24">
        <f t="shared" si="30"/>
        <v>9.2294474227604499E-3</v>
      </c>
      <c r="AO24">
        <f t="shared" si="31"/>
        <v>1.0016726299425383</v>
      </c>
      <c r="AP24">
        <f t="shared" si="32"/>
        <v>0.31513835252686156</v>
      </c>
      <c r="AQ24">
        <f t="shared" si="33"/>
        <v>-4.822035278199954E-4</v>
      </c>
      <c r="AR24">
        <f t="shared" si="34"/>
        <v>-0.28067993116719525</v>
      </c>
      <c r="AS24">
        <f t="shared" si="35"/>
        <v>-0.14126862857699138</v>
      </c>
      <c r="AT24" s="101">
        <f t="shared" si="36"/>
        <v>6.0029871769585288</v>
      </c>
      <c r="AU24" s="101">
        <f t="shared" si="36"/>
        <v>6.0029871769585288</v>
      </c>
      <c r="AV24" s="101">
        <f t="shared" si="36"/>
        <v>6.0029871769585288</v>
      </c>
      <c r="AW24" s="101">
        <f t="shared" si="36"/>
        <v>6.0029871769585323</v>
      </c>
      <c r="AX24" s="101">
        <f t="shared" si="36"/>
        <v>6.002987176960783</v>
      </c>
      <c r="AY24" s="101">
        <f t="shared" si="36"/>
        <v>6.0029871783057978</v>
      </c>
      <c r="AZ24" s="101">
        <f t="shared" si="36"/>
        <v>6.0029879823260615</v>
      </c>
      <c r="BA24" s="101">
        <f t="shared" si="37"/>
        <v>6.0034685745557237</v>
      </c>
      <c r="BB24"/>
      <c r="BC24">
        <v>6000</v>
      </c>
      <c r="BD24">
        <f t="shared" si="0"/>
        <v>9.3604963581995475E-3</v>
      </c>
      <c r="BE24">
        <f t="shared" si="1"/>
        <v>2.4736838851976549E-2</v>
      </c>
      <c r="BF24">
        <f t="shared" si="2"/>
        <v>-1.5376342493777001E-2</v>
      </c>
      <c r="BG24">
        <f t="shared" si="3"/>
        <v>1.0007007077732055</v>
      </c>
      <c r="BH24">
        <f t="shared" si="4"/>
        <v>-0.52714108397838677</v>
      </c>
      <c r="BI24">
        <f t="shared" si="5"/>
        <v>-1.1565150932068371</v>
      </c>
      <c r="BJ24">
        <f t="shared" si="6"/>
        <v>-0.65268089202198631</v>
      </c>
      <c r="BK24">
        <f t="shared" si="39"/>
        <v>5.12826314970187</v>
      </c>
      <c r="BL24">
        <f t="shared" si="39"/>
        <v>5.12826314970187</v>
      </c>
      <c r="BM24">
        <f t="shared" si="39"/>
        <v>5.12826314970187</v>
      </c>
      <c r="BN24">
        <f t="shared" si="39"/>
        <v>5.12826314970187</v>
      </c>
      <c r="BO24">
        <f t="shared" si="39"/>
        <v>5.1282631497024243</v>
      </c>
      <c r="BP24">
        <f t="shared" si="39"/>
        <v>5.1282631504908052</v>
      </c>
      <c r="BQ24">
        <f t="shared" si="39"/>
        <v>5.1282642715501758</v>
      </c>
      <c r="BR24">
        <f t="shared" si="8"/>
        <v>5.1298555244487556</v>
      </c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101" customFormat="1">
      <c r="A25" s="15" t="s">
        <v>81</v>
      </c>
      <c r="B25" s="16" t="s">
        <v>86</v>
      </c>
      <c r="C25" s="13">
        <v>50421.22</v>
      </c>
      <c r="D25" s="28">
        <v>1.0999999999999999E-2</v>
      </c>
      <c r="E25" s="101">
        <f t="shared" si="16"/>
        <v>17766.589077710909</v>
      </c>
      <c r="F25" s="101">
        <f t="shared" si="17"/>
        <v>17766.5</v>
      </c>
      <c r="G25" s="101">
        <f t="shared" si="18"/>
        <v>2.9387046997726429E-2</v>
      </c>
      <c r="I25" s="101">
        <f t="shared" si="19"/>
        <v>2.9387046997726429E-2</v>
      </c>
      <c r="P25" s="103">
        <f t="shared" si="20"/>
        <v>1.6807522561820862E-2</v>
      </c>
      <c r="Q25" s="104">
        <f t="shared" si="21"/>
        <v>35402.720000000001</v>
      </c>
      <c r="R25" s="101">
        <f t="shared" si="22"/>
        <v>1.5824443503354528E-4</v>
      </c>
      <c r="S25" s="101">
        <v>0.1</v>
      </c>
      <c r="T25" s="221"/>
      <c r="AF25">
        <f t="shared" si="23"/>
        <v>17766.5</v>
      </c>
      <c r="AG25" s="101">
        <f t="shared" si="24"/>
        <v>2.6074166381954006E-2</v>
      </c>
      <c r="AH25" s="101">
        <f t="shared" si="25"/>
        <v>2.0120403177593286E-2</v>
      </c>
      <c r="AI25" s="101">
        <f t="shared" si="26"/>
        <v>1.2579524435905567E-2</v>
      </c>
      <c r="AJ25" s="101">
        <f t="shared" si="27"/>
        <v>3.3128806157724233E-3</v>
      </c>
      <c r="AK25" s="101">
        <f t="shared" si="28"/>
        <v>1.0975177974360671E-6</v>
      </c>
      <c r="AL25">
        <f t="shared" si="29"/>
        <v>1.2579524435905567E-2</v>
      </c>
      <c r="AM25" s="195">
        <f t="shared" si="38"/>
        <v>1.0975177974360671E-5</v>
      </c>
      <c r="AN25">
        <f t="shared" si="30"/>
        <v>9.2666438201331434E-3</v>
      </c>
      <c r="AO25">
        <f t="shared" si="31"/>
        <v>1.0016732760140468</v>
      </c>
      <c r="AP25">
        <f t="shared" si="32"/>
        <v>0.31641259839450098</v>
      </c>
      <c r="AQ25">
        <f t="shared" si="33"/>
        <v>-4.7995681861276099E-4</v>
      </c>
      <c r="AR25">
        <f t="shared" si="34"/>
        <v>-0.2793369712043528</v>
      </c>
      <c r="AS25">
        <f t="shared" si="35"/>
        <v>-0.14058381284485735</v>
      </c>
      <c r="AT25" s="101">
        <f t="shared" si="36"/>
        <v>6.0043278919331966</v>
      </c>
      <c r="AU25" s="101">
        <f t="shared" si="36"/>
        <v>6.0043278919331966</v>
      </c>
      <c r="AV25" s="101">
        <f t="shared" si="36"/>
        <v>6.0043278919331966</v>
      </c>
      <c r="AW25" s="101">
        <f t="shared" si="36"/>
        <v>6.0043278919332002</v>
      </c>
      <c r="AX25" s="101">
        <f t="shared" si="36"/>
        <v>6.0043278919354419</v>
      </c>
      <c r="AY25" s="101">
        <f t="shared" si="36"/>
        <v>6.0043278932752191</v>
      </c>
      <c r="AZ25" s="101">
        <f t="shared" si="36"/>
        <v>6.0043286938558165</v>
      </c>
      <c r="BA25" s="101">
        <f t="shared" si="37"/>
        <v>6.0048070462671692</v>
      </c>
      <c r="BB25"/>
      <c r="BC25">
        <v>6500</v>
      </c>
      <c r="BD25">
        <f t="shared" si="0"/>
        <v>1.0195314202949946E-2</v>
      </c>
      <c r="BE25">
        <f t="shared" si="1"/>
        <v>2.4635671924335426E-2</v>
      </c>
      <c r="BF25">
        <f t="shared" si="2"/>
        <v>-1.444035772138548E-2</v>
      </c>
      <c r="BG25">
        <f t="shared" si="3"/>
        <v>1.0007595409192171</v>
      </c>
      <c r="BH25">
        <f t="shared" si="4"/>
        <v>-0.49514218113176922</v>
      </c>
      <c r="BI25">
        <f t="shared" si="5"/>
        <v>-1.1192808364273186</v>
      </c>
      <c r="BJ25">
        <f t="shared" si="6"/>
        <v>-0.62644872687321729</v>
      </c>
      <c r="BK25">
        <f t="shared" si="39"/>
        <v>5.165470181179745</v>
      </c>
      <c r="BL25">
        <f t="shared" si="39"/>
        <v>5.165470181179745</v>
      </c>
      <c r="BM25">
        <f t="shared" si="39"/>
        <v>5.165470181179745</v>
      </c>
      <c r="BN25">
        <f t="shared" si="39"/>
        <v>5.165470181179745</v>
      </c>
      <c r="BO25">
        <f t="shared" si="39"/>
        <v>5.1654701811804378</v>
      </c>
      <c r="BP25">
        <f t="shared" si="39"/>
        <v>5.1654701820899609</v>
      </c>
      <c r="BQ25">
        <f t="shared" si="39"/>
        <v>5.1654713757003732</v>
      </c>
      <c r="BR25">
        <f t="shared" si="8"/>
        <v>5.167035294211149</v>
      </c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101" customFormat="1">
      <c r="A26" s="10" t="s">
        <v>109</v>
      </c>
      <c r="B26"/>
      <c r="C26" s="26">
        <v>51628.343000000001</v>
      </c>
      <c r="D26" s="25"/>
      <c r="E26" s="101">
        <f t="shared" si="16"/>
        <v>21425.607747904876</v>
      </c>
      <c r="F26" s="101">
        <f t="shared" si="17"/>
        <v>21425.5</v>
      </c>
      <c r="G26" s="101">
        <f t="shared" si="18"/>
        <v>3.5546408995287493E-2</v>
      </c>
      <c r="I26" s="101">
        <f t="shared" si="19"/>
        <v>3.5546408995287493E-2</v>
      </c>
      <c r="P26" s="103">
        <f t="shared" si="20"/>
        <v>1.197940689225601E-2</v>
      </c>
      <c r="Q26" s="104">
        <f t="shared" si="21"/>
        <v>36609.843000000001</v>
      </c>
      <c r="R26" s="101">
        <f t="shared" si="22"/>
        <v>5.5540358812429037E-4</v>
      </c>
      <c r="S26" s="101">
        <v>0.1</v>
      </c>
      <c r="T26" s="221"/>
      <c r="AF26">
        <f t="shared" si="23"/>
        <v>21425.5</v>
      </c>
      <c r="AG26" s="101">
        <f t="shared" si="24"/>
        <v>2.8370596981859151E-2</v>
      </c>
      <c r="AH26" s="101">
        <f t="shared" si="25"/>
        <v>1.9155218905684352E-2</v>
      </c>
      <c r="AI26" s="101">
        <f t="shared" si="26"/>
        <v>2.3567002103031483E-2</v>
      </c>
      <c r="AJ26" s="101">
        <f t="shared" si="27"/>
        <v>7.1758120134283419E-3</v>
      </c>
      <c r="AK26" s="101">
        <f t="shared" si="28"/>
        <v>5.1492278052062522E-6</v>
      </c>
      <c r="AL26">
        <f t="shared" si="29"/>
        <v>2.3567002103031483E-2</v>
      </c>
      <c r="AM26" s="195">
        <f t="shared" si="38"/>
        <v>5.1492278052062516E-5</v>
      </c>
      <c r="AN26">
        <f t="shared" si="30"/>
        <v>1.6391190089603141E-2</v>
      </c>
      <c r="AO26">
        <f t="shared" si="31"/>
        <v>1.0017407154234248</v>
      </c>
      <c r="AP26">
        <f t="shared" si="32"/>
        <v>0.56047868151714419</v>
      </c>
      <c r="AQ26">
        <f t="shared" si="33"/>
        <v>-1.099916215854032E-5</v>
      </c>
      <c r="AR26">
        <f t="shared" si="34"/>
        <v>-6.3186754291961033E-3</v>
      </c>
      <c r="AS26">
        <f t="shared" si="35"/>
        <v>-3.1593482261934223E-3</v>
      </c>
      <c r="AT26" s="101">
        <f t="shared" si="36"/>
        <v>6.276877621355986</v>
      </c>
      <c r="AU26" s="101">
        <f t="shared" si="36"/>
        <v>6.276877621355986</v>
      </c>
      <c r="AV26" s="101">
        <f t="shared" si="36"/>
        <v>6.276877621355986</v>
      </c>
      <c r="AW26" s="101">
        <f t="shared" si="36"/>
        <v>6.276877621355986</v>
      </c>
      <c r="AX26" s="101">
        <f t="shared" si="36"/>
        <v>6.2768776213560438</v>
      </c>
      <c r="AY26" s="101">
        <f t="shared" si="36"/>
        <v>6.2768776213892563</v>
      </c>
      <c r="AZ26" s="101">
        <f t="shared" si="36"/>
        <v>6.2768776404690998</v>
      </c>
      <c r="BA26" s="101">
        <f t="shared" si="37"/>
        <v>6.276888601388368</v>
      </c>
      <c r="BB26"/>
      <c r="BC26">
        <v>7000</v>
      </c>
      <c r="BD26">
        <f t="shared" si="0"/>
        <v>1.1029249388583682E-2</v>
      </c>
      <c r="BE26">
        <f t="shared" si="1"/>
        <v>2.4513577678481432E-2</v>
      </c>
      <c r="BF26">
        <f t="shared" si="2"/>
        <v>-1.348432828989775E-2</v>
      </c>
      <c r="BG26">
        <f t="shared" si="3"/>
        <v>1.0008173278369439</v>
      </c>
      <c r="BH26">
        <f t="shared" si="4"/>
        <v>-0.46245304969742962</v>
      </c>
      <c r="BI26">
        <f t="shared" si="5"/>
        <v>-1.082042239924307</v>
      </c>
      <c r="BJ26">
        <f t="shared" si="6"/>
        <v>-0.60081849833411438</v>
      </c>
      <c r="BK26">
        <f t="shared" si="39"/>
        <v>5.2026793808698004</v>
      </c>
      <c r="BL26">
        <f t="shared" si="39"/>
        <v>5.2026793808698004</v>
      </c>
      <c r="BM26">
        <f t="shared" si="39"/>
        <v>5.2026793808698004</v>
      </c>
      <c r="BN26">
        <f t="shared" si="39"/>
        <v>5.2026793808698013</v>
      </c>
      <c r="BO26">
        <f t="shared" si="39"/>
        <v>5.2026793808706477</v>
      </c>
      <c r="BP26">
        <f t="shared" si="39"/>
        <v>5.2026793819030939</v>
      </c>
      <c r="BQ26">
        <f t="shared" si="39"/>
        <v>5.2026806414612796</v>
      </c>
      <c r="BR26">
        <f t="shared" si="8"/>
        <v>5.2042150639735434</v>
      </c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101" customFormat="1">
      <c r="A27" s="15" t="s">
        <v>97</v>
      </c>
      <c r="B27" s="5" t="s">
        <v>86</v>
      </c>
      <c r="C27" s="22">
        <v>44559.794999999998</v>
      </c>
      <c r="D27" s="26"/>
      <c r="E27" s="101">
        <f t="shared" si="16"/>
        <v>-0.50135875803008401</v>
      </c>
      <c r="F27" s="101">
        <f t="shared" si="17"/>
        <v>-0.5</v>
      </c>
      <c r="G27" s="101">
        <f>+C27-(C$7+F27*C$8)+T27*J$9</f>
        <v>-4.4825900840805843E-4</v>
      </c>
      <c r="J27" s="105">
        <f t="shared" ref="J27:J58" si="40">G27</f>
        <v>-4.4825900840805843E-4</v>
      </c>
      <c r="K27"/>
      <c r="P27" s="103">
        <f t="shared" si="20"/>
        <v>2.4318350728052079E-2</v>
      </c>
      <c r="Q27" s="104">
        <f t="shared" si="21"/>
        <v>29541.294999999998</v>
      </c>
      <c r="R27" s="101">
        <f t="shared" si="22"/>
        <v>6.133849578381221E-4</v>
      </c>
      <c r="S27" s="101">
        <v>1</v>
      </c>
      <c r="T27" s="221"/>
      <c r="AF27">
        <f t="shared" si="23"/>
        <v>-0.5</v>
      </c>
      <c r="AG27" s="101">
        <f t="shared" si="24"/>
        <v>-2.8973041588748263E-4</v>
      </c>
      <c r="AH27" s="101">
        <f t="shared" si="25"/>
        <v>2.4159822135531504E-2</v>
      </c>
      <c r="AI27" s="101">
        <f t="shared" si="26"/>
        <v>-2.4766609736460138E-2</v>
      </c>
      <c r="AJ27" s="101">
        <f t="shared" si="27"/>
        <v>-1.585285925205758E-4</v>
      </c>
      <c r="AK27" s="101">
        <f t="shared" si="28"/>
        <v>2.513131464655476E-8</v>
      </c>
      <c r="AL27">
        <f t="shared" si="29"/>
        <v>-2.4766609736460138E-2</v>
      </c>
      <c r="AM27" s="195">
        <f t="shared" si="38"/>
        <v>2.513131464655476E-8</v>
      </c>
      <c r="AN27">
        <f t="shared" si="30"/>
        <v>-2.4608081143939562E-2</v>
      </c>
      <c r="AO27">
        <f t="shared" si="31"/>
        <v>0.99994394411211696</v>
      </c>
      <c r="AP27">
        <f t="shared" si="32"/>
        <v>-0.84239996304819109</v>
      </c>
      <c r="AQ27">
        <f t="shared" si="33"/>
        <v>-1.7398473796143993E-3</v>
      </c>
      <c r="AR27">
        <f t="shared" si="34"/>
        <v>-1.6030040389513935</v>
      </c>
      <c r="AS27">
        <f t="shared" si="35"/>
        <v>-1.0327377461634943</v>
      </c>
      <c r="AT27" s="101">
        <f t="shared" si="36"/>
        <v>4.6819211652526969</v>
      </c>
      <c r="AU27" s="101">
        <f t="shared" si="36"/>
        <v>4.6819211652526969</v>
      </c>
      <c r="AV27" s="101">
        <f t="shared" si="36"/>
        <v>4.6819211652526969</v>
      </c>
      <c r="AW27" s="101">
        <f t="shared" si="36"/>
        <v>4.6819211652526969</v>
      </c>
      <c r="AX27" s="101">
        <f t="shared" si="36"/>
        <v>4.6819211652526969</v>
      </c>
      <c r="AY27" s="101">
        <f t="shared" si="36"/>
        <v>4.6819211652574504</v>
      </c>
      <c r="AZ27" s="101">
        <f t="shared" si="36"/>
        <v>4.6819210756197043</v>
      </c>
      <c r="BA27" s="101">
        <f t="shared" si="37"/>
        <v>4.6836611075302663</v>
      </c>
      <c r="BB27"/>
      <c r="BC27">
        <v>9500</v>
      </c>
      <c r="BD27">
        <f t="shared" ref="BD27:BD43" si="41">AH$3+AH$4*BC27+AH$5*BC27^2+BF27</f>
        <v>1.513855717424201E-2</v>
      </c>
      <c r="BE27">
        <f t="shared" ref="BE27:BE43" si="42">AH$3+AH$4*BC27+AH$5*BC27^2</f>
        <v>2.3589196676018324E-2</v>
      </c>
      <c r="BF27">
        <f t="shared" ref="BF27:BF43" si="43">$AH$6*($AH$11/BG27*BH27+$AH$12)</f>
        <v>-8.4506395017763143E-3</v>
      </c>
      <c r="BG27">
        <f t="shared" ref="BG27:BG43" si="44">1+$AH$7*COS(BI27)</f>
        <v>1.0010878025305188</v>
      </c>
      <c r="BH27">
        <f t="shared" ref="BH27:BH43" si="45">SIN(BI27+RADIANS($AH$9))</f>
        <v>-0.29026603186382166</v>
      </c>
      <c r="BI27">
        <f t="shared" ref="BI27:BI43" si="46">2*ATAN(BJ27)</f>
        <v>-0.89578718931209489</v>
      </c>
      <c r="BJ27">
        <f t="shared" ref="BJ27:BJ43" si="47">SQRT((1+$AH$7)/(1-$AH$7))*TAN(BK27/2)</f>
        <v>-0.48045978390924515</v>
      </c>
      <c r="BK27">
        <f t="shared" ref="BK27:BM43" si="48">$BR27+$AH$7*SIN(BL27)</f>
        <v>5.3887563857449008</v>
      </c>
      <c r="BL27">
        <f t="shared" si="48"/>
        <v>5.3887563857449008</v>
      </c>
      <c r="BM27">
        <f t="shared" si="48"/>
        <v>5.3887563857449008</v>
      </c>
      <c r="BN27">
        <f t="shared" si="39"/>
        <v>5.3887563857449026</v>
      </c>
      <c r="BO27">
        <f t="shared" si="39"/>
        <v>5.3887563857466585</v>
      </c>
      <c r="BP27">
        <f t="shared" si="39"/>
        <v>5.3887563873580993</v>
      </c>
      <c r="BQ27">
        <f t="shared" si="39"/>
        <v>5.3887578662211633</v>
      </c>
      <c r="BR27">
        <f t="shared" si="8"/>
        <v>5.3901139127855124</v>
      </c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101" customFormat="1">
      <c r="A28" s="15" t="s">
        <v>67</v>
      </c>
      <c r="B28"/>
      <c r="C28" s="26">
        <v>44559.960400000004</v>
      </c>
      <c r="D28" s="25" t="s">
        <v>69</v>
      </c>
      <c r="E28" s="101">
        <f t="shared" si="16"/>
        <v>0</v>
      </c>
      <c r="F28" s="101">
        <f t="shared" si="17"/>
        <v>0</v>
      </c>
      <c r="G28" s="101">
        <f t="shared" ref="G28:G84" si="49">+C28-(C$7+F28*C$8)+T28*J$9</f>
        <v>0</v>
      </c>
      <c r="J28" s="101">
        <f t="shared" si="40"/>
        <v>0</v>
      </c>
      <c r="P28" s="103">
        <f t="shared" si="20"/>
        <v>2.4318511163065756E-2</v>
      </c>
      <c r="Q28" s="104">
        <f t="shared" si="21"/>
        <v>29541.460400000004</v>
      </c>
      <c r="R28" s="101">
        <f t="shared" si="22"/>
        <v>5.9138998518815382E-4</v>
      </c>
      <c r="S28" s="101">
        <v>1</v>
      </c>
      <c r="T28" s="221"/>
      <c r="AF28">
        <f t="shared" si="23"/>
        <v>0</v>
      </c>
      <c r="AG28" s="101">
        <f t="shared" si="24"/>
        <v>-2.889825053754673E-4</v>
      </c>
      <c r="AH28" s="101">
        <f t="shared" si="25"/>
        <v>2.4607493668441224E-2</v>
      </c>
      <c r="AI28" s="101">
        <f t="shared" si="26"/>
        <v>-2.4318511163065756E-2</v>
      </c>
      <c r="AJ28" s="101">
        <f t="shared" si="27"/>
        <v>2.889825053754673E-4</v>
      </c>
      <c r="AK28" s="101">
        <f t="shared" si="28"/>
        <v>8.3510888413081984E-8</v>
      </c>
      <c r="AL28">
        <f t="shared" si="29"/>
        <v>-2.4318511163065756E-2</v>
      </c>
      <c r="AM28" s="195">
        <f t="shared" si="38"/>
        <v>8.3510888413081984E-8</v>
      </c>
      <c r="AN28">
        <f t="shared" si="30"/>
        <v>-2.4607493668441224E-2</v>
      </c>
      <c r="AO28">
        <f t="shared" si="31"/>
        <v>0.99994400879232681</v>
      </c>
      <c r="AP28">
        <f t="shared" si="32"/>
        <v>-0.84237993019802893</v>
      </c>
      <c r="AQ28">
        <f t="shared" si="33"/>
        <v>-1.7398494623330925E-3</v>
      </c>
      <c r="AR28">
        <f t="shared" si="34"/>
        <v>-1.602966863178424</v>
      </c>
      <c r="AS28">
        <f t="shared" si="35"/>
        <v>-1.0326993341551205</v>
      </c>
      <c r="AT28" s="101">
        <f t="shared" si="36"/>
        <v>4.6819583430521732</v>
      </c>
      <c r="AU28" s="101">
        <f t="shared" si="36"/>
        <v>4.6819583430521732</v>
      </c>
      <c r="AV28" s="101">
        <f t="shared" si="36"/>
        <v>4.6819583430521732</v>
      </c>
      <c r="AW28" s="101">
        <f t="shared" si="36"/>
        <v>4.6819583430521732</v>
      </c>
      <c r="AX28" s="101">
        <f t="shared" si="36"/>
        <v>4.6819583430521732</v>
      </c>
      <c r="AY28" s="101">
        <f t="shared" si="36"/>
        <v>4.6819583430569152</v>
      </c>
      <c r="AZ28" s="101">
        <f t="shared" si="36"/>
        <v>4.6819582535316373</v>
      </c>
      <c r="BA28" s="101">
        <f t="shared" si="37"/>
        <v>4.6836982873000288</v>
      </c>
      <c r="BB28"/>
      <c r="BC28">
        <v>10000</v>
      </c>
      <c r="BD28">
        <f t="shared" si="41"/>
        <v>1.5938591323987002E-2</v>
      </c>
      <c r="BE28">
        <f t="shared" si="42"/>
        <v>2.3341538520887075E-2</v>
      </c>
      <c r="BF28">
        <f t="shared" si="43"/>
        <v>-7.4029471969000735E-3</v>
      </c>
      <c r="BG28">
        <f t="shared" si="44"/>
        <v>1.0011376759635739</v>
      </c>
      <c r="BH28">
        <f t="shared" si="45"/>
        <v>-0.25441436045948712</v>
      </c>
      <c r="BI28">
        <f t="shared" si="46"/>
        <v>-0.85852445180232251</v>
      </c>
      <c r="BJ28">
        <f t="shared" si="47"/>
        <v>-0.45772837284193391</v>
      </c>
      <c r="BK28">
        <f t="shared" si="48"/>
        <v>5.4259776444569008</v>
      </c>
      <c r="BL28">
        <f t="shared" si="48"/>
        <v>5.4259776444569008</v>
      </c>
      <c r="BM28">
        <f t="shared" si="48"/>
        <v>5.4259776444569008</v>
      </c>
      <c r="BN28">
        <f t="shared" si="39"/>
        <v>5.4259776444569026</v>
      </c>
      <c r="BO28">
        <f t="shared" si="39"/>
        <v>5.4259776444588486</v>
      </c>
      <c r="BP28">
        <f t="shared" si="39"/>
        <v>5.4259776461667535</v>
      </c>
      <c r="BQ28">
        <f t="shared" si="39"/>
        <v>5.4259791451029518</v>
      </c>
      <c r="BR28">
        <f t="shared" si="8"/>
        <v>5.4272936825479059</v>
      </c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101" customFormat="1">
      <c r="A29" s="15" t="s">
        <v>97</v>
      </c>
      <c r="B29" s="5" t="s">
        <v>87</v>
      </c>
      <c r="C29" s="22">
        <v>44559.961000000003</v>
      </c>
      <c r="D29" s="26"/>
      <c r="E29" s="101">
        <f t="shared" si="16"/>
        <v>1.8187137515409439E-3</v>
      </c>
      <c r="F29" s="101">
        <f t="shared" si="17"/>
        <v>0</v>
      </c>
      <c r="G29" s="101">
        <f t="shared" si="49"/>
        <v>5.9999999939464033E-4</v>
      </c>
      <c r="J29" s="105">
        <f t="shared" si="40"/>
        <v>5.9999999939464033E-4</v>
      </c>
      <c r="K29"/>
      <c r="P29" s="103">
        <f t="shared" si="20"/>
        <v>2.4318511163065756E-2</v>
      </c>
      <c r="Q29" s="104">
        <f t="shared" si="21"/>
        <v>29541.461000000003</v>
      </c>
      <c r="R29" s="101">
        <f t="shared" si="22"/>
        <v>5.6256777182119131E-4</v>
      </c>
      <c r="S29" s="101">
        <v>1</v>
      </c>
      <c r="T29" s="221"/>
      <c r="U29" s="101">
        <v>1.4046681030328502E-6</v>
      </c>
      <c r="V29" s="101">
        <v>2.6031042183126546E-15</v>
      </c>
      <c r="W29" s="101">
        <v>1.9248523033473878E-25</v>
      </c>
      <c r="X29" s="101">
        <v>5.6445438103383204E-9</v>
      </c>
      <c r="Y29" s="101">
        <v>3.1958776919057162E-4</v>
      </c>
      <c r="Z29" s="101">
        <v>2.0069291721463989</v>
      </c>
      <c r="AA29" s="101">
        <v>4.0862293811861981E-2</v>
      </c>
      <c r="AB29" s="101">
        <v>156482.2575973754</v>
      </c>
      <c r="AC29" s="101">
        <v>1.6944769110755742E-4</v>
      </c>
      <c r="AD29" s="101">
        <v>1.7870954339819031E-6</v>
      </c>
      <c r="AE29" s="101">
        <v>9.4371372626781422E-19</v>
      </c>
      <c r="AF29">
        <f t="shared" si="23"/>
        <v>0</v>
      </c>
      <c r="AG29" s="101">
        <f t="shared" si="24"/>
        <v>-2.889825053754673E-4</v>
      </c>
      <c r="AH29" s="101">
        <f t="shared" si="25"/>
        <v>2.5207493667835864E-2</v>
      </c>
      <c r="AI29" s="101">
        <f t="shared" si="26"/>
        <v>-2.3718511163671116E-2</v>
      </c>
      <c r="AJ29" s="101">
        <f t="shared" si="27"/>
        <v>8.8898250477010762E-4</v>
      </c>
      <c r="AK29" s="101">
        <f t="shared" si="28"/>
        <v>7.9028989378733444E-7</v>
      </c>
      <c r="AL29">
        <f t="shared" si="29"/>
        <v>-2.3718511163671116E-2</v>
      </c>
      <c r="AM29" s="195">
        <f t="shared" si="38"/>
        <v>7.9028989378733444E-7</v>
      </c>
      <c r="AN29">
        <f t="shared" si="30"/>
        <v>-2.4607493668441224E-2</v>
      </c>
      <c r="AO29">
        <f t="shared" si="31"/>
        <v>0.99994400879232681</v>
      </c>
      <c r="AP29">
        <f t="shared" si="32"/>
        <v>-0.84237993019802893</v>
      </c>
      <c r="AQ29">
        <f t="shared" si="33"/>
        <v>-1.7398494623330925E-3</v>
      </c>
      <c r="AR29">
        <f t="shared" si="34"/>
        <v>-1.602966863178424</v>
      </c>
      <c r="AS29">
        <f t="shared" si="35"/>
        <v>-1.0326993341551205</v>
      </c>
      <c r="AT29" s="101">
        <f t="shared" si="36"/>
        <v>4.6819583430521732</v>
      </c>
      <c r="AU29" s="101">
        <f t="shared" si="36"/>
        <v>4.6819583430521732</v>
      </c>
      <c r="AV29" s="101">
        <f t="shared" si="36"/>
        <v>4.6819583430521732</v>
      </c>
      <c r="AW29" s="101">
        <f t="shared" si="36"/>
        <v>4.6819583430521732</v>
      </c>
      <c r="AX29" s="101">
        <f t="shared" si="36"/>
        <v>4.6819583430521732</v>
      </c>
      <c r="AY29" s="101">
        <f t="shared" si="36"/>
        <v>4.6819583430569152</v>
      </c>
      <c r="AZ29" s="101">
        <f t="shared" si="36"/>
        <v>4.6819582535316373</v>
      </c>
      <c r="BA29" s="101">
        <f t="shared" si="37"/>
        <v>4.6836982873000288</v>
      </c>
      <c r="BB29"/>
      <c r="BC29">
        <v>11000</v>
      </c>
      <c r="BD29">
        <f t="shared" si="41"/>
        <v>1.7505332985214134E-2</v>
      </c>
      <c r="BE29">
        <f t="shared" si="42"/>
        <v>2.2783440255985957E-2</v>
      </c>
      <c r="BF29">
        <f t="shared" si="43"/>
        <v>-5.2781072707718214E-3</v>
      </c>
      <c r="BG29">
        <f t="shared" si="44"/>
        <v>1.0012326306295829</v>
      </c>
      <c r="BH29">
        <f t="shared" si="45"/>
        <v>-0.18169096976612789</v>
      </c>
      <c r="BI29">
        <f t="shared" si="46"/>
        <v>-0.78398813255971134</v>
      </c>
      <c r="BJ29">
        <f t="shared" si="47"/>
        <v>-0.41338782643205013</v>
      </c>
      <c r="BK29">
        <f t="shared" si="48"/>
        <v>5.5004255777396223</v>
      </c>
      <c r="BL29">
        <f t="shared" si="48"/>
        <v>5.5004255777396223</v>
      </c>
      <c r="BM29">
        <f t="shared" si="48"/>
        <v>5.5004255777396223</v>
      </c>
      <c r="BN29">
        <f t="shared" si="39"/>
        <v>5.5004255777396258</v>
      </c>
      <c r="BO29">
        <f t="shared" si="39"/>
        <v>5.5004255777419315</v>
      </c>
      <c r="BP29">
        <f t="shared" si="39"/>
        <v>5.5004255796105914</v>
      </c>
      <c r="BQ29">
        <f t="shared" si="39"/>
        <v>5.5004270937488293</v>
      </c>
      <c r="BR29">
        <f t="shared" si="8"/>
        <v>5.5016532220726937</v>
      </c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101" customFormat="1">
      <c r="A30" s="10" t="s">
        <v>104</v>
      </c>
      <c r="B30"/>
      <c r="C30" s="26">
        <v>46442.394899999999</v>
      </c>
      <c r="D30" s="25"/>
      <c r="E30" s="101">
        <f t="shared" si="16"/>
        <v>5706.0158582988088</v>
      </c>
      <c r="F30" s="101">
        <f t="shared" si="17"/>
        <v>5706</v>
      </c>
      <c r="G30" s="101">
        <f t="shared" si="49"/>
        <v>5.2317079971544445E-3</v>
      </c>
      <c r="J30" s="105">
        <f t="shared" si="40"/>
        <v>5.2317079971544445E-3</v>
      </c>
      <c r="N30"/>
      <c r="P30" s="103">
        <f t="shared" si="20"/>
        <v>2.4786554626520844E-2</v>
      </c>
      <c r="Q30" s="104">
        <f t="shared" si="21"/>
        <v>31423.894899999999</v>
      </c>
      <c r="R30" s="101">
        <f t="shared" si="22"/>
        <v>3.8239202669804244E-4</v>
      </c>
      <c r="S30" s="101">
        <v>1</v>
      </c>
      <c r="T30" s="221"/>
      <c r="AF30">
        <f t="shared" si="23"/>
        <v>5706</v>
      </c>
      <c r="AG30" s="101">
        <f t="shared" si="24"/>
        <v>8.8697333231032502E-3</v>
      </c>
      <c r="AH30" s="101">
        <f t="shared" si="25"/>
        <v>2.1148529300572039E-2</v>
      </c>
      <c r="AI30" s="101">
        <f t="shared" si="26"/>
        <v>-1.95548466293664E-2</v>
      </c>
      <c r="AJ30" s="101">
        <f t="shared" si="27"/>
        <v>-3.6380253259488057E-3</v>
      </c>
      <c r="AK30" s="101">
        <f t="shared" si="28"/>
        <v>1.3235228272244914E-5</v>
      </c>
      <c r="AL30">
        <f t="shared" si="29"/>
        <v>-1.95548466293664E-2</v>
      </c>
      <c r="AM30" s="195">
        <f t="shared" si="38"/>
        <v>1.3235228272244914E-5</v>
      </c>
      <c r="AN30">
        <f t="shared" si="30"/>
        <v>-1.5916821303417594E-2</v>
      </c>
      <c r="AO30">
        <f t="shared" si="31"/>
        <v>1.0006656584122331</v>
      </c>
      <c r="AP30">
        <f t="shared" si="32"/>
        <v>-0.54561635691413735</v>
      </c>
      <c r="AQ30">
        <f t="shared" si="33"/>
        <v>-1.6084495780535548E-3</v>
      </c>
      <c r="AR30">
        <f t="shared" si="34"/>
        <v>-1.1784067798164868</v>
      </c>
      <c r="AS30">
        <f t="shared" si="35"/>
        <v>-0.66840252628631813</v>
      </c>
      <c r="AT30" s="101">
        <f t="shared" si="36"/>
        <v>5.1063864426515266</v>
      </c>
      <c r="AU30" s="101">
        <f t="shared" si="36"/>
        <v>5.1063864426515266</v>
      </c>
      <c r="AV30" s="101">
        <f t="shared" si="36"/>
        <v>5.1063864426515266</v>
      </c>
      <c r="AW30" s="101">
        <f t="shared" si="36"/>
        <v>5.1063864426515266</v>
      </c>
      <c r="AX30" s="101">
        <f t="shared" si="36"/>
        <v>5.1063864426520071</v>
      </c>
      <c r="AY30" s="101">
        <f t="shared" si="36"/>
        <v>5.1063864433706883</v>
      </c>
      <c r="AZ30" s="101">
        <f t="shared" si="36"/>
        <v>5.1063875188473578</v>
      </c>
      <c r="BA30" s="101">
        <f t="shared" si="37"/>
        <v>5.1079938198284678</v>
      </c>
      <c r="BB30"/>
      <c r="BC30">
        <v>19500</v>
      </c>
      <c r="BD30">
        <f t="shared" si="41"/>
        <v>2.7420915723223829E-2</v>
      </c>
      <c r="BE30">
        <f t="shared" si="42"/>
        <v>1.4659843112947133E-2</v>
      </c>
      <c r="BF30">
        <f t="shared" si="43"/>
        <v>1.2761072610276696E-2</v>
      </c>
      <c r="BG30">
        <f t="shared" si="44"/>
        <v>1.0017212045748296</v>
      </c>
      <c r="BH30">
        <f t="shared" si="45"/>
        <v>0.43612385131841452</v>
      </c>
      <c r="BI30">
        <f t="shared" si="46"/>
        <v>-0.14999558201411561</v>
      </c>
      <c r="BJ30">
        <f t="shared" si="47"/>
        <v>-7.513872066338137E-2</v>
      </c>
      <c r="BK30">
        <f t="shared" si="48"/>
        <v>6.1334496285382523</v>
      </c>
      <c r="BL30">
        <f t="shared" si="48"/>
        <v>6.1334496285382523</v>
      </c>
      <c r="BM30">
        <f t="shared" si="48"/>
        <v>6.1334496285382523</v>
      </c>
      <c r="BN30">
        <f t="shared" si="39"/>
        <v>6.1334496285382549</v>
      </c>
      <c r="BO30">
        <f t="shared" si="39"/>
        <v>6.1334496285395765</v>
      </c>
      <c r="BP30">
        <f t="shared" si="39"/>
        <v>6.1334496293076404</v>
      </c>
      <c r="BQ30">
        <f t="shared" si="39"/>
        <v>6.1334500755260795</v>
      </c>
      <c r="BR30">
        <f t="shared" si="8"/>
        <v>6.1337093080333895</v>
      </c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101" customFormat="1">
      <c r="A31" s="10" t="s">
        <v>100</v>
      </c>
      <c r="B31" s="5" t="s">
        <v>86</v>
      </c>
      <c r="C31" s="26">
        <v>45738.546300000002</v>
      </c>
      <c r="D31" s="25"/>
      <c r="E31" s="101">
        <f t="shared" si="16"/>
        <v>3572.5173097748575</v>
      </c>
      <c r="F31" s="101">
        <f t="shared" si="17"/>
        <v>3572.5</v>
      </c>
      <c r="G31" s="101">
        <f t="shared" si="49"/>
        <v>5.710555000405293E-3</v>
      </c>
      <c r="J31" s="101">
        <f t="shared" si="40"/>
        <v>5.710555000405293E-3</v>
      </c>
      <c r="P31" s="103">
        <f t="shared" si="20"/>
        <v>2.4930564050323123E-2</v>
      </c>
      <c r="Q31" s="104">
        <f t="shared" si="21"/>
        <v>30720.046300000002</v>
      </c>
      <c r="R31" s="101">
        <f t="shared" si="22"/>
        <v>3.6940874787892328E-4</v>
      </c>
      <c r="S31" s="101">
        <v>1</v>
      </c>
      <c r="T31" s="221"/>
      <c r="AF31">
        <f t="shared" si="23"/>
        <v>3572.5</v>
      </c>
      <c r="AG31" s="101">
        <f t="shared" si="24"/>
        <v>5.3359274556193971E-3</v>
      </c>
      <c r="AH31" s="101">
        <f t="shared" si="25"/>
        <v>2.5305191595109019E-2</v>
      </c>
      <c r="AI31" s="101">
        <f t="shared" si="26"/>
        <v>-1.922000904991783E-2</v>
      </c>
      <c r="AJ31" s="101">
        <f t="shared" si="27"/>
        <v>3.7462754478589586E-4</v>
      </c>
      <c r="AK31" s="101">
        <f t="shared" si="28"/>
        <v>1.4034579731230842E-7</v>
      </c>
      <c r="AL31">
        <f t="shared" si="29"/>
        <v>-1.922000904991783E-2</v>
      </c>
      <c r="AM31" s="195">
        <f t="shared" si="38"/>
        <v>1.4034579731230842E-7</v>
      </c>
      <c r="AN31">
        <f t="shared" si="30"/>
        <v>-1.9594636594703726E-2</v>
      </c>
      <c r="AO31">
        <f t="shared" si="31"/>
        <v>1.0004029049831098</v>
      </c>
      <c r="AP31">
        <f t="shared" si="32"/>
        <v>-0.67128502533265599</v>
      </c>
      <c r="AQ31">
        <f t="shared" si="33"/>
        <v>-1.6934812492327169E-3</v>
      </c>
      <c r="AR31">
        <f t="shared" si="34"/>
        <v>-1.3372235026143107</v>
      </c>
      <c r="AS31">
        <f t="shared" si="35"/>
        <v>-0.78999704963061124</v>
      </c>
      <c r="AT31" s="101">
        <f t="shared" ref="AT31:AZ40" si="50">$BA31+$AH$7*SIN(AU31)</f>
        <v>4.9476549456051098</v>
      </c>
      <c r="AU31" s="101">
        <f t="shared" si="50"/>
        <v>4.9476549456051098</v>
      </c>
      <c r="AV31" s="101">
        <f t="shared" si="50"/>
        <v>4.9476549456051098</v>
      </c>
      <c r="AW31" s="101">
        <f t="shared" si="50"/>
        <v>4.9476549456051098</v>
      </c>
      <c r="AX31" s="101">
        <f t="shared" si="50"/>
        <v>4.9476549456052235</v>
      </c>
      <c r="AY31" s="101">
        <f t="shared" si="50"/>
        <v>4.947654945884814</v>
      </c>
      <c r="AZ31" s="101">
        <f t="shared" si="50"/>
        <v>4.9476556349191716</v>
      </c>
      <c r="BA31" s="101">
        <f t="shared" si="37"/>
        <v>4.9493477422523329</v>
      </c>
      <c r="BB31"/>
      <c r="BC31">
        <v>12000</v>
      </c>
      <c r="BD31">
        <f t="shared" si="41"/>
        <v>1.901780376392441E-2</v>
      </c>
      <c r="BE31">
        <f t="shared" si="42"/>
        <v>2.2141632718233339E-2</v>
      </c>
      <c r="BF31">
        <f t="shared" si="43"/>
        <v>-3.1238289543089278E-3</v>
      </c>
      <c r="BG31">
        <f t="shared" si="44"/>
        <v>1.0013207558487898</v>
      </c>
      <c r="BH31">
        <f t="shared" si="45"/>
        <v>-0.1079450752988058</v>
      </c>
      <c r="BI31">
        <f t="shared" si="46"/>
        <v>-0.70943817638439011</v>
      </c>
      <c r="BJ31">
        <f t="shared" si="47"/>
        <v>-0.37038564972522747</v>
      </c>
      <c r="BK31">
        <f t="shared" si="48"/>
        <v>5.5748803210956908</v>
      </c>
      <c r="BL31">
        <f t="shared" si="48"/>
        <v>5.5748803210956908</v>
      </c>
      <c r="BM31">
        <f t="shared" si="48"/>
        <v>5.5748803210956908</v>
      </c>
      <c r="BN31">
        <f t="shared" si="39"/>
        <v>5.5748803210956943</v>
      </c>
      <c r="BO31">
        <f t="shared" si="39"/>
        <v>5.5748803210983091</v>
      </c>
      <c r="BP31">
        <f t="shared" si="39"/>
        <v>5.5748803230759192</v>
      </c>
      <c r="BQ31">
        <f t="shared" si="39"/>
        <v>5.5748818189531084</v>
      </c>
      <c r="BR31">
        <f t="shared" si="8"/>
        <v>5.5760127615974815</v>
      </c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101" customFormat="1">
      <c r="A32" s="146" t="s">
        <v>303</v>
      </c>
      <c r="B32" s="147" t="s">
        <v>86</v>
      </c>
      <c r="C32" s="146">
        <v>46006.428</v>
      </c>
      <c r="D32" s="146" t="s">
        <v>264</v>
      </c>
      <c r="E32" s="101">
        <f t="shared" si="16"/>
        <v>4384.5175298877148</v>
      </c>
      <c r="F32" s="101">
        <f t="shared" si="17"/>
        <v>4384.5</v>
      </c>
      <c r="G32" s="101">
        <f t="shared" si="49"/>
        <v>5.7831709927995689E-3</v>
      </c>
      <c r="J32" s="101">
        <f t="shared" si="40"/>
        <v>5.7831709927995689E-3</v>
      </c>
      <c r="O32" s="101">
        <f ca="1">+C$11+C$12*F32</f>
        <v>0.11079216245336405</v>
      </c>
      <c r="P32" s="103">
        <f t="shared" si="20"/>
        <v>2.4920667197819074E-2</v>
      </c>
      <c r="Q32" s="104">
        <f t="shared" si="21"/>
        <v>30987.928</v>
      </c>
      <c r="R32" s="101">
        <f t="shared" si="22"/>
        <v>3.6624376099713595E-4</v>
      </c>
      <c r="S32" s="101">
        <v>1</v>
      </c>
      <c r="T32" s="221"/>
      <c r="AF32">
        <f t="shared" si="23"/>
        <v>4384.5</v>
      </c>
      <c r="AG32" s="101">
        <f t="shared" si="24"/>
        <v>6.6723731023686818E-3</v>
      </c>
      <c r="AH32" s="101">
        <f t="shared" si="25"/>
        <v>2.4031465088249961E-2</v>
      </c>
      <c r="AI32" s="101">
        <f t="shared" si="26"/>
        <v>-1.9137496205019505E-2</v>
      </c>
      <c r="AJ32" s="101">
        <f t="shared" si="27"/>
        <v>-8.8920210956911286E-4</v>
      </c>
      <c r="AK32" s="101">
        <f t="shared" si="28"/>
        <v>7.9068039166216062E-7</v>
      </c>
      <c r="AL32">
        <f t="shared" si="29"/>
        <v>-1.9137496205019505E-2</v>
      </c>
      <c r="AM32" s="195">
        <f t="shared" si="38"/>
        <v>7.9068039166216062E-7</v>
      </c>
      <c r="AN32">
        <f t="shared" si="30"/>
        <v>-1.8248294095450392E-2</v>
      </c>
      <c r="AO32">
        <f t="shared" si="31"/>
        <v>1.0005044527337494</v>
      </c>
      <c r="AP32">
        <f t="shared" si="32"/>
        <v>-0.62529235581789777</v>
      </c>
      <c r="AQ32">
        <f t="shared" si="33"/>
        <v>-1.6660548029192091E-3</v>
      </c>
      <c r="AR32">
        <f t="shared" si="34"/>
        <v>-1.2767884666532554</v>
      </c>
      <c r="AS32">
        <f t="shared" si="35"/>
        <v>-0.74205088433627098</v>
      </c>
      <c r="AT32" s="101">
        <f t="shared" si="50"/>
        <v>5.0080624760886678</v>
      </c>
      <c r="AU32" s="101">
        <f t="shared" si="50"/>
        <v>5.0080624760886678</v>
      </c>
      <c r="AV32" s="101">
        <f t="shared" si="50"/>
        <v>5.0080624760886678</v>
      </c>
      <c r="AW32" s="101">
        <f t="shared" si="50"/>
        <v>5.0080624760886678</v>
      </c>
      <c r="AX32" s="101">
        <f t="shared" si="50"/>
        <v>5.0080624760888854</v>
      </c>
      <c r="AY32" s="101">
        <f t="shared" si="50"/>
        <v>5.0080624765182638</v>
      </c>
      <c r="AZ32" s="101">
        <f t="shared" si="50"/>
        <v>5.008063323037776</v>
      </c>
      <c r="BA32" s="101">
        <f t="shared" si="37"/>
        <v>5.0097276883464605</v>
      </c>
      <c r="BB32"/>
      <c r="BC32">
        <v>13500</v>
      </c>
      <c r="BD32">
        <f t="shared" si="41"/>
        <v>2.1158590546885257E-2</v>
      </c>
      <c r="BE32">
        <f t="shared" si="42"/>
        <v>2.1021966525007849E-2</v>
      </c>
      <c r="BF32">
        <f t="shared" si="43"/>
        <v>1.3662402187740639E-4</v>
      </c>
      <c r="BG32">
        <f t="shared" si="44"/>
        <v>1.001439067736746</v>
      </c>
      <c r="BH32">
        <f t="shared" si="45"/>
        <v>3.6923578315284293E-3</v>
      </c>
      <c r="BI32">
        <f t="shared" si="46"/>
        <v>-0.59758999614049757</v>
      </c>
      <c r="BJ32">
        <f t="shared" si="47"/>
        <v>-0.30801643367586429</v>
      </c>
      <c r="BK32">
        <f t="shared" si="48"/>
        <v>5.6865740436435752</v>
      </c>
      <c r="BL32">
        <f t="shared" si="48"/>
        <v>5.6865740436435752</v>
      </c>
      <c r="BM32">
        <f t="shared" si="48"/>
        <v>5.6865740436435752</v>
      </c>
      <c r="BN32">
        <f t="shared" ref="BN32:BQ41" si="51">$BR32+$AH$7*SIN(BO32)</f>
        <v>5.6865740436435797</v>
      </c>
      <c r="BO32">
        <f t="shared" si="51"/>
        <v>5.6865740436464973</v>
      </c>
      <c r="BP32">
        <f t="shared" si="51"/>
        <v>5.6865740456723595</v>
      </c>
      <c r="BQ32">
        <f t="shared" si="51"/>
        <v>5.6865754524954273</v>
      </c>
      <c r="BR32">
        <f t="shared" si="8"/>
        <v>5.6875520708846627</v>
      </c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1:92" s="101" customFormat="1">
      <c r="A33" s="31" t="s">
        <v>93</v>
      </c>
      <c r="B33" s="19" t="s">
        <v>86</v>
      </c>
      <c r="C33" s="27">
        <v>46006.428099999997</v>
      </c>
      <c r="D33" s="27"/>
      <c r="E33" s="101">
        <f t="shared" si="16"/>
        <v>4384.5178330066665</v>
      </c>
      <c r="F33" s="101">
        <f t="shared" si="17"/>
        <v>4384.5</v>
      </c>
      <c r="G33" s="101">
        <f t="shared" si="49"/>
        <v>5.8831709902733564E-3</v>
      </c>
      <c r="J33" s="101">
        <f t="shared" si="40"/>
        <v>5.8831709902733564E-3</v>
      </c>
      <c r="P33" s="103">
        <f t="shared" si="20"/>
        <v>2.4920667197819074E-2</v>
      </c>
      <c r="Q33" s="104">
        <f t="shared" si="21"/>
        <v>30987.928099999997</v>
      </c>
      <c r="R33" s="101">
        <f t="shared" si="22"/>
        <v>3.6242626185231761E-4</v>
      </c>
      <c r="S33" s="101">
        <v>1</v>
      </c>
      <c r="T33" s="221"/>
      <c r="AF33">
        <f t="shared" si="23"/>
        <v>4384.5</v>
      </c>
      <c r="AG33" s="101">
        <f t="shared" si="24"/>
        <v>6.6723731023686818E-3</v>
      </c>
      <c r="AH33" s="101">
        <f t="shared" si="25"/>
        <v>2.4131465085723749E-2</v>
      </c>
      <c r="AI33" s="101">
        <f t="shared" si="26"/>
        <v>-1.9037496207545718E-2</v>
      </c>
      <c r="AJ33" s="101">
        <f t="shared" si="27"/>
        <v>-7.8920211209532534E-4</v>
      </c>
      <c r="AK33" s="101">
        <f t="shared" si="28"/>
        <v>6.2283997373572249E-7</v>
      </c>
      <c r="AL33">
        <f t="shared" si="29"/>
        <v>-1.9037496207545718E-2</v>
      </c>
      <c r="AM33" s="195">
        <f t="shared" si="38"/>
        <v>6.2283997373572249E-7</v>
      </c>
      <c r="AN33">
        <f t="shared" si="30"/>
        <v>-1.8248294095450392E-2</v>
      </c>
      <c r="AO33">
        <f t="shared" si="31"/>
        <v>1.0005044527337494</v>
      </c>
      <c r="AP33">
        <f t="shared" si="32"/>
        <v>-0.62529235581789777</v>
      </c>
      <c r="AQ33">
        <f t="shared" si="33"/>
        <v>-1.6660548029192091E-3</v>
      </c>
      <c r="AR33">
        <f t="shared" si="34"/>
        <v>-1.2767884666532554</v>
      </c>
      <c r="AS33">
        <f t="shared" si="35"/>
        <v>-0.74205088433627098</v>
      </c>
      <c r="AT33" s="101">
        <f t="shared" si="50"/>
        <v>5.0080624760886678</v>
      </c>
      <c r="AU33" s="101">
        <f t="shared" si="50"/>
        <v>5.0080624760886678</v>
      </c>
      <c r="AV33" s="101">
        <f t="shared" si="50"/>
        <v>5.0080624760886678</v>
      </c>
      <c r="AW33" s="101">
        <f t="shared" si="50"/>
        <v>5.0080624760886678</v>
      </c>
      <c r="AX33" s="101">
        <f t="shared" si="50"/>
        <v>5.0080624760888854</v>
      </c>
      <c r="AY33" s="101">
        <f t="shared" si="50"/>
        <v>5.0080624765182638</v>
      </c>
      <c r="AZ33" s="101">
        <f t="shared" si="50"/>
        <v>5.008063323037776</v>
      </c>
      <c r="BA33" s="101">
        <f t="shared" si="37"/>
        <v>5.0097276883464605</v>
      </c>
      <c r="BB33"/>
      <c r="BC33">
        <v>14000</v>
      </c>
      <c r="BD33">
        <f t="shared" si="41"/>
        <v>2.18320461600926E-2</v>
      </c>
      <c r="BE33">
        <f t="shared" si="42"/>
        <v>2.0606889824173601E-2</v>
      </c>
      <c r="BF33">
        <f t="shared" si="43"/>
        <v>1.2251563359189979E-3</v>
      </c>
      <c r="BG33">
        <f t="shared" si="44"/>
        <v>1.0014745805024061</v>
      </c>
      <c r="BH33">
        <f t="shared" si="45"/>
        <v>4.096925603235433E-2</v>
      </c>
      <c r="BI33">
        <f t="shared" si="46"/>
        <v>-0.56030163665194255</v>
      </c>
      <c r="BJ33">
        <f t="shared" si="47"/>
        <v>-0.28771762193994987</v>
      </c>
      <c r="BK33">
        <f t="shared" si="48"/>
        <v>5.7238080968873764</v>
      </c>
      <c r="BL33">
        <f t="shared" si="48"/>
        <v>5.7238080968873764</v>
      </c>
      <c r="BM33">
        <f t="shared" si="48"/>
        <v>5.7238080968873764</v>
      </c>
      <c r="BN33">
        <f t="shared" si="51"/>
        <v>5.7238080968873808</v>
      </c>
      <c r="BO33">
        <f t="shared" si="51"/>
        <v>5.7238080968903438</v>
      </c>
      <c r="BP33">
        <f t="shared" si="51"/>
        <v>5.7238080988988642</v>
      </c>
      <c r="BQ33">
        <f t="shared" si="51"/>
        <v>5.7238094602052341</v>
      </c>
      <c r="BR33">
        <f t="shared" si="8"/>
        <v>5.7247318406470562</v>
      </c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1:92" s="101" customFormat="1">
      <c r="A34" s="10" t="s">
        <v>100</v>
      </c>
      <c r="B34" s="5" t="s">
        <v>87</v>
      </c>
      <c r="C34" s="22">
        <v>45752.567600000002</v>
      </c>
      <c r="D34" s="25"/>
      <c r="E34" s="101">
        <f t="shared" si="16"/>
        <v>3615.0185283585411</v>
      </c>
      <c r="F34" s="101">
        <f t="shared" si="17"/>
        <v>3615</v>
      </c>
      <c r="G34" s="101">
        <f t="shared" si="49"/>
        <v>6.1125700012780726E-3</v>
      </c>
      <c r="J34" s="101">
        <f t="shared" si="40"/>
        <v>6.1125700012780726E-3</v>
      </c>
      <c r="P34" s="103">
        <f t="shared" si="20"/>
        <v>2.4931414853604131E-2</v>
      </c>
      <c r="Q34" s="104">
        <f t="shared" si="21"/>
        <v>30734.067600000002</v>
      </c>
      <c r="R34" s="101">
        <f t="shared" si="22"/>
        <v>3.5414892157591897E-4</v>
      </c>
      <c r="S34" s="101">
        <v>1</v>
      </c>
      <c r="T34" s="221"/>
      <c r="AF34">
        <f t="shared" si="23"/>
        <v>3615</v>
      </c>
      <c r="AG34" s="101">
        <f t="shared" si="24"/>
        <v>5.4055112954229621E-3</v>
      </c>
      <c r="AH34" s="101">
        <f t="shared" si="25"/>
        <v>2.5638473559459241E-2</v>
      </c>
      <c r="AI34" s="101">
        <f t="shared" si="26"/>
        <v>-1.8818844852326058E-2</v>
      </c>
      <c r="AJ34" s="101">
        <f t="shared" si="27"/>
        <v>7.0705870585511046E-4</v>
      </c>
      <c r="AK34" s="101">
        <f t="shared" si="28"/>
        <v>4.9993201352550363E-7</v>
      </c>
      <c r="AL34">
        <f t="shared" si="29"/>
        <v>-1.8818844852326058E-2</v>
      </c>
      <c r="AM34" s="195">
        <f t="shared" si="38"/>
        <v>4.9993201352550363E-7</v>
      </c>
      <c r="AN34">
        <f t="shared" si="30"/>
        <v>-1.9525903558181169E-2</v>
      </c>
      <c r="AO34">
        <f t="shared" si="31"/>
        <v>1.0004082592010455</v>
      </c>
      <c r="AP34">
        <f t="shared" si="32"/>
        <v>-0.66893736280462102</v>
      </c>
      <c r="AQ34">
        <f t="shared" si="33"/>
        <v>-1.6921984492603802E-3</v>
      </c>
      <c r="AR34">
        <f t="shared" si="34"/>
        <v>-1.3340606437800546</v>
      </c>
      <c r="AS34">
        <f t="shared" si="35"/>
        <v>-0.78743186010207555</v>
      </c>
      <c r="AT34" s="101">
        <f t="shared" si="50"/>
        <v>4.9508165173693452</v>
      </c>
      <c r="AU34" s="101">
        <f t="shared" si="50"/>
        <v>4.9508165173693452</v>
      </c>
      <c r="AV34" s="101">
        <f t="shared" si="50"/>
        <v>4.9508165173693452</v>
      </c>
      <c r="AW34" s="101">
        <f t="shared" si="50"/>
        <v>4.9508165173693452</v>
      </c>
      <c r="AX34" s="101">
        <f t="shared" si="50"/>
        <v>4.9508165173694634</v>
      </c>
      <c r="AY34" s="101">
        <f t="shared" si="50"/>
        <v>4.9508165176562402</v>
      </c>
      <c r="AZ34" s="101">
        <f t="shared" si="50"/>
        <v>4.9508172152031893</v>
      </c>
      <c r="BA34" s="101">
        <f t="shared" si="37"/>
        <v>4.952508022682137</v>
      </c>
      <c r="BB34"/>
      <c r="BC34">
        <v>13000</v>
      </c>
      <c r="BD34">
        <f t="shared" si="41"/>
        <v>2.046405790826588E-2</v>
      </c>
      <c r="BE34">
        <f t="shared" si="42"/>
        <v>2.1416115907629221E-2</v>
      </c>
      <c r="BF34">
        <f t="shared" si="43"/>
        <v>-9.5205799936333999E-4</v>
      </c>
      <c r="BG34">
        <f t="shared" si="44"/>
        <v>1.0014015570991692</v>
      </c>
      <c r="BH34">
        <f t="shared" si="45"/>
        <v>-3.3586956013371673E-2</v>
      </c>
      <c r="BI34">
        <f t="shared" si="46"/>
        <v>-0.63487563639899391</v>
      </c>
      <c r="BJ34">
        <f t="shared" si="47"/>
        <v>-0.32854825348737055</v>
      </c>
      <c r="BK34">
        <f t="shared" si="48"/>
        <v>5.6493413480596573</v>
      </c>
      <c r="BL34">
        <f t="shared" si="48"/>
        <v>5.6493413480596573</v>
      </c>
      <c r="BM34">
        <f t="shared" si="48"/>
        <v>5.6493413480596573</v>
      </c>
      <c r="BN34">
        <f t="shared" si="51"/>
        <v>5.6493413480596608</v>
      </c>
      <c r="BO34">
        <f t="shared" si="51"/>
        <v>5.649341348062503</v>
      </c>
      <c r="BP34">
        <f t="shared" si="51"/>
        <v>5.6493413500886689</v>
      </c>
      <c r="BQ34">
        <f t="shared" si="51"/>
        <v>5.6493427946441681</v>
      </c>
      <c r="BR34">
        <f t="shared" ref="BR34:BR65" si="52">RADIANS($AH$9)+$AH$18*(BC34-AH$15)</f>
        <v>5.6503723011222693</v>
      </c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1:92" s="101" customFormat="1">
      <c r="A35" s="31" t="s">
        <v>93</v>
      </c>
      <c r="B35" s="19" t="s">
        <v>86</v>
      </c>
      <c r="C35" s="27">
        <v>46036.449800000002</v>
      </c>
      <c r="D35" s="27"/>
      <c r="E35" s="101">
        <f t="shared" si="16"/>
        <v>4475.5192974895563</v>
      </c>
      <c r="F35" s="101">
        <f t="shared" si="17"/>
        <v>4475.5</v>
      </c>
      <c r="G35" s="101">
        <f t="shared" si="49"/>
        <v>6.3663089968031272E-3</v>
      </c>
      <c r="J35" s="101">
        <f t="shared" si="40"/>
        <v>6.3663089968031272E-3</v>
      </c>
      <c r="P35" s="103">
        <f t="shared" si="20"/>
        <v>2.4916118746758059E-2</v>
      </c>
      <c r="Q35" s="104">
        <f t="shared" si="21"/>
        <v>31017.949800000002</v>
      </c>
      <c r="R35" s="101">
        <f t="shared" si="22"/>
        <v>3.4409544175952305E-4</v>
      </c>
      <c r="S35" s="101">
        <v>1</v>
      </c>
      <c r="T35" s="221"/>
      <c r="AF35">
        <f t="shared" si="23"/>
        <v>4475.5</v>
      </c>
      <c r="AG35" s="101">
        <f t="shared" si="24"/>
        <v>6.8229578258367021E-3</v>
      </c>
      <c r="AH35" s="101">
        <f t="shared" si="25"/>
        <v>2.4459469917724484E-2</v>
      </c>
      <c r="AI35" s="101">
        <f t="shared" si="26"/>
        <v>-1.8549809749954932E-2</v>
      </c>
      <c r="AJ35" s="101">
        <f t="shared" si="27"/>
        <v>-4.566488290335749E-4</v>
      </c>
      <c r="AK35" s="101">
        <f t="shared" si="28"/>
        <v>2.0852815305773511E-7</v>
      </c>
      <c r="AL35">
        <f t="shared" si="29"/>
        <v>-1.8549809749954932E-2</v>
      </c>
      <c r="AM35" s="195">
        <f t="shared" si="38"/>
        <v>2.0852815305773511E-7</v>
      </c>
      <c r="AN35">
        <f t="shared" si="30"/>
        <v>-1.8093160920921357E-2</v>
      </c>
      <c r="AO35">
        <f t="shared" si="31"/>
        <v>1.0005157263534206</v>
      </c>
      <c r="AP35">
        <f t="shared" si="32"/>
        <v>-0.61999195556477149</v>
      </c>
      <c r="AQ35">
        <f t="shared" si="33"/>
        <v>-1.6625996196634441E-3</v>
      </c>
      <c r="AR35">
        <f t="shared" si="34"/>
        <v>-1.2700148127169939</v>
      </c>
      <c r="AS35">
        <f t="shared" si="35"/>
        <v>-0.73681228222330331</v>
      </c>
      <c r="AT35" s="101">
        <f t="shared" si="50"/>
        <v>5.0148326663457299</v>
      </c>
      <c r="AU35" s="101">
        <f t="shared" si="50"/>
        <v>5.0148326663457299</v>
      </c>
      <c r="AV35" s="101">
        <f t="shared" si="50"/>
        <v>5.0148326663457299</v>
      </c>
      <c r="AW35" s="101">
        <f t="shared" si="50"/>
        <v>5.0148326663457299</v>
      </c>
      <c r="AX35" s="101">
        <f t="shared" si="50"/>
        <v>5.0148326663459617</v>
      </c>
      <c r="AY35" s="101">
        <f t="shared" si="50"/>
        <v>5.0148326667936471</v>
      </c>
      <c r="AZ35" s="101">
        <f t="shared" si="50"/>
        <v>5.0148335302339184</v>
      </c>
      <c r="BA35" s="101">
        <f t="shared" si="37"/>
        <v>5.0164944064432166</v>
      </c>
      <c r="BB35"/>
      <c r="BC35">
        <v>16500</v>
      </c>
      <c r="BD35">
        <f t="shared" si="41"/>
        <v>2.4830390339937943E-2</v>
      </c>
      <c r="BE35">
        <f t="shared" si="42"/>
        <v>1.8217596546809239E-2</v>
      </c>
      <c r="BF35">
        <f t="shared" si="43"/>
        <v>6.6127937931287038E-3</v>
      </c>
      <c r="BG35">
        <f t="shared" si="44"/>
        <v>1.0016205297072702</v>
      </c>
      <c r="BH35">
        <f t="shared" si="45"/>
        <v>0.22550165124179231</v>
      </c>
      <c r="BI35">
        <f t="shared" si="46"/>
        <v>-0.37382444284993949</v>
      </c>
      <c r="BJ35">
        <f t="shared" si="47"/>
        <v>-0.18911974173954896</v>
      </c>
      <c r="BK35">
        <f t="shared" si="48"/>
        <v>5.9099960345163582</v>
      </c>
      <c r="BL35">
        <f t="shared" si="48"/>
        <v>5.9099960345163582</v>
      </c>
      <c r="BM35">
        <f t="shared" si="48"/>
        <v>5.9099960345163582</v>
      </c>
      <c r="BN35">
        <f t="shared" si="51"/>
        <v>5.9099960345163627</v>
      </c>
      <c r="BO35">
        <f t="shared" si="51"/>
        <v>5.9099960345190619</v>
      </c>
      <c r="BP35">
        <f t="shared" si="51"/>
        <v>5.9099960361840731</v>
      </c>
      <c r="BQ35">
        <f t="shared" si="51"/>
        <v>5.9099970633773387</v>
      </c>
      <c r="BR35">
        <f t="shared" si="52"/>
        <v>5.9106306894590261</v>
      </c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1:92" s="101" customFormat="1">
      <c r="A36" s="146" t="s">
        <v>303</v>
      </c>
      <c r="B36" s="147" t="s">
        <v>87</v>
      </c>
      <c r="C36" s="146">
        <v>46022.428999999996</v>
      </c>
      <c r="D36" s="146" t="s">
        <v>264</v>
      </c>
      <c r="E36" s="101">
        <f t="shared" si="16"/>
        <v>4433.0195945006508</v>
      </c>
      <c r="F36" s="101">
        <f t="shared" si="17"/>
        <v>4433</v>
      </c>
      <c r="G36" s="101">
        <f t="shared" si="49"/>
        <v>6.4642939905752428E-3</v>
      </c>
      <c r="J36" s="101">
        <f t="shared" si="40"/>
        <v>6.4642939905752428E-3</v>
      </c>
      <c r="O36" s="101">
        <f ca="1">+C$11+C$12*F36</f>
        <v>0.11063792349206006</v>
      </c>
      <c r="P36" s="103">
        <f t="shared" si="20"/>
        <v>2.4918329296221821E-2</v>
      </c>
      <c r="Q36" s="104">
        <f t="shared" si="21"/>
        <v>31003.928999999996</v>
      </c>
      <c r="R36" s="101">
        <f t="shared" si="22"/>
        <v>3.4055141906205039E-4</v>
      </c>
      <c r="S36" s="101">
        <v>1</v>
      </c>
      <c r="T36" s="221"/>
      <c r="AF36">
        <f t="shared" si="23"/>
        <v>4433</v>
      </c>
      <c r="AG36" s="101">
        <f t="shared" si="24"/>
        <v>6.7526122047538439E-3</v>
      </c>
      <c r="AH36" s="101">
        <f t="shared" si="25"/>
        <v>2.463001108204322E-2</v>
      </c>
      <c r="AI36" s="101">
        <f t="shared" si="26"/>
        <v>-1.8454035305646578E-2</v>
      </c>
      <c r="AJ36" s="101">
        <f t="shared" si="27"/>
        <v>-2.8831821417860115E-4</v>
      </c>
      <c r="AK36" s="101">
        <f t="shared" si="28"/>
        <v>8.3127392627137721E-8</v>
      </c>
      <c r="AL36">
        <f t="shared" si="29"/>
        <v>-1.8454035305646578E-2</v>
      </c>
      <c r="AM36" s="195">
        <f t="shared" si="38"/>
        <v>8.3127392627137721E-8</v>
      </c>
      <c r="AN36">
        <f t="shared" si="30"/>
        <v>-1.8165717091467977E-2</v>
      </c>
      <c r="AO36">
        <f t="shared" si="31"/>
        <v>1.0005104640832787</v>
      </c>
      <c r="AP36">
        <f t="shared" si="32"/>
        <v>-0.62247098728853523</v>
      </c>
      <c r="AQ36">
        <f t="shared" si="33"/>
        <v>-1.6642228175937916E-3</v>
      </c>
      <c r="AR36">
        <f t="shared" si="34"/>
        <v>-1.2731783514103074</v>
      </c>
      <c r="AS36">
        <f t="shared" si="35"/>
        <v>-0.73925563171184561</v>
      </c>
      <c r="AT36" s="101">
        <f t="shared" si="50"/>
        <v>5.0116707548085513</v>
      </c>
      <c r="AU36" s="101">
        <f t="shared" si="50"/>
        <v>5.0116707548085513</v>
      </c>
      <c r="AV36" s="101">
        <f t="shared" si="50"/>
        <v>5.0116707548085513</v>
      </c>
      <c r="AW36" s="101">
        <f t="shared" si="50"/>
        <v>5.0116707548085513</v>
      </c>
      <c r="AX36" s="101">
        <f t="shared" si="50"/>
        <v>5.0116707548087769</v>
      </c>
      <c r="AY36" s="101">
        <f t="shared" si="50"/>
        <v>5.0116707552478772</v>
      </c>
      <c r="AZ36" s="101">
        <f t="shared" si="50"/>
        <v>5.0116716108051103</v>
      </c>
      <c r="BA36" s="101">
        <f t="shared" si="37"/>
        <v>5.0133341260134126</v>
      </c>
      <c r="BB36"/>
      <c r="BC36">
        <v>14500</v>
      </c>
      <c r="BD36">
        <f t="shared" si="41"/>
        <v>2.2482913512497128E-2</v>
      </c>
      <c r="BE36">
        <f t="shared" si="42"/>
        <v>2.0170885805126479E-2</v>
      </c>
      <c r="BF36">
        <f t="shared" si="43"/>
        <v>2.3120277073706507E-3</v>
      </c>
      <c r="BG36">
        <f t="shared" si="44"/>
        <v>1.0015080454502441</v>
      </c>
      <c r="BH36">
        <f t="shared" si="45"/>
        <v>7.8191757093025394E-2</v>
      </c>
      <c r="BI36">
        <f t="shared" si="46"/>
        <v>-0.52301070849468756</v>
      </c>
      <c r="BJ36">
        <f t="shared" si="47"/>
        <v>-0.2676340730380386</v>
      </c>
      <c r="BK36">
        <f t="shared" si="48"/>
        <v>5.7610434325731745</v>
      </c>
      <c r="BL36">
        <f t="shared" si="48"/>
        <v>5.7610434325731745</v>
      </c>
      <c r="BM36">
        <f t="shared" si="48"/>
        <v>5.7610434325731745</v>
      </c>
      <c r="BN36">
        <f t="shared" si="51"/>
        <v>5.761043432573179</v>
      </c>
      <c r="BO36">
        <f t="shared" si="51"/>
        <v>5.761043432576157</v>
      </c>
      <c r="BP36">
        <f t="shared" si="51"/>
        <v>5.7610434345500572</v>
      </c>
      <c r="BQ36">
        <f t="shared" si="51"/>
        <v>5.7610447428071963</v>
      </c>
      <c r="BR36">
        <f t="shared" si="52"/>
        <v>5.7619116104094505</v>
      </c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  <row r="37" spans="1:92" s="101" customFormat="1">
      <c r="A37" s="31" t="s">
        <v>93</v>
      </c>
      <c r="B37" s="19" t="s">
        <v>94</v>
      </c>
      <c r="C37" s="27">
        <v>46022.429000000004</v>
      </c>
      <c r="D37" s="27"/>
      <c r="E37" s="101">
        <f t="shared" si="16"/>
        <v>4433.0195945006726</v>
      </c>
      <c r="F37" s="101">
        <f t="shared" si="17"/>
        <v>4433</v>
      </c>
      <c r="G37" s="101">
        <f t="shared" si="49"/>
        <v>6.4642939978512004E-3</v>
      </c>
      <c r="J37" s="101">
        <f t="shared" si="40"/>
        <v>6.4642939978512004E-3</v>
      </c>
      <c r="P37" s="103">
        <f t="shared" si="20"/>
        <v>2.4918329296221821E-2</v>
      </c>
      <c r="Q37" s="104">
        <f t="shared" si="21"/>
        <v>31003.929000000004</v>
      </c>
      <c r="R37" s="101">
        <f t="shared" si="22"/>
        <v>3.4055141879350885E-4</v>
      </c>
      <c r="S37" s="101">
        <v>1</v>
      </c>
      <c r="T37" s="221"/>
      <c r="U37" s="101">
        <v>7.3894378048525446E-10</v>
      </c>
      <c r="V37" s="101">
        <v>2.3962788874885598E-22</v>
      </c>
      <c r="W37" s="101">
        <v>7.7980047116340963E-29</v>
      </c>
      <c r="X37" s="101">
        <v>1.7573424181855968E-9</v>
      </c>
      <c r="Y37" s="101">
        <v>2.9405015981529204E-7</v>
      </c>
      <c r="Z37" s="101">
        <v>8.0267657379062254E-4</v>
      </c>
      <c r="AA37" s="101">
        <v>2.2014500362873823E-10</v>
      </c>
      <c r="AB37" s="101">
        <v>36.410334958242558</v>
      </c>
      <c r="AC37" s="101">
        <v>5.2754948008658577E-5</v>
      </c>
      <c r="AD37" s="101">
        <v>1.8786737721017298E-8</v>
      </c>
      <c r="AE37" s="101">
        <v>3.8231941593963207E-22</v>
      </c>
      <c r="AF37">
        <f t="shared" si="23"/>
        <v>4433</v>
      </c>
      <c r="AG37" s="101">
        <f t="shared" si="24"/>
        <v>6.7526122047538439E-3</v>
      </c>
      <c r="AH37" s="101">
        <f t="shared" si="25"/>
        <v>2.4630011089319177E-2</v>
      </c>
      <c r="AI37" s="101">
        <f t="shared" si="26"/>
        <v>-1.845403529837062E-2</v>
      </c>
      <c r="AJ37" s="101">
        <f t="shared" si="27"/>
        <v>-2.8831820690264354E-4</v>
      </c>
      <c r="AK37" s="101">
        <f t="shared" si="28"/>
        <v>8.3127388431555563E-8</v>
      </c>
      <c r="AL37">
        <f t="shared" si="29"/>
        <v>-1.845403529837062E-2</v>
      </c>
      <c r="AM37" s="195">
        <f t="shared" si="38"/>
        <v>8.3127388431555563E-8</v>
      </c>
      <c r="AN37">
        <f t="shared" si="30"/>
        <v>-1.8165717091467977E-2</v>
      </c>
      <c r="AO37">
        <f t="shared" si="31"/>
        <v>1.0005104640832787</v>
      </c>
      <c r="AP37">
        <f t="shared" si="32"/>
        <v>-0.62247098728853523</v>
      </c>
      <c r="AQ37">
        <f t="shared" si="33"/>
        <v>-1.6642228175937916E-3</v>
      </c>
      <c r="AR37">
        <f t="shared" si="34"/>
        <v>-1.2731783514103074</v>
      </c>
      <c r="AS37">
        <f t="shared" si="35"/>
        <v>-0.73925563171184561</v>
      </c>
      <c r="AT37" s="101">
        <f t="shared" si="50"/>
        <v>5.0116707548085513</v>
      </c>
      <c r="AU37" s="101">
        <f t="shared" si="50"/>
        <v>5.0116707548085513</v>
      </c>
      <c r="AV37" s="101">
        <f t="shared" si="50"/>
        <v>5.0116707548085513</v>
      </c>
      <c r="AW37" s="101">
        <f t="shared" si="50"/>
        <v>5.0116707548085513</v>
      </c>
      <c r="AX37" s="101">
        <f t="shared" si="50"/>
        <v>5.0116707548087769</v>
      </c>
      <c r="AY37" s="101">
        <f t="shared" si="50"/>
        <v>5.0116707552478772</v>
      </c>
      <c r="AZ37" s="101">
        <f t="shared" si="50"/>
        <v>5.0116716108051103</v>
      </c>
      <c r="BA37" s="101">
        <f t="shared" si="37"/>
        <v>5.0133341260134126</v>
      </c>
      <c r="BB37"/>
      <c r="BC37">
        <v>15000</v>
      </c>
      <c r="BD37">
        <f t="shared" si="41"/>
        <v>2.3109683372898586E-2</v>
      </c>
      <c r="BE37">
        <f t="shared" si="42"/>
        <v>1.9713954467866484E-2</v>
      </c>
      <c r="BF37">
        <f t="shared" si="43"/>
        <v>3.3957289050321015E-3</v>
      </c>
      <c r="BG37">
        <f t="shared" si="44"/>
        <v>1.0015394154951449</v>
      </c>
      <c r="BH37">
        <f t="shared" si="45"/>
        <v>0.11530793462809558</v>
      </c>
      <c r="BI37">
        <f t="shared" si="46"/>
        <v>-0.48571736585920694</v>
      </c>
      <c r="BJ37">
        <f t="shared" si="47"/>
        <v>-0.24774871083985064</v>
      </c>
      <c r="BK37">
        <f t="shared" si="48"/>
        <v>5.7982799736790591</v>
      </c>
      <c r="BL37">
        <f t="shared" si="48"/>
        <v>5.7982799736790591</v>
      </c>
      <c r="BM37">
        <f t="shared" si="48"/>
        <v>5.7982799736790591</v>
      </c>
      <c r="BN37">
        <f t="shared" si="51"/>
        <v>5.7982799736790636</v>
      </c>
      <c r="BO37">
        <f t="shared" si="51"/>
        <v>5.7982799736820239</v>
      </c>
      <c r="BP37">
        <f t="shared" si="51"/>
        <v>5.7982799756039896</v>
      </c>
      <c r="BQ37">
        <f t="shared" si="51"/>
        <v>5.7982812235727952</v>
      </c>
      <c r="BR37">
        <f t="shared" si="52"/>
        <v>5.799091380171844</v>
      </c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</row>
    <row r="38" spans="1:92" s="101" customFormat="1">
      <c r="A38" s="10" t="s">
        <v>100</v>
      </c>
      <c r="B38" s="5" t="s">
        <v>87</v>
      </c>
      <c r="C38" s="26">
        <v>45745.640200000002</v>
      </c>
      <c r="D38" s="25"/>
      <c r="E38" s="101">
        <f t="shared" si="16"/>
        <v>3594.0202655999792</v>
      </c>
      <c r="F38" s="101">
        <f t="shared" si="17"/>
        <v>3594</v>
      </c>
      <c r="G38" s="101">
        <f t="shared" si="49"/>
        <v>6.6856919947895221E-3</v>
      </c>
      <c r="J38" s="101">
        <f t="shared" si="40"/>
        <v>6.6856919947895221E-3</v>
      </c>
      <c r="P38" s="103">
        <f t="shared" si="20"/>
        <v>2.4931013354057157E-2</v>
      </c>
      <c r="Q38" s="104">
        <f t="shared" si="21"/>
        <v>30727.140200000002</v>
      </c>
      <c r="R38" s="101">
        <f t="shared" si="22"/>
        <v>3.328917515029478E-4</v>
      </c>
      <c r="S38" s="101">
        <v>1</v>
      </c>
      <c r="T38" s="221"/>
      <c r="AF38">
        <f t="shared" si="23"/>
        <v>3594</v>
      </c>
      <c r="AG38" s="101">
        <f t="shared" si="24"/>
        <v>5.3711231077195783E-3</v>
      </c>
      <c r="AH38" s="101">
        <f t="shared" si="25"/>
        <v>2.6245582241127101E-2</v>
      </c>
      <c r="AI38" s="101">
        <f t="shared" si="26"/>
        <v>-1.8245321359267635E-2</v>
      </c>
      <c r="AJ38" s="101">
        <f t="shared" si="27"/>
        <v>1.3145688870699439E-3</v>
      </c>
      <c r="AK38" s="101">
        <f t="shared" si="28"/>
        <v>1.7280913588523108E-6</v>
      </c>
      <c r="AL38">
        <f t="shared" si="29"/>
        <v>-1.8245321359267635E-2</v>
      </c>
      <c r="AM38" s="195">
        <f t="shared" si="38"/>
        <v>1.7280913588523108E-6</v>
      </c>
      <c r="AN38">
        <f t="shared" si="30"/>
        <v>-1.9559890246337579E-2</v>
      </c>
      <c r="AO38">
        <f t="shared" si="31"/>
        <v>1.0004056140874216</v>
      </c>
      <c r="AP38">
        <f t="shared" si="32"/>
        <v>-0.67009822525592622</v>
      </c>
      <c r="AQ38">
        <f t="shared" si="33"/>
        <v>-1.6928344216144012E-3</v>
      </c>
      <c r="AR38">
        <f t="shared" si="34"/>
        <v>-1.335623472376569</v>
      </c>
      <c r="AS38">
        <f t="shared" si="35"/>
        <v>-0.78869856918045234</v>
      </c>
      <c r="AT38" s="101">
        <f t="shared" si="50"/>
        <v>4.949254326853378</v>
      </c>
      <c r="AU38" s="101">
        <f t="shared" si="50"/>
        <v>4.949254326853378</v>
      </c>
      <c r="AV38" s="101">
        <f t="shared" si="50"/>
        <v>4.949254326853378</v>
      </c>
      <c r="AW38" s="101">
        <f t="shared" si="50"/>
        <v>4.9492543268533788</v>
      </c>
      <c r="AX38" s="101">
        <f t="shared" si="50"/>
        <v>4.9492543268534943</v>
      </c>
      <c r="AY38" s="101">
        <f t="shared" si="50"/>
        <v>4.9492543271367104</v>
      </c>
      <c r="AZ38" s="101">
        <f t="shared" si="50"/>
        <v>4.949255020480904</v>
      </c>
      <c r="BA38" s="101">
        <f t="shared" si="37"/>
        <v>4.9509464723521157</v>
      </c>
      <c r="BB38"/>
      <c r="BC38">
        <v>12500</v>
      </c>
      <c r="BD38">
        <f t="shared" si="41"/>
        <v>1.9749959357916298E-2</v>
      </c>
      <c r="BE38">
        <f t="shared" si="42"/>
        <v>2.1789337972037717E-2</v>
      </c>
      <c r="BF38">
        <f t="shared" si="43"/>
        <v>-2.0393786141214179E-3</v>
      </c>
      <c r="BG38">
        <f t="shared" si="44"/>
        <v>1.0013621013225285</v>
      </c>
      <c r="BH38">
        <f t="shared" si="45"/>
        <v>-7.0816723288237363E-2</v>
      </c>
      <c r="BI38">
        <f t="shared" si="46"/>
        <v>-0.67215841070589089</v>
      </c>
      <c r="BJ38">
        <f t="shared" si="47"/>
        <v>-0.34933156251379754</v>
      </c>
      <c r="BK38">
        <f t="shared" si="48"/>
        <v>5.6121100834444784</v>
      </c>
      <c r="BL38">
        <f t="shared" si="48"/>
        <v>5.6121100834444784</v>
      </c>
      <c r="BM38">
        <f t="shared" si="48"/>
        <v>5.6121100834444793</v>
      </c>
      <c r="BN38">
        <f t="shared" si="51"/>
        <v>5.6121100834444828</v>
      </c>
      <c r="BO38">
        <f t="shared" si="51"/>
        <v>5.6121100834472228</v>
      </c>
      <c r="BP38">
        <f t="shared" si="51"/>
        <v>5.6121100854570924</v>
      </c>
      <c r="BQ38">
        <f t="shared" si="51"/>
        <v>5.6121115597521047</v>
      </c>
      <c r="BR38">
        <f t="shared" si="52"/>
        <v>5.6131925313598749</v>
      </c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</row>
    <row r="39" spans="1:92" s="101" customFormat="1">
      <c r="A39" s="10" t="s">
        <v>102</v>
      </c>
      <c r="B39" s="5" t="s">
        <v>86</v>
      </c>
      <c r="C39" s="26">
        <v>46107.3796</v>
      </c>
      <c r="D39" s="25"/>
      <c r="E39" s="101">
        <f t="shared" si="16"/>
        <v>4690.5209687965544</v>
      </c>
      <c r="F39" s="101">
        <f t="shared" si="17"/>
        <v>4690.5</v>
      </c>
      <c r="G39" s="101">
        <f t="shared" si="49"/>
        <v>6.9176789984339848E-3</v>
      </c>
      <c r="J39" s="101">
        <f t="shared" si="40"/>
        <v>6.9176789984339848E-3</v>
      </c>
      <c r="P39" s="103">
        <f t="shared" si="20"/>
        <v>2.4902618789808713E-2</v>
      </c>
      <c r="Q39" s="104">
        <f t="shared" si="21"/>
        <v>31088.8796</v>
      </c>
      <c r="R39" s="101">
        <f t="shared" si="22"/>
        <v>3.2345805929937405E-4</v>
      </c>
      <c r="S39" s="101">
        <v>1</v>
      </c>
      <c r="T39" s="221"/>
      <c r="AF39">
        <f t="shared" si="23"/>
        <v>4690.5</v>
      </c>
      <c r="AG39" s="101">
        <f t="shared" si="24"/>
        <v>7.1792697226357172E-3</v>
      </c>
      <c r="AH39" s="101">
        <f t="shared" si="25"/>
        <v>2.4641028065606981E-2</v>
      </c>
      <c r="AI39" s="101">
        <f t="shared" si="26"/>
        <v>-1.7984939791374728E-2</v>
      </c>
      <c r="AJ39" s="101">
        <f t="shared" si="27"/>
        <v>-2.6159072420173235E-4</v>
      </c>
      <c r="AK39" s="101">
        <f t="shared" si="28"/>
        <v>6.8429706988386802E-8</v>
      </c>
      <c r="AL39">
        <f t="shared" si="29"/>
        <v>-1.7984939791374728E-2</v>
      </c>
      <c r="AM39" s="195">
        <f t="shared" si="38"/>
        <v>6.8429706988386802E-8</v>
      </c>
      <c r="AN39">
        <f t="shared" si="30"/>
        <v>-1.7723349067172996E-2</v>
      </c>
      <c r="AO39">
        <f t="shared" si="31"/>
        <v>1.0005422679020604</v>
      </c>
      <c r="AP39">
        <f t="shared" si="32"/>
        <v>-0.6073559927223946</v>
      </c>
      <c r="AQ39">
        <f t="shared" si="33"/>
        <v>-1.6541332138955693E-3</v>
      </c>
      <c r="AR39">
        <f t="shared" si="34"/>
        <v>-1.2540105196697482</v>
      </c>
      <c r="AS39">
        <f t="shared" si="35"/>
        <v>-0.72453794016109874</v>
      </c>
      <c r="AT39" s="101">
        <f t="shared" si="50"/>
        <v>5.0308284732291861</v>
      </c>
      <c r="AU39" s="101">
        <f t="shared" si="50"/>
        <v>5.0308284732291861</v>
      </c>
      <c r="AV39" s="101">
        <f t="shared" si="50"/>
        <v>5.0308284732291861</v>
      </c>
      <c r="AW39" s="101">
        <f t="shared" si="50"/>
        <v>5.0308284732291861</v>
      </c>
      <c r="AX39" s="101">
        <f t="shared" si="50"/>
        <v>5.0308284732294544</v>
      </c>
      <c r="AY39" s="101">
        <f t="shared" si="50"/>
        <v>5.030828473721475</v>
      </c>
      <c r="AZ39" s="101">
        <f t="shared" si="50"/>
        <v>5.0308293765049754</v>
      </c>
      <c r="BA39" s="101">
        <f t="shared" si="37"/>
        <v>5.0324817074410459</v>
      </c>
      <c r="BB39"/>
      <c r="BC39">
        <v>18000</v>
      </c>
      <c r="BD39">
        <f t="shared" si="41"/>
        <v>2.6280524947728912E-2</v>
      </c>
      <c r="BE39">
        <f t="shared" si="42"/>
        <v>1.6532892761836126E-2</v>
      </c>
      <c r="BF39">
        <f t="shared" si="43"/>
        <v>9.7476321858927864E-3</v>
      </c>
      <c r="BG39">
        <f t="shared" si="44"/>
        <v>1.0016813831611646</v>
      </c>
      <c r="BH39">
        <f t="shared" si="45"/>
        <v>0.33288999757332333</v>
      </c>
      <c r="BI39">
        <f t="shared" si="46"/>
        <v>-0.2619156424271426</v>
      </c>
      <c r="BJ39">
        <f t="shared" si="47"/>
        <v>-0.13171163283869941</v>
      </c>
      <c r="BK39">
        <f t="shared" si="48"/>
        <v>6.0217200212443984</v>
      </c>
      <c r="BL39">
        <f t="shared" si="48"/>
        <v>6.0217200212443984</v>
      </c>
      <c r="BM39">
        <f t="shared" si="48"/>
        <v>6.0217200212443984</v>
      </c>
      <c r="BN39">
        <f t="shared" si="51"/>
        <v>6.021720021244402</v>
      </c>
      <c r="BO39">
        <f t="shared" si="51"/>
        <v>6.021720021246538</v>
      </c>
      <c r="BP39">
        <f t="shared" si="51"/>
        <v>6.0217200225168908</v>
      </c>
      <c r="BQ39">
        <f t="shared" si="51"/>
        <v>6.021720777965788</v>
      </c>
      <c r="BR39">
        <f t="shared" si="52"/>
        <v>6.0221699987462074</v>
      </c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</row>
    <row r="40" spans="1:92" s="101" customFormat="1">
      <c r="A40" s="10" t="s">
        <v>101</v>
      </c>
      <c r="B40"/>
      <c r="C40" s="26">
        <v>46024.738899999997</v>
      </c>
      <c r="D40" s="25"/>
      <c r="E40" s="101">
        <f t="shared" si="16"/>
        <v>4440.0213393321901</v>
      </c>
      <c r="F40" s="101">
        <f t="shared" si="17"/>
        <v>4440</v>
      </c>
      <c r="G40" s="101">
        <f t="shared" si="49"/>
        <v>7.0399199903476983E-3</v>
      </c>
      <c r="J40" s="105">
        <f t="shared" si="40"/>
        <v>7.0399199903476983E-3</v>
      </c>
      <c r="N40"/>
      <c r="P40" s="103">
        <f t="shared" si="20"/>
        <v>2.4917975606599058E-2</v>
      </c>
      <c r="Q40" s="104">
        <f t="shared" si="21"/>
        <v>31006.238899999997</v>
      </c>
      <c r="R40" s="101">
        <f t="shared" si="22"/>
        <v>3.1962487261777677E-4</v>
      </c>
      <c r="S40" s="101">
        <v>1</v>
      </c>
      <c r="T40" s="221"/>
      <c r="AF40">
        <f t="shared" si="23"/>
        <v>4440</v>
      </c>
      <c r="AG40" s="101">
        <f t="shared" si="24"/>
        <v>6.7641964432416206E-3</v>
      </c>
      <c r="AH40" s="101">
        <f t="shared" si="25"/>
        <v>2.5193699153705135E-2</v>
      </c>
      <c r="AI40" s="101">
        <f t="shared" si="26"/>
        <v>-1.7878055616251359E-2</v>
      </c>
      <c r="AJ40" s="101">
        <f t="shared" si="27"/>
        <v>2.7572354710607774E-4</v>
      </c>
      <c r="AK40" s="101">
        <f t="shared" si="28"/>
        <v>7.6023474428757468E-8</v>
      </c>
      <c r="AL40">
        <f t="shared" si="29"/>
        <v>-1.7878055616251359E-2</v>
      </c>
      <c r="AM40" s="195">
        <f t="shared" si="38"/>
        <v>7.6023474428757468E-8</v>
      </c>
      <c r="AN40">
        <f t="shared" si="30"/>
        <v>-1.8153779163357437E-2</v>
      </c>
      <c r="AO40">
        <f t="shared" si="31"/>
        <v>1.0005113311591458</v>
      </c>
      <c r="AP40">
        <f t="shared" si="32"/>
        <v>-0.6220631058441104</v>
      </c>
      <c r="AQ40">
        <f t="shared" si="33"/>
        <v>-1.6639566137985581E-3</v>
      </c>
      <c r="AR40">
        <f t="shared" si="34"/>
        <v>-1.2726573002678516</v>
      </c>
      <c r="AS40">
        <f t="shared" si="35"/>
        <v>-0.73885280677833343</v>
      </c>
      <c r="AT40" s="101">
        <f t="shared" si="50"/>
        <v>5.0121915390941005</v>
      </c>
      <c r="AU40" s="101">
        <f t="shared" si="50"/>
        <v>5.0121915390941005</v>
      </c>
      <c r="AV40" s="101">
        <f t="shared" si="50"/>
        <v>5.0121915390941005</v>
      </c>
      <c r="AW40" s="101">
        <f t="shared" si="50"/>
        <v>5.0121915390941005</v>
      </c>
      <c r="AX40" s="101">
        <f t="shared" si="50"/>
        <v>5.012191539094327</v>
      </c>
      <c r="AY40" s="101">
        <f t="shared" si="50"/>
        <v>5.0121915395348369</v>
      </c>
      <c r="AZ40" s="101">
        <f t="shared" si="50"/>
        <v>5.0121923963928143</v>
      </c>
      <c r="BA40" s="101">
        <f t="shared" si="37"/>
        <v>5.0138546427900863</v>
      </c>
      <c r="BB40"/>
      <c r="BC40">
        <v>15500</v>
      </c>
      <c r="BD40">
        <f t="shared" si="41"/>
        <v>2.3710850639055793E-2</v>
      </c>
      <c r="BE40">
        <f t="shared" si="42"/>
        <v>1.9236095812393609E-2</v>
      </c>
      <c r="BF40">
        <f t="shared" si="43"/>
        <v>4.4747548266621823E-3</v>
      </c>
      <c r="BG40">
        <f t="shared" si="44"/>
        <v>1.0015686464825064</v>
      </c>
      <c r="BH40">
        <f t="shared" si="45"/>
        <v>0.15226599179303404</v>
      </c>
      <c r="BI40">
        <f t="shared" si="46"/>
        <v>-0.44842176634893244</v>
      </c>
      <c r="BJ40">
        <f t="shared" si="47"/>
        <v>-0.2280450661260407</v>
      </c>
      <c r="BK40">
        <f t="shared" si="48"/>
        <v>5.8355176414867715</v>
      </c>
      <c r="BL40">
        <f t="shared" si="48"/>
        <v>5.8355176414867715</v>
      </c>
      <c r="BM40">
        <f t="shared" si="48"/>
        <v>5.8355176414867715</v>
      </c>
      <c r="BN40">
        <f t="shared" si="51"/>
        <v>5.835517641486776</v>
      </c>
      <c r="BO40">
        <f t="shared" si="51"/>
        <v>5.8355176414896839</v>
      </c>
      <c r="BP40">
        <f t="shared" si="51"/>
        <v>5.8355176433425742</v>
      </c>
      <c r="BQ40">
        <f t="shared" si="51"/>
        <v>5.8355188241174423</v>
      </c>
      <c r="BR40">
        <f t="shared" si="52"/>
        <v>5.8362711499342383</v>
      </c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</row>
    <row r="41" spans="1:92" s="101" customFormat="1">
      <c r="A41" s="31" t="s">
        <v>93</v>
      </c>
      <c r="B41" s="19" t="s">
        <v>94</v>
      </c>
      <c r="C41" s="27">
        <v>46036.615700000002</v>
      </c>
      <c r="D41" s="27"/>
      <c r="E41" s="101">
        <f t="shared" si="16"/>
        <v>4476.0221718423645</v>
      </c>
      <c r="F41" s="101">
        <f t="shared" si="17"/>
        <v>4476</v>
      </c>
      <c r="G41" s="101">
        <f t="shared" si="49"/>
        <v>7.3145679998560809E-3</v>
      </c>
      <c r="J41" s="101">
        <f t="shared" si="40"/>
        <v>7.3145679998560809E-3</v>
      </c>
      <c r="P41" s="103">
        <f t="shared" si="20"/>
        <v>2.4916091840419093E-2</v>
      </c>
      <c r="Q41" s="104">
        <f t="shared" si="21"/>
        <v>31018.115700000002</v>
      </c>
      <c r="R41" s="101">
        <f t="shared" si="22"/>
        <v>3.0981364150990811E-4</v>
      </c>
      <c r="S41" s="101">
        <v>1</v>
      </c>
      <c r="T41" s="221"/>
      <c r="U41" s="101">
        <v>7.1239392493732232E-10</v>
      </c>
      <c r="V41" s="101">
        <v>3.9688367421793666E-22</v>
      </c>
      <c r="W41" s="101">
        <v>7.5765693979407462E-29</v>
      </c>
      <c r="X41" s="101">
        <v>1.7230675384143578E-9</v>
      </c>
      <c r="Y41" s="101">
        <v>3.6586333229995585E-7</v>
      </c>
      <c r="Z41" s="101">
        <v>7.9874667747882665E-4</v>
      </c>
      <c r="AA41" s="101">
        <v>9.2389390041522968E-11</v>
      </c>
      <c r="AB41" s="101">
        <v>34.860228609210438</v>
      </c>
      <c r="AC41" s="101">
        <v>5.1726025311749359E-5</v>
      </c>
      <c r="AD41" s="101">
        <v>1.8464353725183389E-8</v>
      </c>
      <c r="AE41" s="101">
        <v>3.7146291829326276E-22</v>
      </c>
      <c r="AF41">
        <f t="shared" si="23"/>
        <v>4476</v>
      </c>
      <c r="AG41" s="101">
        <f t="shared" si="24"/>
        <v>6.8237856017764088E-3</v>
      </c>
      <c r="AH41" s="101">
        <f t="shared" si="25"/>
        <v>2.5406874238498765E-2</v>
      </c>
      <c r="AI41" s="101">
        <f t="shared" si="26"/>
        <v>-1.7601523840563012E-2</v>
      </c>
      <c r="AJ41" s="101">
        <f t="shared" si="27"/>
        <v>4.9078239807967203E-4</v>
      </c>
      <c r="AK41" s="101">
        <f t="shared" si="28"/>
        <v>2.4086736226483366E-7</v>
      </c>
      <c r="AL41">
        <f t="shared" si="29"/>
        <v>-1.7601523840563012E-2</v>
      </c>
      <c r="AM41" s="195">
        <f t="shared" si="38"/>
        <v>2.4086736226483366E-7</v>
      </c>
      <c r="AN41">
        <f t="shared" si="30"/>
        <v>-1.8092306238642684E-2</v>
      </c>
      <c r="AO41">
        <f t="shared" si="31"/>
        <v>1.0005157882321953</v>
      </c>
      <c r="AP41">
        <f t="shared" si="32"/>
        <v>-0.61996275335301299</v>
      </c>
      <c r="AQ41">
        <f t="shared" si="33"/>
        <v>-1.662580424053638E-3</v>
      </c>
      <c r="AR41">
        <f t="shared" si="34"/>
        <v>-1.2699775944166973</v>
      </c>
      <c r="AS41">
        <f t="shared" si="35"/>
        <v>-0.73678357070177325</v>
      </c>
      <c r="AT41" s="101">
        <f t="shared" ref="AT41:AZ50" si="53">$BA41+$AH$7*SIN(AU41)</f>
        <v>5.0148698654039512</v>
      </c>
      <c r="AU41" s="101">
        <f t="shared" si="53"/>
        <v>5.0148698654039512</v>
      </c>
      <c r="AV41" s="101">
        <f t="shared" si="53"/>
        <v>5.0148698654039512</v>
      </c>
      <c r="AW41" s="101">
        <f t="shared" si="53"/>
        <v>5.0148698654039512</v>
      </c>
      <c r="AX41" s="101">
        <f t="shared" si="53"/>
        <v>5.014869865404183</v>
      </c>
      <c r="AY41" s="101">
        <f t="shared" si="53"/>
        <v>5.0148698658519697</v>
      </c>
      <c r="AZ41" s="101">
        <f t="shared" si="53"/>
        <v>5.0148707293847776</v>
      </c>
      <c r="BA41" s="101">
        <f t="shared" si="37"/>
        <v>5.0165315862129791</v>
      </c>
      <c r="BB41"/>
      <c r="BC41">
        <v>17000</v>
      </c>
      <c r="BD41">
        <f t="shared" si="41"/>
        <v>2.5345792258993794E-2</v>
      </c>
      <c r="BE41">
        <f t="shared" si="42"/>
        <v>1.7676955936697748E-2</v>
      </c>
      <c r="BF41">
        <f t="shared" si="43"/>
        <v>7.6688363222960458E-3</v>
      </c>
      <c r="BG41">
        <f t="shared" si="44"/>
        <v>1.0016431088554232</v>
      </c>
      <c r="BH41">
        <f t="shared" si="45"/>
        <v>0.2616769755828276</v>
      </c>
      <c r="BI41">
        <f t="shared" si="46"/>
        <v>-0.33652304911746705</v>
      </c>
      <c r="BJ41">
        <f t="shared" si="47"/>
        <v>-0.16986765282276467</v>
      </c>
      <c r="BK41">
        <f t="shared" si="48"/>
        <v>5.9472365948232451</v>
      </c>
      <c r="BL41">
        <f t="shared" si="48"/>
        <v>5.9472365948232451</v>
      </c>
      <c r="BM41">
        <f t="shared" si="48"/>
        <v>5.9472365948232451</v>
      </c>
      <c r="BN41">
        <f t="shared" si="51"/>
        <v>5.9472365948232495</v>
      </c>
      <c r="BO41">
        <f t="shared" si="51"/>
        <v>5.9472365948257924</v>
      </c>
      <c r="BP41">
        <f t="shared" si="51"/>
        <v>5.9472365963733456</v>
      </c>
      <c r="BQ41">
        <f t="shared" si="51"/>
        <v>5.9472375380286566</v>
      </c>
      <c r="BR41">
        <f t="shared" si="52"/>
        <v>5.9478104592214196</v>
      </c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</row>
    <row r="42" spans="1:92" s="101" customFormat="1">
      <c r="A42" s="10" t="s">
        <v>93</v>
      </c>
      <c r="B42"/>
      <c r="C42" s="26">
        <v>46036.285799999998</v>
      </c>
      <c r="D42" s="25"/>
      <c r="E42" s="101">
        <f t="shared" si="16"/>
        <v>4475.0221823969541</v>
      </c>
      <c r="F42" s="101">
        <f t="shared" si="17"/>
        <v>4475</v>
      </c>
      <c r="G42" s="101">
        <f t="shared" si="49"/>
        <v>7.3180499966838397E-3</v>
      </c>
      <c r="J42" s="101">
        <f t="shared" si="40"/>
        <v>7.3180499966838397E-3</v>
      </c>
      <c r="P42" s="103">
        <f t="shared" si="20"/>
        <v>2.4916145632169703E-2</v>
      </c>
      <c r="Q42" s="104">
        <f t="shared" si="21"/>
        <v>31017.785799999998</v>
      </c>
      <c r="R42" s="101">
        <f t="shared" si="22"/>
        <v>3.0969296999570656E-4</v>
      </c>
      <c r="S42" s="101">
        <v>1</v>
      </c>
      <c r="T42" s="221"/>
      <c r="AF42">
        <f t="shared" si="23"/>
        <v>4475</v>
      </c>
      <c r="AG42" s="101">
        <f t="shared" si="24"/>
        <v>6.8221300540593152E-3</v>
      </c>
      <c r="AH42" s="101">
        <f t="shared" si="25"/>
        <v>2.5412065574794227E-2</v>
      </c>
      <c r="AI42" s="101">
        <f t="shared" si="26"/>
        <v>-1.7598095635485863E-2</v>
      </c>
      <c r="AJ42" s="101">
        <f t="shared" si="27"/>
        <v>4.9591994262452449E-4</v>
      </c>
      <c r="AK42" s="101">
        <f t="shared" si="28"/>
        <v>2.4593658949271166E-7</v>
      </c>
      <c r="AL42">
        <f t="shared" si="29"/>
        <v>-1.7598095635485863E-2</v>
      </c>
      <c r="AM42" s="195">
        <f t="shared" si="38"/>
        <v>2.4593658949271166E-7</v>
      </c>
      <c r="AN42">
        <f t="shared" si="30"/>
        <v>-1.8094015578110387E-2</v>
      </c>
      <c r="AO42">
        <f t="shared" si="31"/>
        <v>1.000515664473939</v>
      </c>
      <c r="AP42">
        <f t="shared" si="32"/>
        <v>-0.62002115691410353</v>
      </c>
      <c r="AQ42">
        <f t="shared" si="33"/>
        <v>-1.6626188129678398E-3</v>
      </c>
      <c r="AR42">
        <f t="shared" si="34"/>
        <v>-1.2700520310126862</v>
      </c>
      <c r="AS42">
        <f t="shared" si="35"/>
        <v>-0.73684099452864549</v>
      </c>
      <c r="AT42" s="101">
        <f t="shared" si="53"/>
        <v>5.0147954672898098</v>
      </c>
      <c r="AU42" s="101">
        <f t="shared" si="53"/>
        <v>5.0147954672898098</v>
      </c>
      <c r="AV42" s="101">
        <f t="shared" si="53"/>
        <v>5.0147954672898098</v>
      </c>
      <c r="AW42" s="101">
        <f t="shared" si="53"/>
        <v>5.0147954672898098</v>
      </c>
      <c r="AX42" s="101">
        <f t="shared" si="53"/>
        <v>5.0147954672900417</v>
      </c>
      <c r="AY42" s="101">
        <f t="shared" si="53"/>
        <v>5.0147954677376259</v>
      </c>
      <c r="AZ42" s="101">
        <f t="shared" si="53"/>
        <v>5.0147963310853552</v>
      </c>
      <c r="BA42" s="101">
        <f t="shared" si="37"/>
        <v>5.0164572266734542</v>
      </c>
      <c r="BB42"/>
      <c r="BC42">
        <v>16000</v>
      </c>
      <c r="BD42">
        <f t="shared" si="41"/>
        <v>2.4284916458171355E-2</v>
      </c>
      <c r="BE42">
        <f t="shared" si="42"/>
        <v>1.8737309838707861E-2</v>
      </c>
      <c r="BF42">
        <f t="shared" si="43"/>
        <v>5.5476066194634953E-3</v>
      </c>
      <c r="BG42">
        <f t="shared" si="44"/>
        <v>1.0015956972537161</v>
      </c>
      <c r="BH42">
        <f t="shared" si="45"/>
        <v>0.18901433563441303</v>
      </c>
      <c r="BI42">
        <f t="shared" si="46"/>
        <v>-0.41112407075896185</v>
      </c>
      <c r="BJ42">
        <f t="shared" si="47"/>
        <v>-0.2085072184691327</v>
      </c>
      <c r="BK42">
        <f t="shared" si="48"/>
        <v>5.8727563556918865</v>
      </c>
      <c r="BL42">
        <f t="shared" si="48"/>
        <v>5.8727563556918865</v>
      </c>
      <c r="BM42">
        <f t="shared" si="48"/>
        <v>5.8727563556918865</v>
      </c>
      <c r="BN42">
        <f t="shared" ref="BN42:BQ51" si="54">$BR42+$AH$7*SIN(BO42)</f>
        <v>5.8727563556918909</v>
      </c>
      <c r="BO42">
        <f t="shared" si="54"/>
        <v>5.8727563556947109</v>
      </c>
      <c r="BP42">
        <f t="shared" si="54"/>
        <v>5.8727563574617587</v>
      </c>
      <c r="BQ42">
        <f t="shared" si="54"/>
        <v>5.8727574645088145</v>
      </c>
      <c r="BR42">
        <f t="shared" si="52"/>
        <v>5.8734509196966318</v>
      </c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</row>
    <row r="43" spans="1:92" s="101" customFormat="1">
      <c r="A43" s="10" t="s">
        <v>102</v>
      </c>
      <c r="B43" s="5" t="s">
        <v>87</v>
      </c>
      <c r="C43" s="26">
        <v>46100.287100000001</v>
      </c>
      <c r="D43" s="25"/>
      <c r="E43" s="101">
        <f t="shared" si="16"/>
        <v>4669.0222566368602</v>
      </c>
      <c r="F43" s="101">
        <f t="shared" si="17"/>
        <v>4669</v>
      </c>
      <c r="G43" s="101">
        <f t="shared" si="49"/>
        <v>7.3425419977866113E-3</v>
      </c>
      <c r="J43" s="101">
        <f t="shared" si="40"/>
        <v>7.3425419977866113E-3</v>
      </c>
      <c r="P43" s="103">
        <f t="shared" si="20"/>
        <v>2.4904142911254843E-2</v>
      </c>
      <c r="Q43" s="104">
        <f t="shared" si="21"/>
        <v>31081.787100000001</v>
      </c>
      <c r="R43" s="101">
        <f t="shared" si="22"/>
        <v>3.0840982664392822E-4</v>
      </c>
      <c r="S43" s="101">
        <v>1</v>
      </c>
      <c r="T43" s="221"/>
      <c r="AF43">
        <f t="shared" si="23"/>
        <v>4669</v>
      </c>
      <c r="AG43" s="101">
        <f t="shared" si="24"/>
        <v>7.143606583326783E-3</v>
      </c>
      <c r="AH43" s="101">
        <f t="shared" si="25"/>
        <v>2.5103078325714671E-2</v>
      </c>
      <c r="AI43" s="101">
        <f t="shared" si="26"/>
        <v>-1.7561600913468232E-2</v>
      </c>
      <c r="AJ43" s="101">
        <f t="shared" si="27"/>
        <v>1.9893541445982835E-4</v>
      </c>
      <c r="AK43" s="101">
        <f t="shared" si="28"/>
        <v>3.9575299126303678E-8</v>
      </c>
      <c r="AL43">
        <f t="shared" si="29"/>
        <v>-1.7561600913468232E-2</v>
      </c>
      <c r="AM43" s="195">
        <f t="shared" si="38"/>
        <v>3.9575299126303678E-8</v>
      </c>
      <c r="AN43">
        <f t="shared" si="30"/>
        <v>-1.776053632792806E-2</v>
      </c>
      <c r="AO43">
        <f t="shared" si="31"/>
        <v>1.0005396198222507</v>
      </c>
      <c r="AP43">
        <f t="shared" si="32"/>
        <v>-0.60862667336788134</v>
      </c>
      <c r="AQ43">
        <f t="shared" si="33"/>
        <v>-1.6549989771451632E-3</v>
      </c>
      <c r="AR43">
        <f t="shared" si="34"/>
        <v>-1.2556109871588144</v>
      </c>
      <c r="AS43">
        <f t="shared" si="35"/>
        <v>-0.72575896900523917</v>
      </c>
      <c r="AT43" s="101">
        <f t="shared" si="53"/>
        <v>5.0292288734588606</v>
      </c>
      <c r="AU43" s="101">
        <f t="shared" si="53"/>
        <v>5.0292288734588606</v>
      </c>
      <c r="AV43" s="101">
        <f t="shared" si="53"/>
        <v>5.0292288734588606</v>
      </c>
      <c r="AW43" s="101">
        <f t="shared" si="53"/>
        <v>5.0292288734588615</v>
      </c>
      <c r="AX43" s="101">
        <f t="shared" si="53"/>
        <v>5.0292288734591253</v>
      </c>
      <c r="AY43" s="101">
        <f t="shared" si="53"/>
        <v>5.0292288739466455</v>
      </c>
      <c r="AZ43" s="101">
        <f t="shared" si="53"/>
        <v>5.0292297728367403</v>
      </c>
      <c r="BA43" s="101">
        <f t="shared" si="37"/>
        <v>5.0308829773412631</v>
      </c>
      <c r="BB43"/>
      <c r="BC43">
        <v>17500</v>
      </c>
      <c r="BD43">
        <f t="shared" si="41"/>
        <v>2.582965474364541E-2</v>
      </c>
      <c r="BE43">
        <f t="shared" si="42"/>
        <v>1.7115388008373374E-2</v>
      </c>
      <c r="BF43">
        <f t="shared" si="43"/>
        <v>8.7142667352720377E-3</v>
      </c>
      <c r="BG43">
        <f t="shared" si="44"/>
        <v>1.0016634028762701</v>
      </c>
      <c r="BH43">
        <f t="shared" si="45"/>
        <v>0.29748977090321382</v>
      </c>
      <c r="BI43">
        <f t="shared" si="46"/>
        <v>-0.29922005855736294</v>
      </c>
      <c r="BJ43">
        <f t="shared" si="47"/>
        <v>-0.1507363631702564</v>
      </c>
      <c r="BK43">
        <f t="shared" si="48"/>
        <v>5.9844779522334663</v>
      </c>
      <c r="BL43">
        <f t="shared" si="48"/>
        <v>5.9844779522334663</v>
      </c>
      <c r="BM43">
        <f t="shared" si="48"/>
        <v>5.9844779522334663</v>
      </c>
      <c r="BN43">
        <f t="shared" si="54"/>
        <v>5.9844779522334708</v>
      </c>
      <c r="BO43">
        <f t="shared" si="54"/>
        <v>5.9844779522358253</v>
      </c>
      <c r="BP43">
        <f t="shared" si="54"/>
        <v>5.9844779536514494</v>
      </c>
      <c r="BQ43">
        <f t="shared" si="54"/>
        <v>5.9844788045579262</v>
      </c>
      <c r="BR43">
        <f t="shared" si="52"/>
        <v>5.9849902289838139</v>
      </c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</row>
    <row r="44" spans="1:92" s="101" customFormat="1">
      <c r="A44" s="42" t="s">
        <v>255</v>
      </c>
      <c r="B44" s="125" t="s">
        <v>87</v>
      </c>
      <c r="C44" s="22">
        <v>56650.602400000003</v>
      </c>
      <c r="D44" s="124">
        <v>1.5E-3</v>
      </c>
      <c r="E44" s="101">
        <f t="shared" si="16"/>
        <v>36649.028154240572</v>
      </c>
      <c r="F44" s="101">
        <f t="shared" si="17"/>
        <v>36649</v>
      </c>
      <c r="G44" s="101">
        <f t="shared" si="49"/>
        <v>9.2881820019101724E-3</v>
      </c>
      <c r="J44" s="101">
        <f t="shared" si="40"/>
        <v>9.2881820019101724E-3</v>
      </c>
      <c r="O44" s="101">
        <f ca="1">+C$11+C$12*F44</f>
        <v>8.1850909689820256E-3</v>
      </c>
      <c r="P44" s="103">
        <f t="shared" si="20"/>
        <v>-2.0139711642973422E-2</v>
      </c>
      <c r="Q44" s="104">
        <f t="shared" si="21"/>
        <v>41632.102400000003</v>
      </c>
      <c r="R44" s="101">
        <f t="shared" si="22"/>
        <v>8.6600092437458026E-4</v>
      </c>
      <c r="S44" s="101">
        <v>1</v>
      </c>
      <c r="T44" s="221"/>
      <c r="AB44"/>
      <c r="AC44"/>
      <c r="AD44"/>
      <c r="AE44"/>
      <c r="AF44">
        <f t="shared" si="23"/>
        <v>36649</v>
      </c>
      <c r="AG44" s="101">
        <f t="shared" si="24"/>
        <v>8.7415315414613969E-3</v>
      </c>
      <c r="AH44" s="101">
        <f t="shared" si="25"/>
        <v>-1.9593061182524647E-2</v>
      </c>
      <c r="AI44" s="101">
        <f t="shared" si="26"/>
        <v>2.9427893644883595E-2</v>
      </c>
      <c r="AJ44" s="101">
        <f t="shared" si="27"/>
        <v>5.4665046044877555E-4</v>
      </c>
      <c r="AK44" s="101">
        <f t="shared" si="28"/>
        <v>2.9882672590885832E-7</v>
      </c>
      <c r="AL44">
        <f t="shared" si="29"/>
        <v>2.9427893644883595E-2</v>
      </c>
      <c r="AM44" s="195">
        <f t="shared" si="38"/>
        <v>2.9882672590885832E-7</v>
      </c>
      <c r="AN44">
        <f t="shared" si="30"/>
        <v>2.8881243184434819E-2</v>
      </c>
      <c r="AO44">
        <f t="shared" si="31"/>
        <v>1.0007445008374776</v>
      </c>
      <c r="AP44">
        <f t="shared" si="32"/>
        <v>0.98733110140607128</v>
      </c>
      <c r="AQ44">
        <f t="shared" si="33"/>
        <v>1.57350871300818E-3</v>
      </c>
      <c r="AR44">
        <f t="shared" si="34"/>
        <v>1.1288610039466243</v>
      </c>
      <c r="AS44">
        <f t="shared" si="35"/>
        <v>0.6331387477519439</v>
      </c>
      <c r="AT44" s="101">
        <f t="shared" si="53"/>
        <v>7.4104733870676851</v>
      </c>
      <c r="AU44" s="101">
        <f t="shared" si="53"/>
        <v>7.4104733870676851</v>
      </c>
      <c r="AV44" s="101">
        <f t="shared" si="53"/>
        <v>7.4104733870676851</v>
      </c>
      <c r="AW44" s="101">
        <f t="shared" si="53"/>
        <v>7.4104733870676842</v>
      </c>
      <c r="AX44" s="101">
        <f t="shared" si="53"/>
        <v>7.4104733870670287</v>
      </c>
      <c r="AY44" s="101">
        <f t="shared" si="53"/>
        <v>7.4104733861889143</v>
      </c>
      <c r="AZ44" s="101">
        <f t="shared" si="53"/>
        <v>7.4104722106292149</v>
      </c>
      <c r="BA44" s="101">
        <f t="shared" si="37"/>
        <v>7.4089010513439737</v>
      </c>
      <c r="BB44"/>
      <c r="BC44"/>
      <c r="BD44"/>
      <c r="BE44"/>
      <c r="BF44"/>
      <c r="BG44"/>
      <c r="BH44"/>
      <c r="BI44"/>
      <c r="BJ44"/>
      <c r="BK44"/>
      <c r="BL44"/>
      <c r="BM44"/>
      <c r="BN44">
        <f t="shared" si="54"/>
        <v>4.6819583430521732</v>
      </c>
      <c r="BO44">
        <f t="shared" si="54"/>
        <v>4.6819583430521732</v>
      </c>
      <c r="BP44">
        <f t="shared" si="54"/>
        <v>4.6819583430569152</v>
      </c>
      <c r="BQ44">
        <f t="shared" si="54"/>
        <v>4.6819582535316373</v>
      </c>
      <c r="BR44">
        <f t="shared" si="52"/>
        <v>4.6836982873000288</v>
      </c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</row>
    <row r="45" spans="1:92" s="101" customFormat="1">
      <c r="A45" s="10" t="s">
        <v>103</v>
      </c>
      <c r="B45" s="5" t="s">
        <v>86</v>
      </c>
      <c r="C45" s="26">
        <v>46429.697899999999</v>
      </c>
      <c r="D45" s="25"/>
      <c r="E45" s="101">
        <f t="shared" si="16"/>
        <v>5667.5288440877857</v>
      </c>
      <c r="F45" s="101">
        <f t="shared" si="17"/>
        <v>5667.5</v>
      </c>
      <c r="G45" s="101">
        <f t="shared" si="49"/>
        <v>9.5157649921020493E-3</v>
      </c>
      <c r="J45" s="105">
        <f t="shared" si="40"/>
        <v>9.5157649921020493E-3</v>
      </c>
      <c r="N45"/>
      <c r="P45" s="103">
        <f t="shared" si="20"/>
        <v>2.4792529233903769E-2</v>
      </c>
      <c r="Q45" s="104">
        <f t="shared" si="21"/>
        <v>31411.197899999999</v>
      </c>
      <c r="R45" s="101">
        <f t="shared" si="22"/>
        <v>2.3337952569959166E-4</v>
      </c>
      <c r="S45" s="101">
        <v>1</v>
      </c>
      <c r="T45" s="221"/>
      <c r="AF45">
        <f t="shared" si="23"/>
        <v>5667.5</v>
      </c>
      <c r="AG45" s="101">
        <f t="shared" si="24"/>
        <v>8.805490895238851E-3</v>
      </c>
      <c r="AH45" s="101">
        <f t="shared" si="25"/>
        <v>2.5502803330766967E-2</v>
      </c>
      <c r="AI45" s="101">
        <f t="shared" si="26"/>
        <v>-1.5276764241801719E-2</v>
      </c>
      <c r="AJ45" s="101">
        <f t="shared" si="27"/>
        <v>7.1027409686319834E-4</v>
      </c>
      <c r="AK45" s="101">
        <f t="shared" si="28"/>
        <v>5.0448929267483201E-7</v>
      </c>
      <c r="AL45">
        <f t="shared" si="29"/>
        <v>-1.5276764241801719E-2</v>
      </c>
      <c r="AM45" s="195">
        <f t="shared" si="38"/>
        <v>5.0448929267483201E-7</v>
      </c>
      <c r="AN45">
        <f t="shared" si="30"/>
        <v>-1.5987038338664918E-2</v>
      </c>
      <c r="AO45">
        <f t="shared" si="31"/>
        <v>1.0006610448139044</v>
      </c>
      <c r="AP45">
        <f t="shared" si="32"/>
        <v>-0.54801646896567213</v>
      </c>
      <c r="AQ45">
        <f t="shared" si="33"/>
        <v>-1.610351179379102E-3</v>
      </c>
      <c r="AR45">
        <f t="shared" si="34"/>
        <v>-1.181273434522452</v>
      </c>
      <c r="AS45">
        <f t="shared" si="35"/>
        <v>-0.67047819974294121</v>
      </c>
      <c r="AT45" s="101">
        <f t="shared" si="53"/>
        <v>5.1035216926266953</v>
      </c>
      <c r="AU45" s="101">
        <f t="shared" si="53"/>
        <v>5.1035216926266953</v>
      </c>
      <c r="AV45" s="101">
        <f t="shared" si="53"/>
        <v>5.1035216926266953</v>
      </c>
      <c r="AW45" s="101">
        <f t="shared" si="53"/>
        <v>5.1035216926266953</v>
      </c>
      <c r="AX45" s="101">
        <f t="shared" si="53"/>
        <v>5.1035216926271669</v>
      </c>
      <c r="AY45" s="101">
        <f t="shared" si="53"/>
        <v>5.1035216933368295</v>
      </c>
      <c r="AZ45" s="101">
        <f t="shared" si="53"/>
        <v>5.1035227626900435</v>
      </c>
      <c r="BA45" s="101">
        <f t="shared" si="37"/>
        <v>5.1051309775567635</v>
      </c>
      <c r="BB45"/>
      <c r="BC45">
        <v>18500</v>
      </c>
      <c r="BD45">
        <f>AH$3+AH$4*BC45+AH$5*BC45^2+BF45</f>
        <v>2.6696966702502892E-2</v>
      </c>
      <c r="BE45">
        <f>AH$3+AH$4*BC45+AH$5*BC45^2</f>
        <v>1.5929470197086001E-2</v>
      </c>
      <c r="BF45">
        <f>$AH$6*($AH$11/BG45*BH45+$AH$12)</f>
        <v>1.0767496505416892E-2</v>
      </c>
      <c r="BG45">
        <f>1+$AH$7*COS(BI45)</f>
        <v>1.0016970243573915</v>
      </c>
      <c r="BH45">
        <f>SIN(BI45+RADIANS($AH$9))</f>
        <v>0.36782818626399411</v>
      </c>
      <c r="BI45">
        <f>2*ATAN(BJ45)</f>
        <v>-0.22460997400405555</v>
      </c>
      <c r="BJ45">
        <f>SQRT((1+$AH$7)/(1-$AH$7))*TAN(BK45/2)</f>
        <v>-0.11277952669925626</v>
      </c>
      <c r="BK45">
        <f>$BR45+$AH$7*SIN(BL45)</f>
        <v>6.0589627153501571</v>
      </c>
      <c r="BL45">
        <f>$BR45+$AH$7*SIN(BM45)</f>
        <v>6.0589627153501571</v>
      </c>
      <c r="BM45">
        <f>$BR45+$AH$7*SIN(BN45)</f>
        <v>6.0589627153501571</v>
      </c>
      <c r="BN45">
        <f t="shared" si="54"/>
        <v>6.0589627153501606</v>
      </c>
      <c r="BO45">
        <f t="shared" si="54"/>
        <v>6.0589627153520498</v>
      </c>
      <c r="BP45">
        <f t="shared" si="54"/>
        <v>6.058962716465075</v>
      </c>
      <c r="BQ45">
        <f t="shared" si="54"/>
        <v>6.058963372275854</v>
      </c>
      <c r="BR45">
        <f t="shared" si="52"/>
        <v>6.0593497685086017</v>
      </c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</row>
    <row r="46" spans="1:92" s="101" customFormat="1" ht="13.5" thickBot="1">
      <c r="A46" s="42" t="s">
        <v>255</v>
      </c>
      <c r="B46" s="125" t="s">
        <v>87</v>
      </c>
      <c r="C46" s="22">
        <v>56650.272799999999</v>
      </c>
      <c r="D46" s="124">
        <v>1.1000000000000001E-3</v>
      </c>
      <c r="E46" s="101">
        <f t="shared" si="16"/>
        <v>36648.029074152044</v>
      </c>
      <c r="F46" s="112">
        <f t="shared" si="17"/>
        <v>36648</v>
      </c>
      <c r="G46" s="101">
        <f t="shared" si="49"/>
        <v>9.5916639911592938E-3</v>
      </c>
      <c r="J46" s="101">
        <f t="shared" si="40"/>
        <v>9.5916639911592938E-3</v>
      </c>
      <c r="O46" s="101">
        <f ca="1">+C$11+C$12*F46</f>
        <v>8.1882711537511754E-3</v>
      </c>
      <c r="P46" s="103">
        <f t="shared" si="20"/>
        <v>-2.0136964672787368E-2</v>
      </c>
      <c r="Q46" s="104">
        <f t="shared" si="21"/>
        <v>41631.772799999999</v>
      </c>
      <c r="R46" s="101">
        <f t="shared" si="22"/>
        <v>8.8379136223883104E-4</v>
      </c>
      <c r="S46" s="101">
        <v>1</v>
      </c>
      <c r="T46" s="221"/>
      <c r="AB46"/>
      <c r="AC46"/>
      <c r="AD46"/>
      <c r="AE46"/>
      <c r="AF46">
        <f t="shared" si="23"/>
        <v>36648</v>
      </c>
      <c r="AG46" s="101">
        <f t="shared" si="24"/>
        <v>8.7446203635042699E-3</v>
      </c>
      <c r="AH46" s="101">
        <f t="shared" si="25"/>
        <v>-1.9289921045132344E-2</v>
      </c>
      <c r="AI46" s="101">
        <f t="shared" si="26"/>
        <v>2.9728628663946662E-2</v>
      </c>
      <c r="AJ46" s="101">
        <f t="shared" si="27"/>
        <v>8.4704362765502389E-4</v>
      </c>
      <c r="AK46" s="101">
        <f t="shared" si="28"/>
        <v>7.1748290715098272E-7</v>
      </c>
      <c r="AL46">
        <f t="shared" si="29"/>
        <v>2.9728628663946662E-2</v>
      </c>
      <c r="AM46" s="195">
        <f t="shared" si="38"/>
        <v>7.1748290715098272E-7</v>
      </c>
      <c r="AN46">
        <f t="shared" si="30"/>
        <v>2.8881585036291638E-2</v>
      </c>
      <c r="AO46">
        <f t="shared" si="31"/>
        <v>1.0007446180156288</v>
      </c>
      <c r="AP46">
        <f t="shared" si="32"/>
        <v>0.98734291519073836</v>
      </c>
      <c r="AQ46">
        <f t="shared" si="33"/>
        <v>1.573453265184118E-3</v>
      </c>
      <c r="AR46">
        <f t="shared" si="34"/>
        <v>1.128786533297192</v>
      </c>
      <c r="AS46">
        <f t="shared" si="35"/>
        <v>0.63308658733059209</v>
      </c>
      <c r="AT46" s="101">
        <f t="shared" si="53"/>
        <v>7.4103989719375702</v>
      </c>
      <c r="AU46" s="101">
        <f t="shared" si="53"/>
        <v>7.4103989719375702</v>
      </c>
      <c r="AV46" s="101">
        <f t="shared" si="53"/>
        <v>7.4103989719375702</v>
      </c>
      <c r="AW46" s="101">
        <f t="shared" si="53"/>
        <v>7.4103989719375702</v>
      </c>
      <c r="AX46" s="101">
        <f t="shared" si="53"/>
        <v>7.4103989719369139</v>
      </c>
      <c r="AY46" s="101">
        <f t="shared" si="53"/>
        <v>7.4103989710585552</v>
      </c>
      <c r="AZ46" s="101">
        <f t="shared" si="53"/>
        <v>7.4103977953568689</v>
      </c>
      <c r="BA46" s="101">
        <f t="shared" si="37"/>
        <v>7.4088266918044487</v>
      </c>
      <c r="BC46"/>
      <c r="BD46"/>
      <c r="BE46"/>
      <c r="BF46"/>
      <c r="BG46"/>
      <c r="BH46"/>
      <c r="BI46"/>
      <c r="BJ46"/>
      <c r="BK46"/>
      <c r="BL46"/>
      <c r="BM46"/>
      <c r="BN46">
        <f t="shared" si="54"/>
        <v>4.6819583430521732</v>
      </c>
      <c r="BO46">
        <f t="shared" si="54"/>
        <v>4.6819583430521732</v>
      </c>
      <c r="BP46">
        <f t="shared" si="54"/>
        <v>4.6819583430569152</v>
      </c>
      <c r="BQ46">
        <f t="shared" si="54"/>
        <v>4.6819582535316373</v>
      </c>
      <c r="BR46">
        <f t="shared" si="52"/>
        <v>4.6836982873000288</v>
      </c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</row>
    <row r="47" spans="1:92" s="101" customFormat="1">
      <c r="A47" s="10" t="s">
        <v>103</v>
      </c>
      <c r="B47" s="5" t="s">
        <v>86</v>
      </c>
      <c r="C47" s="26">
        <v>46436.625999999997</v>
      </c>
      <c r="D47" s="25"/>
      <c r="E47" s="101">
        <f t="shared" si="16"/>
        <v>5688.52922867905</v>
      </c>
      <c r="F47" s="101">
        <f t="shared" si="17"/>
        <v>5688.5</v>
      </c>
      <c r="G47" s="101">
        <f t="shared" si="49"/>
        <v>9.6426429954590276E-3</v>
      </c>
      <c r="J47" s="105">
        <f t="shared" si="40"/>
        <v>9.6426429954590276E-3</v>
      </c>
      <c r="N47"/>
      <c r="P47" s="103">
        <f t="shared" si="20"/>
        <v>2.4789285738728333E-2</v>
      </c>
      <c r="Q47" s="104">
        <f t="shared" si="21"/>
        <v>31418.125999999997</v>
      </c>
      <c r="R47" s="101">
        <f t="shared" si="22"/>
        <v>2.2942078639223273E-4</v>
      </c>
      <c r="S47" s="101">
        <v>1</v>
      </c>
      <c r="T47" s="221"/>
      <c r="AF47">
        <f t="shared" si="23"/>
        <v>5688.5</v>
      </c>
      <c r="AG47" s="101">
        <f t="shared" si="24"/>
        <v>8.8405313330096186E-3</v>
      </c>
      <c r="AH47" s="101">
        <f t="shared" si="25"/>
        <v>2.5591397401177742E-2</v>
      </c>
      <c r="AI47" s="101">
        <f t="shared" si="26"/>
        <v>-1.5146642743269306E-2</v>
      </c>
      <c r="AJ47" s="101">
        <f t="shared" si="27"/>
        <v>8.0211166244940901E-4</v>
      </c>
      <c r="AK47" s="101">
        <f t="shared" si="28"/>
        <v>6.433831190373547E-7</v>
      </c>
      <c r="AL47">
        <f t="shared" si="29"/>
        <v>-1.5146642743269306E-2</v>
      </c>
      <c r="AM47" s="195">
        <f t="shared" si="38"/>
        <v>6.433831190373547E-7</v>
      </c>
      <c r="AN47">
        <f t="shared" si="30"/>
        <v>-1.5948754405718715E-2</v>
      </c>
      <c r="AO47">
        <f t="shared" si="31"/>
        <v>1.0006635619926545</v>
      </c>
      <c r="AP47">
        <f t="shared" si="32"/>
        <v>-0.54670787669992571</v>
      </c>
      <c r="AQ47">
        <f t="shared" si="33"/>
        <v>-1.6093155839741213E-3</v>
      </c>
      <c r="AR47">
        <f t="shared" si="34"/>
        <v>-1.1797098079596764</v>
      </c>
      <c r="AS47">
        <f t="shared" si="35"/>
        <v>-0.66934552283018944</v>
      </c>
      <c r="AT47" s="101">
        <f t="shared" si="53"/>
        <v>5.1050842819119984</v>
      </c>
      <c r="AU47" s="101">
        <f t="shared" si="53"/>
        <v>5.1050842819119984</v>
      </c>
      <c r="AV47" s="101">
        <f t="shared" si="53"/>
        <v>5.1050842819119984</v>
      </c>
      <c r="AW47" s="101">
        <f t="shared" si="53"/>
        <v>5.1050842819119984</v>
      </c>
      <c r="AX47" s="101">
        <f t="shared" si="53"/>
        <v>5.1050842819124744</v>
      </c>
      <c r="AY47" s="101">
        <f t="shared" si="53"/>
        <v>5.105084282627053</v>
      </c>
      <c r="AZ47" s="101">
        <f t="shared" si="53"/>
        <v>5.1050853553246966</v>
      </c>
      <c r="BA47" s="101">
        <f t="shared" si="37"/>
        <v>5.1066925278867839</v>
      </c>
      <c r="BB47"/>
      <c r="BC47">
        <v>19000</v>
      </c>
      <c r="BD47">
        <f>AH$3+AH$4*BC47+AH$5*BC47^2+BF47</f>
        <v>2.7077562545490843E-2</v>
      </c>
      <c r="BE47">
        <f>AH$3+AH$4*BC47+AH$5*BC47^2</f>
        <v>1.5305120314123007E-2</v>
      </c>
      <c r="BF47">
        <f>$AH$6*($AH$11/BG47*BH47+$AH$12)</f>
        <v>1.1772442231367836E-2</v>
      </c>
      <c r="BG47">
        <f>1+$AH$7*COS(BI47)</f>
        <v>1.0017103044060141</v>
      </c>
      <c r="BH47">
        <f>SIN(BI47+RADIANS($AH$9))</f>
        <v>0.40225550933469567</v>
      </c>
      <c r="BI47">
        <f>2*ATAN(BJ47)</f>
        <v>-0.18730322834006485</v>
      </c>
      <c r="BJ47">
        <f>SQRT((1+$AH$7)/(1-$AH$7))*TAN(BK47/2)</f>
        <v>-9.3926372522355181E-2</v>
      </c>
      <c r="BK47">
        <f>$BR47+$AH$7*SIN(BL47)</f>
        <v>6.0962059471633658</v>
      </c>
      <c r="BL47">
        <f>$BR47+$AH$7*SIN(BM47)</f>
        <v>6.0962059471633658</v>
      </c>
      <c r="BM47">
        <f>$BR47+$AH$7*SIN(BN47)</f>
        <v>6.0962059471633658</v>
      </c>
      <c r="BN47">
        <f t="shared" si="54"/>
        <v>6.0962059471633685</v>
      </c>
      <c r="BO47">
        <f t="shared" si="54"/>
        <v>6.096205947164985</v>
      </c>
      <c r="BP47">
        <f t="shared" si="54"/>
        <v>6.096205948110061</v>
      </c>
      <c r="BQ47">
        <f t="shared" si="54"/>
        <v>6.0962065006535369</v>
      </c>
      <c r="BR47">
        <f t="shared" si="52"/>
        <v>6.0965295382709952</v>
      </c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</row>
    <row r="48" spans="1:92" s="101" customFormat="1">
      <c r="A48" s="42" t="s">
        <v>255</v>
      </c>
      <c r="B48" s="125" t="s">
        <v>87</v>
      </c>
      <c r="C48" s="22">
        <v>56650.438099999999</v>
      </c>
      <c r="D48" s="124">
        <v>1.9E-3</v>
      </c>
      <c r="E48" s="101">
        <f t="shared" si="16"/>
        <v>36648.530129791099</v>
      </c>
      <c r="F48" s="101">
        <f t="shared" si="17"/>
        <v>36648.5</v>
      </c>
      <c r="G48" s="101">
        <f t="shared" si="49"/>
        <v>9.9399229948176071E-3</v>
      </c>
      <c r="J48" s="101">
        <f t="shared" si="40"/>
        <v>9.9399229948176071E-3</v>
      </c>
      <c r="O48" s="101">
        <f ca="1">+C$11+C$12*F48</f>
        <v>8.1866810613666074E-3</v>
      </c>
      <c r="P48" s="103">
        <f t="shared" si="20"/>
        <v>-2.0138338147416737E-2</v>
      </c>
      <c r="Q48" s="104">
        <f t="shared" si="21"/>
        <v>41631.938099999999</v>
      </c>
      <c r="R48" s="101">
        <f t="shared" si="22"/>
        <v>9.047017933404445E-4</v>
      </c>
      <c r="S48" s="101">
        <v>1</v>
      </c>
      <c r="T48" s="221"/>
      <c r="AB48"/>
      <c r="AC48"/>
      <c r="AD48"/>
      <c r="AE48"/>
      <c r="AF48">
        <f t="shared" si="23"/>
        <v>36648.5</v>
      </c>
      <c r="AG48" s="101">
        <f t="shared" si="24"/>
        <v>8.7430759829332447E-3</v>
      </c>
      <c r="AH48" s="101">
        <f t="shared" si="25"/>
        <v>-1.8941491135532375E-2</v>
      </c>
      <c r="AI48" s="101">
        <f t="shared" si="26"/>
        <v>3.0078261142234344E-2</v>
      </c>
      <c r="AJ48" s="101">
        <f t="shared" si="27"/>
        <v>1.1968470118843624E-3</v>
      </c>
      <c r="AK48" s="101">
        <f t="shared" si="28"/>
        <v>1.4324427698565272E-6</v>
      </c>
      <c r="AL48">
        <f t="shared" si="29"/>
        <v>3.0078261142234344E-2</v>
      </c>
      <c r="AM48" s="195">
        <f t="shared" si="38"/>
        <v>1.4324427698565272E-6</v>
      </c>
      <c r="AN48">
        <f t="shared" si="30"/>
        <v>2.8881414130349982E-2</v>
      </c>
      <c r="AO48">
        <f t="shared" si="31"/>
        <v>1.0007445594270659</v>
      </c>
      <c r="AP48">
        <f t="shared" si="32"/>
        <v>0.98733700898251531</v>
      </c>
      <c r="AQ48">
        <f t="shared" si="33"/>
        <v>1.5734809901885637E-3</v>
      </c>
      <c r="AR48">
        <f t="shared" si="34"/>
        <v>1.1288237686240878</v>
      </c>
      <c r="AS48">
        <f t="shared" si="35"/>
        <v>0.63311266723538517</v>
      </c>
      <c r="AT48" s="101">
        <f t="shared" si="53"/>
        <v>7.4104361795037166</v>
      </c>
      <c r="AU48" s="101">
        <f t="shared" si="53"/>
        <v>7.4104361795037166</v>
      </c>
      <c r="AV48" s="101">
        <f t="shared" si="53"/>
        <v>7.4104361795037166</v>
      </c>
      <c r="AW48" s="101">
        <f t="shared" si="53"/>
        <v>7.4104361795037166</v>
      </c>
      <c r="AX48" s="101">
        <f t="shared" si="53"/>
        <v>7.4104361795030602</v>
      </c>
      <c r="AY48" s="101">
        <f t="shared" si="53"/>
        <v>7.4104361786248241</v>
      </c>
      <c r="AZ48" s="101">
        <f t="shared" si="53"/>
        <v>7.4104350029941273</v>
      </c>
      <c r="BA48" s="101">
        <f t="shared" si="37"/>
        <v>7.4088638715742112</v>
      </c>
      <c r="BB48"/>
      <c r="BC48"/>
      <c r="BD48"/>
      <c r="BE48"/>
      <c r="BF48"/>
      <c r="BG48"/>
      <c r="BH48"/>
      <c r="BI48"/>
      <c r="BJ48"/>
      <c r="BK48"/>
      <c r="BL48"/>
      <c r="BM48"/>
      <c r="BN48">
        <f t="shared" si="54"/>
        <v>4.6819583430521732</v>
      </c>
      <c r="BO48">
        <f t="shared" si="54"/>
        <v>4.6819583430521732</v>
      </c>
      <c r="BP48">
        <f t="shared" si="54"/>
        <v>4.6819583430569152</v>
      </c>
      <c r="BQ48">
        <f t="shared" si="54"/>
        <v>4.6819582535316373</v>
      </c>
      <c r="BR48">
        <f t="shared" si="52"/>
        <v>4.6836982873000288</v>
      </c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</row>
    <row r="49" spans="1:92" s="101" customFormat="1">
      <c r="A49" s="127" t="s">
        <v>253</v>
      </c>
      <c r="B49" s="123" t="s">
        <v>87</v>
      </c>
      <c r="C49" s="22">
        <v>56015.378100000002</v>
      </c>
      <c r="D49" s="22">
        <v>5.0000000000000001E-4</v>
      </c>
      <c r="E49" s="101">
        <f t="shared" si="16"/>
        <v>34723.542869426266</v>
      </c>
      <c r="F49" s="101">
        <f t="shared" si="17"/>
        <v>34723.5</v>
      </c>
      <c r="G49" s="101">
        <f t="shared" si="49"/>
        <v>1.414277299772948E-2</v>
      </c>
      <c r="J49" s="101">
        <f t="shared" si="40"/>
        <v>1.414277299772948E-2</v>
      </c>
      <c r="O49" s="101">
        <f ca="1">+C$11+C$12*F49</f>
        <v>1.4308536741988814E-2</v>
      </c>
      <c r="P49" s="103">
        <f t="shared" si="20"/>
        <v>-1.5005518126359155E-2</v>
      </c>
      <c r="Q49" s="104">
        <f t="shared" si="21"/>
        <v>40996.878100000002</v>
      </c>
      <c r="R49" s="101">
        <f t="shared" si="22"/>
        <v>8.4962287545462434E-4</v>
      </c>
      <c r="S49" s="101">
        <v>1</v>
      </c>
      <c r="T49" s="221"/>
      <c r="AB49"/>
      <c r="AC49"/>
      <c r="AD49"/>
      <c r="AE49"/>
      <c r="AF49">
        <f t="shared" si="23"/>
        <v>34723.5</v>
      </c>
      <c r="AG49" s="101">
        <f t="shared" si="24"/>
        <v>1.4235897759991654E-2</v>
      </c>
      <c r="AH49" s="101">
        <f t="shared" si="25"/>
        <v>-1.5098642888621328E-2</v>
      </c>
      <c r="AI49" s="101">
        <f t="shared" si="26"/>
        <v>2.9148291124088635E-2</v>
      </c>
      <c r="AJ49" s="101">
        <f t="shared" si="27"/>
        <v>-9.3124762262173505E-5</v>
      </c>
      <c r="AK49" s="101">
        <f t="shared" si="28"/>
        <v>8.6722213463863342E-9</v>
      </c>
      <c r="AL49">
        <f t="shared" si="29"/>
        <v>2.9148291124088635E-2</v>
      </c>
      <c r="AM49" s="195">
        <f t="shared" si="38"/>
        <v>8.6722213463863342E-9</v>
      </c>
      <c r="AN49">
        <f t="shared" si="30"/>
        <v>2.9241415886350808E-2</v>
      </c>
      <c r="AO49">
        <f t="shared" si="31"/>
        <v>1.0009617637048212</v>
      </c>
      <c r="AP49">
        <f t="shared" si="32"/>
        <v>0.99987324333750016</v>
      </c>
      <c r="AQ49">
        <f t="shared" si="33"/>
        <v>1.4509382285287223E-3</v>
      </c>
      <c r="AR49">
        <f t="shared" si="34"/>
        <v>0.98543623440076855</v>
      </c>
      <c r="AS49">
        <f t="shared" si="35"/>
        <v>0.53688465399181728</v>
      </c>
      <c r="AT49" s="101">
        <f t="shared" si="53"/>
        <v>7.2671712999023965</v>
      </c>
      <c r="AU49" s="101">
        <f t="shared" si="53"/>
        <v>7.2671712999023965</v>
      </c>
      <c r="AV49" s="101">
        <f t="shared" si="53"/>
        <v>7.2671712999023965</v>
      </c>
      <c r="AW49" s="101">
        <f t="shared" si="53"/>
        <v>7.2671712999023956</v>
      </c>
      <c r="AX49" s="101">
        <f t="shared" si="53"/>
        <v>7.2671712999010971</v>
      </c>
      <c r="AY49" s="101">
        <f t="shared" si="53"/>
        <v>7.2671712985542465</v>
      </c>
      <c r="AZ49" s="101">
        <f t="shared" si="53"/>
        <v>7.2671699012145421</v>
      </c>
      <c r="BA49" s="101">
        <f t="shared" si="37"/>
        <v>7.2657217579889952</v>
      </c>
      <c r="BB49"/>
      <c r="BC49"/>
      <c r="BD49"/>
      <c r="BE49"/>
      <c r="BF49"/>
      <c r="BG49"/>
      <c r="BH49"/>
      <c r="BI49"/>
      <c r="BJ49"/>
      <c r="BK49"/>
      <c r="BL49"/>
      <c r="BM49"/>
      <c r="BN49">
        <f t="shared" si="54"/>
        <v>4.6819583430521732</v>
      </c>
      <c r="BO49">
        <f t="shared" si="54"/>
        <v>4.6819583430521732</v>
      </c>
      <c r="BP49">
        <f t="shared" si="54"/>
        <v>4.6819583430569152</v>
      </c>
      <c r="BQ49">
        <f t="shared" si="54"/>
        <v>4.6819582535316373</v>
      </c>
      <c r="BR49">
        <f t="shared" si="52"/>
        <v>4.6836982873000288</v>
      </c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</row>
    <row r="50" spans="1:92" s="101" customFormat="1">
      <c r="A50" s="21" t="s">
        <v>133</v>
      </c>
      <c r="B50" s="122" t="s">
        <v>86</v>
      </c>
      <c r="C50" s="21">
        <v>55584.360800000002</v>
      </c>
      <c r="D50" s="124">
        <v>2.0000000000000001E-4</v>
      </c>
      <c r="E50" s="101">
        <f t="shared" si="16"/>
        <v>33417.047717004687</v>
      </c>
      <c r="F50" s="101">
        <f t="shared" si="17"/>
        <v>33417</v>
      </c>
      <c r="G50" s="101">
        <f t="shared" si="49"/>
        <v>1.5742005998617969E-2</v>
      </c>
      <c r="J50" s="101">
        <f t="shared" si="40"/>
        <v>1.5742005998617969E-2</v>
      </c>
      <c r="O50" s="101">
        <f ca="1">+C$11+C$12*F50</f>
        <v>1.8463448142889027E-2</v>
      </c>
      <c r="P50" s="103">
        <f t="shared" si="20"/>
        <v>-1.1698574893134576E-2</v>
      </c>
      <c r="Q50" s="104">
        <f t="shared" si="21"/>
        <v>40565.860800000002</v>
      </c>
      <c r="R50" s="101">
        <f t="shared" si="22"/>
        <v>7.5298547967681494E-4</v>
      </c>
      <c r="S50" s="101">
        <v>1</v>
      </c>
      <c r="T50" s="221"/>
      <c r="U50" s="101">
        <v>6.8542028759778005E-11</v>
      </c>
      <c r="V50" s="101">
        <v>1.2841669064494279E-19</v>
      </c>
      <c r="W50" s="101">
        <v>3.552702563169611E-30</v>
      </c>
      <c r="X50" s="101">
        <v>1.1143325518616695E-11</v>
      </c>
      <c r="Y50" s="101">
        <v>7.5737233638009257E-6</v>
      </c>
      <c r="Z50" s="101">
        <v>1.0311582242503156E-6</v>
      </c>
      <c r="AA50" s="101">
        <v>9.6621084603431502E-8</v>
      </c>
      <c r="AB50" s="101">
        <v>53.767706035218978</v>
      </c>
      <c r="AC50" s="101">
        <v>3.3451964301069727E-7</v>
      </c>
      <c r="AD50" s="101">
        <v>7.0714149494467818E-11</v>
      </c>
      <c r="AE50" s="101">
        <v>1.7418137320880711E-23</v>
      </c>
      <c r="AF50">
        <f t="shared" si="23"/>
        <v>33417</v>
      </c>
      <c r="AG50" s="101">
        <f t="shared" si="24"/>
        <v>1.7445765376890885E-2</v>
      </c>
      <c r="AH50" s="101">
        <f t="shared" si="25"/>
        <v>-1.3402334271407492E-2</v>
      </c>
      <c r="AI50" s="101">
        <f t="shared" si="26"/>
        <v>2.7440580891752546E-2</v>
      </c>
      <c r="AJ50" s="101">
        <f t="shared" si="27"/>
        <v>-1.7037593782729156E-3</v>
      </c>
      <c r="AK50" s="101">
        <f t="shared" si="28"/>
        <v>2.9027960190529121E-6</v>
      </c>
      <c r="AL50">
        <f t="shared" si="29"/>
        <v>2.7440580891752546E-2</v>
      </c>
      <c r="AM50" s="195">
        <f t="shared" si="38"/>
        <v>2.9027960190529121E-6</v>
      </c>
      <c r="AN50">
        <f t="shared" si="30"/>
        <v>2.9144340270025462E-2</v>
      </c>
      <c r="AO50">
        <f t="shared" si="31"/>
        <v>1.001098237937748</v>
      </c>
      <c r="AP50">
        <f t="shared" si="32"/>
        <v>0.99668646587724408</v>
      </c>
      <c r="AQ50">
        <f t="shared" si="33"/>
        <v>1.3505867610074929E-3</v>
      </c>
      <c r="AR50">
        <f t="shared" si="34"/>
        <v>0.88808466185109269</v>
      </c>
      <c r="AS50">
        <f t="shared" si="35"/>
        <v>0.47572822006721849</v>
      </c>
      <c r="AT50" s="101">
        <f t="shared" si="53"/>
        <v>7.169920122678402</v>
      </c>
      <c r="AU50" s="101">
        <f t="shared" si="53"/>
        <v>7.169920122678402</v>
      </c>
      <c r="AV50" s="101">
        <f t="shared" si="53"/>
        <v>7.169920122678402</v>
      </c>
      <c r="AW50" s="101">
        <f t="shared" si="53"/>
        <v>7.1699201226784002</v>
      </c>
      <c r="AX50" s="101">
        <f t="shared" si="53"/>
        <v>7.1699201226766043</v>
      </c>
      <c r="AY50" s="101">
        <f t="shared" si="53"/>
        <v>7.1699201210444574</v>
      </c>
      <c r="AZ50" s="101">
        <f t="shared" si="53"/>
        <v>7.1699186373567541</v>
      </c>
      <c r="BA50" s="101">
        <f t="shared" si="37"/>
        <v>7.1685710195998604</v>
      </c>
      <c r="BB50"/>
      <c r="BC50"/>
      <c r="BD50"/>
      <c r="BE50"/>
      <c r="BF50"/>
      <c r="BG50"/>
      <c r="BH50"/>
      <c r="BI50"/>
      <c r="BJ50"/>
      <c r="BK50"/>
      <c r="BL50"/>
      <c r="BM50"/>
      <c r="BN50">
        <f t="shared" si="54"/>
        <v>4.6819583430521732</v>
      </c>
      <c r="BO50">
        <f t="shared" si="54"/>
        <v>4.6819583430521732</v>
      </c>
      <c r="BP50">
        <f t="shared" si="54"/>
        <v>4.6819583430569152</v>
      </c>
      <c r="BQ50">
        <f t="shared" si="54"/>
        <v>4.6819582535316373</v>
      </c>
      <c r="BR50">
        <f t="shared" si="52"/>
        <v>4.6836982873000288</v>
      </c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</row>
    <row r="51" spans="1:92" s="101" customFormat="1">
      <c r="A51" s="21" t="s">
        <v>132</v>
      </c>
      <c r="B51" s="122" t="s">
        <v>87</v>
      </c>
      <c r="C51" s="21">
        <v>55263.366099999999</v>
      </c>
      <c r="D51" s="22">
        <v>1E-3</v>
      </c>
      <c r="E51" s="101">
        <f t="shared" si="16"/>
        <v>32444.051924253396</v>
      </c>
      <c r="F51" s="101">
        <f t="shared" si="17"/>
        <v>32444</v>
      </c>
      <c r="G51" s="101">
        <f t="shared" si="49"/>
        <v>1.7129991996625904E-2</v>
      </c>
      <c r="J51" s="101">
        <f t="shared" si="40"/>
        <v>1.7129991996625904E-2</v>
      </c>
      <c r="O51" s="101">
        <f ca="1">+C$11+C$12*F51</f>
        <v>2.1557767923276266E-2</v>
      </c>
      <c r="P51" s="103">
        <f t="shared" si="20"/>
        <v>-9.3286007394969908E-3</v>
      </c>
      <c r="Q51" s="104">
        <f t="shared" si="21"/>
        <v>40244.866099999999</v>
      </c>
      <c r="R51" s="101">
        <f t="shared" si="22"/>
        <v>7.000571295760152E-4</v>
      </c>
      <c r="S51" s="101">
        <v>1</v>
      </c>
      <c r="T51" s="221"/>
      <c r="AF51">
        <f t="shared" si="23"/>
        <v>32444</v>
      </c>
      <c r="AG51" s="101">
        <f t="shared" si="24"/>
        <v>1.9564317114844104E-2</v>
      </c>
      <c r="AH51" s="101">
        <f t="shared" si="25"/>
        <v>-1.1762925857715191E-2</v>
      </c>
      <c r="AI51" s="101">
        <f t="shared" si="26"/>
        <v>2.6458592736122895E-2</v>
      </c>
      <c r="AJ51" s="101">
        <f t="shared" si="27"/>
        <v>-2.4343251182182002E-3</v>
      </c>
      <c r="AK51" s="101">
        <f t="shared" si="28"/>
        <v>5.9259387811880543E-6</v>
      </c>
      <c r="AL51">
        <f t="shared" si="29"/>
        <v>2.6458592736122895E-2</v>
      </c>
      <c r="AM51" s="195">
        <f t="shared" si="38"/>
        <v>5.9259387811880543E-6</v>
      </c>
      <c r="AN51">
        <f t="shared" si="30"/>
        <v>2.8892917854341095E-2</v>
      </c>
      <c r="AO51">
        <f t="shared" si="31"/>
        <v>1.0011932076440364</v>
      </c>
      <c r="AP51">
        <f t="shared" si="32"/>
        <v>0.98817348051648157</v>
      </c>
      <c r="AQ51">
        <f t="shared" si="33"/>
        <v>1.2674646681981644E-3</v>
      </c>
      <c r="AR51">
        <f t="shared" si="34"/>
        <v>0.8155665424011157</v>
      </c>
      <c r="AS51">
        <f t="shared" si="35"/>
        <v>0.43199825865787561</v>
      </c>
      <c r="AT51" s="101">
        <f t="shared" ref="AT51:AZ60" si="55">$BA51+$AH$7*SIN(AU51)</f>
        <v>7.0974851398462491</v>
      </c>
      <c r="AU51" s="101">
        <f t="shared" si="55"/>
        <v>7.0974851398462491</v>
      </c>
      <c r="AV51" s="101">
        <f t="shared" si="55"/>
        <v>7.0974851398462491</v>
      </c>
      <c r="AW51" s="101">
        <f t="shared" si="55"/>
        <v>7.0974851398462464</v>
      </c>
      <c r="AX51" s="101">
        <f t="shared" si="55"/>
        <v>7.0974851398440881</v>
      </c>
      <c r="AY51" s="101">
        <f t="shared" si="55"/>
        <v>7.0974851380377926</v>
      </c>
      <c r="AZ51" s="101">
        <f t="shared" si="55"/>
        <v>7.0974836262570902</v>
      </c>
      <c r="BA51" s="101">
        <f t="shared" si="37"/>
        <v>7.0962191876422418</v>
      </c>
      <c r="BB51"/>
      <c r="BC51"/>
      <c r="BD51"/>
      <c r="BE51"/>
      <c r="BF51"/>
      <c r="BG51"/>
      <c r="BH51"/>
      <c r="BI51"/>
      <c r="BJ51"/>
      <c r="BK51"/>
      <c r="BL51"/>
      <c r="BM51"/>
      <c r="BN51">
        <f t="shared" si="54"/>
        <v>4.6819583430521732</v>
      </c>
      <c r="BO51">
        <f t="shared" si="54"/>
        <v>4.6819583430521732</v>
      </c>
      <c r="BP51">
        <f t="shared" si="54"/>
        <v>4.6819583430569152</v>
      </c>
      <c r="BQ51">
        <f t="shared" si="54"/>
        <v>4.6819582535316373</v>
      </c>
      <c r="BR51">
        <f t="shared" si="52"/>
        <v>4.6836982873000288</v>
      </c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</row>
    <row r="52" spans="1:92" s="101" customFormat="1">
      <c r="A52" s="21" t="s">
        <v>132</v>
      </c>
      <c r="B52" s="122" t="s">
        <v>87</v>
      </c>
      <c r="C52" s="21">
        <v>55194.4182</v>
      </c>
      <c r="D52" s="22">
        <v>1E-4</v>
      </c>
      <c r="E52" s="101">
        <f t="shared" si="16"/>
        <v>32235.057767592752</v>
      </c>
      <c r="F52" s="101">
        <f t="shared" si="17"/>
        <v>32235</v>
      </c>
      <c r="G52" s="101">
        <f t="shared" si="49"/>
        <v>1.9057729994528927E-2</v>
      </c>
      <c r="J52" s="101">
        <f t="shared" si="40"/>
        <v>1.9057729994528927E-2</v>
      </c>
      <c r="O52" s="101">
        <f ca="1">+C$11+C$12*F52</f>
        <v>2.2222426540029525E-2</v>
      </c>
      <c r="P52" s="103">
        <f t="shared" si="20"/>
        <v>-8.8298709512646262E-3</v>
      </c>
      <c r="Q52" s="104">
        <f t="shared" si="21"/>
        <v>40175.9182</v>
      </c>
      <c r="R52" s="101">
        <f t="shared" si="22"/>
        <v>7.7771828651182549E-4</v>
      </c>
      <c r="S52" s="101">
        <v>1</v>
      </c>
      <c r="T52" s="221"/>
      <c r="AF52">
        <f t="shared" si="23"/>
        <v>32235</v>
      </c>
      <c r="AG52" s="101">
        <f t="shared" si="24"/>
        <v>1.9989206984411926E-2</v>
      </c>
      <c r="AH52" s="101">
        <f t="shared" si="25"/>
        <v>-9.7613479411476252E-3</v>
      </c>
      <c r="AI52" s="101">
        <f t="shared" si="26"/>
        <v>2.7887600945793553E-2</v>
      </c>
      <c r="AJ52" s="101">
        <f t="shared" si="27"/>
        <v>-9.3147698988299901E-4</v>
      </c>
      <c r="AK52" s="101">
        <f t="shared" si="28"/>
        <v>8.6764938268149269E-7</v>
      </c>
      <c r="AL52">
        <f t="shared" si="29"/>
        <v>2.7887600945793553E-2</v>
      </c>
      <c r="AM52" s="195">
        <f t="shared" si="38"/>
        <v>8.6764938268149269E-7</v>
      </c>
      <c r="AN52">
        <f t="shared" si="30"/>
        <v>2.8819077935676552E-2</v>
      </c>
      <c r="AO52">
        <f t="shared" si="31"/>
        <v>1.0012128074194571</v>
      </c>
      <c r="AP52">
        <f t="shared" si="32"/>
        <v>0.98566483983548436</v>
      </c>
      <c r="AQ52">
        <f t="shared" si="33"/>
        <v>1.2487230798810004E-3</v>
      </c>
      <c r="AR52">
        <f t="shared" si="34"/>
        <v>0.79998791235745037</v>
      </c>
      <c r="AS52">
        <f t="shared" si="35"/>
        <v>0.42278609457722349</v>
      </c>
      <c r="AT52" s="101">
        <f t="shared" si="55"/>
        <v>7.0819252524456937</v>
      </c>
      <c r="AU52" s="101">
        <f t="shared" si="55"/>
        <v>7.0819252524456937</v>
      </c>
      <c r="AV52" s="101">
        <f t="shared" si="55"/>
        <v>7.0819252524456937</v>
      </c>
      <c r="AW52" s="101">
        <f t="shared" si="55"/>
        <v>7.081925252445691</v>
      </c>
      <c r="AX52" s="101">
        <f t="shared" si="55"/>
        <v>7.0819252524434582</v>
      </c>
      <c r="AY52" s="101">
        <f t="shared" si="55"/>
        <v>7.0819252506052788</v>
      </c>
      <c r="AZ52" s="101">
        <f t="shared" si="55"/>
        <v>7.0819237369098236</v>
      </c>
      <c r="BA52" s="101">
        <f t="shared" si="37"/>
        <v>7.0806780438815613</v>
      </c>
      <c r="BB52"/>
      <c r="BC52"/>
      <c r="BD52"/>
      <c r="BE52"/>
      <c r="BF52"/>
      <c r="BG52"/>
      <c r="BH52"/>
      <c r="BI52"/>
      <c r="BJ52"/>
      <c r="BK52"/>
      <c r="BL52"/>
      <c r="BM52"/>
      <c r="BN52">
        <f t="shared" ref="BN52:BQ61" si="56">$BR52+$AH$7*SIN(BO52)</f>
        <v>4.6819583430521732</v>
      </c>
      <c r="BO52">
        <f t="shared" si="56"/>
        <v>4.6819583430521732</v>
      </c>
      <c r="BP52">
        <f t="shared" si="56"/>
        <v>4.6819583430569152</v>
      </c>
      <c r="BQ52">
        <f t="shared" si="56"/>
        <v>4.6819582535316373</v>
      </c>
      <c r="BR52">
        <f t="shared" si="52"/>
        <v>4.6836982873000288</v>
      </c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</row>
    <row r="53" spans="1:92" s="101" customFormat="1">
      <c r="A53" s="10" t="s">
        <v>105</v>
      </c>
      <c r="B53" s="5" t="s">
        <v>86</v>
      </c>
      <c r="C53" s="26">
        <v>47864.787900000003</v>
      </c>
      <c r="D53" s="25"/>
      <c r="E53" s="101">
        <f t="shared" ref="E53:E84" si="57">+(C53-C$7)/C$8</f>
        <v>10017.558711308173</v>
      </c>
      <c r="F53" s="101">
        <f t="shared" ref="F53:F84" si="58">ROUND(2*E53,0)/2</f>
        <v>10017.5</v>
      </c>
      <c r="G53" s="101">
        <f t="shared" si="49"/>
        <v>1.9369064997590613E-2</v>
      </c>
      <c r="J53" s="101">
        <f t="shared" si="40"/>
        <v>1.9369064997590613E-2</v>
      </c>
      <c r="P53" s="103">
        <f t="shared" ref="P53:P84" si="59">+D$11+D$12*F53+D$13*F53^2</f>
        <v>2.3332491439406352E-2</v>
      </c>
      <c r="Q53" s="104">
        <f t="shared" ref="Q53:Q84" si="60">+C53-15018.5</f>
        <v>32846.287900000003</v>
      </c>
      <c r="R53" s="101">
        <f t="shared" ref="R53:R84" si="61">+(P53-G53)^2</f>
        <v>1.5708749159684171E-5</v>
      </c>
      <c r="S53" s="101">
        <v>1</v>
      </c>
      <c r="T53" s="221"/>
      <c r="AF53">
        <f t="shared" ref="AF53:AF84" si="62">F53</f>
        <v>10017.5</v>
      </c>
      <c r="AG53" s="101">
        <f t="shared" ref="AG53:AG84" si="63">AH$3+AH$4*AF53+AH$5*AF53^2+AN53</f>
        <v>1.5966408662739989E-2</v>
      </c>
      <c r="AH53" s="101">
        <f t="shared" ref="AH53:AH84" si="64">IF(S53&lt;&gt;0,G53-AN53, -9999)</f>
        <v>2.6735147774256975E-2</v>
      </c>
      <c r="AI53" s="101">
        <f t="shared" ref="AI53:AI84" si="65">+G53-P53</f>
        <v>-3.9634264418157393E-3</v>
      </c>
      <c r="AJ53" s="101">
        <f t="shared" ref="AJ53:AJ84" si="66">IF(S53&lt;&gt;0,G53-AG53, -9999)</f>
        <v>3.4026563348506234E-3</v>
      </c>
      <c r="AK53" s="101">
        <f t="shared" ref="AK53:AK84" si="67">+(G53-AG53)^2*S53</f>
        <v>1.1578070133099078E-5</v>
      </c>
      <c r="AL53">
        <f t="shared" ref="AL53:AL84" si="68">IF(S53&lt;&gt;0,G53-P53, -9999)</f>
        <v>-3.9634264418157393E-3</v>
      </c>
      <c r="AM53" s="195">
        <f t="shared" si="38"/>
        <v>1.1578070133099078E-5</v>
      </c>
      <c r="AN53">
        <f t="shared" ref="AN53:AN84" si="69">$AH$6*($AH$11/AO53*AP53+$AH$12)</f>
        <v>-7.3660827766663627E-3</v>
      </c>
      <c r="AO53">
        <f t="shared" ref="AO53:AO84" si="70">1+$AH$7*COS(AR53)</f>
        <v>1.0011393934101938</v>
      </c>
      <c r="AP53">
        <f t="shared" ref="AP53:AP84" si="71">SIN(AR53+RADIANS($AH$9))</f>
        <v>-0.25315279809875185</v>
      </c>
      <c r="AQ53">
        <f t="shared" ref="AQ53:AQ84" si="72">$AH$7*SIN(AR53)</f>
        <v>-1.3160523635951491E-3</v>
      </c>
      <c r="AR53">
        <f t="shared" ref="AR53:AR84" si="73">2*ATAN(AS53)</f>
        <v>-0.85722018911309528</v>
      </c>
      <c r="AS53">
        <f t="shared" ref="AS53:AS84" si="74">SQRT((1+$AH$7)/(1-$AH$7))*TAN(AT53/2)</f>
        <v>-0.45693984528986492</v>
      </c>
      <c r="AT53" s="101">
        <f t="shared" si="55"/>
        <v>5.4272804219124984</v>
      </c>
      <c r="AU53" s="101">
        <f t="shared" si="55"/>
        <v>5.4272804219124984</v>
      </c>
      <c r="AV53" s="101">
        <f t="shared" si="55"/>
        <v>5.4272804219124984</v>
      </c>
      <c r="AW53" s="101">
        <f t="shared" si="55"/>
        <v>5.4272804219125002</v>
      </c>
      <c r="AX53" s="101">
        <f t="shared" si="55"/>
        <v>5.4272804219144533</v>
      </c>
      <c r="AY53" s="101">
        <f t="shared" si="55"/>
        <v>5.4272804236255565</v>
      </c>
      <c r="AZ53" s="101">
        <f t="shared" si="55"/>
        <v>5.427281923114621</v>
      </c>
      <c r="BA53" s="101">
        <f t="shared" ref="BA53:BA84" si="75">RADIANS($AH$9)+$AH$18*(F53-AH$15)</f>
        <v>5.4285949744895898</v>
      </c>
      <c r="BB53"/>
      <c r="BC53">
        <v>20000</v>
      </c>
      <c r="BD53">
        <f>AH$3+AH$4*BC53+AH$5*BC53^2+BF53</f>
        <v>2.772565216487044E-2</v>
      </c>
      <c r="BE53">
        <f>AH$3+AH$4*BC53+AH$5*BC53^2</f>
        <v>1.3993638593558386E-2</v>
      </c>
      <c r="BF53">
        <f>$AH$6*($AH$11/BG53*BH53+$AH$12)</f>
        <v>1.3732013571312053E-2</v>
      </c>
      <c r="BG53">
        <f>1+$AH$7*COS(BI53)</f>
        <v>1.0017297094863733</v>
      </c>
      <c r="BH53">
        <f>SIN(BI53+RADIANS($AH$9))</f>
        <v>0.46938587838888696</v>
      </c>
      <c r="BI53">
        <f>2*ATAN(BJ53)</f>
        <v>-0.11268721288209321</v>
      </c>
      <c r="BJ53">
        <f>SQRT((1+$AH$7)/(1-$AH$7))*TAN(BK53/2)</f>
        <v>-5.6403305091624757E-2</v>
      </c>
      <c r="BK53">
        <f>$BR53+$AH$7*SIN(BL53)</f>
        <v>6.1706936706948641</v>
      </c>
      <c r="BL53">
        <f>$BR53+$AH$7*SIN(BM53)</f>
        <v>6.1706936706948641</v>
      </c>
      <c r="BM53">
        <f>$BR53+$AH$7*SIN(BN53)</f>
        <v>6.1706936706948641</v>
      </c>
      <c r="BN53">
        <f t="shared" si="56"/>
        <v>6.1706936706948659</v>
      </c>
      <c r="BO53">
        <f t="shared" si="56"/>
        <v>6.1706936706958757</v>
      </c>
      <c r="BP53">
        <f t="shared" si="56"/>
        <v>6.1706936712795342</v>
      </c>
      <c r="BQ53">
        <f t="shared" si="56"/>
        <v>6.1706940087035829</v>
      </c>
      <c r="BR53">
        <f t="shared" si="52"/>
        <v>6.170889077795783</v>
      </c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</row>
    <row r="54" spans="1:92" s="101" customFormat="1">
      <c r="A54" s="21" t="s">
        <v>132</v>
      </c>
      <c r="B54" s="122" t="s">
        <v>86</v>
      </c>
      <c r="C54" s="21">
        <v>54844.2284</v>
      </c>
      <c r="D54" s="124">
        <v>2.0000000000000001E-4</v>
      </c>
      <c r="E54" s="101">
        <f t="shared" si="57"/>
        <v>31173.566091672823</v>
      </c>
      <c r="F54" s="101">
        <f t="shared" si="58"/>
        <v>31173.5</v>
      </c>
      <c r="G54" s="101">
        <f t="shared" si="49"/>
        <v>2.1803872994496487E-2</v>
      </c>
      <c r="J54" s="101">
        <f t="shared" si="40"/>
        <v>2.1803872994496487E-2</v>
      </c>
      <c r="P54" s="103">
        <f t="shared" si="59"/>
        <v>-6.3532952647556915E-3</v>
      </c>
      <c r="Q54" s="104">
        <f t="shared" si="60"/>
        <v>39825.7284</v>
      </c>
      <c r="R54" s="101">
        <f t="shared" si="61"/>
        <v>7.9282612437983841E-4</v>
      </c>
      <c r="S54" s="101">
        <v>1</v>
      </c>
      <c r="T54" s="221"/>
      <c r="AF54">
        <f t="shared" si="62"/>
        <v>31173.5</v>
      </c>
      <c r="AG54" s="101">
        <f t="shared" si="63"/>
        <v>2.1983448365376565E-2</v>
      </c>
      <c r="AH54" s="101">
        <f t="shared" si="64"/>
        <v>-6.5328706356357694E-3</v>
      </c>
      <c r="AI54" s="101">
        <f t="shared" si="65"/>
        <v>2.8157168259252179E-2</v>
      </c>
      <c r="AJ54" s="101">
        <f t="shared" si="66"/>
        <v>-1.7957537088007791E-4</v>
      </c>
      <c r="AK54" s="101">
        <f t="shared" si="67"/>
        <v>3.2247313826717532E-8</v>
      </c>
      <c r="AL54">
        <f t="shared" si="68"/>
        <v>2.8157168259252179E-2</v>
      </c>
      <c r="AM54" s="195">
        <f t="shared" si="38"/>
        <v>3.2247313826717532E-8</v>
      </c>
      <c r="AN54">
        <f t="shared" si="69"/>
        <v>2.8336743630132256E-2</v>
      </c>
      <c r="AO54">
        <f t="shared" si="70"/>
        <v>1.0013077232584346</v>
      </c>
      <c r="AP54">
        <f t="shared" si="71"/>
        <v>0.96924350510498325</v>
      </c>
      <c r="AQ54">
        <f t="shared" si="72"/>
        <v>1.1489434478104093E-3</v>
      </c>
      <c r="AR54">
        <f t="shared" si="73"/>
        <v>0.72085572009971788</v>
      </c>
      <c r="AS54">
        <f t="shared" si="74"/>
        <v>0.37689140923246256</v>
      </c>
      <c r="AT54" s="101">
        <f t="shared" si="55"/>
        <v>7.0028928338475298</v>
      </c>
      <c r="AU54" s="101">
        <f t="shared" si="55"/>
        <v>7.0028928338475298</v>
      </c>
      <c r="AV54" s="101">
        <f t="shared" si="55"/>
        <v>7.0028928338475298</v>
      </c>
      <c r="AW54" s="101">
        <f t="shared" si="55"/>
        <v>7.0028928338475263</v>
      </c>
      <c r="AX54" s="101">
        <f t="shared" si="55"/>
        <v>7.0028928338449541</v>
      </c>
      <c r="AY54" s="101">
        <f t="shared" si="55"/>
        <v>7.0028928318802963</v>
      </c>
      <c r="AZ54" s="101">
        <f t="shared" si="55"/>
        <v>7.0028913310442533</v>
      </c>
      <c r="BA54" s="101">
        <f t="shared" si="75"/>
        <v>7.0017453926759989</v>
      </c>
      <c r="BB54"/>
      <c r="BC54"/>
      <c r="BD54"/>
      <c r="BE54"/>
      <c r="BF54"/>
      <c r="BG54"/>
      <c r="BH54"/>
      <c r="BI54"/>
      <c r="BJ54"/>
      <c r="BK54"/>
      <c r="BL54"/>
      <c r="BM54"/>
      <c r="BN54">
        <f t="shared" si="56"/>
        <v>4.6819583430521732</v>
      </c>
      <c r="BO54">
        <f t="shared" si="56"/>
        <v>4.6819583430521732</v>
      </c>
      <c r="BP54">
        <f t="shared" si="56"/>
        <v>4.6819583430569152</v>
      </c>
      <c r="BQ54">
        <f t="shared" si="56"/>
        <v>4.6819582535316373</v>
      </c>
      <c r="BR54">
        <f t="shared" si="52"/>
        <v>4.6836982873000288</v>
      </c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</row>
    <row r="55" spans="1:92" s="101" customFormat="1">
      <c r="A55" s="21" t="s">
        <v>131</v>
      </c>
      <c r="B55" s="122" t="s">
        <v>86</v>
      </c>
      <c r="C55" s="21">
        <v>54843.568899999998</v>
      </c>
      <c r="D55" s="124">
        <v>2.9999999999999997E-4</v>
      </c>
      <c r="E55" s="101">
        <f t="shared" si="57"/>
        <v>31171.567022138901</v>
      </c>
      <c r="F55" s="101">
        <f t="shared" si="58"/>
        <v>31171.5</v>
      </c>
      <c r="G55" s="101">
        <f t="shared" si="49"/>
        <v>2.2110836995125283E-2</v>
      </c>
      <c r="J55" s="101">
        <f t="shared" si="40"/>
        <v>2.2110836995125283E-2</v>
      </c>
      <c r="P55" s="103">
        <f t="shared" si="59"/>
        <v>-6.3487181083398472E-3</v>
      </c>
      <c r="Q55" s="104">
        <f t="shared" si="60"/>
        <v>39825.068899999998</v>
      </c>
      <c r="R55" s="101">
        <f t="shared" si="61"/>
        <v>8.0994627668716816E-4</v>
      </c>
      <c r="S55" s="101">
        <v>1</v>
      </c>
      <c r="T55" s="221"/>
      <c r="AF55">
        <f t="shared" si="62"/>
        <v>31171.5</v>
      </c>
      <c r="AG55" s="101">
        <f t="shared" si="63"/>
        <v>2.1986948604618035E-2</v>
      </c>
      <c r="AH55" s="101">
        <f t="shared" si="64"/>
        <v>-6.2248297178326001E-3</v>
      </c>
      <c r="AI55" s="101">
        <f t="shared" si="65"/>
        <v>2.845955510346513E-2</v>
      </c>
      <c r="AJ55" s="101">
        <f t="shared" si="66"/>
        <v>1.2388839050724715E-4</v>
      </c>
      <c r="AK55" s="101">
        <f t="shared" si="67"/>
        <v>1.5348333302476167E-8</v>
      </c>
      <c r="AL55">
        <f t="shared" si="68"/>
        <v>2.845955510346513E-2</v>
      </c>
      <c r="AM55" s="195">
        <f t="shared" si="38"/>
        <v>1.5348333302476167E-8</v>
      </c>
      <c r="AN55">
        <f t="shared" si="69"/>
        <v>2.8335666712957883E-2</v>
      </c>
      <c r="AO55">
        <f t="shared" si="70"/>
        <v>1.0013078945617089</v>
      </c>
      <c r="AP55">
        <f t="shared" si="71"/>
        <v>0.96920679805384768</v>
      </c>
      <c r="AQ55">
        <f t="shared" si="72"/>
        <v>1.1487484417267836E-3</v>
      </c>
      <c r="AR55">
        <f t="shared" si="73"/>
        <v>0.72070661109628276</v>
      </c>
      <c r="AS55">
        <f t="shared" si="74"/>
        <v>0.37680626686967628</v>
      </c>
      <c r="AT55" s="101">
        <f t="shared" si="55"/>
        <v>7.0027439198211017</v>
      </c>
      <c r="AU55" s="101">
        <f t="shared" si="55"/>
        <v>7.0027439198211017</v>
      </c>
      <c r="AV55" s="101">
        <f t="shared" si="55"/>
        <v>7.0027439198211017</v>
      </c>
      <c r="AW55" s="101">
        <f t="shared" si="55"/>
        <v>7.0027439198210981</v>
      </c>
      <c r="AX55" s="101">
        <f t="shared" si="55"/>
        <v>7.002743919818526</v>
      </c>
      <c r="AY55" s="101">
        <f t="shared" si="55"/>
        <v>7.0027439178536897</v>
      </c>
      <c r="AZ55" s="101">
        <f t="shared" si="55"/>
        <v>7.0027424170773909</v>
      </c>
      <c r="BA55" s="101">
        <f t="shared" si="75"/>
        <v>7.001596673596949</v>
      </c>
      <c r="BB55"/>
      <c r="BC55"/>
      <c r="BD55"/>
      <c r="BE55"/>
      <c r="BF55"/>
      <c r="BG55"/>
      <c r="BH55"/>
      <c r="BI55"/>
      <c r="BJ55"/>
      <c r="BK55"/>
      <c r="BL55"/>
      <c r="BM55"/>
      <c r="BN55">
        <f t="shared" si="56"/>
        <v>4.6819583430521732</v>
      </c>
      <c r="BO55">
        <f t="shared" si="56"/>
        <v>4.6819583430521732</v>
      </c>
      <c r="BP55">
        <f t="shared" si="56"/>
        <v>4.6819583430569152</v>
      </c>
      <c r="BQ55">
        <f t="shared" si="56"/>
        <v>4.6819582535316373</v>
      </c>
      <c r="BR55">
        <f t="shared" si="52"/>
        <v>4.6836982873000288</v>
      </c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</row>
    <row r="56" spans="1:92" s="101" customFormat="1">
      <c r="A56" s="22" t="s">
        <v>121</v>
      </c>
      <c r="B56" s="123" t="s">
        <v>86</v>
      </c>
      <c r="C56" s="22">
        <v>54510.366699999999</v>
      </c>
      <c r="D56" s="22">
        <v>1E-3</v>
      </c>
      <c r="E56" s="101">
        <f t="shared" si="57"/>
        <v>30161.567982480385</v>
      </c>
      <c r="F56" s="101">
        <f t="shared" si="58"/>
        <v>30161.5</v>
      </c>
      <c r="G56" s="101">
        <f t="shared" si="49"/>
        <v>2.2427656993386336E-2</v>
      </c>
      <c r="J56" s="101">
        <f t="shared" si="40"/>
        <v>2.2427656993386336E-2</v>
      </c>
      <c r="P56" s="103">
        <f t="shared" si="59"/>
        <v>-4.0800345793203449E-3</v>
      </c>
      <c r="Q56" s="104">
        <f t="shared" si="60"/>
        <v>39491.866699999999</v>
      </c>
      <c r="R56" s="101">
        <f t="shared" si="61"/>
        <v>7.0265771251374481E-4</v>
      </c>
      <c r="S56" s="101">
        <v>1</v>
      </c>
      <c r="T56" s="221"/>
      <c r="AF56">
        <f t="shared" si="62"/>
        <v>30161.5</v>
      </c>
      <c r="AG56" s="101">
        <f t="shared" si="63"/>
        <v>2.3632028088727546E-2</v>
      </c>
      <c r="AH56" s="101">
        <f t="shared" si="64"/>
        <v>-5.2844056746615548E-3</v>
      </c>
      <c r="AI56" s="101">
        <f t="shared" si="65"/>
        <v>2.6507691572706681E-2</v>
      </c>
      <c r="AJ56" s="101">
        <f t="shared" si="66"/>
        <v>-1.2043710953412098E-3</v>
      </c>
      <c r="AK56" s="101">
        <f t="shared" si="67"/>
        <v>1.4505097352933855E-6</v>
      </c>
      <c r="AL56">
        <f t="shared" si="68"/>
        <v>2.6507691572706681E-2</v>
      </c>
      <c r="AM56" s="195">
        <f t="shared" si="38"/>
        <v>1.4505097352933855E-6</v>
      </c>
      <c r="AN56">
        <f t="shared" si="69"/>
        <v>2.771206266804789E-2</v>
      </c>
      <c r="AO56">
        <f t="shared" si="70"/>
        <v>1.0013906140863207</v>
      </c>
      <c r="AP56">
        <f t="shared" si="71"/>
        <v>0.94793334813658514</v>
      </c>
      <c r="AQ56">
        <f t="shared" si="72"/>
        <v>1.0470929423140164E-3</v>
      </c>
      <c r="AR56">
        <f t="shared" si="73"/>
        <v>0.64540023486899623</v>
      </c>
      <c r="AS56">
        <f t="shared" si="74"/>
        <v>0.33438873775027905</v>
      </c>
      <c r="AT56" s="101">
        <f t="shared" si="55"/>
        <v>6.9275391759548421</v>
      </c>
      <c r="AU56" s="101">
        <f t="shared" si="55"/>
        <v>6.9275391759548421</v>
      </c>
      <c r="AV56" s="101">
        <f t="shared" si="55"/>
        <v>6.9275391759548421</v>
      </c>
      <c r="AW56" s="101">
        <f t="shared" si="55"/>
        <v>6.9275391759548386</v>
      </c>
      <c r="AX56" s="101">
        <f t="shared" si="55"/>
        <v>6.9275391759520222</v>
      </c>
      <c r="AY56" s="101">
        <f t="shared" si="55"/>
        <v>6.9275391739287988</v>
      </c>
      <c r="AZ56" s="101">
        <f t="shared" si="55"/>
        <v>6.9275377201607036</v>
      </c>
      <c r="BA56" s="101">
        <f t="shared" si="75"/>
        <v>6.9264935386769135</v>
      </c>
      <c r="BB56"/>
      <c r="BC56">
        <v>44000</v>
      </c>
      <c r="BD56">
        <f>AH$3+AH$4*BC56+AH$5*BC56^2+BF56</f>
        <v>-2.031326371092981E-2</v>
      </c>
      <c r="BE56">
        <f>AH$3+AH$4*BC56+AH$5*BC56^2</f>
        <v>-4.2594704555442509E-2</v>
      </c>
      <c r="BF56">
        <f>$AH$6*($AH$11/BG56*BH56+$AH$12)</f>
        <v>2.2281440844512699E-2</v>
      </c>
      <c r="BG56">
        <f>1+$AH$7*COS(BI56)</f>
        <v>0.99981755830318308</v>
      </c>
      <c r="BH56">
        <f>SIN(BI56+RADIANS($AH$9))</f>
        <v>0.76078043663147887</v>
      </c>
      <c r="BI56">
        <f>2*ATAN(BJ56)</f>
        <v>1.6757955177912349</v>
      </c>
      <c r="BJ56">
        <f>SQRT((1+$AH$7)/(1-$AH$7))*TAN(BK56/2)</f>
        <v>1.110924617709657</v>
      </c>
      <c r="BK56">
        <f>$BR56+$AH$7*SIN(BL56)</f>
        <v>7.9572495029101589</v>
      </c>
      <c r="BL56">
        <f>$BR56+$AH$7*SIN(BM56)</f>
        <v>7.9572495029101589</v>
      </c>
      <c r="BM56">
        <f>$BR56+$AH$7*SIN(BN56)</f>
        <v>7.9572495029101589</v>
      </c>
      <c r="BN56">
        <f t="shared" si="56"/>
        <v>7.9572495029101589</v>
      </c>
      <c r="BO56">
        <f t="shared" si="56"/>
        <v>7.9572495029101686</v>
      </c>
      <c r="BP56">
        <f t="shared" si="56"/>
        <v>7.9572495028548706</v>
      </c>
      <c r="BQ56">
        <f t="shared" si="56"/>
        <v>7.957249811017971</v>
      </c>
      <c r="BR56">
        <f t="shared" si="52"/>
        <v>7.9555180263906884</v>
      </c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</row>
    <row r="57" spans="1:92" s="101" customFormat="1">
      <c r="A57" s="21" t="s">
        <v>131</v>
      </c>
      <c r="B57" s="122" t="s">
        <v>86</v>
      </c>
      <c r="C57" s="21">
        <v>54843.239500000003</v>
      </c>
      <c r="D57" s="21">
        <v>4.0000000000000002E-4</v>
      </c>
      <c r="E57" s="101">
        <f t="shared" si="57"/>
        <v>31170.568548288313</v>
      </c>
      <c r="F57" s="101">
        <f t="shared" si="58"/>
        <v>31170.5</v>
      </c>
      <c r="G57" s="101">
        <f t="shared" si="49"/>
        <v>2.2614319001149852E-2</v>
      </c>
      <c r="J57" s="101">
        <f t="shared" si="40"/>
        <v>2.2614319001149852E-2</v>
      </c>
      <c r="P57" s="103">
        <f t="shared" si="59"/>
        <v>-6.3464296556958386E-3</v>
      </c>
      <c r="Q57" s="104">
        <f t="shared" si="60"/>
        <v>39824.739500000003</v>
      </c>
      <c r="R57" s="101">
        <f t="shared" si="61"/>
        <v>8.3872496276498948E-4</v>
      </c>
      <c r="S57" s="101">
        <v>1</v>
      </c>
      <c r="T57" s="221"/>
      <c r="AF57">
        <f t="shared" si="62"/>
        <v>31170.5</v>
      </c>
      <c r="AG57" s="101">
        <f t="shared" si="63"/>
        <v>2.1988698362971341E-2</v>
      </c>
      <c r="AH57" s="101">
        <f t="shared" si="64"/>
        <v>-5.7208090175173282E-3</v>
      </c>
      <c r="AI57" s="101">
        <f t="shared" si="65"/>
        <v>2.896074865684569E-2</v>
      </c>
      <c r="AJ57" s="101">
        <f t="shared" si="66"/>
        <v>6.2562063817851038E-4</v>
      </c>
      <c r="AK57" s="101">
        <f t="shared" si="67"/>
        <v>3.9140118291488661E-7</v>
      </c>
      <c r="AL57">
        <f t="shared" si="68"/>
        <v>2.896074865684569E-2</v>
      </c>
      <c r="AM57" s="195">
        <f t="shared" si="38"/>
        <v>3.9140118291488661E-7</v>
      </c>
      <c r="AN57">
        <f t="shared" si="69"/>
        <v>2.833512801866718E-2</v>
      </c>
      <c r="AO57">
        <f t="shared" si="70"/>
        <v>1.0013079802024636</v>
      </c>
      <c r="AP57">
        <f t="shared" si="71"/>
        <v>0.96918843644269614</v>
      </c>
      <c r="AQ57">
        <f t="shared" si="72"/>
        <v>1.1486509290819175E-3</v>
      </c>
      <c r="AR57">
        <f t="shared" si="73"/>
        <v>0.72063205657543439</v>
      </c>
      <c r="AS57">
        <f t="shared" si="74"/>
        <v>0.37676369747129679</v>
      </c>
      <c r="AT57" s="101">
        <f t="shared" si="55"/>
        <v>7.0026694627983348</v>
      </c>
      <c r="AU57" s="101">
        <f t="shared" si="55"/>
        <v>7.0026694627983348</v>
      </c>
      <c r="AV57" s="101">
        <f t="shared" si="55"/>
        <v>7.0026694627983348</v>
      </c>
      <c r="AW57" s="101">
        <f t="shared" si="55"/>
        <v>7.0026694627983312</v>
      </c>
      <c r="AX57" s="101">
        <f t="shared" si="55"/>
        <v>7.0026694627957591</v>
      </c>
      <c r="AY57" s="101">
        <f t="shared" si="55"/>
        <v>7.0026694608308331</v>
      </c>
      <c r="AZ57" s="101">
        <f t="shared" si="55"/>
        <v>7.002667960084457</v>
      </c>
      <c r="BA57" s="101">
        <f t="shared" si="75"/>
        <v>7.0015223140574241</v>
      </c>
      <c r="BB57"/>
      <c r="BC57"/>
      <c r="BD57"/>
      <c r="BE57"/>
      <c r="BF57"/>
      <c r="BG57"/>
      <c r="BH57"/>
      <c r="BI57"/>
      <c r="BJ57"/>
      <c r="BK57"/>
      <c r="BL57"/>
      <c r="BM57"/>
      <c r="BN57">
        <f t="shared" si="56"/>
        <v>4.6819583430521732</v>
      </c>
      <c r="BO57">
        <f t="shared" si="56"/>
        <v>4.6819583430521732</v>
      </c>
      <c r="BP57">
        <f t="shared" si="56"/>
        <v>4.6819583430569152</v>
      </c>
      <c r="BQ57">
        <f t="shared" si="56"/>
        <v>4.6819582535316373</v>
      </c>
      <c r="BR57">
        <f t="shared" si="52"/>
        <v>4.6836982873000288</v>
      </c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</row>
    <row r="58" spans="1:92" s="101" customFormat="1">
      <c r="A58" s="21" t="s">
        <v>131</v>
      </c>
      <c r="B58" s="122" t="s">
        <v>87</v>
      </c>
      <c r="C58" s="21">
        <v>54843.404799999997</v>
      </c>
      <c r="D58" s="126">
        <v>2.0000000000000001E-4</v>
      </c>
      <c r="E58" s="101">
        <f t="shared" si="57"/>
        <v>31171.069603927346</v>
      </c>
      <c r="F58" s="101">
        <f t="shared" si="58"/>
        <v>31171</v>
      </c>
      <c r="G58" s="101">
        <f t="shared" si="49"/>
        <v>2.296257799025625E-2</v>
      </c>
      <c r="J58" s="101">
        <f t="shared" si="40"/>
        <v>2.296257799025625E-2</v>
      </c>
      <c r="P58" s="103">
        <f t="shared" si="59"/>
        <v>-6.3475738715541782E-3</v>
      </c>
      <c r="Q58" s="104">
        <f t="shared" si="60"/>
        <v>39824.904799999997</v>
      </c>
      <c r="R58" s="101">
        <f t="shared" si="61"/>
        <v>8.5908500216238929E-4</v>
      </c>
      <c r="S58" s="101">
        <v>1</v>
      </c>
      <c r="T58" s="221"/>
      <c r="AF58">
        <f t="shared" si="62"/>
        <v>31171</v>
      </c>
      <c r="AG58" s="101">
        <f t="shared" si="63"/>
        <v>2.1987823513900003E-2</v>
      </c>
      <c r="AH58" s="101">
        <f t="shared" si="64"/>
        <v>-5.3728193951979308E-3</v>
      </c>
      <c r="AI58" s="101">
        <f t="shared" si="65"/>
        <v>2.9310151861810428E-2</v>
      </c>
      <c r="AJ58" s="101">
        <f t="shared" si="66"/>
        <v>9.747544763562474E-4</v>
      </c>
      <c r="AK58" s="101">
        <f t="shared" si="67"/>
        <v>9.5014628917654211E-7</v>
      </c>
      <c r="AL58">
        <f t="shared" si="68"/>
        <v>2.9310151861810428E-2</v>
      </c>
      <c r="AM58" s="195">
        <f t="shared" si="38"/>
        <v>9.5014628917654211E-7</v>
      </c>
      <c r="AN58">
        <f t="shared" si="69"/>
        <v>2.8335397385454181E-2</v>
      </c>
      <c r="AO58">
        <f t="shared" si="70"/>
        <v>1.0013079373829932</v>
      </c>
      <c r="AP58">
        <f t="shared" si="71"/>
        <v>0.96919761792206027</v>
      </c>
      <c r="AQ58">
        <f t="shared" si="72"/>
        <v>1.1486996862045491E-3</v>
      </c>
      <c r="AR58">
        <f t="shared" si="73"/>
        <v>0.72066933383745302</v>
      </c>
      <c r="AS58">
        <f t="shared" si="74"/>
        <v>0.37678498202191968</v>
      </c>
      <c r="AT58" s="101">
        <f t="shared" si="55"/>
        <v>7.0027066913105145</v>
      </c>
      <c r="AU58" s="101">
        <f t="shared" si="55"/>
        <v>7.0027066913105145</v>
      </c>
      <c r="AV58" s="101">
        <f t="shared" si="55"/>
        <v>7.0027066913105145</v>
      </c>
      <c r="AW58" s="101">
        <f t="shared" si="55"/>
        <v>7.0027066913105109</v>
      </c>
      <c r="AX58" s="101">
        <f t="shared" si="55"/>
        <v>7.0027066913079388</v>
      </c>
      <c r="AY58" s="101">
        <f t="shared" si="55"/>
        <v>7.0027066893430581</v>
      </c>
      <c r="AZ58" s="101">
        <f t="shared" si="55"/>
        <v>7.0027051885817162</v>
      </c>
      <c r="BA58" s="101">
        <f t="shared" si="75"/>
        <v>7.0015594938271866</v>
      </c>
      <c r="BB58"/>
      <c r="BC58"/>
      <c r="BD58"/>
      <c r="BE58"/>
      <c r="BF58"/>
      <c r="BG58"/>
      <c r="BH58"/>
      <c r="BI58"/>
      <c r="BJ58"/>
      <c r="BK58"/>
      <c r="BL58"/>
      <c r="BM58"/>
      <c r="BN58">
        <f t="shared" si="56"/>
        <v>4.6819583430521732</v>
      </c>
      <c r="BO58">
        <f t="shared" si="56"/>
        <v>4.6819583430521732</v>
      </c>
      <c r="BP58">
        <f t="shared" si="56"/>
        <v>4.6819583430569152</v>
      </c>
      <c r="BQ58">
        <f t="shared" si="56"/>
        <v>4.6819582535316373</v>
      </c>
      <c r="BR58">
        <f t="shared" si="52"/>
        <v>4.6836982873000288</v>
      </c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</row>
    <row r="59" spans="1:92" s="101" customFormat="1">
      <c r="A59" s="22" t="s">
        <v>121</v>
      </c>
      <c r="B59" s="123" t="s">
        <v>87</v>
      </c>
      <c r="C59" s="22">
        <v>54472.2644</v>
      </c>
      <c r="D59" s="22">
        <v>2.9999999999999997E-4</v>
      </c>
      <c r="E59" s="101">
        <f t="shared" si="57"/>
        <v>30046.072687404965</v>
      </c>
      <c r="F59" s="101">
        <f t="shared" si="58"/>
        <v>30046</v>
      </c>
      <c r="G59" s="101">
        <f t="shared" si="49"/>
        <v>2.3979827994480729E-2</v>
      </c>
      <c r="J59" s="101">
        <f t="shared" ref="J59:J84" si="76">G59</f>
        <v>2.3979827994480729E-2</v>
      </c>
      <c r="P59" s="103">
        <f t="shared" si="59"/>
        <v>-3.8260369212642364E-3</v>
      </c>
      <c r="Q59" s="104">
        <f t="shared" si="60"/>
        <v>39453.7644</v>
      </c>
      <c r="R59" s="101">
        <f t="shared" si="61"/>
        <v>7.7316612371265681E-4</v>
      </c>
      <c r="S59" s="101">
        <v>1</v>
      </c>
      <c r="T59" s="221"/>
      <c r="AF59">
        <f t="shared" si="62"/>
        <v>30046</v>
      </c>
      <c r="AG59" s="101">
        <f t="shared" si="63"/>
        <v>2.3804651877767709E-2</v>
      </c>
      <c r="AH59" s="101">
        <f t="shared" si="64"/>
        <v>-3.6508608045512161E-3</v>
      </c>
      <c r="AI59" s="101">
        <f t="shared" si="65"/>
        <v>2.7805864915744966E-2</v>
      </c>
      <c r="AJ59" s="101">
        <f t="shared" si="66"/>
        <v>1.751761167130203E-4</v>
      </c>
      <c r="AK59" s="101">
        <f t="shared" si="67"/>
        <v>3.0686671866653711E-8</v>
      </c>
      <c r="AL59">
        <f t="shared" si="68"/>
        <v>2.7805864915744966E-2</v>
      </c>
      <c r="AM59" s="195">
        <f t="shared" si="38"/>
        <v>3.0686671866653711E-8</v>
      </c>
      <c r="AN59">
        <f t="shared" si="69"/>
        <v>2.7630688799031945E-2</v>
      </c>
      <c r="AO59">
        <f t="shared" si="70"/>
        <v>1.0013995805367286</v>
      </c>
      <c r="AP59">
        <f t="shared" si="71"/>
        <v>0.94515539810889038</v>
      </c>
      <c r="AQ59">
        <f t="shared" si="72"/>
        <v>1.0350775275930714E-3</v>
      </c>
      <c r="AR59">
        <f t="shared" si="73"/>
        <v>0.63678768838183986</v>
      </c>
      <c r="AS59">
        <f t="shared" si="74"/>
        <v>0.32960780983543086</v>
      </c>
      <c r="AT59" s="101">
        <f t="shared" si="55"/>
        <v>6.918938641173674</v>
      </c>
      <c r="AU59" s="101">
        <f t="shared" si="55"/>
        <v>6.918938641173674</v>
      </c>
      <c r="AV59" s="101">
        <f t="shared" si="55"/>
        <v>6.918938641173674</v>
      </c>
      <c r="AW59" s="101">
        <f t="shared" si="55"/>
        <v>6.9189386411736695</v>
      </c>
      <c r="AX59" s="101">
        <f t="shared" si="55"/>
        <v>6.9189386411708327</v>
      </c>
      <c r="AY59" s="101">
        <f t="shared" si="55"/>
        <v>6.9189386391451029</v>
      </c>
      <c r="AZ59" s="101">
        <f t="shared" si="55"/>
        <v>6.9189371928684373</v>
      </c>
      <c r="BA59" s="101">
        <f t="shared" si="75"/>
        <v>6.9179050118618006</v>
      </c>
      <c r="BB59"/>
      <c r="BC59">
        <v>43500</v>
      </c>
      <c r="BD59">
        <f t="shared" ref="BD59:BD90" si="77">AH$3+AH$4*BC59+AH$5*BC59^2+BF59</f>
        <v>-1.7953970477892101E-2</v>
      </c>
      <c r="BE59">
        <f t="shared" ref="BE59:BE90" si="78">AH$3+AH$4*BC59+AH$5*BC59^2</f>
        <v>-4.0923988761835756E-2</v>
      </c>
      <c r="BF59">
        <f t="shared" ref="BF59:BF90" si="79">$AH$6*($AH$11/BG59*BH59+$AH$12)</f>
        <v>2.2970018283943655E-2</v>
      </c>
      <c r="BG59">
        <f t="shared" ref="BG59:BG90" si="80">1+$AH$7*COS(BI59)</f>
        <v>0.99988201470309668</v>
      </c>
      <c r="BH59">
        <f t="shared" ref="BH59:BH90" si="81">SIN(BI59+RADIANS($AH$9))</f>
        <v>0.78437230543279934</v>
      </c>
      <c r="BI59">
        <f t="shared" ref="BI59:BI90" si="82">2*ATAN(BJ59)</f>
        <v>1.6386267493772166</v>
      </c>
      <c r="BJ59">
        <f t="shared" ref="BJ59:BJ90" si="83">SQRT((1+$AH$7)/(1-$AH$7))*TAN(BK59/2)</f>
        <v>1.0702395444531212</v>
      </c>
      <c r="BK59">
        <f t="shared" ref="BK59:BM78" si="84">$BR59+$AH$7*SIN(BL59)</f>
        <v>7.9200752060738333</v>
      </c>
      <c r="BL59">
        <f t="shared" si="84"/>
        <v>7.9200752060738333</v>
      </c>
      <c r="BM59">
        <f t="shared" si="84"/>
        <v>7.9200752060738333</v>
      </c>
      <c r="BN59">
        <f t="shared" si="56"/>
        <v>7.9200752060738333</v>
      </c>
      <c r="BO59">
        <f t="shared" si="56"/>
        <v>7.920075206073836</v>
      </c>
      <c r="BP59">
        <f t="shared" si="56"/>
        <v>7.9200752060511759</v>
      </c>
      <c r="BQ59">
        <f t="shared" si="56"/>
        <v>7.9200754031482843</v>
      </c>
      <c r="BR59">
        <f t="shared" si="52"/>
        <v>7.9183382566282949</v>
      </c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</row>
    <row r="60" spans="1:92" s="101" customFormat="1">
      <c r="A60" s="10" t="s">
        <v>106</v>
      </c>
      <c r="B60" s="5" t="s">
        <v>87</v>
      </c>
      <c r="C60" s="26">
        <v>51597.485999999997</v>
      </c>
      <c r="D60" s="25"/>
      <c r="E60" s="101">
        <f t="shared" si="57"/>
        <v>21332.074330758333</v>
      </c>
      <c r="F60" s="101">
        <f t="shared" si="58"/>
        <v>21332</v>
      </c>
      <c r="G60" s="101">
        <f t="shared" si="49"/>
        <v>2.4521975989046041E-2</v>
      </c>
      <c r="J60" s="101">
        <f t="shared" si="76"/>
        <v>2.4521975989046041E-2</v>
      </c>
      <c r="P60" s="103">
        <f t="shared" si="59"/>
        <v>1.2116735065589374E-2</v>
      </c>
      <c r="Q60" s="104">
        <f t="shared" si="60"/>
        <v>36578.985999999997</v>
      </c>
      <c r="R60" s="101">
        <f t="shared" si="61"/>
        <v>1.5389000236900401E-4</v>
      </c>
      <c r="S60" s="101">
        <v>1</v>
      </c>
      <c r="T60" s="221"/>
      <c r="AF60">
        <f t="shared" si="62"/>
        <v>21332</v>
      </c>
      <c r="AG60" s="101">
        <f t="shared" si="63"/>
        <v>2.8338848712813607E-2</v>
      </c>
      <c r="AH60" s="101">
        <f t="shared" si="64"/>
        <v>8.2998623418218086E-3</v>
      </c>
      <c r="AI60" s="101">
        <f t="shared" si="65"/>
        <v>1.2405240923456667E-2</v>
      </c>
      <c r="AJ60" s="101">
        <f t="shared" si="66"/>
        <v>-3.8168727237675656E-3</v>
      </c>
      <c r="AK60" s="101">
        <f t="shared" si="67"/>
        <v>1.4568517389440836E-5</v>
      </c>
      <c r="AL60">
        <f t="shared" si="68"/>
        <v>1.2405240923456667E-2</v>
      </c>
      <c r="AM60" s="195">
        <f t="shared" si="38"/>
        <v>1.4568517389440836E-5</v>
      </c>
      <c r="AN60">
        <f t="shared" si="69"/>
        <v>1.6222113647224232E-2</v>
      </c>
      <c r="AO60">
        <f t="shared" si="70"/>
        <v>1.0017405963182469</v>
      </c>
      <c r="AP60">
        <f t="shared" si="71"/>
        <v>0.55468705752999059</v>
      </c>
      <c r="AQ60">
        <f t="shared" si="72"/>
        <v>-2.3143548193854872E-5</v>
      </c>
      <c r="AR60">
        <f t="shared" si="73"/>
        <v>-1.3295549477817919E-2</v>
      </c>
      <c r="AS60">
        <f t="shared" si="74"/>
        <v>-6.6478726688080662E-3</v>
      </c>
      <c r="AT60" s="101">
        <f t="shared" si="55"/>
        <v>6.2699128811431901</v>
      </c>
      <c r="AU60" s="101">
        <f t="shared" si="55"/>
        <v>6.2699128811431901</v>
      </c>
      <c r="AV60" s="101">
        <f t="shared" si="55"/>
        <v>6.2699128811431901</v>
      </c>
      <c r="AW60" s="101">
        <f t="shared" si="55"/>
        <v>6.2699128811431901</v>
      </c>
      <c r="AX60" s="101">
        <f t="shared" si="55"/>
        <v>6.2699128811433118</v>
      </c>
      <c r="AY60" s="101">
        <f t="shared" si="55"/>
        <v>6.2699128812131857</v>
      </c>
      <c r="AZ60" s="101">
        <f t="shared" si="55"/>
        <v>6.2699129213567266</v>
      </c>
      <c r="BA60" s="101">
        <f t="shared" si="75"/>
        <v>6.2699359844428004</v>
      </c>
      <c r="BB60"/>
      <c r="BC60">
        <v>24500</v>
      </c>
      <c r="BD60">
        <f t="shared" si="77"/>
        <v>2.8517467100897007E-2</v>
      </c>
      <c r="BE60">
        <f t="shared" si="78"/>
        <v>7.056068599480287E-3</v>
      </c>
      <c r="BF60">
        <f t="shared" si="79"/>
        <v>2.146139850141672E-2</v>
      </c>
      <c r="BG60">
        <f t="shared" si="80"/>
        <v>1.0016976113280205</v>
      </c>
      <c r="BH60">
        <f t="shared" si="81"/>
        <v>0.73412241759089214</v>
      </c>
      <c r="BI60">
        <f t="shared" si="82"/>
        <v>0.22309098360838903</v>
      </c>
      <c r="BJ60">
        <f t="shared" si="83"/>
        <v>0.11201043704255255</v>
      </c>
      <c r="BK60">
        <f t="shared" si="84"/>
        <v>6.5058914847522518</v>
      </c>
      <c r="BL60">
        <f t="shared" si="84"/>
        <v>6.5058914847522518</v>
      </c>
      <c r="BM60">
        <f t="shared" si="84"/>
        <v>6.5058914847522518</v>
      </c>
      <c r="BN60">
        <f t="shared" si="56"/>
        <v>6.5058914847522482</v>
      </c>
      <c r="BO60">
        <f t="shared" si="56"/>
        <v>6.5058914847503706</v>
      </c>
      <c r="BP60">
        <f t="shared" si="56"/>
        <v>6.5058914836439863</v>
      </c>
      <c r="BQ60">
        <f t="shared" si="56"/>
        <v>6.5058908319708513</v>
      </c>
      <c r="BR60">
        <f t="shared" si="52"/>
        <v>6.5055070056573276</v>
      </c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</row>
    <row r="61" spans="1:92" s="101" customFormat="1">
      <c r="A61" s="10" t="s">
        <v>107</v>
      </c>
      <c r="B61"/>
      <c r="C61" s="26">
        <v>51625.362999999998</v>
      </c>
      <c r="D61" s="25"/>
      <c r="E61" s="101">
        <f t="shared" si="57"/>
        <v>21416.574802929765</v>
      </c>
      <c r="F61" s="101">
        <f t="shared" si="58"/>
        <v>21416.5</v>
      </c>
      <c r="G61" s="101">
        <f t="shared" si="49"/>
        <v>2.4677746994711924E-2</v>
      </c>
      <c r="J61" s="101">
        <f t="shared" si="76"/>
        <v>2.4677746994711924E-2</v>
      </c>
      <c r="P61" s="103">
        <f t="shared" si="59"/>
        <v>1.1992657477359423E-2</v>
      </c>
      <c r="Q61" s="104">
        <f t="shared" si="60"/>
        <v>36606.862999999998</v>
      </c>
      <c r="R61" s="101">
        <f t="shared" si="61"/>
        <v>1.6091149606324633E-4</v>
      </c>
      <c r="S61" s="101">
        <v>0.1</v>
      </c>
      <c r="T61" s="221"/>
      <c r="AF61">
        <f t="shared" si="62"/>
        <v>21416.5</v>
      </c>
      <c r="AG61" s="101">
        <f t="shared" si="63"/>
        <v>2.8367607281491822E-2</v>
      </c>
      <c r="AH61" s="101">
        <f t="shared" si="64"/>
        <v>8.302797190579525E-3</v>
      </c>
      <c r="AI61" s="101">
        <f t="shared" si="65"/>
        <v>1.2685089517352501E-2</v>
      </c>
      <c r="AJ61" s="101">
        <f t="shared" si="66"/>
        <v>-3.6898602867798981E-3</v>
      </c>
      <c r="AK61" s="101">
        <f t="shared" si="67"/>
        <v>1.3615068935955433E-6</v>
      </c>
      <c r="AL61">
        <f t="shared" si="68"/>
        <v>1.2685089517352501E-2</v>
      </c>
      <c r="AM61" s="195">
        <f t="shared" si="38"/>
        <v>1.3615068935955432E-5</v>
      </c>
      <c r="AN61">
        <f t="shared" si="69"/>
        <v>1.6374949804132399E-2</v>
      </c>
      <c r="AO61">
        <f t="shared" si="70"/>
        <v>1.0017407076441713</v>
      </c>
      <c r="AP61">
        <f t="shared" si="71"/>
        <v>0.55992238112615611</v>
      </c>
      <c r="AQ61">
        <f t="shared" si="72"/>
        <v>-1.2168173290786957E-5</v>
      </c>
      <c r="AR61">
        <f t="shared" si="73"/>
        <v>-6.9902462584879119E-3</v>
      </c>
      <c r="AS61">
        <f t="shared" si="74"/>
        <v>-3.4951373613217036E-3</v>
      </c>
      <c r="AT61" s="101">
        <f t="shared" ref="AT61:AZ70" si="85">$BA61+$AH$7*SIN(AU61)</f>
        <v>6.2762072185221847</v>
      </c>
      <c r="AU61" s="101">
        <f t="shared" si="85"/>
        <v>6.2762072185221847</v>
      </c>
      <c r="AV61" s="101">
        <f t="shared" si="85"/>
        <v>6.2762072185221847</v>
      </c>
      <c r="AW61" s="101">
        <f t="shared" si="85"/>
        <v>6.2762072185221847</v>
      </c>
      <c r="AX61" s="101">
        <f t="shared" si="85"/>
        <v>6.2762072185222486</v>
      </c>
      <c r="AY61" s="101">
        <f t="shared" si="85"/>
        <v>6.2762072185589908</v>
      </c>
      <c r="AZ61" s="101">
        <f t="shared" si="85"/>
        <v>6.2762072396665811</v>
      </c>
      <c r="BA61" s="101">
        <f t="shared" si="75"/>
        <v>6.2762193655326453</v>
      </c>
      <c r="BB61"/>
      <c r="BC61">
        <v>25500</v>
      </c>
      <c r="BD61">
        <f t="shared" si="77"/>
        <v>2.8164406737092737E-2</v>
      </c>
      <c r="BE61">
        <f t="shared" si="78"/>
        <v>5.2841858782324141E-3</v>
      </c>
      <c r="BF61">
        <f t="shared" si="79"/>
        <v>2.2880220858860323E-2</v>
      </c>
      <c r="BG61">
        <f t="shared" si="80"/>
        <v>1.0016641803440534</v>
      </c>
      <c r="BH61">
        <f t="shared" si="81"/>
        <v>0.78269465855102527</v>
      </c>
      <c r="BI61">
        <f t="shared" si="82"/>
        <v>0.29770116983948297</v>
      </c>
      <c r="BJ61">
        <f t="shared" si="83"/>
        <v>0.14995975188734503</v>
      </c>
      <c r="BK61">
        <f t="shared" si="84"/>
        <v>6.5803762986224648</v>
      </c>
      <c r="BL61">
        <f t="shared" si="84"/>
        <v>6.5803762986224648</v>
      </c>
      <c r="BM61">
        <f t="shared" si="84"/>
        <v>6.5803762986224648</v>
      </c>
      <c r="BN61">
        <f t="shared" si="56"/>
        <v>6.5803762986224603</v>
      </c>
      <c r="BO61">
        <f t="shared" si="56"/>
        <v>6.5803762986201138</v>
      </c>
      <c r="BP61">
        <f t="shared" si="56"/>
        <v>6.5803762972101527</v>
      </c>
      <c r="BQ61">
        <f t="shared" si="56"/>
        <v>6.5803754501019363</v>
      </c>
      <c r="BR61">
        <f t="shared" si="52"/>
        <v>6.5798665451821154</v>
      </c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</row>
    <row r="62" spans="1:92" s="101" customFormat="1">
      <c r="A62" s="10" t="s">
        <v>106</v>
      </c>
      <c r="B62" s="5" t="s">
        <v>86</v>
      </c>
      <c r="C62" s="26">
        <v>51237.396999999997</v>
      </c>
      <c r="D62" s="25">
        <v>4.0000000000000001E-3</v>
      </c>
      <c r="E62" s="101">
        <f t="shared" si="57"/>
        <v>20240.576302859372</v>
      </c>
      <c r="F62" s="101">
        <f t="shared" si="58"/>
        <v>20240.5</v>
      </c>
      <c r="G62" s="101">
        <f t="shared" si="49"/>
        <v>2.5172578993078787E-2</v>
      </c>
      <c r="J62" s="101">
        <f t="shared" si="76"/>
        <v>2.5172578993078787E-2</v>
      </c>
      <c r="P62" s="103">
        <f t="shared" si="59"/>
        <v>1.366574031706768E-2</v>
      </c>
      <c r="Q62" s="104">
        <f t="shared" si="60"/>
        <v>36218.896999999997</v>
      </c>
      <c r="R62" s="101">
        <f t="shared" si="61"/>
        <v>1.3240733631574505E-4</v>
      </c>
      <c r="S62" s="101">
        <v>1</v>
      </c>
      <c r="T62" s="221"/>
      <c r="AF62">
        <f t="shared" si="62"/>
        <v>20240.5</v>
      </c>
      <c r="AG62" s="101">
        <f t="shared" si="63"/>
        <v>2.7858077378114517E-2</v>
      </c>
      <c r="AH62" s="101">
        <f t="shared" si="64"/>
        <v>1.098024193203195E-2</v>
      </c>
      <c r="AI62" s="101">
        <f t="shared" si="65"/>
        <v>1.1506838676011107E-2</v>
      </c>
      <c r="AJ62" s="101">
        <f t="shared" si="66"/>
        <v>-2.6854983850357304E-3</v>
      </c>
      <c r="AK62" s="101">
        <f t="shared" si="67"/>
        <v>7.2119015760295159E-6</v>
      </c>
      <c r="AL62">
        <f t="shared" si="68"/>
        <v>1.1506838676011107E-2</v>
      </c>
      <c r="AM62" s="195">
        <f t="shared" si="38"/>
        <v>7.2119015760295159E-6</v>
      </c>
      <c r="AN62">
        <f t="shared" si="69"/>
        <v>1.4192337061046837E-2</v>
      </c>
      <c r="AO62">
        <f t="shared" si="70"/>
        <v>1.0017329435406315</v>
      </c>
      <c r="AP62">
        <f t="shared" si="71"/>
        <v>0.48515522923946447</v>
      </c>
      <c r="AQ62">
        <f t="shared" si="72"/>
        <v>-1.6467498869247258E-4</v>
      </c>
      <c r="AR62">
        <f t="shared" si="73"/>
        <v>-9.4741682539090363E-2</v>
      </c>
      <c r="AS62">
        <f t="shared" si="74"/>
        <v>-4.7406306438996758E-2</v>
      </c>
      <c r="AT62" s="101">
        <f t="shared" si="85"/>
        <v>6.1886081571906493</v>
      </c>
      <c r="AU62" s="101">
        <f t="shared" si="85"/>
        <v>6.1886081571906493</v>
      </c>
      <c r="AV62" s="101">
        <f t="shared" si="85"/>
        <v>6.1886081571906493</v>
      </c>
      <c r="AW62" s="101">
        <f t="shared" si="85"/>
        <v>6.188608157190651</v>
      </c>
      <c r="AX62" s="101">
        <f t="shared" si="85"/>
        <v>6.1886081571915046</v>
      </c>
      <c r="AY62" s="101">
        <f t="shared" si="85"/>
        <v>6.1886081576843468</v>
      </c>
      <c r="AZ62" s="101">
        <f t="shared" si="85"/>
        <v>6.1886084420756671</v>
      </c>
      <c r="BA62" s="101">
        <f t="shared" si="75"/>
        <v>6.188772547051494</v>
      </c>
      <c r="BB62"/>
      <c r="BC62">
        <v>21500</v>
      </c>
      <c r="BD62">
        <f t="shared" si="77"/>
        <v>2.8394801129166439E-2</v>
      </c>
      <c r="BE62">
        <f t="shared" si="78"/>
        <v>1.1869461126114894E-2</v>
      </c>
      <c r="BF62">
        <f t="shared" si="79"/>
        <v>1.6525340003051545E-2</v>
      </c>
      <c r="BG62">
        <f t="shared" si="80"/>
        <v>1.0017407496714603</v>
      </c>
      <c r="BH62">
        <f t="shared" si="81"/>
        <v>0.56507388274508275</v>
      </c>
      <c r="BI62">
        <f t="shared" si="82"/>
        <v>-7.5956106001813495E-4</v>
      </c>
      <c r="BJ62">
        <f t="shared" si="83"/>
        <v>-3.7978054826806205E-4</v>
      </c>
      <c r="BK62">
        <f t="shared" si="84"/>
        <v>6.2824270671766742</v>
      </c>
      <c r="BL62">
        <f t="shared" si="84"/>
        <v>6.2824270671766742</v>
      </c>
      <c r="BM62">
        <f t="shared" si="84"/>
        <v>6.2824270671766742</v>
      </c>
      <c r="BN62">
        <f t="shared" ref="BN62:BQ71" si="86">$BR62+$AH$7*SIN(BO62)</f>
        <v>6.2824270671766742</v>
      </c>
      <c r="BO62">
        <f t="shared" si="86"/>
        <v>6.2824270671766813</v>
      </c>
      <c r="BP62">
        <f t="shared" si="86"/>
        <v>6.2824270671806737</v>
      </c>
      <c r="BQ62">
        <f t="shared" si="86"/>
        <v>6.2824270694743003</v>
      </c>
      <c r="BR62">
        <f t="shared" si="52"/>
        <v>6.2824283870829642</v>
      </c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</row>
    <row r="63" spans="1:92" s="101" customFormat="1">
      <c r="A63" s="10" t="s">
        <v>106</v>
      </c>
      <c r="B63" s="5" t="s">
        <v>86</v>
      </c>
      <c r="C63" s="26">
        <v>51199.458500000001</v>
      </c>
      <c r="D63" s="25">
        <v>1E-4</v>
      </c>
      <c r="E63" s="101">
        <f t="shared" si="57"/>
        <v>20125.57751663863</v>
      </c>
      <c r="F63" s="101">
        <f t="shared" si="58"/>
        <v>20125.5</v>
      </c>
      <c r="G63" s="101">
        <f t="shared" si="49"/>
        <v>2.5573008999344893E-2</v>
      </c>
      <c r="J63" s="101">
        <f t="shared" si="76"/>
        <v>2.5573008999344893E-2</v>
      </c>
      <c r="P63" s="103">
        <f t="shared" si="59"/>
        <v>1.382313565976873E-2</v>
      </c>
      <c r="Q63" s="104">
        <f t="shared" si="60"/>
        <v>36180.958500000001</v>
      </c>
      <c r="R63" s="101">
        <f t="shared" si="61"/>
        <v>1.3805952349608269E-4</v>
      </c>
      <c r="S63" s="101">
        <v>1</v>
      </c>
      <c r="T63" s="221"/>
      <c r="AF63">
        <f t="shared" si="62"/>
        <v>20125.5</v>
      </c>
      <c r="AG63" s="101">
        <f t="shared" si="63"/>
        <v>2.7795918625707742E-2</v>
      </c>
      <c r="AH63" s="101">
        <f t="shared" si="64"/>
        <v>1.160022603340588E-2</v>
      </c>
      <c r="AI63" s="101">
        <f t="shared" si="65"/>
        <v>1.1749873339576163E-2</v>
      </c>
      <c r="AJ63" s="101">
        <f t="shared" si="66"/>
        <v>-2.2229096263628491E-3</v>
      </c>
      <c r="AK63" s="101">
        <f t="shared" si="67"/>
        <v>4.9413272069766216E-6</v>
      </c>
      <c r="AL63">
        <f t="shared" si="68"/>
        <v>1.1749873339576163E-2</v>
      </c>
      <c r="AM63" s="195">
        <f t="shared" si="38"/>
        <v>4.9413272069766216E-6</v>
      </c>
      <c r="AN63">
        <f t="shared" si="69"/>
        <v>1.3972782965939012E-2</v>
      </c>
      <c r="AO63">
        <f t="shared" si="70"/>
        <v>1.0017314666741943</v>
      </c>
      <c r="AP63">
        <f t="shared" si="71"/>
        <v>0.47763395979870099</v>
      </c>
      <c r="AQ63">
        <f t="shared" si="72"/>
        <v>-1.7953919647702943E-4</v>
      </c>
      <c r="AR63">
        <f t="shared" si="73"/>
        <v>-0.10332271980270841</v>
      </c>
      <c r="AS63">
        <f t="shared" si="74"/>
        <v>-5.1707368619746161E-2</v>
      </c>
      <c r="AT63" s="101">
        <f t="shared" si="85"/>
        <v>6.180041971410029</v>
      </c>
      <c r="AU63" s="101">
        <f t="shared" si="85"/>
        <v>6.180041971410029</v>
      </c>
      <c r="AV63" s="101">
        <f t="shared" si="85"/>
        <v>6.180041971410029</v>
      </c>
      <c r="AW63" s="101">
        <f t="shared" si="85"/>
        <v>6.1800419714100308</v>
      </c>
      <c r="AX63" s="101">
        <f t="shared" si="85"/>
        <v>6.1800419714109589</v>
      </c>
      <c r="AY63" s="101">
        <f t="shared" si="85"/>
        <v>6.1800419719473769</v>
      </c>
      <c r="AZ63" s="101">
        <f t="shared" si="85"/>
        <v>6.1800422817470144</v>
      </c>
      <c r="BA63" s="101">
        <f t="shared" si="75"/>
        <v>6.1802212000061436</v>
      </c>
      <c r="BB63"/>
      <c r="BC63">
        <v>20500</v>
      </c>
      <c r="BD63">
        <f t="shared" si="77"/>
        <v>2.7990422423785171E-2</v>
      </c>
      <c r="BE63">
        <f t="shared" si="78"/>
        <v>1.3306506755956765E-2</v>
      </c>
      <c r="BF63">
        <f t="shared" si="79"/>
        <v>1.4683915667828406E-2</v>
      </c>
      <c r="BG63">
        <f t="shared" si="80"/>
        <v>1.0017358071409186</v>
      </c>
      <c r="BH63">
        <f t="shared" si="81"/>
        <v>0.50199510669744585</v>
      </c>
      <c r="BI63">
        <f t="shared" si="82"/>
        <v>-7.5378299824821526E-2</v>
      </c>
      <c r="BJ63">
        <f t="shared" si="83"/>
        <v>-3.770700551881858E-2</v>
      </c>
      <c r="BK63">
        <f t="shared" si="84"/>
        <v>6.2079379843442482</v>
      </c>
      <c r="BL63">
        <f t="shared" si="84"/>
        <v>6.2079379843442482</v>
      </c>
      <c r="BM63">
        <f t="shared" si="84"/>
        <v>6.2079379843442482</v>
      </c>
      <c r="BN63">
        <f t="shared" si="86"/>
        <v>6.2079379843442499</v>
      </c>
      <c r="BO63">
        <f t="shared" si="86"/>
        <v>6.2079379843449329</v>
      </c>
      <c r="BP63">
        <f t="shared" si="86"/>
        <v>6.2079379847385523</v>
      </c>
      <c r="BQ63">
        <f t="shared" si="86"/>
        <v>6.207938211500915</v>
      </c>
      <c r="BR63">
        <f t="shared" si="52"/>
        <v>6.2080688475581765</v>
      </c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</row>
    <row r="64" spans="1:92" s="101" customFormat="1">
      <c r="A64" s="10" t="s">
        <v>106</v>
      </c>
      <c r="B64" s="5" t="s">
        <v>87</v>
      </c>
      <c r="C64" s="26">
        <v>51199.623699999996</v>
      </c>
      <c r="D64" s="25">
        <v>1E-4</v>
      </c>
      <c r="E64" s="101">
        <f t="shared" si="57"/>
        <v>20126.078269158712</v>
      </c>
      <c r="F64" s="101">
        <f t="shared" si="58"/>
        <v>20126</v>
      </c>
      <c r="G64" s="101">
        <f t="shared" si="49"/>
        <v>2.5821267990977503E-2</v>
      </c>
      <c r="J64" s="101">
        <f t="shared" si="76"/>
        <v>2.5821267990977503E-2</v>
      </c>
      <c r="P64" s="103">
        <f t="shared" si="59"/>
        <v>1.3822453728369703E-2</v>
      </c>
      <c r="Q64" s="104">
        <f t="shared" si="60"/>
        <v>36181.123699999996</v>
      </c>
      <c r="R64" s="101">
        <f t="shared" si="61"/>
        <v>1.4397154370856036E-4</v>
      </c>
      <c r="S64" s="101">
        <v>1</v>
      </c>
      <c r="T64" s="221"/>
      <c r="AF64">
        <f t="shared" si="62"/>
        <v>20126</v>
      </c>
      <c r="AG64" s="101">
        <f t="shared" si="63"/>
        <v>2.7796193507564196E-2</v>
      </c>
      <c r="AH64" s="101">
        <f t="shared" si="64"/>
        <v>1.1847528211783009E-2</v>
      </c>
      <c r="AI64" s="101">
        <f t="shared" si="65"/>
        <v>1.19988142626078E-2</v>
      </c>
      <c r="AJ64" s="101">
        <f t="shared" si="66"/>
        <v>-1.9749255165866925E-3</v>
      </c>
      <c r="AK64" s="101">
        <f t="shared" si="67"/>
        <v>3.900330796065214E-6</v>
      </c>
      <c r="AL64">
        <f t="shared" si="68"/>
        <v>1.19988142626078E-2</v>
      </c>
      <c r="AM64" s="195">
        <f t="shared" si="38"/>
        <v>3.900330796065214E-6</v>
      </c>
      <c r="AN64">
        <f t="shared" si="69"/>
        <v>1.3973739779194494E-2</v>
      </c>
      <c r="AO64">
        <f t="shared" si="70"/>
        <v>1.0017314733713818</v>
      </c>
      <c r="AP64">
        <f t="shared" si="71"/>
        <v>0.47766673744769178</v>
      </c>
      <c r="AQ64">
        <f t="shared" si="72"/>
        <v>-1.7947459740456334E-4</v>
      </c>
      <c r="AR64">
        <f t="shared" si="73"/>
        <v>-0.10328541100058743</v>
      </c>
      <c r="AS64">
        <f t="shared" si="74"/>
        <v>-5.1688664361348925E-2</v>
      </c>
      <c r="AT64" s="101">
        <f t="shared" si="85"/>
        <v>6.1800792156683064</v>
      </c>
      <c r="AU64" s="101">
        <f t="shared" si="85"/>
        <v>6.1800792156683064</v>
      </c>
      <c r="AV64" s="101">
        <f t="shared" si="85"/>
        <v>6.1800792156683064</v>
      </c>
      <c r="AW64" s="101">
        <f t="shared" si="85"/>
        <v>6.1800792156683073</v>
      </c>
      <c r="AX64" s="101">
        <f t="shared" si="85"/>
        <v>6.1800792156692363</v>
      </c>
      <c r="AY64" s="101">
        <f t="shared" si="85"/>
        <v>6.1800792162054652</v>
      </c>
      <c r="AZ64" s="101">
        <f t="shared" si="85"/>
        <v>6.1800795258948229</v>
      </c>
      <c r="BA64" s="101">
        <f t="shared" si="75"/>
        <v>6.1802583797759061</v>
      </c>
      <c r="BB64"/>
      <c r="BC64">
        <v>21000</v>
      </c>
      <c r="BD64">
        <f t="shared" si="77"/>
        <v>2.8213903584053471E-2</v>
      </c>
      <c r="BE64">
        <f t="shared" si="78"/>
        <v>1.2598447600142264E-2</v>
      </c>
      <c r="BF64">
        <f t="shared" si="79"/>
        <v>1.5615455983911208E-2</v>
      </c>
      <c r="BG64">
        <f t="shared" si="80"/>
        <v>1.0017394889344335</v>
      </c>
      <c r="BH64">
        <f t="shared" si="81"/>
        <v>0.53390596946853686</v>
      </c>
      <c r="BI64">
        <f t="shared" si="82"/>
        <v>-3.80690224945084E-2</v>
      </c>
      <c r="BJ64">
        <f t="shared" si="83"/>
        <v>-1.9036810394995662E-2</v>
      </c>
      <c r="BK64">
        <f t="shared" si="84"/>
        <v>6.2451824798143818</v>
      </c>
      <c r="BL64">
        <f t="shared" si="84"/>
        <v>6.2451824798143818</v>
      </c>
      <c r="BM64">
        <f t="shared" si="84"/>
        <v>6.2451824798143818</v>
      </c>
      <c r="BN64">
        <f t="shared" si="86"/>
        <v>6.2451824798143827</v>
      </c>
      <c r="BO64">
        <f t="shared" si="86"/>
        <v>6.24518247981473</v>
      </c>
      <c r="BP64">
        <f t="shared" si="86"/>
        <v>6.2451824800145035</v>
      </c>
      <c r="BQ64">
        <f t="shared" si="86"/>
        <v>6.2451825948602764</v>
      </c>
      <c r="BR64">
        <f t="shared" si="52"/>
        <v>6.2452486173205708</v>
      </c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</row>
    <row r="65" spans="1:92" s="101" customFormat="1">
      <c r="A65" s="13" t="s">
        <v>95</v>
      </c>
      <c r="B65" s="5" t="s">
        <v>87</v>
      </c>
      <c r="C65" s="26">
        <v>52271.480600000003</v>
      </c>
      <c r="D65" s="26">
        <v>5.0000000000000001E-4</v>
      </c>
      <c r="E65" s="101">
        <f t="shared" si="57"/>
        <v>23375.0797452935</v>
      </c>
      <c r="F65" s="101">
        <f t="shared" si="58"/>
        <v>23375</v>
      </c>
      <c r="G65" s="101">
        <f t="shared" si="49"/>
        <v>2.6308249995054211E-2</v>
      </c>
      <c r="J65" s="101">
        <f t="shared" si="76"/>
        <v>2.6308249995054211E-2</v>
      </c>
      <c r="P65" s="103">
        <f t="shared" si="59"/>
        <v>8.9493779206788263E-3</v>
      </c>
      <c r="Q65" s="104">
        <f t="shared" si="60"/>
        <v>37252.980600000003</v>
      </c>
      <c r="R65" s="101">
        <f t="shared" si="61"/>
        <v>3.0133043969452958E-4</v>
      </c>
      <c r="S65" s="101">
        <v>1</v>
      </c>
      <c r="T65" s="221"/>
      <c r="AF65">
        <f t="shared" si="62"/>
        <v>23375</v>
      </c>
      <c r="AG65" s="101">
        <f t="shared" si="63"/>
        <v>2.8672707594041495E-2</v>
      </c>
      <c r="AH65" s="101">
        <f t="shared" si="64"/>
        <v>6.5849203216915425E-3</v>
      </c>
      <c r="AI65" s="101">
        <f t="shared" si="65"/>
        <v>1.7358872074375385E-2</v>
      </c>
      <c r="AJ65" s="101">
        <f t="shared" si="66"/>
        <v>-2.3644575989872837E-3</v>
      </c>
      <c r="AK65" s="101">
        <f t="shared" si="67"/>
        <v>5.5906597374087108E-6</v>
      </c>
      <c r="AL65">
        <f t="shared" si="68"/>
        <v>1.7358872074375385E-2</v>
      </c>
      <c r="AM65" s="195">
        <f t="shared" si="38"/>
        <v>5.5906597374087108E-6</v>
      </c>
      <c r="AN65">
        <f t="shared" si="69"/>
        <v>1.9723329673362669E-2</v>
      </c>
      <c r="AO65">
        <f t="shared" si="70"/>
        <v>1.0017239246433978</v>
      </c>
      <c r="AP65">
        <f t="shared" si="71"/>
        <v>0.67460675074481047</v>
      </c>
      <c r="AQ65">
        <f t="shared" si="72"/>
        <v>2.4144355614404977E-4</v>
      </c>
      <c r="AR65">
        <f t="shared" si="73"/>
        <v>0.13914947999068569</v>
      </c>
      <c r="AS65">
        <f t="shared" si="74"/>
        <v>6.9687219983516124E-2</v>
      </c>
      <c r="AT65" s="101">
        <f t="shared" si="85"/>
        <v>6.4220935513687216</v>
      </c>
      <c r="AU65" s="101">
        <f t="shared" si="85"/>
        <v>6.4220935513687216</v>
      </c>
      <c r="AV65" s="101">
        <f t="shared" si="85"/>
        <v>6.4220935513687216</v>
      </c>
      <c r="AW65" s="101">
        <f t="shared" si="85"/>
        <v>6.422093551368719</v>
      </c>
      <c r="AX65" s="101">
        <f t="shared" si="85"/>
        <v>6.4220935513674862</v>
      </c>
      <c r="AY65" s="101">
        <f t="shared" si="85"/>
        <v>6.4220935506523471</v>
      </c>
      <c r="AZ65" s="101">
        <f t="shared" si="85"/>
        <v>6.422093135834146</v>
      </c>
      <c r="BA65" s="101">
        <f t="shared" si="75"/>
        <v>6.4218525236919417</v>
      </c>
      <c r="BB65"/>
      <c r="BC65">
        <v>29000</v>
      </c>
      <c r="BD65">
        <f t="shared" si="77"/>
        <v>2.5224810490497435E-2</v>
      </c>
      <c r="BE65">
        <f t="shared" si="78"/>
        <v>-1.5766141698406941E-3</v>
      </c>
      <c r="BF65">
        <f t="shared" si="79"/>
        <v>2.6801424660338129E-2</v>
      </c>
      <c r="BG65">
        <f t="shared" si="80"/>
        <v>1.0014759834084024</v>
      </c>
      <c r="BH65">
        <f t="shared" si="81"/>
        <v>0.916829336189801</v>
      </c>
      <c r="BI65">
        <f t="shared" si="82"/>
        <v>0.55878331957956362</v>
      </c>
      <c r="BJ65">
        <f t="shared" si="83"/>
        <v>0.28689579852205255</v>
      </c>
      <c r="BK65">
        <f t="shared" si="84"/>
        <v>6.841046439342966</v>
      </c>
      <c r="BL65">
        <f t="shared" si="84"/>
        <v>6.841046439342966</v>
      </c>
      <c r="BM65">
        <f t="shared" si="84"/>
        <v>6.841046439342966</v>
      </c>
      <c r="BN65">
        <f t="shared" si="86"/>
        <v>6.8410464393429615</v>
      </c>
      <c r="BO65">
        <f t="shared" si="86"/>
        <v>6.8410464393399977</v>
      </c>
      <c r="BP65">
        <f t="shared" si="86"/>
        <v>6.8410464373325484</v>
      </c>
      <c r="BQ65">
        <f t="shared" si="86"/>
        <v>6.841045078040918</v>
      </c>
      <c r="BR65">
        <f t="shared" si="52"/>
        <v>6.8401249335188723</v>
      </c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</row>
    <row r="66" spans="1:92" s="101" customFormat="1">
      <c r="A66" s="24" t="s">
        <v>114</v>
      </c>
      <c r="B66" s="38"/>
      <c r="C66" s="26">
        <v>53760.335800000001</v>
      </c>
      <c r="D66" s="26">
        <v>6.9999999999999999E-4</v>
      </c>
      <c r="E66" s="101">
        <f t="shared" si="57"/>
        <v>27888.082127002213</v>
      </c>
      <c r="F66" s="101">
        <f t="shared" si="58"/>
        <v>27888</v>
      </c>
      <c r="G66" s="101">
        <f t="shared" si="49"/>
        <v>2.7093983997474425E-2</v>
      </c>
      <c r="J66" s="101">
        <f t="shared" si="76"/>
        <v>2.7093983997474425E-2</v>
      </c>
      <c r="P66" s="103">
        <f t="shared" si="59"/>
        <v>7.1430316228596885E-4</v>
      </c>
      <c r="Q66" s="104">
        <f t="shared" si="60"/>
        <v>38741.835800000001</v>
      </c>
      <c r="R66" s="101">
        <f t="shared" si="61"/>
        <v>6.9588756096640913E-4</v>
      </c>
      <c r="S66" s="101">
        <v>1</v>
      </c>
      <c r="T66" s="221"/>
      <c r="AF66">
        <f t="shared" si="62"/>
        <v>27888</v>
      </c>
      <c r="AG66" s="101">
        <f t="shared" si="63"/>
        <v>2.645595432697679E-2</v>
      </c>
      <c r="AH66" s="101">
        <f t="shared" si="64"/>
        <v>1.3523328327836037E-3</v>
      </c>
      <c r="AI66" s="101">
        <f t="shared" si="65"/>
        <v>2.6379680835188456E-2</v>
      </c>
      <c r="AJ66" s="101">
        <f t="shared" si="66"/>
        <v>6.3802967049763487E-4</v>
      </c>
      <c r="AK66" s="101">
        <f t="shared" si="67"/>
        <v>4.070818604353205E-7</v>
      </c>
      <c r="AL66">
        <f t="shared" si="68"/>
        <v>2.6379680835188456E-2</v>
      </c>
      <c r="AM66" s="195">
        <f t="shared" si="38"/>
        <v>4.070818604353205E-7</v>
      </c>
      <c r="AN66">
        <f t="shared" si="69"/>
        <v>2.5741651164690821E-2</v>
      </c>
      <c r="AO66">
        <f t="shared" si="70"/>
        <v>1.0015473633452379</v>
      </c>
      <c r="AP66">
        <f t="shared" si="71"/>
        <v>0.88060012331488979</v>
      </c>
      <c r="AQ66">
        <f t="shared" si="72"/>
        <v>7.974194910658508E-4</v>
      </c>
      <c r="AR66">
        <f t="shared" si="73"/>
        <v>0.47584480826129699</v>
      </c>
      <c r="AS66">
        <f t="shared" si="74"/>
        <v>0.24251580320914948</v>
      </c>
      <c r="AT66" s="101">
        <f t="shared" si="85"/>
        <v>6.758233311860713</v>
      </c>
      <c r="AU66" s="101">
        <f t="shared" si="85"/>
        <v>6.758233311860713</v>
      </c>
      <c r="AV66" s="101">
        <f t="shared" si="85"/>
        <v>6.758233311860713</v>
      </c>
      <c r="AW66" s="101">
        <f t="shared" si="85"/>
        <v>6.7582333118607085</v>
      </c>
      <c r="AX66" s="101">
        <f t="shared" si="85"/>
        <v>6.7582333118577589</v>
      </c>
      <c r="AY66" s="101">
        <f t="shared" si="85"/>
        <v>6.7582333099524217</v>
      </c>
      <c r="AZ66" s="101">
        <f t="shared" si="85"/>
        <v>6.7582320791135055</v>
      </c>
      <c r="BA66" s="101">
        <f t="shared" si="75"/>
        <v>6.7574371255673089</v>
      </c>
      <c r="BB66"/>
      <c r="BC66">
        <v>40000</v>
      </c>
      <c r="BD66">
        <f t="shared" si="77"/>
        <v>-2.9604065013436529E-3</v>
      </c>
      <c r="BE66">
        <f t="shared" si="78"/>
        <v>-2.9814943116549024E-2</v>
      </c>
      <c r="BF66">
        <f t="shared" si="79"/>
        <v>2.6854536615205371E-2</v>
      </c>
      <c r="BG66">
        <f t="shared" si="80"/>
        <v>1.0003330037664806</v>
      </c>
      <c r="BH66">
        <f t="shared" si="81"/>
        <v>0.9175997079186865</v>
      </c>
      <c r="BI66">
        <f t="shared" si="82"/>
        <v>1.3783109095182913</v>
      </c>
      <c r="BJ66">
        <f t="shared" si="83"/>
        <v>0.82391726161011802</v>
      </c>
      <c r="BK66">
        <f t="shared" si="84"/>
        <v>7.6597878985898715</v>
      </c>
      <c r="BL66">
        <f t="shared" si="84"/>
        <v>7.6597878985898715</v>
      </c>
      <c r="BM66">
        <f t="shared" si="84"/>
        <v>7.6597878985898715</v>
      </c>
      <c r="BN66">
        <f t="shared" si="86"/>
        <v>7.6597878985898715</v>
      </c>
      <c r="BO66">
        <f t="shared" si="86"/>
        <v>7.6597878985898067</v>
      </c>
      <c r="BP66">
        <f t="shared" si="86"/>
        <v>7.6597878983962948</v>
      </c>
      <c r="BQ66">
        <f t="shared" si="86"/>
        <v>7.6597873223335267</v>
      </c>
      <c r="BR66">
        <f t="shared" ref="BR66:BR97" si="87">RADIANS($AH$9)+$AH$18*(BC66-AH$15)</f>
        <v>7.6580798682915372</v>
      </c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</row>
    <row r="67" spans="1:92" s="101" customFormat="1">
      <c r="A67" s="34" t="s">
        <v>112</v>
      </c>
      <c r="B67" s="14"/>
      <c r="C67" s="26">
        <v>53407.339399999997</v>
      </c>
      <c r="D67" s="26">
        <v>3.0999999999999999E-3</v>
      </c>
      <c r="E67" s="101">
        <f t="shared" si="57"/>
        <v>26818.083114381898</v>
      </c>
      <c r="F67" s="101">
        <f t="shared" si="58"/>
        <v>26818</v>
      </c>
      <c r="G67" s="101">
        <f t="shared" si="49"/>
        <v>2.7419723992352374E-2</v>
      </c>
      <c r="J67" s="101">
        <f t="shared" si="76"/>
        <v>2.7419723992352374E-2</v>
      </c>
      <c r="P67" s="103">
        <f t="shared" si="59"/>
        <v>2.8209733473721424E-3</v>
      </c>
      <c r="Q67" s="104">
        <f t="shared" si="60"/>
        <v>38388.839399999997</v>
      </c>
      <c r="R67" s="101">
        <f t="shared" si="61"/>
        <v>6.0509853329391531E-4</v>
      </c>
      <c r="S67" s="101">
        <v>1</v>
      </c>
      <c r="T67" s="221"/>
      <c r="AF67">
        <f t="shared" si="62"/>
        <v>26818</v>
      </c>
      <c r="AG67" s="101">
        <f t="shared" si="63"/>
        <v>2.7376133547586272E-2</v>
      </c>
      <c r="AH67" s="101">
        <f t="shared" si="64"/>
        <v>2.8645637921382444E-3</v>
      </c>
      <c r="AI67" s="101">
        <f t="shared" si="65"/>
        <v>2.4598750644980232E-2</v>
      </c>
      <c r="AJ67" s="101">
        <f t="shared" si="66"/>
        <v>4.3590444766102021E-5</v>
      </c>
      <c r="AK67" s="101">
        <f t="shared" si="67"/>
        <v>1.900126874906591E-9</v>
      </c>
      <c r="AL67">
        <f t="shared" si="68"/>
        <v>2.4598750644980232E-2</v>
      </c>
      <c r="AM67" s="195">
        <f t="shared" si="38"/>
        <v>1.900126874906591E-9</v>
      </c>
      <c r="AN67">
        <f t="shared" si="69"/>
        <v>2.4555160200214129E-2</v>
      </c>
      <c r="AO67">
        <f t="shared" si="70"/>
        <v>1.001606016628011</v>
      </c>
      <c r="AP67">
        <f t="shared" si="71"/>
        <v>0.84001500175684396</v>
      </c>
      <c r="AQ67">
        <f t="shared" si="72"/>
        <v>6.7150707924040569E-4</v>
      </c>
      <c r="AR67">
        <f t="shared" si="73"/>
        <v>0.39602850920620714</v>
      </c>
      <c r="AS67">
        <f t="shared" si="74"/>
        <v>0.20064352225423002</v>
      </c>
      <c r="AT67" s="101">
        <f t="shared" si="85"/>
        <v>6.6785428476169511</v>
      </c>
      <c r="AU67" s="101">
        <f t="shared" si="85"/>
        <v>6.6785428476169511</v>
      </c>
      <c r="AV67" s="101">
        <f t="shared" si="85"/>
        <v>6.6785428476169511</v>
      </c>
      <c r="AW67" s="101">
        <f t="shared" si="85"/>
        <v>6.6785428476169466</v>
      </c>
      <c r="AX67" s="101">
        <f t="shared" si="85"/>
        <v>6.6785428476141711</v>
      </c>
      <c r="AY67" s="101">
        <f t="shared" si="85"/>
        <v>6.6785428458865077</v>
      </c>
      <c r="AZ67" s="101">
        <f t="shared" si="85"/>
        <v>6.6785417704438643</v>
      </c>
      <c r="BA67" s="101">
        <f t="shared" si="75"/>
        <v>6.6778724182757854</v>
      </c>
      <c r="BB67"/>
      <c r="BC67">
        <v>37500</v>
      </c>
      <c r="BD67">
        <f t="shared" si="77"/>
        <v>6.0248515417637462E-3</v>
      </c>
      <c r="BE67">
        <f t="shared" si="78"/>
        <v>-2.2507730059159028E-2</v>
      </c>
      <c r="BF67">
        <f t="shared" si="79"/>
        <v>2.8532581600922775E-2</v>
      </c>
      <c r="BG67">
        <f t="shared" si="80"/>
        <v>1.0006433629560467</v>
      </c>
      <c r="BH67">
        <f t="shared" si="81"/>
        <v>0.97530132023201899</v>
      </c>
      <c r="BI67">
        <f t="shared" si="82"/>
        <v>1.1922291438174479</v>
      </c>
      <c r="BJ67">
        <f t="shared" si="83"/>
        <v>0.67844792551805955</v>
      </c>
      <c r="BK67">
        <f t="shared" si="84"/>
        <v>7.4737974736691575</v>
      </c>
      <c r="BL67">
        <f t="shared" si="84"/>
        <v>7.4737974736691575</v>
      </c>
      <c r="BM67">
        <f t="shared" si="84"/>
        <v>7.4737974736691575</v>
      </c>
      <c r="BN67">
        <f t="shared" si="86"/>
        <v>7.4737974736691566</v>
      </c>
      <c r="BO67">
        <f t="shared" si="86"/>
        <v>7.4737974736687205</v>
      </c>
      <c r="BP67">
        <f t="shared" si="86"/>
        <v>7.473797472993267</v>
      </c>
      <c r="BQ67">
        <f t="shared" si="86"/>
        <v>7.4737964273646282</v>
      </c>
      <c r="BR67">
        <f t="shared" si="87"/>
        <v>7.4721810194795681</v>
      </c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</row>
    <row r="68" spans="1:92" s="101" customFormat="1">
      <c r="A68" s="10" t="s">
        <v>108</v>
      </c>
      <c r="B68"/>
      <c r="C68" s="26">
        <v>51749.41</v>
      </c>
      <c r="D68" s="25"/>
      <c r="E68" s="101">
        <f t="shared" si="57"/>
        <v>21792.584777871485</v>
      </c>
      <c r="F68" s="101">
        <f t="shared" si="58"/>
        <v>21792.5</v>
      </c>
      <c r="G68" s="101">
        <f t="shared" si="49"/>
        <v>2.7968515001703054E-2</v>
      </c>
      <c r="J68" s="101">
        <f t="shared" si="76"/>
        <v>2.7968515001703054E-2</v>
      </c>
      <c r="P68" s="103">
        <f t="shared" si="59"/>
        <v>1.1433301872493914E-2</v>
      </c>
      <c r="Q68" s="104">
        <f t="shared" si="60"/>
        <v>36730.910000000003</v>
      </c>
      <c r="R68" s="101">
        <f t="shared" si="61"/>
        <v>2.7341327322837034E-4</v>
      </c>
      <c r="S68" s="101">
        <v>0.1</v>
      </c>
      <c r="T68" s="221"/>
      <c r="AF68">
        <f t="shared" si="62"/>
        <v>21792.5</v>
      </c>
      <c r="AG68" s="101">
        <f t="shared" si="63"/>
        <v>2.8480377533121898E-2</v>
      </c>
      <c r="AH68" s="101">
        <f t="shared" si="64"/>
        <v>1.0921439341075069E-2</v>
      </c>
      <c r="AI68" s="101">
        <f t="shared" si="65"/>
        <v>1.653521312920914E-2</v>
      </c>
      <c r="AJ68" s="101">
        <f t="shared" si="66"/>
        <v>-5.1186253141884477E-4</v>
      </c>
      <c r="AK68" s="101">
        <f t="shared" si="67"/>
        <v>2.6200325107050787E-8</v>
      </c>
      <c r="AL68">
        <f t="shared" si="68"/>
        <v>1.653521312920914E-2</v>
      </c>
      <c r="AM68" s="195">
        <f t="shared" si="38"/>
        <v>2.6200325107050785E-7</v>
      </c>
      <c r="AN68">
        <f t="shared" si="69"/>
        <v>1.7047075660627985E-2</v>
      </c>
      <c r="AO68">
        <f t="shared" si="70"/>
        <v>1.0017403639181446</v>
      </c>
      <c r="AP68">
        <f t="shared" si="71"/>
        <v>0.58294523398914389</v>
      </c>
      <c r="AQ68">
        <f t="shared" si="72"/>
        <v>3.66687787876802E-5</v>
      </c>
      <c r="AR68">
        <f t="shared" si="73"/>
        <v>2.1066487157303509E-2</v>
      </c>
      <c r="AS68">
        <f t="shared" si="74"/>
        <v>1.0533633147661431E-2</v>
      </c>
      <c r="AT68" s="101">
        <f t="shared" si="85"/>
        <v>6.3042151574111438</v>
      </c>
      <c r="AU68" s="101">
        <f t="shared" si="85"/>
        <v>6.3042151574111438</v>
      </c>
      <c r="AV68" s="101">
        <f t="shared" si="85"/>
        <v>6.3042151574111438</v>
      </c>
      <c r="AW68" s="101">
        <f t="shared" si="85"/>
        <v>6.3042151574111438</v>
      </c>
      <c r="AX68" s="101">
        <f t="shared" si="85"/>
        <v>6.3042151574109511</v>
      </c>
      <c r="AY68" s="101">
        <f t="shared" si="85"/>
        <v>6.3042151573002725</v>
      </c>
      <c r="AZ68" s="101">
        <f t="shared" si="85"/>
        <v>6.304215093705019</v>
      </c>
      <c r="BA68" s="101">
        <f t="shared" si="75"/>
        <v>6.3041785523939646</v>
      </c>
      <c r="BB68"/>
      <c r="BC68">
        <v>26500</v>
      </c>
      <c r="BD68">
        <f t="shared" si="77"/>
        <v>2.7600709992374191E-2</v>
      </c>
      <c r="BE68">
        <f t="shared" si="78"/>
        <v>3.4285938841330452E-3</v>
      </c>
      <c r="BF68">
        <f t="shared" si="79"/>
        <v>2.4172116108241146E-2</v>
      </c>
      <c r="BG68">
        <f t="shared" si="80"/>
        <v>1.0016214932892842</v>
      </c>
      <c r="BH68">
        <f t="shared" si="81"/>
        <v>0.82690872002414373</v>
      </c>
      <c r="BI68">
        <f t="shared" si="82"/>
        <v>0.37230568386991175</v>
      </c>
      <c r="BJ68">
        <f t="shared" si="83"/>
        <v>0.18833331486303342</v>
      </c>
      <c r="BK68">
        <f t="shared" si="84"/>
        <v>6.6548582811020349</v>
      </c>
      <c r="BL68">
        <f t="shared" si="84"/>
        <v>6.6548582811020349</v>
      </c>
      <c r="BM68">
        <f t="shared" si="84"/>
        <v>6.6548582811020349</v>
      </c>
      <c r="BN68">
        <f t="shared" si="86"/>
        <v>6.6548582811020305</v>
      </c>
      <c r="BO68">
        <f t="shared" si="86"/>
        <v>6.6548582810993366</v>
      </c>
      <c r="BP68">
        <f t="shared" si="86"/>
        <v>6.6548582794388125</v>
      </c>
      <c r="BQ68">
        <f t="shared" si="86"/>
        <v>6.654857255620473</v>
      </c>
      <c r="BR68">
        <f t="shared" si="87"/>
        <v>6.6542260847069032</v>
      </c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</row>
    <row r="69" spans="1:92" s="101" customFormat="1">
      <c r="A69" s="13" t="s">
        <v>95</v>
      </c>
      <c r="B69" s="5" t="s">
        <v>86</v>
      </c>
      <c r="C69" s="26">
        <v>52311.565600000002</v>
      </c>
      <c r="D69" s="26">
        <v>5.0000000000000001E-4</v>
      </c>
      <c r="E69" s="101">
        <f t="shared" si="57"/>
        <v>23496.584979966952</v>
      </c>
      <c r="F69" s="101">
        <f t="shared" si="58"/>
        <v>23496.5</v>
      </c>
      <c r="G69" s="101">
        <f t="shared" si="49"/>
        <v>2.8035186995111872E-2</v>
      </c>
      <c r="J69" s="101">
        <f t="shared" si="76"/>
        <v>2.8035186995111872E-2</v>
      </c>
      <c r="P69" s="103">
        <f t="shared" si="59"/>
        <v>8.7500036509992538E-3</v>
      </c>
      <c r="Q69" s="104">
        <f t="shared" si="60"/>
        <v>37293.065600000002</v>
      </c>
      <c r="R69" s="101">
        <f t="shared" si="61"/>
        <v>3.7191829661603875E-4</v>
      </c>
      <c r="S69" s="101">
        <v>1</v>
      </c>
      <c r="T69" s="221"/>
      <c r="AF69">
        <f t="shared" si="62"/>
        <v>23496.5</v>
      </c>
      <c r="AG69" s="101">
        <f t="shared" si="63"/>
        <v>2.8667939700911405E-2</v>
      </c>
      <c r="AH69" s="101">
        <f t="shared" si="64"/>
        <v>8.11725094519972E-3</v>
      </c>
      <c r="AI69" s="101">
        <f t="shared" si="65"/>
        <v>1.9285183344112618E-2</v>
      </c>
      <c r="AJ69" s="101">
        <f t="shared" si="66"/>
        <v>-6.3275270579953372E-4</v>
      </c>
      <c r="AK69" s="101">
        <f t="shared" si="67"/>
        <v>4.0037598669663128E-7</v>
      </c>
      <c r="AL69">
        <f t="shared" si="68"/>
        <v>1.9285183344112618E-2</v>
      </c>
      <c r="AM69" s="195">
        <f t="shared" si="38"/>
        <v>4.0037598669663128E-7</v>
      </c>
      <c r="AN69">
        <f t="shared" si="69"/>
        <v>1.9917936049912151E-2</v>
      </c>
      <c r="AO69">
        <f t="shared" si="70"/>
        <v>1.0017216649301817</v>
      </c>
      <c r="AP69">
        <f t="shared" si="71"/>
        <v>0.68127116463061965</v>
      </c>
      <c r="AQ69">
        <f t="shared" si="72"/>
        <v>2.5706231754195439E-4</v>
      </c>
      <c r="AR69">
        <f t="shared" si="73"/>
        <v>0.14821536209210434</v>
      </c>
      <c r="AS69">
        <f t="shared" si="74"/>
        <v>7.4243644923039809E-2</v>
      </c>
      <c r="AT69" s="101">
        <f t="shared" si="85"/>
        <v>6.4311438278584179</v>
      </c>
      <c r="AU69" s="101">
        <f t="shared" si="85"/>
        <v>6.4311438278584179</v>
      </c>
      <c r="AV69" s="101">
        <f t="shared" si="85"/>
        <v>6.4311438278584179</v>
      </c>
      <c r="AW69" s="101">
        <f t="shared" si="85"/>
        <v>6.4311438278584152</v>
      </c>
      <c r="AX69" s="101">
        <f t="shared" si="85"/>
        <v>6.4311438278571078</v>
      </c>
      <c r="AY69" s="101">
        <f t="shared" si="85"/>
        <v>6.4311438270976895</v>
      </c>
      <c r="AZ69" s="101">
        <f t="shared" si="85"/>
        <v>6.4311433860191931</v>
      </c>
      <c r="BA69" s="101">
        <f t="shared" si="75"/>
        <v>6.4308872077442034</v>
      </c>
      <c r="BB69"/>
      <c r="BC69">
        <v>30000</v>
      </c>
      <c r="BD69">
        <f t="shared" si="77"/>
        <v>2.3872521907710206E-2</v>
      </c>
      <c r="BE69">
        <f t="shared" si="78"/>
        <v>-3.7251886189203082E-3</v>
      </c>
      <c r="BF69">
        <f t="shared" si="79"/>
        <v>2.7597710526630514E-2</v>
      </c>
      <c r="BG69">
        <f t="shared" si="80"/>
        <v>1.0014031227651004</v>
      </c>
      <c r="BH69">
        <f t="shared" si="81"/>
        <v>0.94402948169025402</v>
      </c>
      <c r="BI69">
        <f t="shared" si="82"/>
        <v>0.63335754049055237</v>
      </c>
      <c r="BJ69">
        <f t="shared" si="83"/>
        <v>0.3277074804088162</v>
      </c>
      <c r="BK69">
        <f t="shared" si="84"/>
        <v>6.9155132985936092</v>
      </c>
      <c r="BL69">
        <f t="shared" si="84"/>
        <v>6.9155132985936092</v>
      </c>
      <c r="BM69">
        <f t="shared" si="84"/>
        <v>6.9155132985936092</v>
      </c>
      <c r="BN69">
        <f t="shared" si="86"/>
        <v>6.9155132985936056</v>
      </c>
      <c r="BO69">
        <f t="shared" si="86"/>
        <v>6.9155132985907599</v>
      </c>
      <c r="BP69">
        <f t="shared" si="86"/>
        <v>6.9155132965642787</v>
      </c>
      <c r="BQ69">
        <f t="shared" si="86"/>
        <v>6.9155118533902922</v>
      </c>
      <c r="BR69">
        <f t="shared" si="87"/>
        <v>6.9144844730436601</v>
      </c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</row>
    <row r="70" spans="1:92" s="101" customFormat="1">
      <c r="A70" s="13" t="s">
        <v>95</v>
      </c>
      <c r="B70" s="5" t="s">
        <v>87</v>
      </c>
      <c r="C70" s="26">
        <v>52203.523000000001</v>
      </c>
      <c r="D70" s="26">
        <v>2.0000000000000001E-4</v>
      </c>
      <c r="E70" s="101">
        <f t="shared" si="57"/>
        <v>23169.087375682797</v>
      </c>
      <c r="F70" s="101">
        <f t="shared" si="58"/>
        <v>23169</v>
      </c>
      <c r="G70" s="101">
        <f t="shared" si="49"/>
        <v>2.8825541994592641E-2</v>
      </c>
      <c r="J70" s="101">
        <f t="shared" si="76"/>
        <v>2.8825541994592641E-2</v>
      </c>
      <c r="P70" s="103">
        <f t="shared" si="59"/>
        <v>9.2845879388174894E-3</v>
      </c>
      <c r="Q70" s="104">
        <f t="shared" si="60"/>
        <v>37185.023000000001</v>
      </c>
      <c r="R70" s="101">
        <f t="shared" si="61"/>
        <v>3.8184888540991531E-4</v>
      </c>
      <c r="S70" s="101">
        <v>1</v>
      </c>
      <c r="T70" s="221"/>
      <c r="AF70">
        <f t="shared" si="62"/>
        <v>23169</v>
      </c>
      <c r="AG70" s="101">
        <f t="shared" si="63"/>
        <v>2.8674283790762721E-2</v>
      </c>
      <c r="AH70" s="101">
        <f t="shared" si="64"/>
        <v>9.435846142647409E-3</v>
      </c>
      <c r="AI70" s="101">
        <f t="shared" si="65"/>
        <v>1.9540954055775151E-2</v>
      </c>
      <c r="AJ70" s="101">
        <f t="shared" si="66"/>
        <v>1.5125820382991956E-4</v>
      </c>
      <c r="AK70" s="101">
        <f t="shared" si="67"/>
        <v>2.287904422585349E-8</v>
      </c>
      <c r="AL70">
        <f t="shared" si="68"/>
        <v>1.9540954055775151E-2</v>
      </c>
      <c r="AM70" s="195">
        <f t="shared" si="38"/>
        <v>2.287904422585349E-8</v>
      </c>
      <c r="AN70">
        <f t="shared" si="69"/>
        <v>1.9389695851945232E-2</v>
      </c>
      <c r="AO70">
        <f t="shared" si="70"/>
        <v>1.0017274320870633</v>
      </c>
      <c r="AP70">
        <f t="shared" si="71"/>
        <v>0.66318094464726562</v>
      </c>
      <c r="AQ70">
        <f t="shared" si="72"/>
        <v>2.1491754582128706E-4</v>
      </c>
      <c r="AR70">
        <f t="shared" si="73"/>
        <v>0.12377843021574267</v>
      </c>
      <c r="AS70">
        <f t="shared" si="74"/>
        <v>6.196835392949375E-2</v>
      </c>
      <c r="AT70" s="101">
        <f t="shared" si="85"/>
        <v>6.4067490051553433</v>
      </c>
      <c r="AU70" s="101">
        <f t="shared" si="85"/>
        <v>6.4067490051553433</v>
      </c>
      <c r="AV70" s="101">
        <f t="shared" si="85"/>
        <v>6.4067490051553433</v>
      </c>
      <c r="AW70" s="101">
        <f t="shared" si="85"/>
        <v>6.4067490051553406</v>
      </c>
      <c r="AX70" s="101">
        <f t="shared" si="85"/>
        <v>6.4067490051542366</v>
      </c>
      <c r="AY70" s="101">
        <f t="shared" si="85"/>
        <v>6.4067490045150883</v>
      </c>
      <c r="AZ70" s="101">
        <f t="shared" si="85"/>
        <v>6.4067486345258251</v>
      </c>
      <c r="BA70" s="101">
        <f t="shared" si="75"/>
        <v>6.4065344585498352</v>
      </c>
      <c r="BB70"/>
      <c r="BC70">
        <v>28500</v>
      </c>
      <c r="BD70">
        <f t="shared" si="77"/>
        <v>2.5813523030229171E-2</v>
      </c>
      <c r="BE70">
        <f t="shared" si="78"/>
        <v>-5.3371792262019158E-4</v>
      </c>
      <c r="BF70">
        <f t="shared" si="79"/>
        <v>2.6347240952849363E-2</v>
      </c>
      <c r="BG70">
        <f t="shared" si="80"/>
        <v>1.0015093639584745</v>
      </c>
      <c r="BH70">
        <f t="shared" si="81"/>
        <v>0.90130584319010698</v>
      </c>
      <c r="BI70">
        <f t="shared" si="82"/>
        <v>0.52149229007744813</v>
      </c>
      <c r="BJ70">
        <f t="shared" si="83"/>
        <v>0.26682064831815167</v>
      </c>
      <c r="BK70">
        <f t="shared" si="84"/>
        <v>6.8038110530603051</v>
      </c>
      <c r="BL70">
        <f t="shared" si="84"/>
        <v>6.8038110530603051</v>
      </c>
      <c r="BM70">
        <f t="shared" si="84"/>
        <v>6.8038110530603051</v>
      </c>
      <c r="BN70">
        <f t="shared" si="86"/>
        <v>6.8038110530603007</v>
      </c>
      <c r="BO70">
        <f t="shared" si="86"/>
        <v>6.8038110530573226</v>
      </c>
      <c r="BP70">
        <f t="shared" si="86"/>
        <v>6.8038110510851997</v>
      </c>
      <c r="BQ70">
        <f t="shared" si="86"/>
        <v>6.8038097451435604</v>
      </c>
      <c r="BR70">
        <f t="shared" si="87"/>
        <v>6.8029451637564788</v>
      </c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</row>
    <row r="71" spans="1:92" s="101" customFormat="1">
      <c r="A71" s="13" t="s">
        <v>95</v>
      </c>
      <c r="B71" s="5" t="s">
        <v>86</v>
      </c>
      <c r="C71" s="26">
        <v>52591.3246</v>
      </c>
      <c r="D71" s="26">
        <v>4.0000000000000002E-4</v>
      </c>
      <c r="E71" s="101">
        <f t="shared" si="57"/>
        <v>24344.587548184762</v>
      </c>
      <c r="F71" s="101">
        <f t="shared" si="58"/>
        <v>24344.5</v>
      </c>
      <c r="G71" s="101">
        <f t="shared" si="49"/>
        <v>2.8882450998935383E-2</v>
      </c>
      <c r="J71" s="101">
        <f t="shared" si="76"/>
        <v>2.8882450998935383E-2</v>
      </c>
      <c r="P71" s="103">
        <f t="shared" si="59"/>
        <v>7.3240759110976932E-3</v>
      </c>
      <c r="Q71" s="104">
        <f t="shared" si="60"/>
        <v>37572.8246</v>
      </c>
      <c r="R71" s="101">
        <f t="shared" si="61"/>
        <v>4.6476353642790072E-4</v>
      </c>
      <c r="S71" s="101">
        <v>1</v>
      </c>
      <c r="T71" s="221"/>
      <c r="U71" s="101">
        <v>7.55350503658675E-10</v>
      </c>
      <c r="V71" s="101">
        <v>1.2156638777415242E-21</v>
      </c>
      <c r="W71" s="101">
        <v>5.4759830936828384E-29</v>
      </c>
      <c r="X71" s="101">
        <v>1.2118136982652363E-9</v>
      </c>
      <c r="Y71" s="101">
        <v>3.9633584846335296E-6</v>
      </c>
      <c r="Z71" s="101">
        <v>5.0689825754679767E-4</v>
      </c>
      <c r="AA71" s="101">
        <v>1.0567535764378137E-6</v>
      </c>
      <c r="AB71" s="101">
        <v>0.94586544152623497</v>
      </c>
      <c r="AC71" s="101">
        <v>3.6378322167937608E-5</v>
      </c>
      <c r="AD71" s="101">
        <v>1.2857654960371205E-8</v>
      </c>
      <c r="AE71" s="101">
        <v>2.6847568519099435E-22</v>
      </c>
      <c r="AF71">
        <f t="shared" si="62"/>
        <v>24344.5</v>
      </c>
      <c r="AG71" s="101">
        <f t="shared" si="63"/>
        <v>2.8553943013945975E-2</v>
      </c>
      <c r="AH71" s="101">
        <f t="shared" si="64"/>
        <v>7.6525838960871014E-3</v>
      </c>
      <c r="AI71" s="101">
        <f t="shared" si="65"/>
        <v>2.155837508783769E-2</v>
      </c>
      <c r="AJ71" s="101">
        <f t="shared" si="66"/>
        <v>3.285079849894082E-4</v>
      </c>
      <c r="AK71" s="101">
        <f t="shared" si="67"/>
        <v>1.0791749620180124E-7</v>
      </c>
      <c r="AL71">
        <f t="shared" si="68"/>
        <v>2.155837508783769E-2</v>
      </c>
      <c r="AM71" s="195">
        <f t="shared" si="38"/>
        <v>1.0791749620180124E-7</v>
      </c>
      <c r="AN71">
        <f t="shared" si="69"/>
        <v>2.1229867102848281E-2</v>
      </c>
      <c r="AO71">
        <f t="shared" si="70"/>
        <v>1.0017019653912662</v>
      </c>
      <c r="AP71">
        <f t="shared" si="71"/>
        <v>0.72619502025671545</v>
      </c>
      <c r="AQ71">
        <f t="shared" si="72"/>
        <v>3.654106920292001E-4</v>
      </c>
      <c r="AR71">
        <f t="shared" si="73"/>
        <v>0.21148867963184131</v>
      </c>
      <c r="AS71">
        <f t="shared" si="74"/>
        <v>0.10614025037601615</v>
      </c>
      <c r="AT71" s="101">
        <f t="shared" ref="AT71:AZ80" si="88">$BA71+$AH$7*SIN(AU71)</f>
        <v>6.4943088865408871</v>
      </c>
      <c r="AU71" s="101">
        <f t="shared" si="88"/>
        <v>6.4943088865408871</v>
      </c>
      <c r="AV71" s="101">
        <f t="shared" si="88"/>
        <v>6.4943088865408871</v>
      </c>
      <c r="AW71" s="101">
        <f t="shared" si="88"/>
        <v>6.4943088865408836</v>
      </c>
      <c r="AX71" s="101">
        <f t="shared" si="88"/>
        <v>6.4943088865390877</v>
      </c>
      <c r="AY71" s="101">
        <f t="shared" si="88"/>
        <v>6.4943088854840001</v>
      </c>
      <c r="AZ71" s="101">
        <f t="shared" si="88"/>
        <v>6.4943082656092743</v>
      </c>
      <c r="BA71" s="101">
        <f t="shared" si="75"/>
        <v>6.493944097261223</v>
      </c>
      <c r="BB71"/>
      <c r="BC71">
        <v>33500</v>
      </c>
      <c r="BD71">
        <f t="shared" si="77"/>
        <v>1.7254314352423094E-2</v>
      </c>
      <c r="BE71">
        <f t="shared" si="78"/>
        <v>-1.1904409714404547E-2</v>
      </c>
      <c r="BF71">
        <f t="shared" si="79"/>
        <v>2.9158724066827641E-2</v>
      </c>
      <c r="BG71">
        <f t="shared" si="80"/>
        <v>1.0010898630874101</v>
      </c>
      <c r="BH71">
        <f t="shared" si="81"/>
        <v>0.99717051154499836</v>
      </c>
      <c r="BI71">
        <f t="shared" si="82"/>
        <v>0.89427004378983532</v>
      </c>
      <c r="BJ71">
        <f t="shared" si="83"/>
        <v>0.47952644098581471</v>
      </c>
      <c r="BK71">
        <f t="shared" si="84"/>
        <v>7.17609873550958</v>
      </c>
      <c r="BL71">
        <f t="shared" si="84"/>
        <v>7.17609873550958</v>
      </c>
      <c r="BM71">
        <f t="shared" si="84"/>
        <v>7.17609873550958</v>
      </c>
      <c r="BN71">
        <f t="shared" si="86"/>
        <v>7.1760987355095782</v>
      </c>
      <c r="BO71">
        <f t="shared" si="86"/>
        <v>7.1760987355078143</v>
      </c>
      <c r="BP71">
        <f t="shared" si="86"/>
        <v>7.1760987338922648</v>
      </c>
      <c r="BQ71">
        <f t="shared" si="86"/>
        <v>7.1760972540511974</v>
      </c>
      <c r="BR71">
        <f t="shared" si="87"/>
        <v>7.1747428613804169</v>
      </c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</row>
    <row r="72" spans="1:92" s="101" customFormat="1">
      <c r="A72" s="13" t="s">
        <v>95</v>
      </c>
      <c r="B72" s="5" t="s">
        <v>87</v>
      </c>
      <c r="C72" s="26">
        <v>52548.602099999996</v>
      </c>
      <c r="D72" s="26">
        <v>2.9999999999999997E-4</v>
      </c>
      <c r="E72" s="101">
        <f t="shared" si="57"/>
        <v>24215.087550970413</v>
      </c>
      <c r="F72" s="101">
        <f t="shared" si="58"/>
        <v>24215</v>
      </c>
      <c r="G72" s="101">
        <f t="shared" si="49"/>
        <v>2.88833699960378E-2</v>
      </c>
      <c r="J72" s="101">
        <f t="shared" si="76"/>
        <v>2.88833699960378E-2</v>
      </c>
      <c r="P72" s="103">
        <f t="shared" si="59"/>
        <v>7.5457269608109057E-3</v>
      </c>
      <c r="Q72" s="104">
        <f t="shared" si="60"/>
        <v>37530.102099999996</v>
      </c>
      <c r="R72" s="101">
        <f t="shared" si="61"/>
        <v>4.5529501029876676E-4</v>
      </c>
      <c r="S72" s="101">
        <v>1</v>
      </c>
      <c r="T72" s="221"/>
      <c r="AF72">
        <f t="shared" si="62"/>
        <v>24215</v>
      </c>
      <c r="AG72" s="101">
        <f t="shared" si="63"/>
        <v>2.8580599622288316E-2</v>
      </c>
      <c r="AH72" s="101">
        <f t="shared" si="64"/>
        <v>7.8484973345603892E-3</v>
      </c>
      <c r="AI72" s="101">
        <f t="shared" si="65"/>
        <v>2.1337643035226894E-2</v>
      </c>
      <c r="AJ72" s="101">
        <f t="shared" si="66"/>
        <v>3.0277037374948357E-4</v>
      </c>
      <c r="AK72" s="101">
        <f t="shared" si="67"/>
        <v>9.1669899220401974E-8</v>
      </c>
      <c r="AL72">
        <f t="shared" si="68"/>
        <v>2.1337643035226894E-2</v>
      </c>
      <c r="AM72" s="195">
        <f t="shared" si="38"/>
        <v>9.1669899220401974E-8</v>
      </c>
      <c r="AN72">
        <f t="shared" si="69"/>
        <v>2.1034872661477411E-2</v>
      </c>
      <c r="AO72">
        <f t="shared" si="70"/>
        <v>1.0017054166471748</v>
      </c>
      <c r="AP72">
        <f t="shared" si="71"/>
        <v>0.7195184023917699</v>
      </c>
      <c r="AQ72">
        <f t="shared" si="72"/>
        <v>3.4894874474080979E-4</v>
      </c>
      <c r="AR72">
        <f t="shared" si="73"/>
        <v>0.20182623554741116</v>
      </c>
      <c r="AS72">
        <f t="shared" si="74"/>
        <v>0.10125706702193303</v>
      </c>
      <c r="AT72" s="101">
        <f t="shared" si="88"/>
        <v>6.484662891019882</v>
      </c>
      <c r="AU72" s="101">
        <f t="shared" si="88"/>
        <v>6.484662891019882</v>
      </c>
      <c r="AV72" s="101">
        <f t="shared" si="88"/>
        <v>6.484662891019882</v>
      </c>
      <c r="AW72" s="101">
        <f t="shared" si="88"/>
        <v>6.4846628910198794</v>
      </c>
      <c r="AX72" s="101">
        <f t="shared" si="88"/>
        <v>6.4846628910181536</v>
      </c>
      <c r="AY72" s="101">
        <f t="shared" si="88"/>
        <v>6.4846628900065326</v>
      </c>
      <c r="AZ72" s="101">
        <f t="shared" si="88"/>
        <v>6.4846622968674854</v>
      </c>
      <c r="BA72" s="101">
        <f t="shared" si="75"/>
        <v>6.4843145368927635</v>
      </c>
      <c r="BB72"/>
      <c r="BC72">
        <v>33000</v>
      </c>
      <c r="BD72">
        <f t="shared" si="77"/>
        <v>1.8382080559345305E-2</v>
      </c>
      <c r="BE72">
        <f t="shared" si="78"/>
        <v>-1.0673167603268176E-2</v>
      </c>
      <c r="BF72">
        <f t="shared" si="79"/>
        <v>2.9055248162613481E-2</v>
      </c>
      <c r="BG72">
        <f t="shared" si="80"/>
        <v>1.0011396737481144</v>
      </c>
      <c r="BH72">
        <f t="shared" si="81"/>
        <v>0.99367778193302059</v>
      </c>
      <c r="BI72">
        <f t="shared" si="82"/>
        <v>0.85700715520548643</v>
      </c>
      <c r="BJ72">
        <f t="shared" si="83"/>
        <v>0.45681109449889273</v>
      </c>
      <c r="BK72">
        <f t="shared" si="84"/>
        <v>7.138877401344442</v>
      </c>
      <c r="BL72">
        <f t="shared" si="84"/>
        <v>7.138877401344442</v>
      </c>
      <c r="BM72">
        <f t="shared" si="84"/>
        <v>7.138877401344442</v>
      </c>
      <c r="BN72">
        <f t="shared" ref="BN72:BQ81" si="89">$BR72+$AH$7*SIN(BO72)</f>
        <v>7.1388774013444403</v>
      </c>
      <c r="BO72">
        <f t="shared" si="89"/>
        <v>7.1388774013424863</v>
      </c>
      <c r="BP72">
        <f t="shared" si="89"/>
        <v>7.1388773996308617</v>
      </c>
      <c r="BQ72">
        <f t="shared" si="89"/>
        <v>7.1388759000524606</v>
      </c>
      <c r="BR72">
        <f t="shared" si="87"/>
        <v>7.1375630916180235</v>
      </c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</row>
    <row r="73" spans="1:92" s="101" customFormat="1">
      <c r="A73" s="15" t="s">
        <v>88</v>
      </c>
      <c r="B73" s="16" t="s">
        <v>87</v>
      </c>
      <c r="C73" s="13">
        <v>51550.6443</v>
      </c>
      <c r="D73" s="28"/>
      <c r="E73" s="101">
        <f t="shared" si="57"/>
        <v>21190.088257389158</v>
      </c>
      <c r="F73" s="101">
        <f t="shared" si="58"/>
        <v>21190</v>
      </c>
      <c r="G73" s="101">
        <f t="shared" si="49"/>
        <v>2.9116419995261822E-2</v>
      </c>
      <c r="J73" s="105">
        <f t="shared" si="76"/>
        <v>2.9116419995261822E-2</v>
      </c>
      <c r="N73"/>
      <c r="P73" s="103">
        <f t="shared" si="59"/>
        <v>1.2323897978097343E-2</v>
      </c>
      <c r="Q73" s="104">
        <f t="shared" si="60"/>
        <v>36532.1443</v>
      </c>
      <c r="R73" s="101">
        <f t="shared" si="61"/>
        <v>2.819887956969538E-4</v>
      </c>
      <c r="S73" s="101">
        <v>1</v>
      </c>
      <c r="T73" s="221"/>
      <c r="AF73">
        <f t="shared" si="62"/>
        <v>21190</v>
      </c>
      <c r="AG73" s="101">
        <f t="shared" si="63"/>
        <v>2.8287730192580983E-2</v>
      </c>
      <c r="AH73" s="101">
        <f t="shared" si="64"/>
        <v>1.3152587780778182E-2</v>
      </c>
      <c r="AI73" s="101">
        <f t="shared" si="65"/>
        <v>1.6792522017164479E-2</v>
      </c>
      <c r="AJ73" s="101">
        <f t="shared" si="66"/>
        <v>8.2868980268083897E-4</v>
      </c>
      <c r="AK73" s="101">
        <f t="shared" si="67"/>
        <v>6.8672678906720784E-7</v>
      </c>
      <c r="AL73">
        <f t="shared" si="68"/>
        <v>1.6792522017164479E-2</v>
      </c>
      <c r="AM73" s="195">
        <f t="shared" si="38"/>
        <v>6.8672678906720784E-7</v>
      </c>
      <c r="AN73">
        <f t="shared" si="69"/>
        <v>1.596383221448364E-2</v>
      </c>
      <c r="AO73">
        <f t="shared" si="70"/>
        <v>1.0017402533863911</v>
      </c>
      <c r="AP73">
        <f t="shared" si="71"/>
        <v>0.54583967878148965</v>
      </c>
      <c r="AQ73">
        <f t="shared" si="72"/>
        <v>-4.1585070300520731E-5</v>
      </c>
      <c r="AR73">
        <f t="shared" si="73"/>
        <v>-2.389143906279164E-2</v>
      </c>
      <c r="AS73">
        <f t="shared" si="74"/>
        <v>-1.194628778274732E-2</v>
      </c>
      <c r="AT73" s="101">
        <f t="shared" si="88"/>
        <v>6.2593354170657154</v>
      </c>
      <c r="AU73" s="101">
        <f t="shared" si="88"/>
        <v>6.2593354170657154</v>
      </c>
      <c r="AV73" s="101">
        <f t="shared" si="88"/>
        <v>6.2593354170657154</v>
      </c>
      <c r="AW73" s="101">
        <f t="shared" si="88"/>
        <v>6.2593354170657154</v>
      </c>
      <c r="AX73" s="101">
        <f t="shared" si="88"/>
        <v>6.2593354170659339</v>
      </c>
      <c r="AY73" s="101">
        <f t="shared" si="88"/>
        <v>6.2593354171914362</v>
      </c>
      <c r="AZ73" s="101">
        <f t="shared" si="88"/>
        <v>6.259335489308552</v>
      </c>
      <c r="BA73" s="101">
        <f t="shared" si="75"/>
        <v>6.2593769298302808</v>
      </c>
      <c r="BB73"/>
      <c r="BC73">
        <v>23000</v>
      </c>
      <c r="BD73">
        <f t="shared" si="77"/>
        <v>2.8669510980856034E-2</v>
      </c>
      <c r="BE73">
        <f t="shared" si="78"/>
        <v>9.5569377947555302E-3</v>
      </c>
      <c r="BF73">
        <f t="shared" si="79"/>
        <v>1.9112573186100504E-2</v>
      </c>
      <c r="BG73">
        <f t="shared" si="80"/>
        <v>1.0017300048451858</v>
      </c>
      <c r="BH73">
        <f t="shared" si="81"/>
        <v>0.65369016735184482</v>
      </c>
      <c r="BI73">
        <f t="shared" si="82"/>
        <v>0.11116812379846804</v>
      </c>
      <c r="BJ73">
        <f t="shared" si="83"/>
        <v>5.5641376680948026E-2</v>
      </c>
      <c r="BK73">
        <f t="shared" si="84"/>
        <v>6.3941604801480505</v>
      </c>
      <c r="BL73">
        <f t="shared" si="84"/>
        <v>6.3941604801480505</v>
      </c>
      <c r="BM73">
        <f t="shared" si="84"/>
        <v>6.3941604801480505</v>
      </c>
      <c r="BN73">
        <f t="shared" si="89"/>
        <v>6.3941604801480487</v>
      </c>
      <c r="BO73">
        <f t="shared" si="89"/>
        <v>6.3941604801470522</v>
      </c>
      <c r="BP73">
        <f t="shared" si="89"/>
        <v>6.3941604795710338</v>
      </c>
      <c r="BQ73">
        <f t="shared" si="89"/>
        <v>6.3941601466204236</v>
      </c>
      <c r="BR73">
        <f t="shared" si="87"/>
        <v>6.3939676963701464</v>
      </c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</row>
    <row r="74" spans="1:92" s="101" customFormat="1">
      <c r="A74" s="13" t="s">
        <v>90</v>
      </c>
      <c r="B74" s="16" t="s">
        <v>86</v>
      </c>
      <c r="C74" s="13">
        <v>51798.567300000002</v>
      </c>
      <c r="D74" s="13">
        <v>2.0000000000000001E-4</v>
      </c>
      <c r="E74" s="101">
        <f t="shared" si="57"/>
        <v>21941.589873852856</v>
      </c>
      <c r="F74" s="101">
        <f t="shared" si="58"/>
        <v>21941.5</v>
      </c>
      <c r="G74" s="101">
        <f t="shared" si="49"/>
        <v>2.9649696996784769E-2</v>
      </c>
      <c r="J74" s="101">
        <f t="shared" si="76"/>
        <v>2.9649696996784769E-2</v>
      </c>
      <c r="P74" s="103">
        <f t="shared" si="59"/>
        <v>1.12083682586527E-2</v>
      </c>
      <c r="Q74" s="104">
        <f t="shared" si="60"/>
        <v>36780.067300000002</v>
      </c>
      <c r="R74" s="101">
        <f t="shared" si="61"/>
        <v>3.4008260562785571E-4</v>
      </c>
      <c r="S74" s="101">
        <v>1</v>
      </c>
      <c r="T74" s="221"/>
      <c r="AF74">
        <f t="shared" si="62"/>
        <v>21941.5</v>
      </c>
      <c r="AG74" s="101">
        <f t="shared" si="63"/>
        <v>2.8518121199880633E-2</v>
      </c>
      <c r="AH74" s="101">
        <f t="shared" si="64"/>
        <v>1.2339944055556835E-2</v>
      </c>
      <c r="AI74" s="101">
        <f t="shared" si="65"/>
        <v>1.8441328738132069E-2</v>
      </c>
      <c r="AJ74" s="101">
        <f t="shared" si="66"/>
        <v>1.1315757969041357E-3</v>
      </c>
      <c r="AK74" s="101">
        <f t="shared" si="67"/>
        <v>1.2804637841392298E-6</v>
      </c>
      <c r="AL74">
        <f t="shared" si="68"/>
        <v>1.8441328738132069E-2</v>
      </c>
      <c r="AM74" s="195">
        <f t="shared" si="38"/>
        <v>1.2804637841392298E-6</v>
      </c>
      <c r="AN74">
        <f t="shared" si="69"/>
        <v>1.7309752941227934E-2</v>
      </c>
      <c r="AO74">
        <f t="shared" si="70"/>
        <v>1.0017398486689921</v>
      </c>
      <c r="AP74">
        <f t="shared" si="71"/>
        <v>0.59194269502902708</v>
      </c>
      <c r="AQ74">
        <f t="shared" si="72"/>
        <v>5.6015854216838416E-5</v>
      </c>
      <c r="AR74">
        <f t="shared" si="73"/>
        <v>3.2184702292589198E-2</v>
      </c>
      <c r="AS74">
        <f t="shared" si="74"/>
        <v>1.6093740402150628E-2</v>
      </c>
      <c r="AT74" s="101">
        <f t="shared" si="88"/>
        <v>6.3153140422628127</v>
      </c>
      <c r="AU74" s="101">
        <f t="shared" si="88"/>
        <v>6.3153140422628127</v>
      </c>
      <c r="AV74" s="101">
        <f t="shared" si="88"/>
        <v>6.3153140422628127</v>
      </c>
      <c r="AW74" s="101">
        <f t="shared" si="88"/>
        <v>6.3153140422628118</v>
      </c>
      <c r="AX74" s="101">
        <f t="shared" si="88"/>
        <v>6.3153140422625178</v>
      </c>
      <c r="AY74" s="101">
        <f t="shared" si="88"/>
        <v>6.3153140420935427</v>
      </c>
      <c r="AZ74" s="101">
        <f t="shared" si="88"/>
        <v>6.3153139449728579</v>
      </c>
      <c r="BA74" s="101">
        <f t="shared" si="75"/>
        <v>6.315258123783158</v>
      </c>
      <c r="BB74"/>
      <c r="BC74">
        <v>27500</v>
      </c>
      <c r="BD74">
        <f t="shared" si="77"/>
        <v>2.6819218235075881E-2</v>
      </c>
      <c r="BE74">
        <f t="shared" si="78"/>
        <v>1.4892926171821766E-3</v>
      </c>
      <c r="BF74">
        <f t="shared" si="79"/>
        <v>2.5329925617893705E-2</v>
      </c>
      <c r="BG74">
        <f t="shared" si="80"/>
        <v>1.0015697907493768</v>
      </c>
      <c r="BH74">
        <f t="shared" si="81"/>
        <v>0.86651896884099844</v>
      </c>
      <c r="BI74">
        <f t="shared" si="82"/>
        <v>0.44690316443207667</v>
      </c>
      <c r="BJ74">
        <f t="shared" si="83"/>
        <v>0.22724641619791089</v>
      </c>
      <c r="BK74">
        <f t="shared" si="84"/>
        <v>6.7293367525380212</v>
      </c>
      <c r="BL74">
        <f t="shared" si="84"/>
        <v>6.7293367525380212</v>
      </c>
      <c r="BM74">
        <f t="shared" si="84"/>
        <v>6.7293367525380212</v>
      </c>
      <c r="BN74">
        <f t="shared" si="89"/>
        <v>6.7293367525380168</v>
      </c>
      <c r="BO74">
        <f t="shared" si="89"/>
        <v>6.7293367525351124</v>
      </c>
      <c r="BP74">
        <f t="shared" si="89"/>
        <v>6.7293367506853929</v>
      </c>
      <c r="BQ74">
        <f t="shared" si="89"/>
        <v>6.7293355727875257</v>
      </c>
      <c r="BR74">
        <f t="shared" si="87"/>
        <v>6.728585624231691</v>
      </c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</row>
    <row r="75" spans="1:92" s="101" customFormat="1">
      <c r="A75" s="13" t="s">
        <v>95</v>
      </c>
      <c r="B75" s="5" t="s">
        <v>87</v>
      </c>
      <c r="C75" s="26">
        <v>52548.273000000001</v>
      </c>
      <c r="D75" s="26">
        <v>5.0000000000000001E-4</v>
      </c>
      <c r="E75" s="101">
        <f t="shared" si="57"/>
        <v>24214.089986476702</v>
      </c>
      <c r="F75" s="101">
        <f t="shared" si="58"/>
        <v>24214</v>
      </c>
      <c r="G75" s="101">
        <f t="shared" si="49"/>
        <v>2.9686851994483732E-2</v>
      </c>
      <c r="J75" s="101">
        <f t="shared" si="76"/>
        <v>2.9686851994483732E-2</v>
      </c>
      <c r="P75" s="103">
        <f t="shared" si="59"/>
        <v>7.5474330898983311E-3</v>
      </c>
      <c r="Q75" s="104">
        <f t="shared" si="60"/>
        <v>37529.773000000001</v>
      </c>
      <c r="R75" s="101">
        <f t="shared" si="61"/>
        <v>4.9015386943271344E-4</v>
      </c>
      <c r="S75" s="101">
        <v>1</v>
      </c>
      <c r="T75" s="221"/>
      <c r="AF75">
        <f t="shared" si="62"/>
        <v>24214</v>
      </c>
      <c r="AG75" s="101">
        <f t="shared" si="63"/>
        <v>2.8580792361690081E-2</v>
      </c>
      <c r="AH75" s="101">
        <f t="shared" si="64"/>
        <v>8.6534927226919814E-3</v>
      </c>
      <c r="AI75" s="101">
        <f t="shared" si="65"/>
        <v>2.2139418904585401E-2</v>
      </c>
      <c r="AJ75" s="101">
        <f t="shared" si="66"/>
        <v>1.1060596327936503E-3</v>
      </c>
      <c r="AK75" s="101">
        <f t="shared" si="67"/>
        <v>1.2233679112956246E-6</v>
      </c>
      <c r="AL75">
        <f t="shared" si="68"/>
        <v>2.2139418904585401E-2</v>
      </c>
      <c r="AM75" s="195">
        <f t="shared" si="38"/>
        <v>1.2233679112956246E-6</v>
      </c>
      <c r="AN75">
        <f t="shared" si="69"/>
        <v>2.103335927179175E-2</v>
      </c>
      <c r="AO75">
        <f t="shared" si="70"/>
        <v>1.0017054426787932</v>
      </c>
      <c r="AP75">
        <f t="shared" si="71"/>
        <v>0.71946658314362988</v>
      </c>
      <c r="AQ75">
        <f t="shared" si="72"/>
        <v>3.488214962810915E-4</v>
      </c>
      <c r="AR75">
        <f t="shared" si="73"/>
        <v>0.20175162182254103</v>
      </c>
      <c r="AS75">
        <f t="shared" si="74"/>
        <v>0.10121937779483209</v>
      </c>
      <c r="AT75" s="101">
        <f t="shared" si="88"/>
        <v>6.4845884044396831</v>
      </c>
      <c r="AU75" s="101">
        <f t="shared" si="88"/>
        <v>6.4845884044396831</v>
      </c>
      <c r="AV75" s="101">
        <f t="shared" si="88"/>
        <v>6.4845884044396831</v>
      </c>
      <c r="AW75" s="101">
        <f t="shared" si="88"/>
        <v>6.4845884044396795</v>
      </c>
      <c r="AX75" s="101">
        <f t="shared" si="88"/>
        <v>6.4845884044379547</v>
      </c>
      <c r="AY75" s="101">
        <f t="shared" si="88"/>
        <v>6.4845884034266721</v>
      </c>
      <c r="AZ75" s="101">
        <f t="shared" si="88"/>
        <v>6.484587810494947</v>
      </c>
      <c r="BA75" s="101">
        <f t="shared" si="75"/>
        <v>6.4842401773532385</v>
      </c>
      <c r="BB75"/>
      <c r="BC75">
        <v>32500</v>
      </c>
      <c r="BD75">
        <f t="shared" si="77"/>
        <v>1.9448662127882876E-2</v>
      </c>
      <c r="BE75">
        <f t="shared" si="78"/>
        <v>-9.4628528103446741E-3</v>
      </c>
      <c r="BF75">
        <f t="shared" si="79"/>
        <v>2.891151493822755E-2</v>
      </c>
      <c r="BG75">
        <f t="shared" si="80"/>
        <v>1.0011879067730447</v>
      </c>
      <c r="BH75">
        <f t="shared" si="81"/>
        <v>0.98880492304256551</v>
      </c>
      <c r="BI75">
        <f t="shared" si="82"/>
        <v>0.81974061678372767</v>
      </c>
      <c r="BJ75">
        <f t="shared" si="83"/>
        <v>0.43447702238145791</v>
      </c>
      <c r="BK75">
        <f t="shared" si="84"/>
        <v>7.1016542443400876</v>
      </c>
      <c r="BL75">
        <f t="shared" si="84"/>
        <v>7.1016542443400876</v>
      </c>
      <c r="BM75">
        <f t="shared" si="84"/>
        <v>7.1016542443400876</v>
      </c>
      <c r="BN75">
        <f t="shared" si="89"/>
        <v>7.101654244340085</v>
      </c>
      <c r="BO75">
        <f t="shared" si="89"/>
        <v>7.1016542443379471</v>
      </c>
      <c r="BP75">
        <f t="shared" si="89"/>
        <v>7.101654242540552</v>
      </c>
      <c r="BQ75">
        <f t="shared" si="89"/>
        <v>7.101652731521348</v>
      </c>
      <c r="BR75">
        <f t="shared" si="87"/>
        <v>7.10038332185563</v>
      </c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</row>
    <row r="76" spans="1:92" s="101" customFormat="1">
      <c r="A76" s="13" t="s">
        <v>95</v>
      </c>
      <c r="B76" s="5" t="s">
        <v>87</v>
      </c>
      <c r="C76" s="26">
        <v>52547.6132</v>
      </c>
      <c r="D76" s="26">
        <v>8.0000000000000004E-4</v>
      </c>
      <c r="E76" s="101">
        <f t="shared" si="57"/>
        <v>24212.090007585903</v>
      </c>
      <c r="F76" s="101">
        <f t="shared" si="58"/>
        <v>24212</v>
      </c>
      <c r="G76" s="101">
        <f t="shared" si="49"/>
        <v>2.9693815995415207E-2</v>
      </c>
      <c r="J76" s="101">
        <f t="shared" si="76"/>
        <v>2.9693815995415207E-2</v>
      </c>
      <c r="P76" s="103">
        <f t="shared" si="59"/>
        <v>7.5508450969453619E-3</v>
      </c>
      <c r="Q76" s="104">
        <f t="shared" si="60"/>
        <v>37529.1132</v>
      </c>
      <c r="R76" s="101">
        <f t="shared" si="61"/>
        <v>4.9031116021048247E-4</v>
      </c>
      <c r="S76" s="101">
        <v>1</v>
      </c>
      <c r="T76" s="221"/>
      <c r="AF76">
        <f t="shared" si="62"/>
        <v>24212</v>
      </c>
      <c r="AG76" s="101">
        <f t="shared" si="63"/>
        <v>2.8581177239161135E-2</v>
      </c>
      <c r="AH76" s="101">
        <f t="shared" si="64"/>
        <v>8.6634838531994343E-3</v>
      </c>
      <c r="AI76" s="101">
        <f t="shared" si="65"/>
        <v>2.2142970898469845E-2</v>
      </c>
      <c r="AJ76" s="101">
        <f t="shared" si="66"/>
        <v>1.1126387562540724E-3</v>
      </c>
      <c r="AK76" s="101">
        <f t="shared" si="67"/>
        <v>1.2379650019186092E-6</v>
      </c>
      <c r="AL76">
        <f t="shared" si="68"/>
        <v>2.2142970898469845E-2</v>
      </c>
      <c r="AM76" s="195">
        <f t="shared" si="38"/>
        <v>1.2379650019186092E-6</v>
      </c>
      <c r="AN76">
        <f t="shared" si="69"/>
        <v>2.1030332142215773E-2</v>
      </c>
      <c r="AO76">
        <f t="shared" si="70"/>
        <v>1.0017054947135504</v>
      </c>
      <c r="AP76">
        <f t="shared" si="71"/>
        <v>0.7193629326232982</v>
      </c>
      <c r="AQ76">
        <f t="shared" si="72"/>
        <v>3.4856699351663953E-4</v>
      </c>
      <c r="AR76">
        <f t="shared" si="73"/>
        <v>0.20160239436116872</v>
      </c>
      <c r="AS76">
        <f t="shared" si="74"/>
        <v>0.10114400018857056</v>
      </c>
      <c r="AT76" s="101">
        <f t="shared" si="88"/>
        <v>6.4844394312734783</v>
      </c>
      <c r="AU76" s="101">
        <f t="shared" si="88"/>
        <v>6.4844394312734783</v>
      </c>
      <c r="AV76" s="101">
        <f t="shared" si="88"/>
        <v>6.4844394312734783</v>
      </c>
      <c r="AW76" s="101">
        <f t="shared" si="88"/>
        <v>6.4844394312734757</v>
      </c>
      <c r="AX76" s="101">
        <f t="shared" si="88"/>
        <v>6.4844394312717517</v>
      </c>
      <c r="AY76" s="101">
        <f t="shared" si="88"/>
        <v>6.484439430261145</v>
      </c>
      <c r="AZ76" s="101">
        <f t="shared" si="88"/>
        <v>6.484438837744106</v>
      </c>
      <c r="BA76" s="101">
        <f t="shared" si="75"/>
        <v>6.4840914582741886</v>
      </c>
      <c r="BB76"/>
      <c r="BC76">
        <v>32000</v>
      </c>
      <c r="BD76">
        <f t="shared" si="77"/>
        <v>2.045425261682093E-2</v>
      </c>
      <c r="BE76">
        <f t="shared" si="78"/>
        <v>-8.273465335634056E-3</v>
      </c>
      <c r="BF76">
        <f t="shared" si="79"/>
        <v>2.8727717952454986E-2</v>
      </c>
      <c r="BG76">
        <f t="shared" si="80"/>
        <v>1.0012344945624163</v>
      </c>
      <c r="BH76">
        <f t="shared" si="81"/>
        <v>0.98255831943461935</v>
      </c>
      <c r="BI76">
        <f t="shared" si="82"/>
        <v>0.78247054833100249</v>
      </c>
      <c r="BJ76">
        <f t="shared" si="83"/>
        <v>0.4124996431472373</v>
      </c>
      <c r="BK76">
        <f t="shared" si="84"/>
        <v>7.0644293244163823</v>
      </c>
      <c r="BL76">
        <f t="shared" si="84"/>
        <v>7.0644293244163823</v>
      </c>
      <c r="BM76">
        <f t="shared" si="84"/>
        <v>7.0644293244163823</v>
      </c>
      <c r="BN76">
        <f t="shared" si="89"/>
        <v>7.0644293244163796</v>
      </c>
      <c r="BO76">
        <f t="shared" si="89"/>
        <v>7.0644293244140668</v>
      </c>
      <c r="BP76">
        <f t="shared" si="89"/>
        <v>7.0644293225426393</v>
      </c>
      <c r="BQ76">
        <f t="shared" si="89"/>
        <v>7.0644278084425984</v>
      </c>
      <c r="BR76">
        <f t="shared" si="87"/>
        <v>7.0632035520932357</v>
      </c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</row>
    <row r="77" spans="1:92" s="101" customFormat="1">
      <c r="A77" s="15" t="s">
        <v>88</v>
      </c>
      <c r="B77" s="16" t="s">
        <v>86</v>
      </c>
      <c r="C77" s="13">
        <v>51457.777099999999</v>
      </c>
      <c r="D77" s="28"/>
      <c r="E77" s="101">
        <f t="shared" si="57"/>
        <v>20908.590167593306</v>
      </c>
      <c r="F77" s="101">
        <f t="shared" si="58"/>
        <v>20908.5</v>
      </c>
      <c r="G77" s="101">
        <f t="shared" si="49"/>
        <v>2.9746602995146532E-2</v>
      </c>
      <c r="J77" s="105">
        <f t="shared" si="76"/>
        <v>2.9746602995146532E-2</v>
      </c>
      <c r="N77"/>
      <c r="P77" s="103">
        <f t="shared" si="59"/>
        <v>1.2729586857792984E-2</v>
      </c>
      <c r="Q77" s="104">
        <f t="shared" si="60"/>
        <v>36439.277099999999</v>
      </c>
      <c r="R77" s="101">
        <f t="shared" si="61"/>
        <v>2.8957883821895109E-4</v>
      </c>
      <c r="S77" s="101">
        <v>1</v>
      </c>
      <c r="T77" s="221"/>
      <c r="AF77">
        <f t="shared" si="62"/>
        <v>20908.5</v>
      </c>
      <c r="AG77" s="101">
        <f t="shared" si="63"/>
        <v>2.81761521248447E-2</v>
      </c>
      <c r="AH77" s="101">
        <f t="shared" si="64"/>
        <v>1.4300037728094813E-2</v>
      </c>
      <c r="AI77" s="101">
        <f t="shared" si="65"/>
        <v>1.7017016137353548E-2</v>
      </c>
      <c r="AJ77" s="101">
        <f t="shared" si="66"/>
        <v>1.5704508703018316E-3</v>
      </c>
      <c r="AK77" s="101">
        <f t="shared" si="67"/>
        <v>2.4663159360317805E-6</v>
      </c>
      <c r="AL77">
        <f t="shared" si="68"/>
        <v>1.7017016137353548E-2</v>
      </c>
      <c r="AM77" s="195">
        <f t="shared" si="38"/>
        <v>2.4663159360317805E-6</v>
      </c>
      <c r="AN77">
        <f t="shared" si="69"/>
        <v>1.5446565267051718E-2</v>
      </c>
      <c r="AO77">
        <f t="shared" si="70"/>
        <v>1.0017389960460696</v>
      </c>
      <c r="AP77">
        <f t="shared" si="71"/>
        <v>0.52812052052012004</v>
      </c>
      <c r="AQ77">
        <f t="shared" si="72"/>
        <v>-7.8127579458082543E-5</v>
      </c>
      <c r="AR77">
        <f t="shared" si="73"/>
        <v>-4.4896639324870931E-2</v>
      </c>
      <c r="AS77">
        <f t="shared" si="74"/>
        <v>-2.2452091194545505E-2</v>
      </c>
      <c r="AT77" s="101">
        <f t="shared" si="88"/>
        <v>6.2383667276204564</v>
      </c>
      <c r="AU77" s="101">
        <f t="shared" si="88"/>
        <v>6.2383667276204564</v>
      </c>
      <c r="AV77" s="101">
        <f t="shared" si="88"/>
        <v>6.2383667276204564</v>
      </c>
      <c r="AW77" s="101">
        <f t="shared" si="88"/>
        <v>6.2383667276204564</v>
      </c>
      <c r="AX77" s="101">
        <f t="shared" si="88"/>
        <v>6.2383667276208659</v>
      </c>
      <c r="AY77" s="101">
        <f t="shared" si="88"/>
        <v>6.238366727856314</v>
      </c>
      <c r="AZ77" s="101">
        <f t="shared" si="88"/>
        <v>6.2383668632486584</v>
      </c>
      <c r="BA77" s="101">
        <f t="shared" si="75"/>
        <v>6.2384447194540522</v>
      </c>
      <c r="BB77"/>
      <c r="BC77">
        <v>22500</v>
      </c>
      <c r="BD77">
        <f t="shared" si="77"/>
        <v>2.8623820229473664E-2</v>
      </c>
      <c r="BE77">
        <f t="shared" si="78"/>
        <v>1.0348706223421524E-2</v>
      </c>
      <c r="BF77">
        <f t="shared" si="79"/>
        <v>1.827511400605214E-2</v>
      </c>
      <c r="BG77">
        <f t="shared" si="80"/>
        <v>1.0017360042786445</v>
      </c>
      <c r="BH77">
        <f t="shared" si="81"/>
        <v>0.62500782325037874</v>
      </c>
      <c r="BI77">
        <f t="shared" si="82"/>
        <v>7.385919239631647E-2</v>
      </c>
      <c r="BJ77">
        <f t="shared" si="83"/>
        <v>3.6946393495256184E-2</v>
      </c>
      <c r="BK77">
        <f t="shared" si="84"/>
        <v>6.3569161573421074</v>
      </c>
      <c r="BL77">
        <f t="shared" si="84"/>
        <v>6.3569161573421074</v>
      </c>
      <c r="BM77">
        <f t="shared" si="84"/>
        <v>6.3569161573421074</v>
      </c>
      <c r="BN77">
        <f t="shared" si="89"/>
        <v>6.3569161573421056</v>
      </c>
      <c r="BO77">
        <f t="shared" si="89"/>
        <v>6.3569161573414359</v>
      </c>
      <c r="BP77">
        <f t="shared" si="89"/>
        <v>6.3569161569556476</v>
      </c>
      <c r="BQ77">
        <f t="shared" si="89"/>
        <v>6.3569159347298374</v>
      </c>
      <c r="BR77">
        <f t="shared" si="87"/>
        <v>6.356787926607752</v>
      </c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</row>
    <row r="78" spans="1:92" s="101" customFormat="1">
      <c r="A78" s="13" t="s">
        <v>90</v>
      </c>
      <c r="B78" s="16" t="s">
        <v>86</v>
      </c>
      <c r="C78" s="13">
        <v>51798.567499999997</v>
      </c>
      <c r="D78" s="13">
        <v>1E-4</v>
      </c>
      <c r="E78" s="101">
        <f t="shared" si="57"/>
        <v>21941.590480090759</v>
      </c>
      <c r="F78" s="101">
        <f t="shared" si="58"/>
        <v>21941.5</v>
      </c>
      <c r="G78" s="101">
        <f t="shared" si="49"/>
        <v>2.9849696991732344E-2</v>
      </c>
      <c r="J78" s="101">
        <f t="shared" si="76"/>
        <v>2.9849696991732344E-2</v>
      </c>
      <c r="P78" s="103">
        <f t="shared" si="59"/>
        <v>1.12083682586527E-2</v>
      </c>
      <c r="Q78" s="104">
        <f t="shared" si="60"/>
        <v>36780.067499999997</v>
      </c>
      <c r="R78" s="101">
        <f t="shared" si="61"/>
        <v>3.4749913693474076E-4</v>
      </c>
      <c r="S78" s="101">
        <v>1</v>
      </c>
      <c r="T78" s="221"/>
      <c r="AF78">
        <f t="shared" si="62"/>
        <v>21941.5</v>
      </c>
      <c r="AG78" s="101">
        <f t="shared" si="63"/>
        <v>2.8518121199880633E-2</v>
      </c>
      <c r="AH78" s="101">
        <f t="shared" si="64"/>
        <v>1.253994405050441E-2</v>
      </c>
      <c r="AI78" s="101">
        <f t="shared" si="65"/>
        <v>1.8641328733079644E-2</v>
      </c>
      <c r="AJ78" s="101">
        <f t="shared" si="66"/>
        <v>1.3315757918517107E-3</v>
      </c>
      <c r="AK78" s="101">
        <f t="shared" si="67"/>
        <v>1.7730940894455104E-6</v>
      </c>
      <c r="AL78">
        <f t="shared" si="68"/>
        <v>1.8641328733079644E-2</v>
      </c>
      <c r="AM78" s="195">
        <f t="shared" si="38"/>
        <v>1.7730940894455104E-6</v>
      </c>
      <c r="AN78">
        <f t="shared" si="69"/>
        <v>1.7309752941227934E-2</v>
      </c>
      <c r="AO78">
        <f t="shared" si="70"/>
        <v>1.0017398486689921</v>
      </c>
      <c r="AP78">
        <f t="shared" si="71"/>
        <v>0.59194269502902708</v>
      </c>
      <c r="AQ78">
        <f t="shared" si="72"/>
        <v>5.6015854216838416E-5</v>
      </c>
      <c r="AR78">
        <f t="shared" si="73"/>
        <v>3.2184702292589198E-2</v>
      </c>
      <c r="AS78">
        <f t="shared" si="74"/>
        <v>1.6093740402150628E-2</v>
      </c>
      <c r="AT78" s="101">
        <f t="shared" si="88"/>
        <v>6.3153140422628127</v>
      </c>
      <c r="AU78" s="101">
        <f t="shared" si="88"/>
        <v>6.3153140422628127</v>
      </c>
      <c r="AV78" s="101">
        <f t="shared" si="88"/>
        <v>6.3153140422628127</v>
      </c>
      <c r="AW78" s="101">
        <f t="shared" si="88"/>
        <v>6.3153140422628118</v>
      </c>
      <c r="AX78" s="101">
        <f t="shared" si="88"/>
        <v>6.3153140422625178</v>
      </c>
      <c r="AY78" s="101">
        <f t="shared" si="88"/>
        <v>6.3153140420935427</v>
      </c>
      <c r="AZ78" s="101">
        <f t="shared" si="88"/>
        <v>6.3153139449728579</v>
      </c>
      <c r="BA78" s="101">
        <f t="shared" si="75"/>
        <v>6.315258123783158</v>
      </c>
      <c r="BB78"/>
      <c r="BC78">
        <v>28000</v>
      </c>
      <c r="BD78">
        <f t="shared" si="77"/>
        <v>2.6344766281451659E-2</v>
      </c>
      <c r="BE78">
        <f t="shared" si="78"/>
        <v>4.8825100638742736E-4</v>
      </c>
      <c r="BF78">
        <f t="shared" si="79"/>
        <v>2.5856515275064232E-2</v>
      </c>
      <c r="BG78">
        <f t="shared" si="80"/>
        <v>1.0015406477500877</v>
      </c>
      <c r="BH78">
        <f t="shared" si="81"/>
        <v>0.88452799734779319</v>
      </c>
      <c r="BI78">
        <f t="shared" si="82"/>
        <v>0.4841988524490371</v>
      </c>
      <c r="BJ78">
        <f t="shared" si="83"/>
        <v>0.24694300279853382</v>
      </c>
      <c r="BK78">
        <f t="shared" si="84"/>
        <v>6.7665744645303185</v>
      </c>
      <c r="BL78">
        <f t="shared" si="84"/>
        <v>6.7665744645303185</v>
      </c>
      <c r="BM78">
        <f t="shared" si="84"/>
        <v>6.7665744645303185</v>
      </c>
      <c r="BN78">
        <f t="shared" si="89"/>
        <v>6.7665744645303141</v>
      </c>
      <c r="BO78">
        <f t="shared" si="89"/>
        <v>6.7665744645273556</v>
      </c>
      <c r="BP78">
        <f t="shared" si="89"/>
        <v>6.7665744626078697</v>
      </c>
      <c r="BQ78">
        <f t="shared" si="89"/>
        <v>6.7665732172425157</v>
      </c>
      <c r="BR78">
        <f t="shared" si="87"/>
        <v>6.7657653939940845</v>
      </c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</row>
    <row r="79" spans="1:92" s="101" customFormat="1">
      <c r="A79" s="13" t="s">
        <v>95</v>
      </c>
      <c r="B79" s="5" t="s">
        <v>86</v>
      </c>
      <c r="C79" s="26">
        <v>52547.449099999998</v>
      </c>
      <c r="D79" s="26">
        <v>2.0000000000000001E-4</v>
      </c>
      <c r="E79" s="101">
        <f t="shared" si="57"/>
        <v>24211.592589374348</v>
      </c>
      <c r="F79" s="101">
        <f t="shared" si="58"/>
        <v>24211.5</v>
      </c>
      <c r="G79" s="101">
        <f t="shared" si="49"/>
        <v>3.0545556990546174E-2</v>
      </c>
      <c r="J79" s="101">
        <f t="shared" si="76"/>
        <v>3.0545556990546174E-2</v>
      </c>
      <c r="P79" s="103">
        <f t="shared" si="59"/>
        <v>7.5516980463888224E-3</v>
      </c>
      <c r="Q79" s="104">
        <f t="shared" si="60"/>
        <v>37528.949099999998</v>
      </c>
      <c r="R79" s="101">
        <f t="shared" si="61"/>
        <v>5.2871754914380503E-4</v>
      </c>
      <c r="S79" s="101">
        <v>1</v>
      </c>
      <c r="T79" s="221"/>
      <c r="AF79">
        <f t="shared" si="62"/>
        <v>24211.5</v>
      </c>
      <c r="AG79" s="101">
        <f t="shared" si="63"/>
        <v>2.8581273333257429E-2</v>
      </c>
      <c r="AH79" s="101">
        <f t="shared" si="64"/>
        <v>9.5159817036775673E-3</v>
      </c>
      <c r="AI79" s="101">
        <f t="shared" si="65"/>
        <v>2.2993858944157352E-2</v>
      </c>
      <c r="AJ79" s="101">
        <f t="shared" si="66"/>
        <v>1.964283657288745E-3</v>
      </c>
      <c r="AK79" s="101">
        <f t="shared" si="67"/>
        <v>3.8584102862916474E-6</v>
      </c>
      <c r="AL79">
        <f t="shared" si="68"/>
        <v>2.2993858944157352E-2</v>
      </c>
      <c r="AM79" s="195">
        <f t="shared" si="38"/>
        <v>3.8584102862916474E-6</v>
      </c>
      <c r="AN79">
        <f t="shared" si="69"/>
        <v>2.1029575286868607E-2</v>
      </c>
      <c r="AO79">
        <f t="shared" si="70"/>
        <v>1.0017055077163062</v>
      </c>
      <c r="AP79">
        <f t="shared" si="71"/>
        <v>0.71933701748841528</v>
      </c>
      <c r="AQ79">
        <f t="shared" si="72"/>
        <v>3.4850336660833387E-4</v>
      </c>
      <c r="AR79">
        <f t="shared" si="73"/>
        <v>0.20156508749340379</v>
      </c>
      <c r="AS79">
        <f t="shared" si="74"/>
        <v>0.10112515596358135</v>
      </c>
      <c r="AT79" s="101">
        <f t="shared" si="88"/>
        <v>6.4844021879807183</v>
      </c>
      <c r="AU79" s="101">
        <f t="shared" si="88"/>
        <v>6.4844021879807183</v>
      </c>
      <c r="AV79" s="101">
        <f t="shared" si="88"/>
        <v>6.4844021879807183</v>
      </c>
      <c r="AW79" s="101">
        <f t="shared" si="88"/>
        <v>6.4844021879807157</v>
      </c>
      <c r="AX79" s="101">
        <f t="shared" si="88"/>
        <v>6.4844021879789917</v>
      </c>
      <c r="AY79" s="101">
        <f t="shared" si="88"/>
        <v>6.4844021869685546</v>
      </c>
      <c r="AZ79" s="101">
        <f t="shared" si="88"/>
        <v>6.4844015945551954</v>
      </c>
      <c r="BA79" s="101">
        <f t="shared" si="75"/>
        <v>6.4840542785044262</v>
      </c>
      <c r="BB79"/>
      <c r="BC79">
        <v>31500</v>
      </c>
      <c r="BD79">
        <f t="shared" si="77"/>
        <v>2.1399101419360498E-2</v>
      </c>
      <c r="BE79">
        <f t="shared" si="78"/>
        <v>-7.1050051791363006E-3</v>
      </c>
      <c r="BF79">
        <f t="shared" si="79"/>
        <v>2.8504106598496799E-2</v>
      </c>
      <c r="BG79">
        <f t="shared" si="80"/>
        <v>1.0012793717854047</v>
      </c>
      <c r="BH79">
        <f t="shared" si="81"/>
        <v>0.97494628584715037</v>
      </c>
      <c r="BI79">
        <f t="shared" si="82"/>
        <v>0.74519707461996976</v>
      </c>
      <c r="BJ79">
        <f t="shared" si="83"/>
        <v>0.39085564007088813</v>
      </c>
      <c r="BK79">
        <f t="shared" ref="BK79:BM98" si="90">$BR79+$AH$7*SIN(BL79)</f>
        <v>7.0272027039646687</v>
      </c>
      <c r="BL79">
        <f t="shared" si="90"/>
        <v>7.0272027039646687</v>
      </c>
      <c r="BM79">
        <f t="shared" si="90"/>
        <v>7.0272027039646687</v>
      </c>
      <c r="BN79">
        <f t="shared" si="89"/>
        <v>7.0272027039646661</v>
      </c>
      <c r="BO79">
        <f t="shared" si="89"/>
        <v>7.0272027039621907</v>
      </c>
      <c r="BP79">
        <f t="shared" si="89"/>
        <v>7.0272027020297685</v>
      </c>
      <c r="BQ79">
        <f t="shared" si="89"/>
        <v>7.0272011932260448</v>
      </c>
      <c r="BR79">
        <f t="shared" si="87"/>
        <v>7.0260237823308422</v>
      </c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</row>
    <row r="80" spans="1:92" s="101" customFormat="1">
      <c r="A80" s="10" t="s">
        <v>107</v>
      </c>
      <c r="B80"/>
      <c r="C80" s="26">
        <v>51625.370999999999</v>
      </c>
      <c r="D80" s="25"/>
      <c r="E80" s="101">
        <f t="shared" si="57"/>
        <v>21416.599052446483</v>
      </c>
      <c r="F80" s="101">
        <f t="shared" si="58"/>
        <v>21416.5</v>
      </c>
      <c r="G80" s="101">
        <f t="shared" si="49"/>
        <v>3.2677746996341739E-2</v>
      </c>
      <c r="J80" s="101">
        <f t="shared" si="76"/>
        <v>3.2677746996341739E-2</v>
      </c>
      <c r="P80" s="103">
        <f t="shared" si="59"/>
        <v>1.1992657477359423E-2</v>
      </c>
      <c r="Q80" s="104">
        <f t="shared" si="60"/>
        <v>36606.870999999999</v>
      </c>
      <c r="R80" s="101">
        <f t="shared" si="61"/>
        <v>4.2787292840831207E-4</v>
      </c>
      <c r="S80" s="101">
        <v>0.1</v>
      </c>
      <c r="T80" s="221"/>
      <c r="AF80">
        <f t="shared" si="62"/>
        <v>21416.5</v>
      </c>
      <c r="AG80" s="101">
        <f t="shared" si="63"/>
        <v>2.8367607281491822E-2</v>
      </c>
      <c r="AH80" s="101">
        <f t="shared" si="64"/>
        <v>1.630279719220934E-2</v>
      </c>
      <c r="AI80" s="101">
        <f t="shared" si="65"/>
        <v>2.0685089518982316E-2</v>
      </c>
      <c r="AJ80" s="101">
        <f t="shared" si="66"/>
        <v>4.3101397148499164E-3</v>
      </c>
      <c r="AK80" s="101">
        <f t="shared" si="67"/>
        <v>1.8577304361526522E-6</v>
      </c>
      <c r="AL80">
        <f t="shared" si="68"/>
        <v>2.0685089518982316E-2</v>
      </c>
      <c r="AM80" s="195">
        <f t="shared" si="38"/>
        <v>1.857730436152652E-5</v>
      </c>
      <c r="AN80">
        <f t="shared" si="69"/>
        <v>1.6374949804132399E-2</v>
      </c>
      <c r="AO80">
        <f t="shared" si="70"/>
        <v>1.0017407076441713</v>
      </c>
      <c r="AP80">
        <f t="shared" si="71"/>
        <v>0.55992238112615611</v>
      </c>
      <c r="AQ80">
        <f t="shared" si="72"/>
        <v>-1.2168173290786957E-5</v>
      </c>
      <c r="AR80">
        <f t="shared" si="73"/>
        <v>-6.9902462584879119E-3</v>
      </c>
      <c r="AS80">
        <f t="shared" si="74"/>
        <v>-3.4951373613217036E-3</v>
      </c>
      <c r="AT80" s="101">
        <f t="shared" si="88"/>
        <v>6.2762072185221847</v>
      </c>
      <c r="AU80" s="101">
        <f t="shared" si="88"/>
        <v>6.2762072185221847</v>
      </c>
      <c r="AV80" s="101">
        <f t="shared" si="88"/>
        <v>6.2762072185221847</v>
      </c>
      <c r="AW80" s="101">
        <f t="shared" si="88"/>
        <v>6.2762072185221847</v>
      </c>
      <c r="AX80" s="101">
        <f t="shared" si="88"/>
        <v>6.2762072185222486</v>
      </c>
      <c r="AY80" s="101">
        <f t="shared" si="88"/>
        <v>6.2762072185589908</v>
      </c>
      <c r="AZ80" s="101">
        <f t="shared" si="88"/>
        <v>6.2762072396665811</v>
      </c>
      <c r="BA80" s="101">
        <f t="shared" si="75"/>
        <v>6.2762193655326453</v>
      </c>
      <c r="BB80"/>
      <c r="BC80">
        <v>26000</v>
      </c>
      <c r="BD80">
        <f t="shared" si="77"/>
        <v>2.7909352461819144E-2</v>
      </c>
      <c r="BE80">
        <f t="shared" si="78"/>
        <v>4.3668535402891714E-3</v>
      </c>
      <c r="BF80">
        <f t="shared" si="79"/>
        <v>2.3542498921529972E-2</v>
      </c>
      <c r="BG80">
        <f t="shared" si="80"/>
        <v>1.0016439799942769</v>
      </c>
      <c r="BH80">
        <f t="shared" si="81"/>
        <v>0.80536240935977255</v>
      </c>
      <c r="BI80">
        <f t="shared" si="82"/>
        <v>0.33500422180325751</v>
      </c>
      <c r="BJ80">
        <f t="shared" si="83"/>
        <v>0.1690864268976143</v>
      </c>
      <c r="BK80">
        <f t="shared" si="90"/>
        <v>6.6176176866837881</v>
      </c>
      <c r="BL80">
        <f t="shared" si="90"/>
        <v>6.6176176866837881</v>
      </c>
      <c r="BM80">
        <f t="shared" si="90"/>
        <v>6.6176176866837881</v>
      </c>
      <c r="BN80">
        <f t="shared" si="89"/>
        <v>6.6176176866837837</v>
      </c>
      <c r="BO80">
        <f t="shared" si="89"/>
        <v>6.6176176866812471</v>
      </c>
      <c r="BP80">
        <f t="shared" si="89"/>
        <v>6.6176176851387902</v>
      </c>
      <c r="BQ80">
        <f t="shared" si="89"/>
        <v>6.6176167470800227</v>
      </c>
      <c r="BR80">
        <f t="shared" si="87"/>
        <v>6.6170463149445098</v>
      </c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</row>
    <row r="81" spans="1:92" s="101" customFormat="1">
      <c r="A81" s="10" t="s">
        <v>108</v>
      </c>
      <c r="B81"/>
      <c r="C81" s="26">
        <v>51749.415000000001</v>
      </c>
      <c r="D81" s="25"/>
      <c r="E81" s="101">
        <f t="shared" si="57"/>
        <v>21792.599933819423</v>
      </c>
      <c r="F81" s="101">
        <f t="shared" si="58"/>
        <v>21792.5</v>
      </c>
      <c r="G81" s="101">
        <f t="shared" si="49"/>
        <v>3.2968514999083709E-2</v>
      </c>
      <c r="J81" s="101">
        <f t="shared" si="76"/>
        <v>3.2968514999083709E-2</v>
      </c>
      <c r="P81" s="103">
        <f t="shared" si="59"/>
        <v>1.1433301872493914E-2</v>
      </c>
      <c r="Q81" s="104">
        <f t="shared" si="60"/>
        <v>36730.915000000001</v>
      </c>
      <c r="R81" s="101">
        <f t="shared" si="61"/>
        <v>4.6376540440764544E-4</v>
      </c>
      <c r="S81" s="101">
        <v>0.1</v>
      </c>
      <c r="T81" s="221"/>
      <c r="U81" s="101">
        <v>1.6443475160751937E-11</v>
      </c>
      <c r="V81" s="101">
        <v>3.2241450573082803E-22</v>
      </c>
      <c r="W81" s="101">
        <v>9.9278354708711723E-31</v>
      </c>
      <c r="X81" s="101">
        <v>2.5586417429010939E-11</v>
      </c>
      <c r="Y81" s="101">
        <v>2.0245920779251556E-7</v>
      </c>
      <c r="Z81" s="101">
        <v>1.2505914341879433E-5</v>
      </c>
      <c r="AA81" s="101">
        <v>5.703409243366348E-7</v>
      </c>
      <c r="AB81" s="101">
        <v>0.49089487474112131</v>
      </c>
      <c r="AC81" s="101">
        <v>7.6809738797787524E-7</v>
      </c>
      <c r="AD81" s="101">
        <v>2.7759901412870844E-10</v>
      </c>
      <c r="AE81" s="101">
        <v>4.8674044183245175E-24</v>
      </c>
      <c r="AF81">
        <f t="shared" si="62"/>
        <v>21792.5</v>
      </c>
      <c r="AG81" s="101">
        <f t="shared" si="63"/>
        <v>2.8480377533121898E-2</v>
      </c>
      <c r="AH81" s="101">
        <f t="shared" si="64"/>
        <v>1.5921439338455724E-2</v>
      </c>
      <c r="AI81" s="101">
        <f t="shared" si="65"/>
        <v>2.1535213126589795E-2</v>
      </c>
      <c r="AJ81" s="101">
        <f t="shared" si="66"/>
        <v>4.4881374659618105E-3</v>
      </c>
      <c r="AK81" s="101">
        <f t="shared" si="67"/>
        <v>2.0143377913370102E-6</v>
      </c>
      <c r="AL81">
        <f t="shared" si="68"/>
        <v>2.1535213126589795E-2</v>
      </c>
      <c r="AM81" s="195">
        <f t="shared" si="38"/>
        <v>2.0143377913370103E-5</v>
      </c>
      <c r="AN81">
        <f t="shared" si="69"/>
        <v>1.7047075660627985E-2</v>
      </c>
      <c r="AO81">
        <f t="shared" si="70"/>
        <v>1.0017403639181446</v>
      </c>
      <c r="AP81">
        <f t="shared" si="71"/>
        <v>0.58294523398914389</v>
      </c>
      <c r="AQ81">
        <f t="shared" si="72"/>
        <v>3.66687787876802E-5</v>
      </c>
      <c r="AR81">
        <f t="shared" si="73"/>
        <v>2.1066487157303509E-2</v>
      </c>
      <c r="AS81">
        <f t="shared" si="74"/>
        <v>1.0533633147661431E-2</v>
      </c>
      <c r="AT81" s="101">
        <f t="shared" ref="AT81:AZ90" si="91">$BA81+$AH$7*SIN(AU81)</f>
        <v>6.3042151574111438</v>
      </c>
      <c r="AU81" s="101">
        <f t="shared" si="91"/>
        <v>6.3042151574111438</v>
      </c>
      <c r="AV81" s="101">
        <f t="shared" si="91"/>
        <v>6.3042151574111438</v>
      </c>
      <c r="AW81" s="101">
        <f t="shared" si="91"/>
        <v>6.3042151574111438</v>
      </c>
      <c r="AX81" s="101">
        <f t="shared" si="91"/>
        <v>6.3042151574109511</v>
      </c>
      <c r="AY81" s="101">
        <f t="shared" si="91"/>
        <v>6.3042151573002725</v>
      </c>
      <c r="AZ81" s="101">
        <f t="shared" si="91"/>
        <v>6.304215093705019</v>
      </c>
      <c r="BA81" s="101">
        <f t="shared" si="75"/>
        <v>6.3041785523939646</v>
      </c>
      <c r="BB81"/>
      <c r="BC81">
        <v>27000</v>
      </c>
      <c r="BD81">
        <f t="shared" si="77"/>
        <v>2.723760703945647E-2</v>
      </c>
      <c r="BE81">
        <f t="shared" si="78"/>
        <v>2.4694069097640527E-3</v>
      </c>
      <c r="BF81">
        <f t="shared" si="79"/>
        <v>2.4768200129692417E-2</v>
      </c>
      <c r="BG81">
        <f t="shared" si="80"/>
        <v>1.0015967519210414</v>
      </c>
      <c r="BH81">
        <f t="shared" si="81"/>
        <v>0.84730366985025296</v>
      </c>
      <c r="BI81">
        <f t="shared" si="82"/>
        <v>0.40960538694685472</v>
      </c>
      <c r="BJ81">
        <f t="shared" si="83"/>
        <v>0.20771498925618104</v>
      </c>
      <c r="BK81">
        <f t="shared" si="90"/>
        <v>6.6920979974500483</v>
      </c>
      <c r="BL81">
        <f t="shared" si="90"/>
        <v>6.6920979974500483</v>
      </c>
      <c r="BM81">
        <f t="shared" si="90"/>
        <v>6.6920979974500483</v>
      </c>
      <c r="BN81">
        <f t="shared" si="89"/>
        <v>6.6920979974500439</v>
      </c>
      <c r="BO81">
        <f t="shared" si="89"/>
        <v>6.6920979974472283</v>
      </c>
      <c r="BP81">
        <f t="shared" si="89"/>
        <v>6.6920979956840236</v>
      </c>
      <c r="BQ81">
        <f t="shared" si="89"/>
        <v>6.6920968917716035</v>
      </c>
      <c r="BR81">
        <f t="shared" si="87"/>
        <v>6.6914058544692967</v>
      </c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</row>
    <row r="82" spans="1:92" s="101" customFormat="1">
      <c r="A82" s="10" t="s">
        <v>107</v>
      </c>
      <c r="B82"/>
      <c r="C82" s="26">
        <v>51602.444000000003</v>
      </c>
      <c r="D82" s="25"/>
      <c r="E82" s="101">
        <f t="shared" si="57"/>
        <v>21347.102968740412</v>
      </c>
      <c r="F82" s="101">
        <f t="shared" si="58"/>
        <v>21347</v>
      </c>
      <c r="G82" s="101">
        <f t="shared" si="49"/>
        <v>3.3969746000366285E-2</v>
      </c>
      <c r="J82" s="101">
        <f t="shared" si="76"/>
        <v>3.3969746000366285E-2</v>
      </c>
      <c r="P82" s="103">
        <f t="shared" si="59"/>
        <v>1.2094753091669751E-2</v>
      </c>
      <c r="Q82" s="104">
        <f t="shared" si="60"/>
        <v>36583.944000000003</v>
      </c>
      <c r="R82" s="101">
        <f t="shared" si="61"/>
        <v>4.7851531475552367E-4</v>
      </c>
      <c r="S82" s="101">
        <v>0.1</v>
      </c>
      <c r="T82" s="221"/>
      <c r="AF82">
        <f t="shared" si="62"/>
        <v>21347</v>
      </c>
      <c r="AG82" s="101">
        <f t="shared" si="63"/>
        <v>2.8344044508059038E-2</v>
      </c>
      <c r="AH82" s="101">
        <f t="shared" si="64"/>
        <v>1.7720454583976999E-2</v>
      </c>
      <c r="AI82" s="101">
        <f t="shared" si="65"/>
        <v>2.1874992908696534E-2</v>
      </c>
      <c r="AJ82" s="101">
        <f t="shared" si="66"/>
        <v>5.6257014923072474E-3</v>
      </c>
      <c r="AK82" s="101">
        <f t="shared" si="67"/>
        <v>3.1648517280547994E-6</v>
      </c>
      <c r="AL82">
        <f t="shared" si="68"/>
        <v>2.1874992908696534E-2</v>
      </c>
      <c r="AM82" s="195">
        <f t="shared" si="38"/>
        <v>3.1648517280547992E-5</v>
      </c>
      <c r="AN82">
        <f t="shared" si="69"/>
        <v>1.6249291416389287E-2</v>
      </c>
      <c r="AO82">
        <f t="shared" si="70"/>
        <v>1.0017406211321485</v>
      </c>
      <c r="AP82">
        <f t="shared" si="71"/>
        <v>0.55561802067003474</v>
      </c>
      <c r="AQ82">
        <f t="shared" si="72"/>
        <v>-2.1195311648145126E-5</v>
      </c>
      <c r="AR82">
        <f t="shared" si="73"/>
        <v>-1.2176264991815466E-2</v>
      </c>
      <c r="AS82">
        <f t="shared" si="74"/>
        <v>-6.0882077166250249E-3</v>
      </c>
      <c r="AT82" s="101">
        <f t="shared" si="91"/>
        <v>6.2710302190849836</v>
      </c>
      <c r="AU82" s="101">
        <f t="shared" si="91"/>
        <v>6.2710302190849836</v>
      </c>
      <c r="AV82" s="101">
        <f t="shared" si="91"/>
        <v>6.2710302190849836</v>
      </c>
      <c r="AW82" s="101">
        <f t="shared" si="91"/>
        <v>6.2710302190849836</v>
      </c>
      <c r="AX82" s="101">
        <f t="shared" si="91"/>
        <v>6.2710302190850946</v>
      </c>
      <c r="AY82" s="101">
        <f t="shared" si="91"/>
        <v>6.2710302191490888</v>
      </c>
      <c r="AZ82" s="101">
        <f t="shared" si="91"/>
        <v>6.2710302559138444</v>
      </c>
      <c r="BA82" s="101">
        <f t="shared" si="75"/>
        <v>6.271051377535672</v>
      </c>
      <c r="BB82"/>
      <c r="BC82">
        <v>25000</v>
      </c>
      <c r="BD82">
        <f t="shared" si="77"/>
        <v>2.8366790811860117E-2</v>
      </c>
      <c r="BE82">
        <f t="shared" si="78"/>
        <v>6.1805908979627872E-3</v>
      </c>
      <c r="BF82">
        <f t="shared" si="79"/>
        <v>2.218619991389733E-2</v>
      </c>
      <c r="BG82">
        <f t="shared" si="80"/>
        <v>1.0016820658617378</v>
      </c>
      <c r="BH82">
        <f t="shared" si="81"/>
        <v>0.75893697686240713</v>
      </c>
      <c r="BI82">
        <f t="shared" si="82"/>
        <v>0.26039669932308862</v>
      </c>
      <c r="BJ82">
        <f t="shared" si="83"/>
        <v>0.13093906314151743</v>
      </c>
      <c r="BK82">
        <f t="shared" si="90"/>
        <v>6.5431342024638983</v>
      </c>
      <c r="BL82">
        <f t="shared" si="90"/>
        <v>6.5431342024638983</v>
      </c>
      <c r="BM82">
        <f t="shared" si="90"/>
        <v>6.5431342024638983</v>
      </c>
      <c r="BN82">
        <f t="shared" ref="BN82:BQ91" si="92">$BR82+$AH$7*SIN(BO82)</f>
        <v>6.5431342024638948</v>
      </c>
      <c r="BO82">
        <f t="shared" si="92"/>
        <v>6.5431342024617685</v>
      </c>
      <c r="BP82">
        <f t="shared" si="92"/>
        <v>6.5431342011975957</v>
      </c>
      <c r="BQ82">
        <f t="shared" si="92"/>
        <v>6.5431334497276596</v>
      </c>
      <c r="BR82">
        <f t="shared" si="87"/>
        <v>6.542686775419722</v>
      </c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</row>
    <row r="83" spans="1:92" s="101" customFormat="1">
      <c r="A83" s="10" t="s">
        <v>107</v>
      </c>
      <c r="B83"/>
      <c r="C83" s="26">
        <v>51596.341</v>
      </c>
      <c r="D83" s="25"/>
      <c r="E83" s="101">
        <f t="shared" si="57"/>
        <v>21328.603618678982</v>
      </c>
      <c r="F83" s="101">
        <f t="shared" si="58"/>
        <v>21328.5</v>
      </c>
      <c r="G83" s="101">
        <f t="shared" si="49"/>
        <v>3.4184162999736145E-2</v>
      </c>
      <c r="J83" s="101">
        <f t="shared" si="76"/>
        <v>3.4184162999736145E-2</v>
      </c>
      <c r="P83" s="103">
        <f t="shared" si="59"/>
        <v>1.2121861482749578E-2</v>
      </c>
      <c r="Q83" s="104">
        <f t="shared" si="60"/>
        <v>36577.841</v>
      </c>
      <c r="R83" s="101">
        <f t="shared" si="61"/>
        <v>4.8674514822642778E-4</v>
      </c>
      <c r="S83" s="101">
        <v>0.1</v>
      </c>
      <c r="T83" s="221"/>
      <c r="AF83">
        <f t="shared" si="62"/>
        <v>21328.5</v>
      </c>
      <c r="AG83" s="101">
        <f t="shared" si="63"/>
        <v>2.83376307352575E-2</v>
      </c>
      <c r="AH83" s="101">
        <f t="shared" si="64"/>
        <v>1.7968393747228223E-2</v>
      </c>
      <c r="AI83" s="101">
        <f t="shared" si="65"/>
        <v>2.2062301516986568E-2</v>
      </c>
      <c r="AJ83" s="101">
        <f t="shared" si="66"/>
        <v>5.8465322644786454E-3</v>
      </c>
      <c r="AK83" s="101">
        <f t="shared" si="67"/>
        <v>3.4181939519589797E-6</v>
      </c>
      <c r="AL83">
        <f t="shared" si="68"/>
        <v>2.2062301516986568E-2</v>
      </c>
      <c r="AM83" s="195">
        <f t="shared" si="38"/>
        <v>3.4181939519589795E-5</v>
      </c>
      <c r="AN83">
        <f t="shared" si="69"/>
        <v>1.6215769252507922E-2</v>
      </c>
      <c r="AO83">
        <f t="shared" si="70"/>
        <v>1.0017405902145693</v>
      </c>
      <c r="AP83">
        <f t="shared" si="71"/>
        <v>0.55446973277127221</v>
      </c>
      <c r="AQ83">
        <f t="shared" si="72"/>
        <v>-2.3598132624811093E-5</v>
      </c>
      <c r="AR83">
        <f t="shared" si="73"/>
        <v>-1.3556715849735739E-2</v>
      </c>
      <c r="AS83">
        <f t="shared" si="74"/>
        <v>-6.7784617398945436E-3</v>
      </c>
      <c r="AT83" s="101">
        <f t="shared" si="91"/>
        <v>6.2696521689608389</v>
      </c>
      <c r="AU83" s="101">
        <f t="shared" si="91"/>
        <v>6.2696521689608389</v>
      </c>
      <c r="AV83" s="101">
        <f t="shared" si="91"/>
        <v>6.2696521689608389</v>
      </c>
      <c r="AW83" s="101">
        <f t="shared" si="91"/>
        <v>6.2696521689608389</v>
      </c>
      <c r="AX83" s="101">
        <f t="shared" si="91"/>
        <v>6.2696521689609632</v>
      </c>
      <c r="AY83" s="101">
        <f t="shared" si="91"/>
        <v>6.2696521690322085</v>
      </c>
      <c r="AZ83" s="101">
        <f t="shared" si="91"/>
        <v>6.2696522099641046</v>
      </c>
      <c r="BA83" s="101">
        <f t="shared" si="75"/>
        <v>6.2696757260544631</v>
      </c>
      <c r="BB83"/>
      <c r="BC83">
        <v>24000</v>
      </c>
      <c r="BD83">
        <f t="shared" si="77"/>
        <v>2.8617441092384864E-2</v>
      </c>
      <c r="BE83">
        <f t="shared" si="78"/>
        <v>7.9106189827849067E-3</v>
      </c>
      <c r="BF83">
        <f t="shared" si="79"/>
        <v>2.0706822109599957E-2</v>
      </c>
      <c r="BG83">
        <f t="shared" si="80"/>
        <v>1.0017107948188084</v>
      </c>
      <c r="BH83">
        <f t="shared" si="81"/>
        <v>0.70828553118281978</v>
      </c>
      <c r="BI83">
        <f t="shared" si="82"/>
        <v>0.1857841978143758</v>
      </c>
      <c r="BJ83">
        <f t="shared" si="83"/>
        <v>9.3160211201201396E-2</v>
      </c>
      <c r="BK83">
        <f t="shared" si="90"/>
        <v>6.4686482329081931</v>
      </c>
      <c r="BL83">
        <f t="shared" si="90"/>
        <v>6.4686482329081931</v>
      </c>
      <c r="BM83">
        <f t="shared" si="90"/>
        <v>6.4686482329081931</v>
      </c>
      <c r="BN83">
        <f t="shared" si="92"/>
        <v>6.4686482329081905</v>
      </c>
      <c r="BO83">
        <f t="shared" si="92"/>
        <v>6.4686482329065855</v>
      </c>
      <c r="BP83">
        <f t="shared" si="92"/>
        <v>6.4686482319685519</v>
      </c>
      <c r="BQ83">
        <f t="shared" si="92"/>
        <v>6.4686476836985065</v>
      </c>
      <c r="BR83">
        <f t="shared" si="87"/>
        <v>6.4683272358949342</v>
      </c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</row>
    <row r="84" spans="1:92" s="101" customFormat="1">
      <c r="A84" s="10" t="s">
        <v>107</v>
      </c>
      <c r="B84"/>
      <c r="C84" s="26">
        <v>51591.392999999996</v>
      </c>
      <c r="D84" s="25"/>
      <c r="E84" s="101">
        <f t="shared" si="57"/>
        <v>21313.605292592798</v>
      </c>
      <c r="F84" s="101">
        <f t="shared" si="58"/>
        <v>21313.5</v>
      </c>
      <c r="G84" s="101">
        <f t="shared" si="49"/>
        <v>3.4736392990453169E-2</v>
      </c>
      <c r="J84" s="101">
        <f t="shared" si="76"/>
        <v>3.4736392990453169E-2</v>
      </c>
      <c r="P84" s="103">
        <f t="shared" si="59"/>
        <v>1.2143820227345989E-2</v>
      </c>
      <c r="Q84" s="104">
        <f t="shared" si="60"/>
        <v>36572.892999999996</v>
      </c>
      <c r="R84" s="101">
        <f t="shared" si="61"/>
        <v>5.1042434405629234E-4</v>
      </c>
      <c r="S84" s="101">
        <v>0.1</v>
      </c>
      <c r="T84" s="221"/>
      <c r="AF84">
        <f t="shared" si="62"/>
        <v>21313.5</v>
      </c>
      <c r="AG84" s="101">
        <f t="shared" si="63"/>
        <v>2.8332386738490711E-2</v>
      </c>
      <c r="AH84" s="101">
        <f t="shared" si="64"/>
        <v>1.8547826479308447E-2</v>
      </c>
      <c r="AI84" s="101">
        <f t="shared" si="65"/>
        <v>2.259257276310718E-2</v>
      </c>
      <c r="AJ84" s="101">
        <f t="shared" si="66"/>
        <v>6.4040062519624581E-3</v>
      </c>
      <c r="AK84" s="101">
        <f t="shared" si="67"/>
        <v>4.1011296075174253E-6</v>
      </c>
      <c r="AL84">
        <f t="shared" si="68"/>
        <v>2.259257276310718E-2</v>
      </c>
      <c r="AM84" s="195">
        <f t="shared" si="38"/>
        <v>4.1011296075174249E-5</v>
      </c>
      <c r="AN84">
        <f t="shared" si="69"/>
        <v>1.6188566511144722E-2</v>
      </c>
      <c r="AO84">
        <f t="shared" si="70"/>
        <v>1.0017405627112492</v>
      </c>
      <c r="AP84">
        <f t="shared" si="71"/>
        <v>0.553537912802743</v>
      </c>
      <c r="AQ84">
        <f t="shared" si="72"/>
        <v>-2.5546332934350935E-5</v>
      </c>
      <c r="AR84">
        <f t="shared" si="73"/>
        <v>-1.4676000263643019E-2</v>
      </c>
      <c r="AS84">
        <f t="shared" si="74"/>
        <v>-7.3381318425782844E-3</v>
      </c>
      <c r="AT84" s="101">
        <f t="shared" si="91"/>
        <v>6.26853483105503</v>
      </c>
      <c r="AU84" s="101">
        <f t="shared" si="91"/>
        <v>6.26853483105503</v>
      </c>
      <c r="AV84" s="101">
        <f t="shared" si="91"/>
        <v>6.26853483105503</v>
      </c>
      <c r="AW84" s="101">
        <f t="shared" si="91"/>
        <v>6.2685348310550308</v>
      </c>
      <c r="AX84" s="101">
        <f t="shared" si="91"/>
        <v>6.268534831055165</v>
      </c>
      <c r="AY84" s="101">
        <f t="shared" si="91"/>
        <v>6.2685348311322899</v>
      </c>
      <c r="AZ84" s="101">
        <f t="shared" si="91"/>
        <v>6.2685348754427226</v>
      </c>
      <c r="BA84" s="101">
        <f t="shared" si="75"/>
        <v>6.2685603329615915</v>
      </c>
      <c r="BB84"/>
      <c r="BC84">
        <v>23500</v>
      </c>
      <c r="BD84">
        <f t="shared" si="77"/>
        <v>2.8667759937713731E-2</v>
      </c>
      <c r="BE84">
        <f t="shared" si="78"/>
        <v>8.7442420478766568E-3</v>
      </c>
      <c r="BF84">
        <f t="shared" si="79"/>
        <v>1.9923517889837074E-2</v>
      </c>
      <c r="BG84">
        <f t="shared" si="80"/>
        <v>1.0017215977379801</v>
      </c>
      <c r="BH84">
        <f t="shared" si="81"/>
        <v>0.68146231607728935</v>
      </c>
      <c r="BI84">
        <f t="shared" si="82"/>
        <v>0.14847651857688551</v>
      </c>
      <c r="BJ84">
        <f t="shared" si="83"/>
        <v>7.4374944201857487E-2</v>
      </c>
      <c r="BK84">
        <f t="shared" si="90"/>
        <v>6.4314045351057505</v>
      </c>
      <c r="BL84">
        <f t="shared" si="90"/>
        <v>6.4314045351057505</v>
      </c>
      <c r="BM84">
        <f t="shared" si="90"/>
        <v>6.4314045351057505</v>
      </c>
      <c r="BN84">
        <f t="shared" si="92"/>
        <v>6.4314045351057487</v>
      </c>
      <c r="BO84">
        <f t="shared" si="92"/>
        <v>6.4314045351044387</v>
      </c>
      <c r="BP84">
        <f t="shared" si="92"/>
        <v>6.4314045343437511</v>
      </c>
      <c r="BQ84">
        <f t="shared" si="92"/>
        <v>6.4314040925108813</v>
      </c>
      <c r="BR84">
        <f t="shared" si="87"/>
        <v>6.4311474661325398</v>
      </c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</row>
    <row r="85" spans="1:92" s="101" customFormat="1">
      <c r="A85" s="10" t="s">
        <v>769</v>
      </c>
      <c r="B85"/>
      <c r="C85" s="26">
        <v>44520.700599999996</v>
      </c>
      <c r="D85" s="25"/>
      <c r="E85" s="101">
        <f t="shared" ref="E85:E116" si="93">+(C85-C$7)/C$8</f>
        <v>-119.00389702466701</v>
      </c>
      <c r="F85" s="101">
        <f t="shared" ref="F85:F116" si="94">ROUND(2*E85,0)/2</f>
        <v>-119</v>
      </c>
      <c r="G85" s="101">
        <f>+C85-(C$7+F85*C$8)+T85*K$9</f>
        <v>-1.2856420071329921E-3</v>
      </c>
      <c r="K85" s="105">
        <f t="shared" ref="K85:K116" si="95">G85</f>
        <v>-1.2856420071329921E-3</v>
      </c>
      <c r="P85" s="103">
        <f t="shared" ref="P85:P116" si="96">+D$11+D$12*F85+D$13*F85^2</f>
        <v>2.4279737416654616E-2</v>
      </c>
      <c r="Q85" s="104">
        <f t="shared" ref="Q85:Q116" si="97">+C85-15018.5</f>
        <v>29502.200599999996</v>
      </c>
      <c r="R85" s="101">
        <f t="shared" ref="R85:R116" si="98">+(P85-G85)^2</f>
        <v>6.5358862508222283E-4</v>
      </c>
      <c r="S85" s="101">
        <v>1</v>
      </c>
      <c r="T85" s="221"/>
      <c r="U85" s="101">
        <v>5.1655732856195528E-7</v>
      </c>
      <c r="V85" s="101">
        <v>9.5450183438209047E-16</v>
      </c>
      <c r="W85" s="101">
        <v>7.0836683138234838E-26</v>
      </c>
      <c r="X85" s="101">
        <v>1.8801231557766837E-9</v>
      </c>
      <c r="Y85" s="101">
        <v>1.2240474888355139E-4</v>
      </c>
      <c r="Z85" s="101">
        <v>0.77417217020014228</v>
      </c>
      <c r="AA85" s="101">
        <v>2.6125498508860714E-2</v>
      </c>
      <c r="AB85" s="101">
        <v>57122.449235467298</v>
      </c>
      <c r="AC85" s="101">
        <v>5.6440792816711582E-5</v>
      </c>
      <c r="AD85" s="101">
        <v>6.5945212222224436E-7</v>
      </c>
      <c r="AE85" s="101">
        <v>3.4729703720425762E-19</v>
      </c>
      <c r="AF85">
        <f t="shared" ref="AF85:AF116" si="99">F85</f>
        <v>-119</v>
      </c>
      <c r="AG85" s="101">
        <f t="shared" ref="AG85:AG116" si="100">AH$3+AH$4*AF85+AH$5*AF85^2+AN85</f>
        <v>-4.6661329925200626E-4</v>
      </c>
      <c r="AH85" s="101">
        <f t="shared" ref="AH85:AH116" si="101">IF(S85&lt;&gt;0,G85-AN85, -9999)</f>
        <v>2.346070870877363E-2</v>
      </c>
      <c r="AI85" s="101">
        <f t="shared" ref="AI85:AI116" si="102">+G85-P85</f>
        <v>-2.5565379423787608E-2</v>
      </c>
      <c r="AJ85" s="101">
        <f t="shared" ref="AJ85:AJ116" si="103">IF(S85&lt;&gt;0,G85-AG85, -9999)</f>
        <v>-8.1902870788098589E-4</v>
      </c>
      <c r="AK85" s="101">
        <f t="shared" ref="AK85:AK116" si="104">+(G85-AG85)^2*S85</f>
        <v>6.7080802433319734E-7</v>
      </c>
      <c r="AL85">
        <f t="shared" ref="AL85:AL116" si="105">IF(S85&lt;&gt;0,G85-P85, -9999)</f>
        <v>-2.5565379423787608E-2</v>
      </c>
      <c r="AM85" s="195">
        <f t="shared" si="38"/>
        <v>6.7080802433319734E-7</v>
      </c>
      <c r="AN85">
        <f t="shared" ref="AN85:AN116" si="106">$AH$6*($AH$11/AO85*AP85+$AH$12)</f>
        <v>-2.4746350715906622E-2</v>
      </c>
      <c r="AO85">
        <f t="shared" ref="AO85:AO116" si="107">1+$AH$7*COS(AR85)</f>
        <v>0.99992861752148976</v>
      </c>
      <c r="AP85">
        <f t="shared" ref="AP85:AP116" si="108">SIN(AR85+RADIANS($AH$9))</f>
        <v>-0.84711478050774014</v>
      </c>
      <c r="AQ85">
        <f t="shared" ref="AQ85:AQ116" si="109">$AH$7*SIN(AR85)</f>
        <v>-1.7392859766810025E-3</v>
      </c>
      <c r="AR85">
        <f t="shared" ref="AR85:AR116" si="110">2*ATAN(AS85)</f>
        <v>-1.6118145615230595</v>
      </c>
      <c r="AS85">
        <f t="shared" ref="AS85:AS116" si="111">SQRT((1+$AH$7)/(1-$AH$7))*TAN(AT85/2)</f>
        <v>-1.0418830924955691</v>
      </c>
      <c r="AT85" s="101">
        <f t="shared" si="91"/>
        <v>4.6731100945918831</v>
      </c>
      <c r="AU85" s="101">
        <f t="shared" si="91"/>
        <v>4.6731100945918831</v>
      </c>
      <c r="AV85" s="101">
        <f t="shared" si="91"/>
        <v>4.6731100945918831</v>
      </c>
      <c r="AW85" s="101">
        <f t="shared" si="91"/>
        <v>4.6731100945918831</v>
      </c>
      <c r="AX85" s="101">
        <f t="shared" si="91"/>
        <v>4.6731100945918831</v>
      </c>
      <c r="AY85" s="101">
        <f t="shared" si="91"/>
        <v>4.6731100945998314</v>
      </c>
      <c r="AZ85" s="101">
        <f t="shared" si="91"/>
        <v>4.6731099783223309</v>
      </c>
      <c r="BA85" s="101">
        <f t="shared" ref="BA85:BA116" si="112">RADIANS($AH$9)+$AH$18*(F85-AH$15)</f>
        <v>4.6748495020965795</v>
      </c>
      <c r="BB85"/>
      <c r="BC85">
        <v>7500</v>
      </c>
      <c r="BD85">
        <f t="shared" si="77"/>
        <v>1.1860980731780837E-2</v>
      </c>
      <c r="BE85">
        <f t="shared" si="78"/>
        <v>2.4370556114414559E-2</v>
      </c>
      <c r="BF85">
        <f t="shared" si="79"/>
        <v>-1.2509575382633722E-2</v>
      </c>
      <c r="BG85">
        <f t="shared" si="80"/>
        <v>1.0008739878982884</v>
      </c>
      <c r="BH85">
        <f t="shared" si="81"/>
        <v>-0.42911885565547403</v>
      </c>
      <c r="BI85">
        <f t="shared" si="82"/>
        <v>-1.0447993843175285</v>
      </c>
      <c r="BJ85">
        <f t="shared" si="83"/>
        <v>-0.57575259655915167</v>
      </c>
      <c r="BK85">
        <f t="shared" si="90"/>
        <v>5.2398907083699937</v>
      </c>
      <c r="BL85">
        <f t="shared" si="90"/>
        <v>5.2398907083699937</v>
      </c>
      <c r="BM85">
        <f t="shared" si="90"/>
        <v>5.2398907083699937</v>
      </c>
      <c r="BN85">
        <f t="shared" si="92"/>
        <v>5.2398907083699946</v>
      </c>
      <c r="BO85">
        <f t="shared" si="92"/>
        <v>5.2398907083710062</v>
      </c>
      <c r="BP85">
        <f t="shared" si="92"/>
        <v>5.2398907095263798</v>
      </c>
      <c r="BQ85">
        <f t="shared" si="92"/>
        <v>5.239892028064232</v>
      </c>
      <c r="BR85">
        <f t="shared" si="87"/>
        <v>5.2413948337359368</v>
      </c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</row>
    <row r="86" spans="1:92" s="101" customFormat="1">
      <c r="A86" s="10" t="s">
        <v>769</v>
      </c>
      <c r="B86"/>
      <c r="C86" s="26">
        <v>44520.865299999998</v>
      </c>
      <c r="D86" s="25"/>
      <c r="E86" s="101">
        <f t="shared" si="93"/>
        <v>-118.50466009936176</v>
      </c>
      <c r="F86" s="101">
        <f t="shared" si="94"/>
        <v>-118.5</v>
      </c>
      <c r="G86" s="101">
        <f t="shared" ref="G86:G149" si="113">+C86-(C$7+F86*C$8)+T86*K$9</f>
        <v>-1.5373830028693192E-3</v>
      </c>
      <c r="I86" s="102"/>
      <c r="K86" s="105">
        <f t="shared" si="95"/>
        <v>-1.5373830028693192E-3</v>
      </c>
      <c r="P86" s="103">
        <f t="shared" si="96"/>
        <v>2.4279902811442711E-2</v>
      </c>
      <c r="Q86" s="104">
        <f t="shared" si="97"/>
        <v>29502.365299999998</v>
      </c>
      <c r="R86" s="101">
        <f t="shared" si="98"/>
        <v>6.6653224681787718E-4</v>
      </c>
      <c r="S86" s="101">
        <v>1</v>
      </c>
      <c r="T86" s="221"/>
      <c r="U86" s="101">
        <v>5.1632665764444582E-7</v>
      </c>
      <c r="V86" s="101">
        <v>9.5412171812642843E-16</v>
      </c>
      <c r="W86" s="101">
        <v>7.0815282476875551E-26</v>
      </c>
      <c r="X86" s="101">
        <v>1.8796148898737982E-9</v>
      </c>
      <c r="Y86" s="101">
        <v>1.2239546091661905E-4</v>
      </c>
      <c r="Z86" s="101">
        <v>0.77392021683853784</v>
      </c>
      <c r="AA86" s="101">
        <v>2.6124998938731273E-2</v>
      </c>
      <c r="AB86" s="101">
        <v>57100.89604535776</v>
      </c>
      <c r="AC86" s="101">
        <v>5.6425534810648373E-5</v>
      </c>
      <c r="AD86" s="101">
        <v>6.592392226944433E-7</v>
      </c>
      <c r="AE86" s="101">
        <v>3.4719211435985086E-19</v>
      </c>
      <c r="AF86">
        <f t="shared" si="99"/>
        <v>-118.5</v>
      </c>
      <c r="AG86" s="101">
        <f t="shared" si="100"/>
        <v>-4.6586852147224508E-4</v>
      </c>
      <c r="AH86" s="101">
        <f t="shared" si="101"/>
        <v>2.3208388330045637E-2</v>
      </c>
      <c r="AI86" s="101">
        <f t="shared" si="102"/>
        <v>-2.581728581431203E-2</v>
      </c>
      <c r="AJ86" s="101">
        <f t="shared" si="103"/>
        <v>-1.0715144813970741E-3</v>
      </c>
      <c r="AK86" s="101">
        <f t="shared" si="104"/>
        <v>1.1481432838436406E-6</v>
      </c>
      <c r="AL86">
        <f t="shared" si="105"/>
        <v>-2.581728581431203E-2</v>
      </c>
      <c r="AM86" s="195">
        <f t="shared" ref="AM86:AM149" si="114">+(G86-AG86)^2</f>
        <v>1.1481432838436406E-6</v>
      </c>
      <c r="AN86">
        <f t="shared" si="106"/>
        <v>-2.4745771332914956E-2</v>
      </c>
      <c r="AO86">
        <f t="shared" si="107"/>
        <v>0.99992868217885755</v>
      </c>
      <c r="AP86">
        <f t="shared" si="108"/>
        <v>-0.8470950249518755</v>
      </c>
      <c r="AQ86">
        <f t="shared" si="109"/>
        <v>-1.7392886290966626E-3</v>
      </c>
      <c r="AR86">
        <f t="shared" si="110"/>
        <v>-1.6117773868897014</v>
      </c>
      <c r="AS86">
        <f t="shared" si="111"/>
        <v>-1.0418443290185364</v>
      </c>
      <c r="AT86" s="101">
        <f t="shared" si="91"/>
        <v>4.6731472718215183</v>
      </c>
      <c r="AU86" s="101">
        <f t="shared" si="91"/>
        <v>4.6731472718215183</v>
      </c>
      <c r="AV86" s="101">
        <f t="shared" si="91"/>
        <v>4.6731472718215183</v>
      </c>
      <c r="AW86" s="101">
        <f t="shared" si="91"/>
        <v>4.6731472718215183</v>
      </c>
      <c r="AX86" s="101">
        <f t="shared" si="91"/>
        <v>4.6731472718215183</v>
      </c>
      <c r="AY86" s="101">
        <f t="shared" si="91"/>
        <v>4.6731472718294516</v>
      </c>
      <c r="AZ86" s="101">
        <f t="shared" si="91"/>
        <v>4.6731471556642852</v>
      </c>
      <c r="BA86" s="101">
        <f t="shared" si="112"/>
        <v>4.6748866818663419</v>
      </c>
      <c r="BB86"/>
      <c r="BC86">
        <v>8000</v>
      </c>
      <c r="BD86">
        <f t="shared" si="77"/>
        <v>1.2689160584889574E-2</v>
      </c>
      <c r="BE86">
        <f t="shared" si="78"/>
        <v>2.4206607232134813E-2</v>
      </c>
      <c r="BF86">
        <f t="shared" si="79"/>
        <v>-1.1517446647245239E-2</v>
      </c>
      <c r="BG86">
        <f t="shared" si="80"/>
        <v>1.0009294419934018</v>
      </c>
      <c r="BH86">
        <f t="shared" si="81"/>
        <v>-0.39518569667141579</v>
      </c>
      <c r="BI86">
        <f t="shared" si="82"/>
        <v>-1.0075523561856949</v>
      </c>
      <c r="BJ86">
        <f t="shared" si="83"/>
        <v>-0.55121581395813046</v>
      </c>
      <c r="BK86">
        <f t="shared" si="90"/>
        <v>5.2771041203084081</v>
      </c>
      <c r="BL86">
        <f t="shared" si="90"/>
        <v>5.2771041203084081</v>
      </c>
      <c r="BM86">
        <f t="shared" si="90"/>
        <v>5.2771041203084081</v>
      </c>
      <c r="BN86">
        <f t="shared" si="92"/>
        <v>5.2771041203084099</v>
      </c>
      <c r="BO86">
        <f t="shared" si="92"/>
        <v>5.2771041203095992</v>
      </c>
      <c r="BP86">
        <f t="shared" si="92"/>
        <v>5.2771041215861088</v>
      </c>
      <c r="BQ86">
        <f t="shared" si="92"/>
        <v>5.2771054918091913</v>
      </c>
      <c r="BR86">
        <f t="shared" si="87"/>
        <v>5.2785746034983312</v>
      </c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</row>
    <row r="87" spans="1:92" s="101" customFormat="1">
      <c r="A87" s="10" t="s">
        <v>769</v>
      </c>
      <c r="B87" t="s">
        <v>86</v>
      </c>
      <c r="C87" s="26">
        <v>44556.825700000001</v>
      </c>
      <c r="D87" s="25"/>
      <c r="E87" s="101">
        <f t="shared" si="93"/>
        <v>-9.5018700045195033</v>
      </c>
      <c r="F87" s="101">
        <f t="shared" si="94"/>
        <v>-9.5</v>
      </c>
      <c r="G87" s="101">
        <f t="shared" si="113"/>
        <v>-6.1692100280197337E-4</v>
      </c>
      <c r="K87" s="105">
        <f t="shared" si="95"/>
        <v>-6.1692100280197337E-4</v>
      </c>
      <c r="P87" s="103">
        <f t="shared" si="96"/>
        <v>2.4315459319234446E-2</v>
      </c>
      <c r="Q87" s="104">
        <f t="shared" si="97"/>
        <v>29538.325700000001</v>
      </c>
      <c r="R87" s="101">
        <f t="shared" si="98"/>
        <v>6.2162358852266883E-4</v>
      </c>
      <c r="S87" s="101">
        <v>1</v>
      </c>
      <c r="T87" s="221"/>
      <c r="AF87">
        <f t="shared" si="99"/>
        <v>-9.5</v>
      </c>
      <c r="AG87" s="101">
        <f t="shared" si="100"/>
        <v>-3.0319056017237209E-4</v>
      </c>
      <c r="AH87" s="101">
        <f t="shared" si="101"/>
        <v>2.4001728876604844E-2</v>
      </c>
      <c r="AI87" s="101">
        <f t="shared" si="102"/>
        <v>-2.4932380322036419E-2</v>
      </c>
      <c r="AJ87" s="101">
        <f t="shared" si="103"/>
        <v>-3.1373044262960129E-4</v>
      </c>
      <c r="AK87" s="101">
        <f t="shared" si="104"/>
        <v>9.8426790632565546E-8</v>
      </c>
      <c r="AL87">
        <f t="shared" si="105"/>
        <v>-2.4932380322036419E-2</v>
      </c>
      <c r="AM87" s="195">
        <f t="shared" si="114"/>
        <v>9.8426790632565546E-8</v>
      </c>
      <c r="AN87">
        <f t="shared" si="106"/>
        <v>-2.4618649879406818E-2</v>
      </c>
      <c r="AO87">
        <f t="shared" si="107"/>
        <v>0.99994277988310365</v>
      </c>
      <c r="AP87">
        <f t="shared" si="108"/>
        <v>-0.84276035479847511</v>
      </c>
      <c r="AQ87">
        <f t="shared" si="109"/>
        <v>-1.7398094795522344E-3</v>
      </c>
      <c r="AR87">
        <f t="shared" si="110"/>
        <v>-1.6036732020424516</v>
      </c>
      <c r="AS87">
        <f t="shared" si="111"/>
        <v>-1.0334294137582605</v>
      </c>
      <c r="AT87" s="101">
        <f t="shared" si="91"/>
        <v>4.6812519652733409</v>
      </c>
      <c r="AU87" s="101">
        <f t="shared" si="91"/>
        <v>4.6812519652733409</v>
      </c>
      <c r="AV87" s="101">
        <f t="shared" si="91"/>
        <v>4.6812519652733409</v>
      </c>
      <c r="AW87" s="101">
        <f t="shared" si="91"/>
        <v>4.6812519652733409</v>
      </c>
      <c r="AX87" s="101">
        <f t="shared" si="91"/>
        <v>4.6812519652733409</v>
      </c>
      <c r="AY87" s="101">
        <f t="shared" si="91"/>
        <v>4.6812519652783076</v>
      </c>
      <c r="AZ87" s="101">
        <f t="shared" si="91"/>
        <v>4.6812518736162154</v>
      </c>
      <c r="BA87" s="101">
        <f t="shared" si="112"/>
        <v>4.6829918716745436</v>
      </c>
      <c r="BB87"/>
      <c r="BC87">
        <v>8500</v>
      </c>
      <c r="BD87">
        <f t="shared" si="77"/>
        <v>1.3512416700402392E-2</v>
      </c>
      <c r="BE87">
        <f t="shared" si="78"/>
        <v>2.402173103164219E-2</v>
      </c>
      <c r="BF87">
        <f t="shared" si="79"/>
        <v>-1.0509314331239798E-2</v>
      </c>
      <c r="BG87">
        <f t="shared" si="80"/>
        <v>1.000983612644422</v>
      </c>
      <c r="BH87">
        <f t="shared" si="81"/>
        <v>-0.36070053827360232</v>
      </c>
      <c r="BI87">
        <f t="shared" si="82"/>
        <v>-0.97030124795029515</v>
      </c>
      <c r="BJ87">
        <f t="shared" si="83"/>
        <v>-0.52717513087935097</v>
      </c>
      <c r="BK87">
        <f t="shared" si="90"/>
        <v>5.314319570401822</v>
      </c>
      <c r="BL87">
        <f t="shared" si="90"/>
        <v>5.314319570401822</v>
      </c>
      <c r="BM87">
        <f t="shared" si="90"/>
        <v>5.314319570401822</v>
      </c>
      <c r="BN87">
        <f t="shared" si="92"/>
        <v>5.3143195704018229</v>
      </c>
      <c r="BO87">
        <f t="shared" si="92"/>
        <v>5.3143195704031969</v>
      </c>
      <c r="BP87">
        <f t="shared" si="92"/>
        <v>5.314319571797264</v>
      </c>
      <c r="BQ87">
        <f t="shared" si="92"/>
        <v>5.3143209861251401</v>
      </c>
      <c r="BR87">
        <f t="shared" si="87"/>
        <v>5.3157543732607246</v>
      </c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</row>
    <row r="88" spans="1:92" s="101" customFormat="1">
      <c r="A88" s="10" t="s">
        <v>769</v>
      </c>
      <c r="B88" s="5" t="s">
        <v>86</v>
      </c>
      <c r="C88" s="26">
        <v>44558.805699999997</v>
      </c>
      <c r="D88" s="25"/>
      <c r="E88" s="101">
        <f t="shared" si="93"/>
        <v>-3.5001146183913705</v>
      </c>
      <c r="F88" s="101">
        <f t="shared" si="94"/>
        <v>-3.5</v>
      </c>
      <c r="G88" s="101">
        <f t="shared" si="113"/>
        <v>-3.7813006201758981E-5</v>
      </c>
      <c r="K88" s="105">
        <f t="shared" si="95"/>
        <v>-3.7813006201758981E-5</v>
      </c>
      <c r="P88" s="103">
        <f t="shared" si="96"/>
        <v>2.4317387678496321E-2</v>
      </c>
      <c r="Q88" s="104">
        <f t="shared" si="97"/>
        <v>29540.305699999997</v>
      </c>
      <c r="R88" s="101">
        <f t="shared" si="98"/>
        <v>5.9317580039191782E-4</v>
      </c>
      <c r="S88" s="101">
        <v>1</v>
      </c>
      <c r="T88" s="221"/>
      <c r="AF88">
        <f t="shared" si="99"/>
        <v>-3.5</v>
      </c>
      <c r="AG88" s="101">
        <f t="shared" si="100"/>
        <v>-2.942176033338996E-4</v>
      </c>
      <c r="AH88" s="101">
        <f t="shared" si="101"/>
        <v>2.4573792275628462E-2</v>
      </c>
      <c r="AI88" s="101">
        <f t="shared" si="102"/>
        <v>-2.435520068469808E-2</v>
      </c>
      <c r="AJ88" s="101">
        <f t="shared" si="103"/>
        <v>2.5640459713214062E-4</v>
      </c>
      <c r="AK88" s="101">
        <f t="shared" si="104"/>
        <v>6.5743317430495331E-8</v>
      </c>
      <c r="AL88">
        <f t="shared" si="105"/>
        <v>-2.435520068469808E-2</v>
      </c>
      <c r="AM88" s="195">
        <f t="shared" si="114"/>
        <v>6.5743317430495331E-8</v>
      </c>
      <c r="AN88">
        <f t="shared" si="106"/>
        <v>-2.4611605281830221E-2</v>
      </c>
      <c r="AO88">
        <f t="shared" si="107"/>
        <v>0.99994355603266316</v>
      </c>
      <c r="AP88">
        <f t="shared" si="108"/>
        <v>-0.84252013564498662</v>
      </c>
      <c r="AQ88">
        <f t="shared" si="109"/>
        <v>-1.7398348328127979E-3</v>
      </c>
      <c r="AR88">
        <f t="shared" si="110"/>
        <v>-1.6032270934882136</v>
      </c>
      <c r="AS88">
        <f t="shared" si="111"/>
        <v>-1.032968249083507</v>
      </c>
      <c r="AT88" s="101">
        <f t="shared" si="91"/>
        <v>4.6816980985063399</v>
      </c>
      <c r="AU88" s="101">
        <f t="shared" si="91"/>
        <v>4.6816980985063399</v>
      </c>
      <c r="AV88" s="101">
        <f t="shared" si="91"/>
        <v>4.6816980985063399</v>
      </c>
      <c r="AW88" s="101">
        <f t="shared" si="91"/>
        <v>4.6816980985063399</v>
      </c>
      <c r="AX88" s="101">
        <f t="shared" si="91"/>
        <v>4.6816980985063399</v>
      </c>
      <c r="AY88" s="101">
        <f t="shared" si="91"/>
        <v>4.6816980985111636</v>
      </c>
      <c r="AZ88" s="101">
        <f t="shared" si="91"/>
        <v>4.6816980081986177</v>
      </c>
      <c r="BA88" s="101">
        <f t="shared" si="112"/>
        <v>4.6834380289116924</v>
      </c>
      <c r="BB88"/>
      <c r="BC88">
        <v>9000</v>
      </c>
      <c r="BD88">
        <f t="shared" si="77"/>
        <v>1.4329354132676077E-2</v>
      </c>
      <c r="BE88">
        <f t="shared" si="78"/>
        <v>2.3815927512936694E-2</v>
      </c>
      <c r="BF88">
        <f t="shared" si="79"/>
        <v>-9.4865733802606163E-3</v>
      </c>
      <c r="BG88">
        <f t="shared" si="80"/>
        <v>1.001036424117155</v>
      </c>
      <c r="BH88">
        <f t="shared" si="81"/>
        <v>-0.32571114860825406</v>
      </c>
      <c r="BI88">
        <f t="shared" si="82"/>
        <v>-0.93304615775089561</v>
      </c>
      <c r="BJ88">
        <f t="shared" si="83"/>
        <v>-0.50359952242312911</v>
      </c>
      <c r="BK88">
        <f t="shared" si="90"/>
        <v>5.3515370095184664</v>
      </c>
      <c r="BL88">
        <f t="shared" si="90"/>
        <v>5.3515370095184664</v>
      </c>
      <c r="BM88">
        <f t="shared" si="90"/>
        <v>5.3515370095184664</v>
      </c>
      <c r="BN88">
        <f t="shared" si="92"/>
        <v>5.3515370095184682</v>
      </c>
      <c r="BO88">
        <f t="shared" si="92"/>
        <v>5.3515370095200323</v>
      </c>
      <c r="BP88">
        <f t="shared" si="92"/>
        <v>5.3515370110263136</v>
      </c>
      <c r="BQ88">
        <f t="shared" si="92"/>
        <v>5.3515384616344575</v>
      </c>
      <c r="BR88">
        <f t="shared" si="87"/>
        <v>5.3529341430231181</v>
      </c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</row>
    <row r="89" spans="1:92" s="101" customFormat="1">
      <c r="A89" s="146" t="s">
        <v>272</v>
      </c>
      <c r="B89" s="147" t="s">
        <v>87</v>
      </c>
      <c r="C89" s="146">
        <v>44559.960700000003</v>
      </c>
      <c r="D89" s="146" t="s">
        <v>264</v>
      </c>
      <c r="E89" s="101">
        <f t="shared" si="93"/>
        <v>9.0935687577047193E-4</v>
      </c>
      <c r="F89" s="101">
        <f t="shared" si="94"/>
        <v>0</v>
      </c>
      <c r="G89" s="101">
        <f t="shared" si="113"/>
        <v>2.9999999969732016E-4</v>
      </c>
      <c r="K89" s="101">
        <f t="shared" si="95"/>
        <v>2.9999999969732016E-4</v>
      </c>
      <c r="O89" s="101">
        <f ca="1">+C$11+C$12*F89</f>
        <v>0.1247356825737215</v>
      </c>
      <c r="P89" s="103">
        <f t="shared" si="96"/>
        <v>2.4318511163065756E-2</v>
      </c>
      <c r="Q89" s="104">
        <f t="shared" si="97"/>
        <v>29541.460700000003</v>
      </c>
      <c r="R89" s="101">
        <f t="shared" si="98"/>
        <v>5.7688887850485416E-4</v>
      </c>
      <c r="S89" s="101">
        <v>1</v>
      </c>
      <c r="T89" s="221"/>
      <c r="AF89">
        <f t="shared" si="99"/>
        <v>0</v>
      </c>
      <c r="AG89" s="101">
        <f t="shared" si="100"/>
        <v>-2.889825053754673E-4</v>
      </c>
      <c r="AH89" s="101">
        <f t="shared" si="101"/>
        <v>2.4907493668138544E-2</v>
      </c>
      <c r="AI89" s="101">
        <f t="shared" si="102"/>
        <v>-2.4018511163368436E-2</v>
      </c>
      <c r="AJ89" s="101">
        <f t="shared" si="103"/>
        <v>5.8898250507278746E-4</v>
      </c>
      <c r="AK89" s="101">
        <f t="shared" si="104"/>
        <v>3.4690039128181613E-7</v>
      </c>
      <c r="AL89">
        <f t="shared" si="105"/>
        <v>-2.4018511163368436E-2</v>
      </c>
      <c r="AM89" s="195">
        <f t="shared" si="114"/>
        <v>3.4690039128181613E-7</v>
      </c>
      <c r="AN89">
        <f t="shared" si="106"/>
        <v>-2.4607493668441224E-2</v>
      </c>
      <c r="AO89">
        <f t="shared" si="107"/>
        <v>0.99994400879232681</v>
      </c>
      <c r="AP89">
        <f t="shared" si="108"/>
        <v>-0.84237993019802893</v>
      </c>
      <c r="AQ89">
        <f t="shared" si="109"/>
        <v>-1.7398494623330925E-3</v>
      </c>
      <c r="AR89">
        <f t="shared" si="110"/>
        <v>-1.602966863178424</v>
      </c>
      <c r="AS89">
        <f t="shared" si="111"/>
        <v>-1.0326993341551205</v>
      </c>
      <c r="AT89" s="101">
        <f t="shared" si="91"/>
        <v>4.6819583430521732</v>
      </c>
      <c r="AU89" s="101">
        <f t="shared" si="91"/>
        <v>4.6819583430521732</v>
      </c>
      <c r="AV89" s="101">
        <f t="shared" si="91"/>
        <v>4.6819583430521732</v>
      </c>
      <c r="AW89" s="101">
        <f t="shared" si="91"/>
        <v>4.6819583430521732</v>
      </c>
      <c r="AX89" s="101">
        <f t="shared" si="91"/>
        <v>4.6819583430521732</v>
      </c>
      <c r="AY89" s="101">
        <f t="shared" si="91"/>
        <v>4.6819583430569152</v>
      </c>
      <c r="AZ89" s="101">
        <f t="shared" si="91"/>
        <v>4.6819582535316373</v>
      </c>
      <c r="BA89" s="101">
        <f t="shared" si="112"/>
        <v>4.6836982873000288</v>
      </c>
      <c r="BB89"/>
      <c r="BC89">
        <v>10500</v>
      </c>
      <c r="BD89">
        <f t="shared" si="77"/>
        <v>1.6728005284424228E-2</v>
      </c>
      <c r="BE89">
        <f t="shared" si="78"/>
        <v>2.3072953047542952E-2</v>
      </c>
      <c r="BF89">
        <f t="shared" si="79"/>
        <v>-6.3449477631187237E-3</v>
      </c>
      <c r="BG89">
        <f t="shared" si="80"/>
        <v>1.0011859745599621</v>
      </c>
      <c r="BH89">
        <f t="shared" si="81"/>
        <v>-0.21820590609552801</v>
      </c>
      <c r="BI89">
        <f t="shared" si="82"/>
        <v>-0.8212580596846295</v>
      </c>
      <c r="BJ89">
        <f t="shared" si="83"/>
        <v>-0.43537926548970635</v>
      </c>
      <c r="BK89">
        <f t="shared" si="90"/>
        <v>5.4632007283942965</v>
      </c>
      <c r="BL89">
        <f t="shared" si="90"/>
        <v>5.4632007283942965</v>
      </c>
      <c r="BM89">
        <f t="shared" si="90"/>
        <v>5.4632007283942965</v>
      </c>
      <c r="BN89">
        <f t="shared" si="92"/>
        <v>5.4632007283942992</v>
      </c>
      <c r="BO89">
        <f t="shared" si="92"/>
        <v>5.4632007283964299</v>
      </c>
      <c r="BP89">
        <f t="shared" si="92"/>
        <v>5.4632007301905521</v>
      </c>
      <c r="BQ89">
        <f t="shared" si="92"/>
        <v>5.463202240906913</v>
      </c>
      <c r="BR89">
        <f t="shared" si="87"/>
        <v>5.4644734523103002</v>
      </c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2" s="101" customFormat="1">
      <c r="A90" s="10" t="s">
        <v>100</v>
      </c>
      <c r="B90" s="5" t="s">
        <v>86</v>
      </c>
      <c r="C90" s="26">
        <v>45732.607600000003</v>
      </c>
      <c r="D90" s="25"/>
      <c r="E90" s="101">
        <f t="shared" si="93"/>
        <v>3554.5159841629052</v>
      </c>
      <c r="F90" s="101">
        <f t="shared" si="94"/>
        <v>3554.5</v>
      </c>
      <c r="G90" s="101">
        <f t="shared" si="113"/>
        <v>5.2732309995917603E-3</v>
      </c>
      <c r="K90" s="101">
        <f t="shared" si="95"/>
        <v>5.2732309995917603E-3</v>
      </c>
      <c r="P90" s="103">
        <f t="shared" si="96"/>
        <v>2.4930158130410926E-2</v>
      </c>
      <c r="Q90" s="104">
        <f t="shared" si="97"/>
        <v>30714.107600000003</v>
      </c>
      <c r="R90" s="101">
        <f t="shared" si="98"/>
        <v>3.8639478422633462E-4</v>
      </c>
      <c r="S90" s="101">
        <v>1</v>
      </c>
      <c r="T90" s="221"/>
      <c r="U90" s="101">
        <v>4.26929538873387E-10</v>
      </c>
      <c r="V90" s="101">
        <v>3.2910483595470022E-21</v>
      </c>
      <c r="W90" s="101">
        <v>4.0590122203254426E-29</v>
      </c>
      <c r="X90" s="101">
        <v>7.5361480194341093E-10</v>
      </c>
      <c r="Y90" s="101">
        <v>1.7405736645792688E-7</v>
      </c>
      <c r="Z90" s="101">
        <v>2.4414624407089911E-4</v>
      </c>
      <c r="AA90" s="101">
        <v>1.9684535524772878E-8</v>
      </c>
      <c r="AB90" s="101">
        <v>22.164664505145758</v>
      </c>
      <c r="AC90" s="101">
        <v>2.2623314206535671E-5</v>
      </c>
      <c r="AD90" s="101">
        <v>7.6666262388307019E-9</v>
      </c>
      <c r="AE90" s="101">
        <v>1.990046478239522E-22</v>
      </c>
      <c r="AF90">
        <f t="shared" si="99"/>
        <v>3554.5</v>
      </c>
      <c r="AG90" s="101">
        <f t="shared" si="100"/>
        <v>5.3064701863377341E-3</v>
      </c>
      <c r="AH90" s="101">
        <f t="shared" si="101"/>
        <v>2.4896918943664952E-2</v>
      </c>
      <c r="AI90" s="101">
        <f t="shared" si="102"/>
        <v>-1.9656927130819166E-2</v>
      </c>
      <c r="AJ90" s="101">
        <f t="shared" si="103"/>
        <v>-3.3239186745973731E-5</v>
      </c>
      <c r="AK90" s="101">
        <f t="shared" si="104"/>
        <v>1.1048435355337158E-9</v>
      </c>
      <c r="AL90">
        <f t="shared" si="105"/>
        <v>-1.9656927130819166E-2</v>
      </c>
      <c r="AM90" s="195">
        <f t="shared" si="114"/>
        <v>1.1048435355337158E-9</v>
      </c>
      <c r="AN90">
        <f t="shared" si="106"/>
        <v>-1.9623687944073192E-2</v>
      </c>
      <c r="AO90">
        <f t="shared" si="107"/>
        <v>1.00040063611351</v>
      </c>
      <c r="AP90">
        <f t="shared" si="108"/>
        <v>-0.67227729891014953</v>
      </c>
      <c r="AQ90">
        <f t="shared" si="109"/>
        <v>-1.6940194424707902E-3</v>
      </c>
      <c r="AR90">
        <f t="shared" si="110"/>
        <v>-1.338563056147688</v>
      </c>
      <c r="AS90">
        <f t="shared" si="111"/>
        <v>-0.79108540699138563</v>
      </c>
      <c r="AT90" s="101">
        <f t="shared" si="91"/>
        <v>4.946315932077578</v>
      </c>
      <c r="AU90" s="101">
        <f t="shared" si="91"/>
        <v>4.946315932077578</v>
      </c>
      <c r="AV90" s="101">
        <f t="shared" si="91"/>
        <v>4.946315932077578</v>
      </c>
      <c r="AW90" s="101">
        <f t="shared" si="91"/>
        <v>4.946315932077578</v>
      </c>
      <c r="AX90" s="101">
        <f t="shared" si="91"/>
        <v>4.946315932077689</v>
      </c>
      <c r="AY90" s="101">
        <f t="shared" si="91"/>
        <v>4.9463159323542598</v>
      </c>
      <c r="AZ90" s="101">
        <f t="shared" si="91"/>
        <v>4.9463166177749569</v>
      </c>
      <c r="BA90" s="101">
        <f t="shared" si="112"/>
        <v>4.9480092705408873</v>
      </c>
      <c r="BB90"/>
      <c r="BC90">
        <v>11500</v>
      </c>
      <c r="BD90">
        <f t="shared" si="77"/>
        <v>1.8269095630044065E-2</v>
      </c>
      <c r="BE90">
        <f t="shared" si="78"/>
        <v>2.2473000146216088E-2</v>
      </c>
      <c r="BF90">
        <f t="shared" si="79"/>
        <v>-4.203904516172024E-3</v>
      </c>
      <c r="BG90">
        <f t="shared" si="80"/>
        <v>1.0012775787473402</v>
      </c>
      <c r="BH90">
        <f t="shared" si="81"/>
        <v>-0.1449203108377618</v>
      </c>
      <c r="BI90">
        <f t="shared" si="82"/>
        <v>-0.74671479500132987</v>
      </c>
      <c r="BJ90">
        <f t="shared" si="83"/>
        <v>-0.39173068962673058</v>
      </c>
      <c r="BK90">
        <f t="shared" si="90"/>
        <v>5.5376521302005113</v>
      </c>
      <c r="BL90">
        <f t="shared" si="90"/>
        <v>5.5376521302005113</v>
      </c>
      <c r="BM90">
        <f t="shared" si="90"/>
        <v>5.5376521302005113</v>
      </c>
      <c r="BN90">
        <f t="shared" si="92"/>
        <v>5.5376521302005148</v>
      </c>
      <c r="BO90">
        <f t="shared" si="92"/>
        <v>5.5376521302029831</v>
      </c>
      <c r="BP90">
        <f t="shared" si="92"/>
        <v>5.537652132133192</v>
      </c>
      <c r="BQ90">
        <f t="shared" si="92"/>
        <v>5.5376536413159476</v>
      </c>
      <c r="BR90">
        <f t="shared" si="87"/>
        <v>5.5388329918350871</v>
      </c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</row>
    <row r="91" spans="1:92" s="101" customFormat="1">
      <c r="A91" s="15" t="s">
        <v>97</v>
      </c>
      <c r="B91" s="5" t="s">
        <v>87</v>
      </c>
      <c r="C91" s="26">
        <v>51241.522299999997</v>
      </c>
      <c r="D91" s="25">
        <v>2.0000000000000001E-4</v>
      </c>
      <c r="E91" s="101">
        <f t="shared" si="93"/>
        <v>20253.080869270707</v>
      </c>
      <c r="F91" s="101">
        <f t="shared" si="94"/>
        <v>20253</v>
      </c>
      <c r="G91" s="101">
        <f t="shared" si="113"/>
        <v>2.6679053989937529E-2</v>
      </c>
      <c r="K91" s="105">
        <f t="shared" si="95"/>
        <v>2.6679053989937529E-2</v>
      </c>
      <c r="P91" s="103">
        <f t="shared" si="96"/>
        <v>1.3648565421816847E-2</v>
      </c>
      <c r="Q91" s="104">
        <f t="shared" si="97"/>
        <v>36223.022299999997</v>
      </c>
      <c r="R91" s="101">
        <f t="shared" si="98"/>
        <v>1.6979363232392378E-4</v>
      </c>
      <c r="S91" s="101">
        <v>1</v>
      </c>
      <c r="T91" s="221"/>
      <c r="AF91">
        <f t="shared" si="99"/>
        <v>20253</v>
      </c>
      <c r="AG91" s="101">
        <f t="shared" si="100"/>
        <v>2.7864704614205184E-2</v>
      </c>
      <c r="AH91" s="101">
        <f t="shared" si="101"/>
        <v>1.2462914797549192E-2</v>
      </c>
      <c r="AI91" s="101">
        <f t="shared" si="102"/>
        <v>1.3030488568120682E-2</v>
      </c>
      <c r="AJ91" s="101">
        <f t="shared" si="103"/>
        <v>-1.1856506242676548E-3</v>
      </c>
      <c r="AK91" s="101">
        <f t="shared" si="104"/>
        <v>1.4057674028262797E-6</v>
      </c>
      <c r="AL91">
        <f t="shared" si="105"/>
        <v>1.3030488568120682E-2</v>
      </c>
      <c r="AM91" s="195">
        <f t="shared" si="114"/>
        <v>1.4057674028262797E-6</v>
      </c>
      <c r="AN91">
        <f t="shared" si="106"/>
        <v>1.4216139192388337E-2</v>
      </c>
      <c r="AO91">
        <f t="shared" si="107"/>
        <v>1.0017330963829425</v>
      </c>
      <c r="AP91">
        <f t="shared" si="108"/>
        <v>0.48597061718079992</v>
      </c>
      <c r="AQ91">
        <f t="shared" si="109"/>
        <v>-1.6305856110218516E-4</v>
      </c>
      <c r="AR91">
        <f t="shared" si="110"/>
        <v>-9.3808959599515379E-2</v>
      </c>
      <c r="AS91">
        <f t="shared" si="111"/>
        <v>-4.6938907187679645E-2</v>
      </c>
      <c r="AT91" s="101">
        <f t="shared" ref="AT91:AZ100" si="115">$BA91+$AH$7*SIN(AU91)</f>
        <v>6.1895392650883592</v>
      </c>
      <c r="AU91" s="101">
        <f t="shared" si="115"/>
        <v>6.1895392650883592</v>
      </c>
      <c r="AV91" s="101">
        <f t="shared" si="115"/>
        <v>6.1895392650883592</v>
      </c>
      <c r="AW91" s="101">
        <f t="shared" si="115"/>
        <v>6.1895392650883601</v>
      </c>
      <c r="AX91" s="101">
        <f t="shared" si="115"/>
        <v>6.1895392650892065</v>
      </c>
      <c r="AY91" s="101">
        <f t="shared" si="115"/>
        <v>6.1895392655772961</v>
      </c>
      <c r="AZ91" s="101">
        <f t="shared" si="115"/>
        <v>6.189539547201691</v>
      </c>
      <c r="BA91" s="101">
        <f t="shared" si="112"/>
        <v>6.1897020412955541</v>
      </c>
      <c r="BB91"/>
      <c r="BC91">
        <v>22000</v>
      </c>
      <c r="BD91">
        <f t="shared" ref="BD91:BD108" si="116">AH$3+AH$4*BC91+AH$5*BC91^2+BF91</f>
        <v>2.8531850770017068E-2</v>
      </c>
      <c r="BE91">
        <f t="shared" ref="BE91:BE108" si="117">AH$3+AH$4*BC91+AH$5*BC91^2</f>
        <v>1.1119547333874647E-2</v>
      </c>
      <c r="BF91">
        <f t="shared" ref="BF91:BF108" si="118">$AH$6*($AH$11/BG91*BH91+$AH$12)</f>
        <v>1.7412303436142421E-2</v>
      </c>
      <c r="BG91">
        <f t="shared" ref="BG91:BG108" si="119">1+$AH$7*COS(BI91)</f>
        <v>1.0017395875728936</v>
      </c>
      <c r="BH91">
        <f t="shared" ref="BH91:BH108" si="120">SIN(BI91+RADIANS($AH$9))</f>
        <v>0.59545530967720839</v>
      </c>
      <c r="BI91">
        <f t="shared" ref="BI91:BI108" si="121">2*ATAN(BJ91)</f>
        <v>3.6549904048658315E-2</v>
      </c>
      <c r="BJ91">
        <f t="shared" ref="BJ91:BJ108" si="122">SQRT((1+$AH$7)/(1-$AH$7))*TAN(BK91/2)</f>
        <v>1.8276986748307078E-2</v>
      </c>
      <c r="BK91">
        <f t="shared" si="90"/>
        <v>6.3196716563728659</v>
      </c>
      <c r="BL91">
        <f t="shared" si="90"/>
        <v>6.3196716563728659</v>
      </c>
      <c r="BM91">
        <f t="shared" si="90"/>
        <v>6.3196716563728659</v>
      </c>
      <c r="BN91">
        <f t="shared" si="92"/>
        <v>6.3196716563728659</v>
      </c>
      <c r="BO91">
        <f t="shared" si="92"/>
        <v>6.3196716563725319</v>
      </c>
      <c r="BP91">
        <f t="shared" si="92"/>
        <v>6.3196716561807049</v>
      </c>
      <c r="BQ91">
        <f t="shared" si="92"/>
        <v>6.3196715459094923</v>
      </c>
      <c r="BR91">
        <f t="shared" si="87"/>
        <v>6.3196081568453586</v>
      </c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</row>
    <row r="92" spans="1:92" s="101" customFormat="1">
      <c r="A92" s="17" t="s">
        <v>97</v>
      </c>
      <c r="B92" s="5" t="s">
        <v>87</v>
      </c>
      <c r="C92" s="26">
        <v>52311.068899999838</v>
      </c>
      <c r="D92" s="25">
        <v>2.9999999999999997E-4</v>
      </c>
      <c r="E92" s="101">
        <f t="shared" si="93"/>
        <v>23495.07938809762</v>
      </c>
      <c r="F92" s="101">
        <f t="shared" si="94"/>
        <v>23495</v>
      </c>
      <c r="G92" s="101">
        <f t="shared" si="113"/>
        <v>2.6190409836999606E-2</v>
      </c>
      <c r="K92" s="105">
        <f t="shared" si="95"/>
        <v>2.6190409836999606E-2</v>
      </c>
      <c r="P92" s="103">
        <f t="shared" si="96"/>
        <v>8.752472595570597E-3</v>
      </c>
      <c r="Q92" s="104">
        <f t="shared" si="97"/>
        <v>37292.568899999838</v>
      </c>
      <c r="R92" s="101">
        <f t="shared" si="98"/>
        <v>3.0408165523601675E-4</v>
      </c>
      <c r="S92" s="101">
        <v>1</v>
      </c>
      <c r="T92" s="221"/>
      <c r="AF92">
        <f t="shared" si="99"/>
        <v>23495</v>
      </c>
      <c r="AG92" s="101">
        <f t="shared" si="100"/>
        <v>2.8668016013810558E-2</v>
      </c>
      <c r="AH92" s="101">
        <f t="shared" si="101"/>
        <v>6.2748664187596455E-3</v>
      </c>
      <c r="AI92" s="101">
        <f t="shared" si="102"/>
        <v>1.7437937241429009E-2</v>
      </c>
      <c r="AJ92" s="101">
        <f t="shared" si="103"/>
        <v>-2.4776061768109515E-3</v>
      </c>
      <c r="AK92" s="101">
        <f t="shared" si="104"/>
        <v>6.1385323673717805E-6</v>
      </c>
      <c r="AL92">
        <f t="shared" si="105"/>
        <v>1.7437937241429009E-2</v>
      </c>
      <c r="AM92" s="195">
        <f t="shared" si="114"/>
        <v>6.1385323673717805E-6</v>
      </c>
      <c r="AN92">
        <f t="shared" si="106"/>
        <v>1.9915543418239961E-2</v>
      </c>
      <c r="AO92">
        <f t="shared" si="107"/>
        <v>1.0017216936908968</v>
      </c>
      <c r="AP92">
        <f t="shared" si="108"/>
        <v>0.68118922834959972</v>
      </c>
      <c r="AQ92">
        <f t="shared" si="109"/>
        <v>2.5686961993044173E-4</v>
      </c>
      <c r="AR92">
        <f t="shared" si="110"/>
        <v>0.14810343787362076</v>
      </c>
      <c r="AS92">
        <f t="shared" si="111"/>
        <v>7.4187374577737969E-2</v>
      </c>
      <c r="AT92" s="101">
        <f t="shared" si="115"/>
        <v>6.4310320961756382</v>
      </c>
      <c r="AU92" s="101">
        <f t="shared" si="115"/>
        <v>6.4310320961756382</v>
      </c>
      <c r="AV92" s="101">
        <f t="shared" si="115"/>
        <v>6.4310320961756382</v>
      </c>
      <c r="AW92" s="101">
        <f t="shared" si="115"/>
        <v>6.4310320961756355</v>
      </c>
      <c r="AX92" s="101">
        <f t="shared" si="115"/>
        <v>6.431032096174329</v>
      </c>
      <c r="AY92" s="101">
        <f t="shared" si="115"/>
        <v>6.4310320954154552</v>
      </c>
      <c r="AZ92" s="101">
        <f t="shared" si="115"/>
        <v>6.4310316546602984</v>
      </c>
      <c r="BA92" s="101">
        <f t="shared" si="112"/>
        <v>6.430775668434916</v>
      </c>
      <c r="BB92"/>
      <c r="BC92">
        <v>29500</v>
      </c>
      <c r="BD92">
        <f t="shared" si="116"/>
        <v>2.4578001764207685E-2</v>
      </c>
      <c r="BE92">
        <f t="shared" si="117"/>
        <v>-2.6404377352740593E-3</v>
      </c>
      <c r="BF92">
        <f t="shared" si="118"/>
        <v>2.7218439499481745E-2</v>
      </c>
      <c r="BG92">
        <f t="shared" si="119"/>
        <v>1.0014405530669983</v>
      </c>
      <c r="BH92">
        <f t="shared" si="120"/>
        <v>0.93107708007214163</v>
      </c>
      <c r="BI92">
        <f t="shared" si="121"/>
        <v>0.59607178662169169</v>
      </c>
      <c r="BJ92">
        <f t="shared" si="122"/>
        <v>0.30718550364358022</v>
      </c>
      <c r="BK92">
        <f t="shared" si="90"/>
        <v>6.8782805462852048</v>
      </c>
      <c r="BL92">
        <f t="shared" si="90"/>
        <v>6.8782805462852048</v>
      </c>
      <c r="BM92">
        <f t="shared" si="90"/>
        <v>6.8782805462852048</v>
      </c>
      <c r="BN92">
        <f t="shared" ref="BN92:BQ97" si="123">$BR92+$AH$7*SIN(BO92)</f>
        <v>6.8782805462852004</v>
      </c>
      <c r="BO92">
        <f t="shared" si="123"/>
        <v>6.8782805462822809</v>
      </c>
      <c r="BP92">
        <f t="shared" si="123"/>
        <v>6.8782805442567891</v>
      </c>
      <c r="BQ92">
        <f t="shared" si="123"/>
        <v>6.8782791391365556</v>
      </c>
      <c r="BR92">
        <f t="shared" si="87"/>
        <v>6.8773047032812666</v>
      </c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</row>
    <row r="93" spans="1:92" s="101" customFormat="1">
      <c r="A93" s="17" t="s">
        <v>97</v>
      </c>
      <c r="B93" s="5" t="s">
        <v>87</v>
      </c>
      <c r="C93" s="26">
        <v>52313.048400000203</v>
      </c>
      <c r="D93" s="25">
        <v>2.0000000000000001E-4</v>
      </c>
      <c r="E93" s="101">
        <f t="shared" si="93"/>
        <v>23501.079627890071</v>
      </c>
      <c r="F93" s="101">
        <f t="shared" si="94"/>
        <v>23501</v>
      </c>
      <c r="G93" s="101">
        <f t="shared" si="113"/>
        <v>2.6269518202752806E-2</v>
      </c>
      <c r="K93" s="105">
        <f t="shared" si="95"/>
        <v>2.6269518202752806E-2</v>
      </c>
      <c r="P93" s="103">
        <f t="shared" si="96"/>
        <v>8.7425956872100481E-3</v>
      </c>
      <c r="Q93" s="104">
        <f t="shared" si="97"/>
        <v>37294.548400000203</v>
      </c>
      <c r="R93" s="101">
        <f t="shared" si="98"/>
        <v>3.0719301286583967E-4</v>
      </c>
      <c r="S93" s="101">
        <v>1</v>
      </c>
      <c r="T93" s="221"/>
      <c r="AF93">
        <f t="shared" si="99"/>
        <v>23501</v>
      </c>
      <c r="AG93" s="101">
        <f t="shared" si="100"/>
        <v>2.8667708139677502E-2</v>
      </c>
      <c r="AH93" s="101">
        <f t="shared" si="101"/>
        <v>6.3444057502853521E-3</v>
      </c>
      <c r="AI93" s="101">
        <f t="shared" si="102"/>
        <v>1.7526922515542758E-2</v>
      </c>
      <c r="AJ93" s="101">
        <f t="shared" si="103"/>
        <v>-2.398189936924696E-3</v>
      </c>
      <c r="AK93" s="101">
        <f t="shared" si="104"/>
        <v>5.751314973566878E-6</v>
      </c>
      <c r="AL93">
        <f t="shared" si="105"/>
        <v>1.7526922515542758E-2</v>
      </c>
      <c r="AM93" s="195">
        <f t="shared" si="114"/>
        <v>5.751314973566878E-6</v>
      </c>
      <c r="AN93">
        <f t="shared" si="106"/>
        <v>1.9925112452467454E-2</v>
      </c>
      <c r="AO93">
        <f t="shared" si="107"/>
        <v>1.0017215785186431</v>
      </c>
      <c r="AP93">
        <f t="shared" si="108"/>
        <v>0.6815169222354992</v>
      </c>
      <c r="AQ93">
        <f t="shared" si="109"/>
        <v>2.5764039097902157E-4</v>
      </c>
      <c r="AR93">
        <f t="shared" si="110"/>
        <v>0.14855113470895684</v>
      </c>
      <c r="AS93">
        <f t="shared" si="111"/>
        <v>7.4412458746509438E-2</v>
      </c>
      <c r="AT93" s="101">
        <f t="shared" si="115"/>
        <v>6.4314790228874896</v>
      </c>
      <c r="AU93" s="101">
        <f t="shared" si="115"/>
        <v>6.4314790228874896</v>
      </c>
      <c r="AV93" s="101">
        <f t="shared" si="115"/>
        <v>6.4314790228874896</v>
      </c>
      <c r="AW93" s="101">
        <f t="shared" si="115"/>
        <v>6.4314790228874879</v>
      </c>
      <c r="AX93" s="101">
        <f t="shared" si="115"/>
        <v>6.4314790228861778</v>
      </c>
      <c r="AY93" s="101">
        <f t="shared" si="115"/>
        <v>6.431479022125127</v>
      </c>
      <c r="AZ93" s="101">
        <f t="shared" si="115"/>
        <v>6.4314785800767442</v>
      </c>
      <c r="BA93" s="101">
        <f t="shared" si="112"/>
        <v>6.4312218256720648</v>
      </c>
      <c r="BB93"/>
      <c r="BC93">
        <v>30500</v>
      </c>
      <c r="BD93">
        <f t="shared" si="116"/>
        <v>2.3107848718249214E-2</v>
      </c>
      <c r="BE93">
        <f t="shared" si="117"/>
        <v>-4.8308668207794336E-3</v>
      </c>
      <c r="BF93">
        <f t="shared" si="118"/>
        <v>2.7938715539028647E-2</v>
      </c>
      <c r="BG93">
        <f t="shared" si="119"/>
        <v>1.0013637451235788</v>
      </c>
      <c r="BH93">
        <f t="shared" si="120"/>
        <v>0.95566877753479562</v>
      </c>
      <c r="BI93">
        <f t="shared" si="121"/>
        <v>0.67064043430421683</v>
      </c>
      <c r="BJ93">
        <f t="shared" si="122"/>
        <v>0.34848017862574343</v>
      </c>
      <c r="BK93">
        <f t="shared" si="90"/>
        <v>6.9527446228795782</v>
      </c>
      <c r="BL93">
        <f t="shared" si="90"/>
        <v>6.9527446228795782</v>
      </c>
      <c r="BM93">
        <f t="shared" si="90"/>
        <v>6.9527446228795782</v>
      </c>
      <c r="BN93">
        <f t="shared" si="123"/>
        <v>6.9527446228795746</v>
      </c>
      <c r="BO93">
        <f t="shared" si="123"/>
        <v>6.9527446228768301</v>
      </c>
      <c r="BP93">
        <f t="shared" si="123"/>
        <v>6.9527446208659791</v>
      </c>
      <c r="BQ93">
        <f t="shared" si="123"/>
        <v>6.9527431476235213</v>
      </c>
      <c r="BR93">
        <f t="shared" si="87"/>
        <v>6.9516642428060544</v>
      </c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</row>
    <row r="94" spans="1:92" s="101" customFormat="1">
      <c r="A94" s="17" t="s">
        <v>97</v>
      </c>
      <c r="B94" s="5" t="s">
        <v>87</v>
      </c>
      <c r="C94" s="26">
        <v>52314.038699999917</v>
      </c>
      <c r="D94" s="25">
        <v>2.9999999999999997E-4</v>
      </c>
      <c r="E94" s="101">
        <f t="shared" si="93"/>
        <v>23504.081414939152</v>
      </c>
      <c r="F94" s="101">
        <f t="shared" si="94"/>
        <v>23504</v>
      </c>
      <c r="G94" s="101">
        <f t="shared" si="113"/>
        <v>2.6859071913349908E-2</v>
      </c>
      <c r="K94" s="105">
        <f t="shared" si="95"/>
        <v>2.6859071913349908E-2</v>
      </c>
      <c r="P94" s="103">
        <f t="shared" si="96"/>
        <v>8.7376561029545927E-3</v>
      </c>
      <c r="Q94" s="104">
        <f t="shared" si="97"/>
        <v>37295.538699999917</v>
      </c>
      <c r="R94" s="101">
        <f t="shared" si="98"/>
        <v>3.2838571097324528E-4</v>
      </c>
      <c r="S94" s="101">
        <v>1</v>
      </c>
      <c r="T94" s="221"/>
      <c r="AF94">
        <f t="shared" si="99"/>
        <v>23504</v>
      </c>
      <c r="AG94" s="101">
        <f t="shared" si="100"/>
        <v>2.8667551579775682E-2</v>
      </c>
      <c r="AH94" s="101">
        <f t="shared" si="101"/>
        <v>6.9291764365288187E-3</v>
      </c>
      <c r="AI94" s="101">
        <f t="shared" si="102"/>
        <v>1.8121415810395315E-2</v>
      </c>
      <c r="AJ94" s="101">
        <f t="shared" si="103"/>
        <v>-1.8084796664257739E-3</v>
      </c>
      <c r="AK94" s="101">
        <f t="shared" si="104"/>
        <v>3.2705987038754786E-6</v>
      </c>
      <c r="AL94">
        <f t="shared" si="105"/>
        <v>1.8121415810395315E-2</v>
      </c>
      <c r="AM94" s="195">
        <f t="shared" si="114"/>
        <v>3.2705987038754786E-6</v>
      </c>
      <c r="AN94">
        <f t="shared" si="106"/>
        <v>1.9929895476821089E-2</v>
      </c>
      <c r="AO94">
        <f t="shared" si="107"/>
        <v>1.0017215208031272</v>
      </c>
      <c r="AP94">
        <f t="shared" si="108"/>
        <v>0.68168071792998952</v>
      </c>
      <c r="AQ94">
        <f t="shared" si="109"/>
        <v>2.5802575708163214E-4</v>
      </c>
      <c r="AR94">
        <f t="shared" si="110"/>
        <v>0.14877498308798251</v>
      </c>
      <c r="AS94">
        <f t="shared" si="111"/>
        <v>7.452500362201929E-2</v>
      </c>
      <c r="AT94" s="101">
        <f t="shared" si="115"/>
        <v>6.4317024862241281</v>
      </c>
      <c r="AU94" s="101">
        <f t="shared" si="115"/>
        <v>6.4317024862241281</v>
      </c>
      <c r="AV94" s="101">
        <f t="shared" si="115"/>
        <v>6.4317024862241281</v>
      </c>
      <c r="AW94" s="101">
        <f t="shared" si="115"/>
        <v>6.4317024862241254</v>
      </c>
      <c r="AX94" s="101">
        <f t="shared" si="115"/>
        <v>6.4317024862228136</v>
      </c>
      <c r="AY94" s="101">
        <f t="shared" si="115"/>
        <v>6.4317024854606757</v>
      </c>
      <c r="AZ94" s="101">
        <f t="shared" si="115"/>
        <v>6.4317020427658109</v>
      </c>
      <c r="BA94" s="101">
        <f t="shared" si="112"/>
        <v>6.4314449042906396</v>
      </c>
      <c r="BB94"/>
      <c r="BC94">
        <v>31000</v>
      </c>
      <c r="BD94">
        <f t="shared" si="116"/>
        <v>2.2283513444375395E-2</v>
      </c>
      <c r="BE94">
        <f t="shared" si="117"/>
        <v>-5.9574723408514357E-3</v>
      </c>
      <c r="BF94">
        <f t="shared" si="118"/>
        <v>2.8240985785226831E-2</v>
      </c>
      <c r="BG94">
        <f t="shared" si="119"/>
        <v>1.0013224754756636</v>
      </c>
      <c r="BH94">
        <f t="shared" si="120"/>
        <v>0.96597905749560531</v>
      </c>
      <c r="BI94">
        <f t="shared" si="121"/>
        <v>0.70792032521727399</v>
      </c>
      <c r="BJ94">
        <f t="shared" si="122"/>
        <v>0.36952285289597325</v>
      </c>
      <c r="BK94">
        <f t="shared" si="90"/>
        <v>6.9899744477616137</v>
      </c>
      <c r="BL94">
        <f t="shared" si="90"/>
        <v>6.9899744477616137</v>
      </c>
      <c r="BM94">
        <f t="shared" si="90"/>
        <v>6.9899744477616137</v>
      </c>
      <c r="BN94">
        <f t="shared" si="123"/>
        <v>6.9899744477616101</v>
      </c>
      <c r="BO94">
        <f t="shared" si="123"/>
        <v>6.98997444775899</v>
      </c>
      <c r="BP94">
        <f t="shared" si="123"/>
        <v>6.9899744457797643</v>
      </c>
      <c r="BQ94">
        <f t="shared" si="123"/>
        <v>6.9899729506203503</v>
      </c>
      <c r="BR94">
        <f t="shared" si="87"/>
        <v>6.9888440125684479</v>
      </c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</row>
    <row r="95" spans="1:92" s="101" customFormat="1">
      <c r="A95" s="22" t="s">
        <v>91</v>
      </c>
      <c r="B95" s="18" t="s">
        <v>87</v>
      </c>
      <c r="C95" s="29">
        <v>52607.654999999999</v>
      </c>
      <c r="D95" s="29">
        <v>1E-4</v>
      </c>
      <c r="E95" s="101">
        <f t="shared" si="93"/>
        <v>24394.088086648309</v>
      </c>
      <c r="F95" s="101">
        <f t="shared" si="94"/>
        <v>24394</v>
      </c>
      <c r="G95" s="101">
        <f t="shared" si="113"/>
        <v>2.9060091997962445E-2</v>
      </c>
      <c r="K95" s="101">
        <f t="shared" si="95"/>
        <v>2.9060091997962445E-2</v>
      </c>
      <c r="P95" s="103">
        <f t="shared" si="96"/>
        <v>7.2389812977765484E-3</v>
      </c>
      <c r="Q95" s="104">
        <f t="shared" si="97"/>
        <v>37589.154999999999</v>
      </c>
      <c r="R95" s="101">
        <f t="shared" si="98"/>
        <v>4.7616087218976745E-4</v>
      </c>
      <c r="S95" s="101">
        <v>1</v>
      </c>
      <c r="T95" s="221"/>
      <c r="AF95">
        <f t="shared" si="99"/>
        <v>24394</v>
      </c>
      <c r="AG95" s="101">
        <f t="shared" si="100"/>
        <v>2.8542861930976555E-2</v>
      </c>
      <c r="AH95" s="101">
        <f t="shared" si="101"/>
        <v>7.756211364762438E-3</v>
      </c>
      <c r="AI95" s="101">
        <f t="shared" si="102"/>
        <v>2.1821110700185897E-2</v>
      </c>
      <c r="AJ95" s="101">
        <f t="shared" si="103"/>
        <v>5.1723006698588953E-4</v>
      </c>
      <c r="AK95" s="101">
        <f t="shared" si="104"/>
        <v>2.6752694219422776E-7</v>
      </c>
      <c r="AL95">
        <f t="shared" si="105"/>
        <v>2.1821110700185897E-2</v>
      </c>
      <c r="AM95" s="195">
        <f t="shared" si="114"/>
        <v>2.6752694219422776E-7</v>
      </c>
      <c r="AN95">
        <f t="shared" si="106"/>
        <v>2.1303880633200007E-2</v>
      </c>
      <c r="AO95">
        <f t="shared" si="107"/>
        <v>1.0017006041970893</v>
      </c>
      <c r="AP95">
        <f t="shared" si="108"/>
        <v>0.72872919734063535</v>
      </c>
      <c r="AQ95">
        <f t="shared" si="109"/>
        <v>3.7169413737655051E-4</v>
      </c>
      <c r="AR95">
        <f t="shared" si="110"/>
        <v>0.21518202846222953</v>
      </c>
      <c r="AS95">
        <f t="shared" si="111"/>
        <v>0.10800809720192006</v>
      </c>
      <c r="AT95" s="101">
        <f t="shared" si="115"/>
        <v>6.4979959570114012</v>
      </c>
      <c r="AU95" s="101">
        <f t="shared" si="115"/>
        <v>6.4979959570114012</v>
      </c>
      <c r="AV95" s="101">
        <f t="shared" si="115"/>
        <v>6.4979959570114012</v>
      </c>
      <c r="AW95" s="101">
        <f t="shared" si="115"/>
        <v>6.4979959570113976</v>
      </c>
      <c r="AX95" s="101">
        <f t="shared" si="115"/>
        <v>6.4979959570095751</v>
      </c>
      <c r="AY95" s="101">
        <f t="shared" si="115"/>
        <v>6.49799595593805</v>
      </c>
      <c r="AZ95" s="101">
        <f t="shared" si="115"/>
        <v>6.4979953259041734</v>
      </c>
      <c r="BA95" s="101">
        <f t="shared" si="112"/>
        <v>6.4976248944677</v>
      </c>
      <c r="BB95"/>
      <c r="BC95">
        <v>34000</v>
      </c>
      <c r="BD95">
        <f t="shared" si="116"/>
        <v>1.6065226021776298E-2</v>
      </c>
      <c r="BE95">
        <f t="shared" si="117"/>
        <v>-1.3156579143753788E-2</v>
      </c>
      <c r="BF95">
        <f t="shared" si="118"/>
        <v>2.9221805165530086E-2</v>
      </c>
      <c r="BG95">
        <f t="shared" si="119"/>
        <v>1.001038544561053</v>
      </c>
      <c r="BH95">
        <f t="shared" si="120"/>
        <v>0.9992786643522511</v>
      </c>
      <c r="BI95">
        <f t="shared" si="121"/>
        <v>0.9315291678614136</v>
      </c>
      <c r="BJ95">
        <f t="shared" si="122"/>
        <v>0.50264902658108479</v>
      </c>
      <c r="BK95">
        <f t="shared" si="90"/>
        <v>7.2133181894696419</v>
      </c>
      <c r="BL95">
        <f t="shared" si="90"/>
        <v>7.2133181894696419</v>
      </c>
      <c r="BM95">
        <f t="shared" si="90"/>
        <v>7.2133181894696419</v>
      </c>
      <c r="BN95">
        <f t="shared" si="123"/>
        <v>7.2133181894696401</v>
      </c>
      <c r="BO95">
        <f t="shared" si="123"/>
        <v>7.213318189468068</v>
      </c>
      <c r="BP95">
        <f t="shared" si="123"/>
        <v>7.2133181879573565</v>
      </c>
      <c r="BQ95">
        <f t="shared" si="123"/>
        <v>7.2133167360408237</v>
      </c>
      <c r="BR95">
        <f t="shared" si="87"/>
        <v>7.2119226311428113</v>
      </c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</row>
    <row r="96" spans="1:92" s="101" customFormat="1">
      <c r="A96" s="23" t="s">
        <v>84</v>
      </c>
      <c r="B96" s="16"/>
      <c r="C96" s="13">
        <v>52631.737905870934</v>
      </c>
      <c r="D96" s="28">
        <v>1E-4</v>
      </c>
      <c r="E96" s="101">
        <f t="shared" si="93"/>
        <v>24467.087940196187</v>
      </c>
      <c r="F96" s="101">
        <f t="shared" si="94"/>
        <v>24467</v>
      </c>
      <c r="G96" s="101">
        <f t="shared" si="113"/>
        <v>2.9011776932748035E-2</v>
      </c>
      <c r="K96" s="101">
        <f t="shared" si="95"/>
        <v>2.9011776932748035E-2</v>
      </c>
      <c r="P96" s="103">
        <f t="shared" si="96"/>
        <v>7.1131139465803496E-3</v>
      </c>
      <c r="Q96" s="104">
        <f t="shared" si="97"/>
        <v>37613.237905870934</v>
      </c>
      <c r="R96" s="101">
        <f t="shared" si="98"/>
        <v>4.795514405817506E-4</v>
      </c>
      <c r="S96" s="101">
        <v>1</v>
      </c>
      <c r="T96" s="221"/>
      <c r="AF96">
        <f t="shared" si="99"/>
        <v>24467</v>
      </c>
      <c r="AG96" s="101">
        <f t="shared" si="100"/>
        <v>2.8525616879526716E-2</v>
      </c>
      <c r="AH96" s="101">
        <f t="shared" si="101"/>
        <v>7.5992739998016687E-3</v>
      </c>
      <c r="AI96" s="101">
        <f t="shared" si="102"/>
        <v>2.1898662986167685E-2</v>
      </c>
      <c r="AJ96" s="101">
        <f t="shared" si="103"/>
        <v>4.8616005322131908E-4</v>
      </c>
      <c r="AK96" s="101">
        <f t="shared" si="104"/>
        <v>2.3635159734815581E-7</v>
      </c>
      <c r="AL96">
        <f t="shared" si="105"/>
        <v>2.1898662986167685E-2</v>
      </c>
      <c r="AM96" s="195">
        <f t="shared" si="114"/>
        <v>2.3635159734815581E-7</v>
      </c>
      <c r="AN96">
        <f t="shared" si="106"/>
        <v>2.1412502932946366E-2</v>
      </c>
      <c r="AO96">
        <f t="shared" si="107"/>
        <v>1.0016985544605763</v>
      </c>
      <c r="AP96">
        <f t="shared" si="108"/>
        <v>0.7324483065545867</v>
      </c>
      <c r="AQ96">
        <f t="shared" si="109"/>
        <v>3.8095132415261803E-4</v>
      </c>
      <c r="AR96">
        <f t="shared" si="110"/>
        <v>0.22062876680092527</v>
      </c>
      <c r="AS96">
        <f t="shared" si="111"/>
        <v>0.1107640539794537</v>
      </c>
      <c r="AT96" s="101">
        <f t="shared" si="115"/>
        <v>6.5034334456316021</v>
      </c>
      <c r="AU96" s="101">
        <f t="shared" si="115"/>
        <v>6.5034334456316021</v>
      </c>
      <c r="AV96" s="101">
        <f t="shared" si="115"/>
        <v>6.5034334456316021</v>
      </c>
      <c r="AW96" s="101">
        <f t="shared" si="115"/>
        <v>6.5034334456315994</v>
      </c>
      <c r="AX96" s="101">
        <f t="shared" si="115"/>
        <v>6.5034334456297378</v>
      </c>
      <c r="AY96" s="101">
        <f t="shared" si="115"/>
        <v>6.5034334445341555</v>
      </c>
      <c r="AZ96" s="101">
        <f t="shared" si="115"/>
        <v>6.50343279958064</v>
      </c>
      <c r="BA96" s="101">
        <f t="shared" si="112"/>
        <v>6.5030531408530097</v>
      </c>
      <c r="BB96"/>
      <c r="BC96">
        <v>34500</v>
      </c>
      <c r="BD96">
        <f t="shared" si="116"/>
        <v>1.4814734314656509E-2</v>
      </c>
      <c r="BE96">
        <f t="shared" si="117"/>
        <v>-1.442967589131592E-2</v>
      </c>
      <c r="BF96">
        <f t="shared" si="118"/>
        <v>2.9244410205972429E-2</v>
      </c>
      <c r="BG96">
        <f t="shared" si="119"/>
        <v>1.0009857900079415</v>
      </c>
      <c r="BH96">
        <f t="shared" si="120"/>
        <v>0.99999973388103724</v>
      </c>
      <c r="BI96">
        <f t="shared" si="121"/>
        <v>0.96878441803324788</v>
      </c>
      <c r="BJ96">
        <f t="shared" si="122"/>
        <v>0.52620632923339783</v>
      </c>
      <c r="BK96">
        <f t="shared" si="90"/>
        <v>7.2505357084915909</v>
      </c>
      <c r="BL96">
        <f t="shared" si="90"/>
        <v>7.2505357084915909</v>
      </c>
      <c r="BM96">
        <f t="shared" si="90"/>
        <v>7.2505357084915909</v>
      </c>
      <c r="BN96">
        <f t="shared" si="123"/>
        <v>7.2505357084915891</v>
      </c>
      <c r="BO96">
        <f t="shared" si="123"/>
        <v>7.2505357084902071</v>
      </c>
      <c r="BP96">
        <f t="shared" si="123"/>
        <v>7.2505357070914558</v>
      </c>
      <c r="BQ96">
        <f t="shared" si="123"/>
        <v>7.2505342911320492</v>
      </c>
      <c r="BR96">
        <f t="shared" si="87"/>
        <v>7.2491024009052047</v>
      </c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</row>
    <row r="97" spans="1:92" s="101" customFormat="1">
      <c r="A97" s="23" t="s">
        <v>89</v>
      </c>
      <c r="B97" s="16"/>
      <c r="C97" s="13">
        <v>52943.82675</v>
      </c>
      <c r="D97" s="28">
        <v>5.0000000000000002E-5</v>
      </c>
      <c r="E97" s="101">
        <f t="shared" si="93"/>
        <v>25413.088395350722</v>
      </c>
      <c r="F97" s="101">
        <f t="shared" si="94"/>
        <v>25413</v>
      </c>
      <c r="G97" s="101">
        <f t="shared" si="113"/>
        <v>2.9161933991417754E-2</v>
      </c>
      <c r="K97" s="101">
        <f t="shared" si="95"/>
        <v>2.9161933991417754E-2</v>
      </c>
      <c r="P97" s="103">
        <f t="shared" si="96"/>
        <v>5.4416642306069178E-3</v>
      </c>
      <c r="Q97" s="104">
        <f t="shared" si="97"/>
        <v>37925.32675</v>
      </c>
      <c r="R97" s="101">
        <f t="shared" si="98"/>
        <v>5.6265119752563696E-4</v>
      </c>
      <c r="S97" s="101">
        <v>1</v>
      </c>
      <c r="T97" s="221"/>
      <c r="AF97">
        <f t="shared" si="99"/>
        <v>25413</v>
      </c>
      <c r="AG97" s="101">
        <f t="shared" si="100"/>
        <v>2.8203380049935573E-2</v>
      </c>
      <c r="AH97" s="101">
        <f t="shared" si="101"/>
        <v>6.4002181720890991E-3</v>
      </c>
      <c r="AI97" s="101">
        <f t="shared" si="102"/>
        <v>2.3720269760810837E-2</v>
      </c>
      <c r="AJ97" s="101">
        <f t="shared" si="103"/>
        <v>9.5855394148218129E-4</v>
      </c>
      <c r="AK97" s="101">
        <f t="shared" si="104"/>
        <v>9.1882565873102501E-7</v>
      </c>
      <c r="AL97">
        <f t="shared" si="105"/>
        <v>2.3720269760810837E-2</v>
      </c>
      <c r="AM97" s="195">
        <f t="shared" si="114"/>
        <v>9.1882565873102501E-7</v>
      </c>
      <c r="AN97">
        <f t="shared" si="106"/>
        <v>2.2761715819328655E-2</v>
      </c>
      <c r="AO97">
        <f t="shared" si="107"/>
        <v>1.0016674595238542</v>
      </c>
      <c r="AP97">
        <f t="shared" si="108"/>
        <v>0.77863823659161036</v>
      </c>
      <c r="AQ97">
        <f t="shared" si="109"/>
        <v>4.9978985906629048E-4</v>
      </c>
      <c r="AR97">
        <f t="shared" si="110"/>
        <v>0.29121028905902963</v>
      </c>
      <c r="AS97">
        <f t="shared" si="111"/>
        <v>0.14664293087317867</v>
      </c>
      <c r="AT97" s="101">
        <f t="shared" si="115"/>
        <v>6.5738962223545032</v>
      </c>
      <c r="AU97" s="101">
        <f t="shared" si="115"/>
        <v>6.5738962223545032</v>
      </c>
      <c r="AV97" s="101">
        <f t="shared" si="115"/>
        <v>6.5738962223545032</v>
      </c>
      <c r="AW97" s="101">
        <f t="shared" si="115"/>
        <v>6.5738962223544997</v>
      </c>
      <c r="AX97" s="101">
        <f t="shared" si="115"/>
        <v>6.5738962223521895</v>
      </c>
      <c r="AY97" s="101">
        <f t="shared" si="115"/>
        <v>6.5738962209666738</v>
      </c>
      <c r="AZ97" s="101">
        <f t="shared" si="115"/>
        <v>6.5738953901772144</v>
      </c>
      <c r="BA97" s="101">
        <f t="shared" si="112"/>
        <v>6.5733972652434591</v>
      </c>
      <c r="BB97"/>
      <c r="BC97">
        <v>35000</v>
      </c>
      <c r="BD97">
        <f t="shared" si="116"/>
        <v>1.35028142901246E-2</v>
      </c>
      <c r="BE97">
        <f t="shared" si="117"/>
        <v>-1.5723699957090907E-2</v>
      </c>
      <c r="BF97">
        <f t="shared" si="118"/>
        <v>2.9226514247215507E-2</v>
      </c>
      <c r="BG97">
        <f t="shared" si="119"/>
        <v>1.00093167323142</v>
      </c>
      <c r="BH97">
        <f t="shared" si="120"/>
        <v>0.9993331558944798</v>
      </c>
      <c r="BI97">
        <f t="shared" si="121"/>
        <v>1.0060356903562695</v>
      </c>
      <c r="BJ97">
        <f t="shared" si="122"/>
        <v>0.55022748296276847</v>
      </c>
      <c r="BK97">
        <f t="shared" si="90"/>
        <v>7.2877512405501994</v>
      </c>
      <c r="BL97">
        <f t="shared" si="90"/>
        <v>7.2877512405501994</v>
      </c>
      <c r="BM97">
        <f t="shared" si="90"/>
        <v>7.2877512405501994</v>
      </c>
      <c r="BN97">
        <f t="shared" si="123"/>
        <v>7.2877512405501976</v>
      </c>
      <c r="BO97">
        <f t="shared" si="123"/>
        <v>7.2877512405490013</v>
      </c>
      <c r="BP97">
        <f t="shared" si="123"/>
        <v>7.2877512392676227</v>
      </c>
      <c r="BQ97">
        <f t="shared" si="123"/>
        <v>7.2877498670988992</v>
      </c>
      <c r="BR97">
        <f t="shared" si="87"/>
        <v>7.2862821706675991</v>
      </c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</row>
    <row r="98" spans="1:92" s="101" customFormat="1">
      <c r="A98" s="146" t="s">
        <v>89</v>
      </c>
      <c r="B98" s="147" t="s">
        <v>87</v>
      </c>
      <c r="C98" s="146">
        <v>52943.827700000002</v>
      </c>
      <c r="D98" s="146" t="s">
        <v>264</v>
      </c>
      <c r="E98" s="101">
        <f t="shared" si="93"/>
        <v>25413.091274980838</v>
      </c>
      <c r="F98" s="101">
        <f t="shared" si="94"/>
        <v>25413</v>
      </c>
      <c r="G98" s="101">
        <f t="shared" si="113"/>
        <v>3.0111933992884587E-2</v>
      </c>
      <c r="K98" s="101">
        <f t="shared" si="95"/>
        <v>3.0111933992884587E-2</v>
      </c>
      <c r="O98" s="101">
        <f ca="1">+C$11+C$12*F98</f>
        <v>4.3917647035200819E-2</v>
      </c>
      <c r="P98" s="103">
        <f t="shared" si="96"/>
        <v>5.4416642306069178E-3</v>
      </c>
      <c r="Q98" s="104">
        <f t="shared" si="97"/>
        <v>37925.327700000002</v>
      </c>
      <c r="R98" s="101">
        <f t="shared" si="98"/>
        <v>6.0862221014355193E-4</v>
      </c>
      <c r="S98" s="101">
        <v>1</v>
      </c>
      <c r="T98" s="221"/>
      <c r="AF98">
        <f t="shared" si="99"/>
        <v>25413</v>
      </c>
      <c r="AG98" s="101">
        <f t="shared" si="100"/>
        <v>2.8203380049935573E-2</v>
      </c>
      <c r="AH98" s="101">
        <f t="shared" si="101"/>
        <v>7.3502181735559322E-3</v>
      </c>
      <c r="AI98" s="101">
        <f t="shared" si="102"/>
        <v>2.467026976227767E-2</v>
      </c>
      <c r="AJ98" s="101">
        <f t="shared" si="103"/>
        <v>1.9085539429490143E-3</v>
      </c>
      <c r="AK98" s="101">
        <f t="shared" si="104"/>
        <v>3.6425781531462296E-6</v>
      </c>
      <c r="AL98">
        <f t="shared" si="105"/>
        <v>2.467026976227767E-2</v>
      </c>
      <c r="AM98" s="195">
        <f t="shared" si="114"/>
        <v>3.6425781531462296E-6</v>
      </c>
      <c r="AN98">
        <f t="shared" si="106"/>
        <v>2.2761715819328655E-2</v>
      </c>
      <c r="AO98">
        <f t="shared" si="107"/>
        <v>1.0016674595238542</v>
      </c>
      <c r="AP98">
        <f t="shared" si="108"/>
        <v>0.77863823659161036</v>
      </c>
      <c r="AQ98">
        <f t="shared" si="109"/>
        <v>4.9978985906629048E-4</v>
      </c>
      <c r="AR98">
        <f t="shared" si="110"/>
        <v>0.29121028905902963</v>
      </c>
      <c r="AS98">
        <f t="shared" si="111"/>
        <v>0.14664293087317867</v>
      </c>
      <c r="AT98" s="101">
        <f t="shared" si="115"/>
        <v>6.5738962223545032</v>
      </c>
      <c r="AU98" s="101">
        <f t="shared" si="115"/>
        <v>6.5738962223545032</v>
      </c>
      <c r="AV98" s="101">
        <f t="shared" si="115"/>
        <v>6.5738962223545032</v>
      </c>
      <c r="AW98" s="101">
        <f t="shared" si="115"/>
        <v>6.5738962223544997</v>
      </c>
      <c r="AX98" s="101">
        <f t="shared" si="115"/>
        <v>6.5738962223521895</v>
      </c>
      <c r="AY98" s="101">
        <f t="shared" si="115"/>
        <v>6.5738962209666738</v>
      </c>
      <c r="AZ98" s="101">
        <f t="shared" si="115"/>
        <v>6.5738953901772144</v>
      </c>
      <c r="BA98" s="101">
        <f t="shared" si="112"/>
        <v>6.5733972652434591</v>
      </c>
      <c r="BB98"/>
      <c r="BC98">
        <v>36500</v>
      </c>
      <c r="BD98">
        <f t="shared" si="116"/>
        <v>-3.1877061193027988E-3</v>
      </c>
      <c r="BE98">
        <f t="shared" si="117"/>
        <v>-1.9731336063693164E-2</v>
      </c>
      <c r="BF98">
        <f t="shared" si="118"/>
        <v>1.6543629944390365E-2</v>
      </c>
      <c r="BG98">
        <f t="shared" si="119"/>
        <v>1.0017407501736084</v>
      </c>
      <c r="BH98">
        <f t="shared" si="120"/>
        <v>0.56570038816956669</v>
      </c>
      <c r="BI98">
        <f t="shared" si="121"/>
        <v>0</v>
      </c>
      <c r="BJ98">
        <f t="shared" si="122"/>
        <v>0</v>
      </c>
      <c r="BK98">
        <f t="shared" si="90"/>
        <v>0</v>
      </c>
      <c r="BL98">
        <f t="shared" si="90"/>
        <v>0</v>
      </c>
      <c r="BM98">
        <f t="shared" si="90"/>
        <v>0</v>
      </c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</row>
    <row r="99" spans="1:92" s="101" customFormat="1">
      <c r="A99" s="21" t="s">
        <v>96</v>
      </c>
      <c r="B99" s="20" t="s">
        <v>86</v>
      </c>
      <c r="C99" s="30">
        <v>53083.211900000002</v>
      </c>
      <c r="D99" s="30">
        <v>2.0000000000000001E-4</v>
      </c>
      <c r="E99" s="101">
        <f t="shared" si="93"/>
        <v>25835.591210886334</v>
      </c>
      <c r="F99" s="101">
        <f t="shared" si="94"/>
        <v>25835.5</v>
      </c>
      <c r="G99" s="101">
        <f t="shared" si="113"/>
        <v>3.0090788997767959E-2</v>
      </c>
      <c r="K99" s="101">
        <f t="shared" si="95"/>
        <v>3.0090788997767959E-2</v>
      </c>
      <c r="P99" s="103">
        <f t="shared" si="96"/>
        <v>4.6709658263931753E-3</v>
      </c>
      <c r="Q99" s="104">
        <f t="shared" si="97"/>
        <v>38064.711900000002</v>
      </c>
      <c r="R99" s="101">
        <f t="shared" si="98"/>
        <v>6.461674100639624E-4</v>
      </c>
      <c r="S99" s="101">
        <v>1</v>
      </c>
      <c r="T99" s="221"/>
      <c r="U99" s="101">
        <v>1.2680684432367328E-10</v>
      </c>
      <c r="V99" s="101">
        <v>5.2776347659535766E-22</v>
      </c>
      <c r="W99" s="101">
        <v>9.6085106651982878E-30</v>
      </c>
      <c r="X99" s="101">
        <v>2.4862909997261657E-10</v>
      </c>
      <c r="Y99" s="101">
        <v>2.7127552330578651E-8</v>
      </c>
      <c r="Z99" s="101">
        <v>1.3882822613800371E-4</v>
      </c>
      <c r="AA99" s="101">
        <v>4.0906958650189368E-7</v>
      </c>
      <c r="AB99" s="101">
        <v>2.6588070810794537</v>
      </c>
      <c r="AC99" s="101">
        <v>7.4637788895102243E-6</v>
      </c>
      <c r="AD99" s="101">
        <v>2.7611454071804032E-9</v>
      </c>
      <c r="AE99" s="101">
        <v>4.7108463272822266E-23</v>
      </c>
      <c r="AF99">
        <f t="shared" si="99"/>
        <v>25835.5</v>
      </c>
      <c r="AG99" s="101">
        <f t="shared" si="100"/>
        <v>2.7999136389978415E-2</v>
      </c>
      <c r="AH99" s="101">
        <f t="shared" si="101"/>
        <v>6.762618434182719E-3</v>
      </c>
      <c r="AI99" s="101">
        <f t="shared" si="102"/>
        <v>2.5419823171374784E-2</v>
      </c>
      <c r="AJ99" s="101">
        <f t="shared" si="103"/>
        <v>2.0916526077895438E-3</v>
      </c>
      <c r="AK99" s="101">
        <f t="shared" si="104"/>
        <v>4.3750106316727989E-6</v>
      </c>
      <c r="AL99">
        <f t="shared" si="105"/>
        <v>2.5419823171374784E-2</v>
      </c>
      <c r="AM99" s="195">
        <f t="shared" si="114"/>
        <v>4.3750106316727989E-6</v>
      </c>
      <c r="AN99">
        <f t="shared" si="106"/>
        <v>2.332817056358524E-2</v>
      </c>
      <c r="AO99">
        <f t="shared" si="107"/>
        <v>1.0016508797346642</v>
      </c>
      <c r="AP99">
        <f t="shared" si="108"/>
        <v>0.79802699463869875</v>
      </c>
      <c r="AQ99">
        <f t="shared" si="109"/>
        <v>5.5209353246747671E-4</v>
      </c>
      <c r="AR99">
        <f t="shared" si="110"/>
        <v>0.32273168486451048</v>
      </c>
      <c r="AS99">
        <f t="shared" si="111"/>
        <v>0.16278118409112344</v>
      </c>
      <c r="AT99" s="101">
        <f t="shared" si="115"/>
        <v>6.6053653534522203</v>
      </c>
      <c r="AU99" s="101">
        <f t="shared" si="115"/>
        <v>6.6053653534522203</v>
      </c>
      <c r="AV99" s="101">
        <f t="shared" si="115"/>
        <v>6.6053653534522203</v>
      </c>
      <c r="AW99" s="101">
        <f t="shared" si="115"/>
        <v>6.6053653534522168</v>
      </c>
      <c r="AX99" s="101">
        <f t="shared" si="115"/>
        <v>6.6053653534497387</v>
      </c>
      <c r="AY99" s="101">
        <f t="shared" si="115"/>
        <v>6.6053653519493327</v>
      </c>
      <c r="AZ99" s="101">
        <f t="shared" si="115"/>
        <v>6.6053644432643654</v>
      </c>
      <c r="BA99" s="101">
        <f t="shared" si="112"/>
        <v>6.6048141706926815</v>
      </c>
      <c r="BB99"/>
      <c r="BC99">
        <v>37000</v>
      </c>
      <c r="BD99">
        <f t="shared" si="116"/>
        <v>-4.5654394579292927E-3</v>
      </c>
      <c r="BE99">
        <f t="shared" si="117"/>
        <v>-2.1109069402319658E-2</v>
      </c>
      <c r="BF99">
        <f t="shared" si="118"/>
        <v>1.6543629944390365E-2</v>
      </c>
      <c r="BG99">
        <f t="shared" si="119"/>
        <v>1.0017407501736084</v>
      </c>
      <c r="BH99">
        <f t="shared" si="120"/>
        <v>0.56570038816956669</v>
      </c>
      <c r="BI99">
        <f t="shared" si="121"/>
        <v>0</v>
      </c>
      <c r="BJ99">
        <f t="shared" si="122"/>
        <v>0</v>
      </c>
      <c r="BK99">
        <f t="shared" ref="BK99:BM108" si="124">$BR99+$AH$7*SIN(BL99)</f>
        <v>0</v>
      </c>
      <c r="BL99">
        <f t="shared" si="124"/>
        <v>0</v>
      </c>
      <c r="BM99">
        <f t="shared" si="124"/>
        <v>0</v>
      </c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</row>
    <row r="100" spans="1:92" s="101" customFormat="1">
      <c r="A100" s="23" t="s">
        <v>111</v>
      </c>
      <c r="B100" s="5"/>
      <c r="C100" s="148">
        <v>53699.964</v>
      </c>
      <c r="D100" s="25">
        <v>1E-4</v>
      </c>
      <c r="E100" s="101">
        <f t="shared" si="93"/>
        <v>27705.083755375446</v>
      </c>
      <c r="F100" s="101">
        <f t="shared" si="94"/>
        <v>27705</v>
      </c>
      <c r="G100" s="101">
        <f t="shared" si="113"/>
        <v>2.7631189994281158E-2</v>
      </c>
      <c r="K100" s="101">
        <f t="shared" si="95"/>
        <v>2.7631189994281158E-2</v>
      </c>
      <c r="P100" s="103">
        <f t="shared" si="96"/>
        <v>1.0813967158941756E-3</v>
      </c>
      <c r="Q100" s="104">
        <f t="shared" si="97"/>
        <v>38681.464</v>
      </c>
      <c r="R100" s="101">
        <f t="shared" si="98"/>
        <v>7.0489152312508256E-4</v>
      </c>
      <c r="S100" s="101">
        <v>1</v>
      </c>
      <c r="T100" s="221"/>
      <c r="AF100">
        <f t="shared" si="99"/>
        <v>27705</v>
      </c>
      <c r="AG100" s="101">
        <f t="shared" si="100"/>
        <v>2.6631516286597521E-2</v>
      </c>
      <c r="AH100" s="101">
        <f t="shared" si="101"/>
        <v>2.0810704235778126E-3</v>
      </c>
      <c r="AI100" s="101">
        <f t="shared" si="102"/>
        <v>2.6549793278386982E-2</v>
      </c>
      <c r="AJ100" s="101">
        <f t="shared" si="103"/>
        <v>9.9967370768363692E-4</v>
      </c>
      <c r="AK100" s="101">
        <f t="shared" si="104"/>
        <v>9.9934752183394948E-7</v>
      </c>
      <c r="AL100">
        <f t="shared" si="105"/>
        <v>2.6549793278386982E-2</v>
      </c>
      <c r="AM100" s="195">
        <f t="shared" si="114"/>
        <v>9.9934752183394948E-7</v>
      </c>
      <c r="AN100">
        <f t="shared" si="106"/>
        <v>2.5550119570703345E-2</v>
      </c>
      <c r="AO100">
        <f t="shared" si="107"/>
        <v>1.0015581037474972</v>
      </c>
      <c r="AP100">
        <f t="shared" si="108"/>
        <v>0.87405002408526344</v>
      </c>
      <c r="AQ100">
        <f t="shared" si="109"/>
        <v>7.7622411644600112E-4</v>
      </c>
      <c r="AR100">
        <f t="shared" si="110"/>
        <v>0.46219465845725949</v>
      </c>
      <c r="AS100">
        <f t="shared" si="111"/>
        <v>0.23530114852307477</v>
      </c>
      <c r="AT100" s="101">
        <f t="shared" si="115"/>
        <v>6.7446043452202789</v>
      </c>
      <c r="AU100" s="101">
        <f t="shared" si="115"/>
        <v>6.7446043452202789</v>
      </c>
      <c r="AV100" s="101">
        <f t="shared" si="115"/>
        <v>6.7446043452202789</v>
      </c>
      <c r="AW100" s="101">
        <f t="shared" si="115"/>
        <v>6.7446043452202744</v>
      </c>
      <c r="AX100" s="101">
        <f t="shared" si="115"/>
        <v>6.7446043452173434</v>
      </c>
      <c r="AY100" s="101">
        <f t="shared" si="115"/>
        <v>6.7446043433369676</v>
      </c>
      <c r="AZ100" s="101">
        <f t="shared" si="115"/>
        <v>6.7446031369670276</v>
      </c>
      <c r="BA100" s="101">
        <f t="shared" si="112"/>
        <v>6.7438293298342726</v>
      </c>
      <c r="BB100"/>
      <c r="BC100">
        <v>38000</v>
      </c>
      <c r="BD100">
        <f t="shared" si="116"/>
        <v>-7.3836880898209105E-3</v>
      </c>
      <c r="BE100">
        <f t="shared" si="117"/>
        <v>-2.3927318034211276E-2</v>
      </c>
      <c r="BF100">
        <f t="shared" si="118"/>
        <v>1.6543629944390365E-2</v>
      </c>
      <c r="BG100">
        <f t="shared" si="119"/>
        <v>1.0017407501736084</v>
      </c>
      <c r="BH100">
        <f t="shared" si="120"/>
        <v>0.56570038816956669</v>
      </c>
      <c r="BI100">
        <f t="shared" si="121"/>
        <v>0</v>
      </c>
      <c r="BJ100">
        <f t="shared" si="122"/>
        <v>0</v>
      </c>
      <c r="BK100">
        <f t="shared" si="124"/>
        <v>0</v>
      </c>
      <c r="BL100">
        <f t="shared" si="124"/>
        <v>0</v>
      </c>
      <c r="BM100">
        <f t="shared" si="124"/>
        <v>0</v>
      </c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</row>
    <row r="101" spans="1:92" s="101" customFormat="1">
      <c r="A101" s="42" t="s">
        <v>119</v>
      </c>
      <c r="B101" s="14" t="s">
        <v>87</v>
      </c>
      <c r="C101" s="43">
        <v>53742.5213</v>
      </c>
      <c r="D101" s="43">
        <v>2.0000000000000001E-4</v>
      </c>
      <c r="E101" s="101">
        <f t="shared" si="93"/>
        <v>27834.083000069688</v>
      </c>
      <c r="F101" s="101">
        <f t="shared" si="94"/>
        <v>27834</v>
      </c>
      <c r="G101" s="101">
        <f t="shared" si="113"/>
        <v>2.7382011998270173E-2</v>
      </c>
      <c r="K101" s="101">
        <f t="shared" si="95"/>
        <v>2.7382011998270173E-2</v>
      </c>
      <c r="P101" s="103">
        <f t="shared" si="96"/>
        <v>8.2291740963327115E-4</v>
      </c>
      <c r="Q101" s="104">
        <f t="shared" si="97"/>
        <v>38724.0213</v>
      </c>
      <c r="R101" s="101">
        <f t="shared" si="98"/>
        <v>7.0538550536816192E-4</v>
      </c>
      <c r="S101" s="101">
        <v>1</v>
      </c>
      <c r="T101" s="221"/>
      <c r="AF101">
        <f t="shared" si="99"/>
        <v>27834</v>
      </c>
      <c r="AG101" s="101">
        <f t="shared" si="100"/>
        <v>2.6508546974029937E-2</v>
      </c>
      <c r="AH101" s="101">
        <f t="shared" si="101"/>
        <v>1.6963824338735063E-3</v>
      </c>
      <c r="AI101" s="101">
        <f t="shared" si="102"/>
        <v>2.6559094588636901E-2</v>
      </c>
      <c r="AJ101" s="101">
        <f t="shared" si="103"/>
        <v>8.7346502424023517E-4</v>
      </c>
      <c r="AK101" s="101">
        <f t="shared" si="104"/>
        <v>7.6294114857099466E-7</v>
      </c>
      <c r="AL101">
        <f t="shared" si="105"/>
        <v>2.6559094588636901E-2</v>
      </c>
      <c r="AM101" s="195">
        <f t="shared" si="114"/>
        <v>7.6294114857099466E-7</v>
      </c>
      <c r="AN101">
        <f t="shared" si="106"/>
        <v>2.5685629564396666E-2</v>
      </c>
      <c r="AO101">
        <f t="shared" si="107"/>
        <v>1.0015505626965389</v>
      </c>
      <c r="AP101">
        <f t="shared" si="108"/>
        <v>0.87868433217871311</v>
      </c>
      <c r="AQ101">
        <f t="shared" si="109"/>
        <v>7.9118044150457991E-4</v>
      </c>
      <c r="AR101">
        <f t="shared" si="110"/>
        <v>0.47181692570889139</v>
      </c>
      <c r="AS101">
        <f t="shared" si="111"/>
        <v>0.24038445225937449</v>
      </c>
      <c r="AT101" s="101">
        <f t="shared" ref="AT101:AZ110" si="125">$BA101+$AH$7*SIN(AU101)</f>
        <v>6.754211664801975</v>
      </c>
      <c r="AU101" s="101">
        <f t="shared" si="125"/>
        <v>6.754211664801975</v>
      </c>
      <c r="AV101" s="101">
        <f t="shared" si="125"/>
        <v>6.754211664801975</v>
      </c>
      <c r="AW101" s="101">
        <f t="shared" si="125"/>
        <v>6.7542116648019705</v>
      </c>
      <c r="AX101" s="101">
        <f t="shared" si="125"/>
        <v>6.7542116647990262</v>
      </c>
      <c r="AY101" s="101">
        <f t="shared" si="125"/>
        <v>6.7542116629008175</v>
      </c>
      <c r="AZ101" s="101">
        <f t="shared" si="125"/>
        <v>6.7542104391881299</v>
      </c>
      <c r="BA101" s="101">
        <f t="shared" si="112"/>
        <v>6.7534217104329697</v>
      </c>
      <c r="BB101"/>
      <c r="BC101">
        <v>38500</v>
      </c>
      <c r="BD101">
        <f t="shared" si="116"/>
        <v>-8.8242033830860343E-3</v>
      </c>
      <c r="BE101">
        <f t="shared" si="117"/>
        <v>-2.53678333274764E-2</v>
      </c>
      <c r="BF101">
        <f t="shared" si="118"/>
        <v>1.6543629944390365E-2</v>
      </c>
      <c r="BG101">
        <f t="shared" si="119"/>
        <v>1.0017407501736084</v>
      </c>
      <c r="BH101">
        <f t="shared" si="120"/>
        <v>0.56570038816956669</v>
      </c>
      <c r="BI101">
        <f t="shared" si="121"/>
        <v>0</v>
      </c>
      <c r="BJ101">
        <f t="shared" si="122"/>
        <v>0</v>
      </c>
      <c r="BK101">
        <f t="shared" si="124"/>
        <v>0</v>
      </c>
      <c r="BL101">
        <f t="shared" si="124"/>
        <v>0</v>
      </c>
      <c r="BM101">
        <f t="shared" si="124"/>
        <v>0</v>
      </c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</row>
    <row r="102" spans="1:92" s="101" customFormat="1">
      <c r="A102" s="31" t="s">
        <v>116</v>
      </c>
      <c r="B102" s="40" t="s">
        <v>87</v>
      </c>
      <c r="C102" s="41">
        <v>53746.642800000001</v>
      </c>
      <c r="D102" s="41">
        <v>5.9999999999999995E-4</v>
      </c>
      <c r="E102" s="101">
        <f t="shared" si="93"/>
        <v>27846.576047960589</v>
      </c>
      <c r="F102" s="101">
        <f t="shared" si="94"/>
        <v>27846.5</v>
      </c>
      <c r="G102" s="101">
        <f t="shared" si="113"/>
        <v>2.508848699653754E-2</v>
      </c>
      <c r="K102" s="101">
        <f t="shared" si="95"/>
        <v>2.508848699653754E-2</v>
      </c>
      <c r="P102" s="103">
        <f t="shared" si="96"/>
        <v>7.9779693483996578E-4</v>
      </c>
      <c r="Q102" s="104">
        <f t="shared" si="97"/>
        <v>38728.142800000001</v>
      </c>
      <c r="R102" s="101">
        <f t="shared" si="98"/>
        <v>5.9003762367345334E-4</v>
      </c>
      <c r="S102" s="101">
        <v>1</v>
      </c>
      <c r="T102" s="221"/>
      <c r="AF102">
        <f t="shared" si="99"/>
        <v>27846.5</v>
      </c>
      <c r="AG102" s="101">
        <f t="shared" si="100"/>
        <v>2.6496431463413638E-2</v>
      </c>
      <c r="AH102" s="101">
        <f t="shared" si="101"/>
        <v>-6.1014753203613228E-4</v>
      </c>
      <c r="AI102" s="101">
        <f t="shared" si="102"/>
        <v>2.4290690061697574E-2</v>
      </c>
      <c r="AJ102" s="101">
        <f t="shared" si="103"/>
        <v>-1.4079444668760981E-3</v>
      </c>
      <c r="AK102" s="101">
        <f t="shared" si="104"/>
        <v>1.98230762180702E-6</v>
      </c>
      <c r="AL102">
        <f t="shared" si="105"/>
        <v>2.4290690061697574E-2</v>
      </c>
      <c r="AM102" s="195">
        <f t="shared" si="114"/>
        <v>1.98230762180702E-6</v>
      </c>
      <c r="AN102">
        <f t="shared" si="106"/>
        <v>2.5698634528573672E-2</v>
      </c>
      <c r="AO102">
        <f t="shared" si="107"/>
        <v>1.0015498243398608</v>
      </c>
      <c r="AP102">
        <f t="shared" si="108"/>
        <v>0.87912907259896977</v>
      </c>
      <c r="AQ102">
        <f t="shared" si="109"/>
        <v>7.9262581492938204E-4</v>
      </c>
      <c r="AR102">
        <f t="shared" si="110"/>
        <v>0.47274930821670291</v>
      </c>
      <c r="AS102">
        <f t="shared" si="111"/>
        <v>0.24087763753258482</v>
      </c>
      <c r="AT102" s="101">
        <f t="shared" si="125"/>
        <v>6.7551426027630299</v>
      </c>
      <c r="AU102" s="101">
        <f t="shared" si="125"/>
        <v>6.7551426027630299</v>
      </c>
      <c r="AV102" s="101">
        <f t="shared" si="125"/>
        <v>6.7551426027630299</v>
      </c>
      <c r="AW102" s="101">
        <f t="shared" si="125"/>
        <v>6.7551426027630255</v>
      </c>
      <c r="AX102" s="101">
        <f t="shared" si="125"/>
        <v>6.7551426027600803</v>
      </c>
      <c r="AY102" s="101">
        <f t="shared" si="125"/>
        <v>6.7551426008602036</v>
      </c>
      <c r="AZ102" s="101">
        <f t="shared" si="125"/>
        <v>6.7551413754908802</v>
      </c>
      <c r="BA102" s="101">
        <f t="shared" si="112"/>
        <v>6.7543512046770298</v>
      </c>
      <c r="BB102"/>
      <c r="BC102">
        <v>39000</v>
      </c>
      <c r="BD102">
        <f t="shared" si="116"/>
        <v>-1.0285645994564035E-2</v>
      </c>
      <c r="BE102">
        <f t="shared" si="117"/>
        <v>-2.68292759389544E-2</v>
      </c>
      <c r="BF102">
        <f t="shared" si="118"/>
        <v>1.6543629944390365E-2</v>
      </c>
      <c r="BG102">
        <f t="shared" si="119"/>
        <v>1.0017407501736084</v>
      </c>
      <c r="BH102">
        <f t="shared" si="120"/>
        <v>0.56570038816956669</v>
      </c>
      <c r="BI102">
        <f t="shared" si="121"/>
        <v>0</v>
      </c>
      <c r="BJ102">
        <f t="shared" si="122"/>
        <v>0</v>
      </c>
      <c r="BK102">
        <f t="shared" si="124"/>
        <v>0</v>
      </c>
      <c r="BL102">
        <f t="shared" si="124"/>
        <v>0</v>
      </c>
      <c r="BM102">
        <f t="shared" si="124"/>
        <v>0</v>
      </c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</row>
    <row r="103" spans="1:92" s="101" customFormat="1">
      <c r="A103" s="146" t="s">
        <v>490</v>
      </c>
      <c r="B103" s="147" t="s">
        <v>86</v>
      </c>
      <c r="C103" s="146">
        <v>53809.325900000003</v>
      </c>
      <c r="D103" s="146" t="s">
        <v>264</v>
      </c>
      <c r="E103" s="101">
        <f t="shared" si="93"/>
        <v>28036.580408084323</v>
      </c>
      <c r="F103" s="101">
        <f t="shared" si="94"/>
        <v>28036.5</v>
      </c>
      <c r="G103" s="101">
        <f t="shared" si="113"/>
        <v>2.6526907000516076E-2</v>
      </c>
      <c r="K103" s="101">
        <f t="shared" si="95"/>
        <v>2.6526907000516076E-2</v>
      </c>
      <c r="O103" s="101">
        <f ca="1">+C$11+C$12*F103</f>
        <v>3.5574432293324257E-2</v>
      </c>
      <c r="P103" s="103">
        <f t="shared" si="96"/>
        <v>4.1435536084526159E-4</v>
      </c>
      <c r="Q103" s="104">
        <f t="shared" si="97"/>
        <v>38790.825900000003</v>
      </c>
      <c r="R103" s="101">
        <f t="shared" si="98"/>
        <v>6.8186535313447493E-4</v>
      </c>
      <c r="S103" s="101">
        <v>1</v>
      </c>
      <c r="T103" s="221"/>
      <c r="AF103">
        <f t="shared" si="99"/>
        <v>28036.5</v>
      </c>
      <c r="AG103" s="101">
        <f t="shared" si="100"/>
        <v>2.6307915585761489E-2</v>
      </c>
      <c r="AH103" s="101">
        <f t="shared" si="101"/>
        <v>6.3334677559984814E-4</v>
      </c>
      <c r="AI103" s="101">
        <f t="shared" si="102"/>
        <v>2.6112551639670814E-2</v>
      </c>
      <c r="AJ103" s="101">
        <f t="shared" si="103"/>
        <v>2.1899141475458656E-4</v>
      </c>
      <c r="AK103" s="101">
        <f t="shared" si="104"/>
        <v>4.7957239736215353E-8</v>
      </c>
      <c r="AL103">
        <f t="shared" si="105"/>
        <v>2.6112551639670814E-2</v>
      </c>
      <c r="AM103" s="195">
        <f t="shared" si="114"/>
        <v>4.7957239736215353E-8</v>
      </c>
      <c r="AN103">
        <f t="shared" si="106"/>
        <v>2.5893560224916227E-2</v>
      </c>
      <c r="AO103">
        <f t="shared" si="107"/>
        <v>1.0015384359525172</v>
      </c>
      <c r="AP103">
        <f t="shared" si="108"/>
        <v>0.88579472841310614</v>
      </c>
      <c r="AQ103">
        <f t="shared" si="109"/>
        <v>8.1450966042144783E-4</v>
      </c>
      <c r="AR103">
        <f t="shared" si="110"/>
        <v>0.48692135146694504</v>
      </c>
      <c r="AS103">
        <f t="shared" si="111"/>
        <v>0.248387749000332</v>
      </c>
      <c r="AT103" s="101">
        <f t="shared" si="125"/>
        <v>6.7692927744688509</v>
      </c>
      <c r="AU103" s="101">
        <f t="shared" si="125"/>
        <v>6.7692927744688509</v>
      </c>
      <c r="AV103" s="101">
        <f t="shared" si="125"/>
        <v>6.7692927744688509</v>
      </c>
      <c r="AW103" s="101">
        <f t="shared" si="125"/>
        <v>6.7692927744688465</v>
      </c>
      <c r="AX103" s="101">
        <f t="shared" si="125"/>
        <v>6.7692927744658853</v>
      </c>
      <c r="AY103" s="101">
        <f t="shared" si="125"/>
        <v>6.7692927725419736</v>
      </c>
      <c r="AZ103" s="101">
        <f t="shared" si="125"/>
        <v>6.7692915225171006</v>
      </c>
      <c r="BA103" s="101">
        <f t="shared" si="112"/>
        <v>6.7684795171867398</v>
      </c>
      <c r="BB103"/>
      <c r="BC103">
        <v>40500</v>
      </c>
      <c r="BD103">
        <f t="shared" si="116"/>
        <v>-1.4795537738275275E-2</v>
      </c>
      <c r="BE103">
        <f t="shared" si="117"/>
        <v>-3.133916768266564E-2</v>
      </c>
      <c r="BF103">
        <f t="shared" si="118"/>
        <v>1.6543629944390365E-2</v>
      </c>
      <c r="BG103">
        <f t="shared" si="119"/>
        <v>1.0017407501736084</v>
      </c>
      <c r="BH103">
        <f t="shared" si="120"/>
        <v>0.56570038816956669</v>
      </c>
      <c r="BI103">
        <f t="shared" si="121"/>
        <v>0</v>
      </c>
      <c r="BJ103">
        <f t="shared" si="122"/>
        <v>0</v>
      </c>
      <c r="BK103">
        <f t="shared" si="124"/>
        <v>0</v>
      </c>
      <c r="BL103">
        <f t="shared" si="124"/>
        <v>0</v>
      </c>
      <c r="BM103">
        <f t="shared" si="124"/>
        <v>0</v>
      </c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</row>
    <row r="104" spans="1:92" s="101" customFormat="1">
      <c r="A104" s="31" t="s">
        <v>116</v>
      </c>
      <c r="B104" s="40" t="s">
        <v>86</v>
      </c>
      <c r="C104" s="41">
        <v>54020.464099999997</v>
      </c>
      <c r="D104" s="41">
        <v>1E-4</v>
      </c>
      <c r="E104" s="101">
        <f t="shared" si="93"/>
        <v>28676.580321756024</v>
      </c>
      <c r="F104" s="101">
        <f t="shared" si="94"/>
        <v>28676.5</v>
      </c>
      <c r="G104" s="101">
        <f t="shared" si="113"/>
        <v>2.6498426988837309E-2</v>
      </c>
      <c r="K104" s="101">
        <f t="shared" si="95"/>
        <v>2.6498426988837309E-2</v>
      </c>
      <c r="P104" s="103">
        <f t="shared" si="96"/>
        <v>-8.9947049232205756E-4</v>
      </c>
      <c r="Q104" s="104">
        <f t="shared" si="97"/>
        <v>39001.964099999997</v>
      </c>
      <c r="R104" s="101">
        <f t="shared" si="98"/>
        <v>7.5064478638811876E-4</v>
      </c>
      <c r="S104" s="101">
        <v>1</v>
      </c>
      <c r="T104" s="221"/>
      <c r="U104" s="101">
        <v>1.4568732578844442E-11</v>
      </c>
      <c r="V104" s="101">
        <v>9.0572285560213645E-21</v>
      </c>
      <c r="W104" s="101">
        <v>3.4466086288578182E-30</v>
      </c>
      <c r="X104" s="101">
        <v>6.6054618239516736E-11</v>
      </c>
      <c r="Y104" s="101">
        <v>1.6986467787759637E-6</v>
      </c>
      <c r="Z104" s="101">
        <v>5.0113251979047273E-5</v>
      </c>
      <c r="AA104" s="101">
        <v>3.2534390611371217E-7</v>
      </c>
      <c r="AB104" s="101">
        <v>25.454700793719013</v>
      </c>
      <c r="AC104" s="101">
        <v>1.9829419212187954E-6</v>
      </c>
      <c r="AD104" s="101">
        <v>7.75755767842614E-10</v>
      </c>
      <c r="AE104" s="101">
        <v>1.6897981556774378E-23</v>
      </c>
      <c r="AF104">
        <f t="shared" si="99"/>
        <v>28676.5</v>
      </c>
      <c r="AG104" s="101">
        <f t="shared" si="100"/>
        <v>2.5612303616851798E-2</v>
      </c>
      <c r="AH104" s="101">
        <f t="shared" si="101"/>
        <v>-1.3347120336546642E-5</v>
      </c>
      <c r="AI104" s="101">
        <f t="shared" si="102"/>
        <v>2.7397897481159367E-2</v>
      </c>
      <c r="AJ104" s="101">
        <f t="shared" si="103"/>
        <v>8.8612337198551092E-4</v>
      </c>
      <c r="AK104" s="101">
        <f t="shared" si="104"/>
        <v>7.8521463037897211E-7</v>
      </c>
      <c r="AL104">
        <f t="shared" si="105"/>
        <v>2.7397897481159367E-2</v>
      </c>
      <c r="AM104" s="195">
        <f t="shared" si="114"/>
        <v>7.8521463037897211E-7</v>
      </c>
      <c r="AN104">
        <f t="shared" si="106"/>
        <v>2.6511774109173856E-2</v>
      </c>
      <c r="AO104">
        <f t="shared" si="107"/>
        <v>1.0014978177072977</v>
      </c>
      <c r="AP104">
        <f t="shared" si="108"/>
        <v>0.90693001754457281</v>
      </c>
      <c r="AQ104">
        <f t="shared" si="109"/>
        <v>8.8699114010374702E-4</v>
      </c>
      <c r="AR104">
        <f t="shared" si="110"/>
        <v>0.53465630651177021</v>
      </c>
      <c r="AS104">
        <f t="shared" si="111"/>
        <v>0.27388375748837612</v>
      </c>
      <c r="AT104" s="101">
        <f t="shared" si="125"/>
        <v>6.8169552857167464</v>
      </c>
      <c r="AU104" s="101">
        <f t="shared" si="125"/>
        <v>6.8169552857167464</v>
      </c>
      <c r="AV104" s="101">
        <f t="shared" si="125"/>
        <v>6.8169552857167464</v>
      </c>
      <c r="AW104" s="101">
        <f t="shared" si="125"/>
        <v>6.8169552857167419</v>
      </c>
      <c r="AX104" s="101">
        <f t="shared" si="125"/>
        <v>6.8169552857137647</v>
      </c>
      <c r="AY104" s="101">
        <f t="shared" si="125"/>
        <v>6.8169552837271929</v>
      </c>
      <c r="AZ104" s="101">
        <f t="shared" si="125"/>
        <v>6.816953958111732</v>
      </c>
      <c r="BA104" s="101">
        <f t="shared" si="112"/>
        <v>6.8160696224826038</v>
      </c>
      <c r="BB104"/>
      <c r="BC104">
        <v>41000</v>
      </c>
      <c r="BD104">
        <f t="shared" si="116"/>
        <v>-1.6340689622604775E-2</v>
      </c>
      <c r="BE104">
        <f t="shared" si="117"/>
        <v>-3.288431956699514E-2</v>
      </c>
      <c r="BF104">
        <f t="shared" si="118"/>
        <v>1.6543629944390365E-2</v>
      </c>
      <c r="BG104">
        <f t="shared" si="119"/>
        <v>1.0017407501736084</v>
      </c>
      <c r="BH104">
        <f t="shared" si="120"/>
        <v>0.56570038816956669</v>
      </c>
      <c r="BI104">
        <f t="shared" si="121"/>
        <v>0</v>
      </c>
      <c r="BJ104">
        <f t="shared" si="122"/>
        <v>0</v>
      </c>
      <c r="BK104">
        <f t="shared" si="124"/>
        <v>0</v>
      </c>
      <c r="BL104">
        <f t="shared" si="124"/>
        <v>0</v>
      </c>
      <c r="BM104">
        <f t="shared" si="124"/>
        <v>0</v>
      </c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</row>
    <row r="105" spans="1:92" s="101" customFormat="1">
      <c r="A105" s="31" t="s">
        <v>116</v>
      </c>
      <c r="B105" s="40" t="s">
        <v>87</v>
      </c>
      <c r="C105" s="41">
        <v>54027.558400000002</v>
      </c>
      <c r="D105" s="41">
        <v>4.0000000000000002E-4</v>
      </c>
      <c r="E105" s="101">
        <f t="shared" si="93"/>
        <v>28698.084490056997</v>
      </c>
      <c r="F105" s="101">
        <f t="shared" si="94"/>
        <v>28698</v>
      </c>
      <c r="G105" s="101">
        <f t="shared" si="113"/>
        <v>2.7873563994944561E-2</v>
      </c>
      <c r="K105" s="101">
        <f t="shared" si="95"/>
        <v>2.7873563994944561E-2</v>
      </c>
      <c r="P105" s="103">
        <f t="shared" si="96"/>
        <v>-9.4420209667980121E-4</v>
      </c>
      <c r="Q105" s="104">
        <f t="shared" si="97"/>
        <v>39009.058400000002</v>
      </c>
      <c r="R105" s="101">
        <f t="shared" si="98"/>
        <v>8.304636425115749E-4</v>
      </c>
      <c r="S105" s="101">
        <v>1</v>
      </c>
      <c r="T105" s="221"/>
      <c r="AF105">
        <f t="shared" si="99"/>
        <v>28698</v>
      </c>
      <c r="AG105" s="101">
        <f t="shared" si="100"/>
        <v>2.5587301768345505E-2</v>
      </c>
      <c r="AH105" s="101">
        <f t="shared" si="101"/>
        <v>1.342060129919255E-3</v>
      </c>
      <c r="AI105" s="101">
        <f t="shared" si="102"/>
        <v>2.8817766091624362E-2</v>
      </c>
      <c r="AJ105" s="101">
        <f t="shared" si="103"/>
        <v>2.2862622265990562E-3</v>
      </c>
      <c r="AK105" s="101">
        <f t="shared" si="104"/>
        <v>5.2269949687736744E-6</v>
      </c>
      <c r="AL105">
        <f t="shared" si="105"/>
        <v>2.8817766091624362E-2</v>
      </c>
      <c r="AM105" s="195">
        <f t="shared" si="114"/>
        <v>5.2269949687736744E-6</v>
      </c>
      <c r="AN105">
        <f t="shared" si="106"/>
        <v>2.6531503865025306E-2</v>
      </c>
      <c r="AO105">
        <f t="shared" si="107"/>
        <v>1.0014963934671897</v>
      </c>
      <c r="AP105">
        <f t="shared" si="108"/>
        <v>0.90760438759985096</v>
      </c>
      <c r="AQ105">
        <f t="shared" si="109"/>
        <v>8.8939179120874003E-4</v>
      </c>
      <c r="AR105">
        <f t="shared" si="110"/>
        <v>0.53625983441992053</v>
      </c>
      <c r="AS105">
        <f t="shared" si="111"/>
        <v>0.27474585310322752</v>
      </c>
      <c r="AT105" s="101">
        <f t="shared" si="125"/>
        <v>6.8185564141365642</v>
      </c>
      <c r="AU105" s="101">
        <f t="shared" si="125"/>
        <v>6.8185564141365642</v>
      </c>
      <c r="AV105" s="101">
        <f t="shared" si="125"/>
        <v>6.8185564141365642</v>
      </c>
      <c r="AW105" s="101">
        <f t="shared" si="125"/>
        <v>6.8185564141365598</v>
      </c>
      <c r="AX105" s="101">
        <f t="shared" si="125"/>
        <v>6.8185564141335826</v>
      </c>
      <c r="AY105" s="101">
        <f t="shared" si="125"/>
        <v>6.8185564121453979</v>
      </c>
      <c r="AZ105" s="101">
        <f t="shared" si="125"/>
        <v>6.8185550841956211</v>
      </c>
      <c r="BA105" s="101">
        <f t="shared" si="112"/>
        <v>6.8176683525823867</v>
      </c>
      <c r="BB105"/>
      <c r="BC105">
        <v>41500</v>
      </c>
      <c r="BD105">
        <f t="shared" si="116"/>
        <v>-1.7906768825147145E-2</v>
      </c>
      <c r="BE105">
        <f t="shared" si="117"/>
        <v>-3.445039876953751E-2</v>
      </c>
      <c r="BF105">
        <f t="shared" si="118"/>
        <v>1.6543629944390365E-2</v>
      </c>
      <c r="BG105">
        <f t="shared" si="119"/>
        <v>1.0017407501736084</v>
      </c>
      <c r="BH105">
        <f t="shared" si="120"/>
        <v>0.56570038816956669</v>
      </c>
      <c r="BI105">
        <f t="shared" si="121"/>
        <v>0</v>
      </c>
      <c r="BJ105">
        <f t="shared" si="122"/>
        <v>0</v>
      </c>
      <c r="BK105">
        <f t="shared" si="124"/>
        <v>0</v>
      </c>
      <c r="BL105">
        <f t="shared" si="124"/>
        <v>0</v>
      </c>
      <c r="BM105">
        <f t="shared" si="124"/>
        <v>0</v>
      </c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</row>
    <row r="106" spans="1:92" s="101" customFormat="1">
      <c r="A106" s="23" t="s">
        <v>120</v>
      </c>
      <c r="B106"/>
      <c r="C106" s="26">
        <v>54134.609792267584</v>
      </c>
      <c r="D106" s="25">
        <v>1E-4</v>
      </c>
      <c r="E106" s="101">
        <f t="shared" si="93"/>
        <v>29022.577555782147</v>
      </c>
      <c r="F106" s="101">
        <f t="shared" si="94"/>
        <v>29022.5</v>
      </c>
      <c r="G106" s="101">
        <f t="shared" si="113"/>
        <v>2.5585922579921316E-2</v>
      </c>
      <c r="K106" s="101">
        <f t="shared" si="95"/>
        <v>2.5585922579921316E-2</v>
      </c>
      <c r="P106" s="103">
        <f t="shared" si="96"/>
        <v>-1.6240365545350938E-3</v>
      </c>
      <c r="Q106" s="104">
        <f t="shared" si="97"/>
        <v>39116.109792267584</v>
      </c>
      <c r="R106" s="101">
        <f t="shared" si="98"/>
        <v>7.4038187609878783E-4</v>
      </c>
      <c r="S106" s="101">
        <v>1</v>
      </c>
      <c r="T106" s="221"/>
      <c r="AF106">
        <f t="shared" si="99"/>
        <v>29022.5</v>
      </c>
      <c r="AG106" s="101">
        <f t="shared" si="100"/>
        <v>2.5196956934260592E-2</v>
      </c>
      <c r="AH106" s="101">
        <f t="shared" si="101"/>
        <v>-1.2350709088743694E-3</v>
      </c>
      <c r="AI106" s="101">
        <f t="shared" si="102"/>
        <v>2.720995913445641E-2</v>
      </c>
      <c r="AJ106" s="101">
        <f t="shared" si="103"/>
        <v>3.8896564566072434E-4</v>
      </c>
      <c r="AK106" s="101">
        <f t="shared" si="104"/>
        <v>1.5129427350426417E-7</v>
      </c>
      <c r="AL106">
        <f t="shared" si="105"/>
        <v>2.720995913445641E-2</v>
      </c>
      <c r="AM106" s="195">
        <f t="shared" si="114"/>
        <v>1.5129427350426417E-7</v>
      </c>
      <c r="AN106">
        <f t="shared" si="106"/>
        <v>2.6820993488795686E-2</v>
      </c>
      <c r="AO106">
        <f t="shared" si="107"/>
        <v>1.0014744327253247</v>
      </c>
      <c r="AP106">
        <f t="shared" si="108"/>
        <v>0.91749805061257828</v>
      </c>
      <c r="AQ106">
        <f t="shared" si="109"/>
        <v>9.2534280426706246E-4</v>
      </c>
      <c r="AR106">
        <f t="shared" si="110"/>
        <v>0.56046135679894349</v>
      </c>
      <c r="AS106">
        <f t="shared" si="111"/>
        <v>0.2878040949316194</v>
      </c>
      <c r="AT106" s="101">
        <f t="shared" si="125"/>
        <v>6.8427220022154946</v>
      </c>
      <c r="AU106" s="101">
        <f t="shared" si="125"/>
        <v>6.8427220022154946</v>
      </c>
      <c r="AV106" s="101">
        <f t="shared" si="125"/>
        <v>6.8427220022154946</v>
      </c>
      <c r="AW106" s="101">
        <f t="shared" si="125"/>
        <v>6.8427220022154902</v>
      </c>
      <c r="AX106" s="101">
        <f t="shared" si="125"/>
        <v>6.8427220022125264</v>
      </c>
      <c r="AY106" s="101">
        <f t="shared" si="125"/>
        <v>6.8427220002038958</v>
      </c>
      <c r="AZ106" s="101">
        <f t="shared" si="125"/>
        <v>6.84272063868631</v>
      </c>
      <c r="BA106" s="101">
        <f t="shared" si="112"/>
        <v>6.8417980231581801</v>
      </c>
      <c r="BB106"/>
      <c r="BC106">
        <v>42000</v>
      </c>
      <c r="BD106">
        <f t="shared" si="116"/>
        <v>-1.9493775345902405E-2</v>
      </c>
      <c r="BE106">
        <f t="shared" si="117"/>
        <v>-3.6037405290292771E-2</v>
      </c>
      <c r="BF106">
        <f t="shared" si="118"/>
        <v>1.6543629944390365E-2</v>
      </c>
      <c r="BG106">
        <f t="shared" si="119"/>
        <v>1.0017407501736084</v>
      </c>
      <c r="BH106">
        <f t="shared" si="120"/>
        <v>0.56570038816956669</v>
      </c>
      <c r="BI106">
        <f t="shared" si="121"/>
        <v>0</v>
      </c>
      <c r="BJ106">
        <f t="shared" si="122"/>
        <v>0</v>
      </c>
      <c r="BK106">
        <f t="shared" si="124"/>
        <v>0</v>
      </c>
      <c r="BL106">
        <f t="shared" si="124"/>
        <v>0</v>
      </c>
      <c r="BM106">
        <f t="shared" si="124"/>
        <v>0</v>
      </c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</row>
    <row r="107" spans="1:92" s="101" customFormat="1">
      <c r="A107" s="21" t="s">
        <v>120</v>
      </c>
      <c r="B107" s="122" t="s">
        <v>86</v>
      </c>
      <c r="C107" s="21">
        <v>54134.609799999998</v>
      </c>
      <c r="D107" s="21">
        <v>1E-4</v>
      </c>
      <c r="E107" s="101">
        <f t="shared" si="93"/>
        <v>29022.57757922056</v>
      </c>
      <c r="F107" s="101">
        <f t="shared" si="94"/>
        <v>29022.5</v>
      </c>
      <c r="G107" s="101">
        <f t="shared" si="113"/>
        <v>2.5593654994736426E-2</v>
      </c>
      <c r="K107" s="101">
        <f t="shared" si="95"/>
        <v>2.5593654994736426E-2</v>
      </c>
      <c r="P107" s="103">
        <f t="shared" si="96"/>
        <v>-1.6240365545350938E-3</v>
      </c>
      <c r="Q107" s="104">
        <f t="shared" si="97"/>
        <v>39116.109799999998</v>
      </c>
      <c r="R107" s="101">
        <f t="shared" si="98"/>
        <v>7.4080273327128629E-4</v>
      </c>
      <c r="S107" s="101">
        <v>1</v>
      </c>
      <c r="T107" s="221"/>
      <c r="U107" s="101">
        <v>1.2235945252784232E-11</v>
      </c>
      <c r="V107" s="101">
        <v>1.019806444737714E-20</v>
      </c>
      <c r="W107" s="101">
        <v>3.1413196753552994E-30</v>
      </c>
      <c r="X107" s="101">
        <v>6.1428109300770873E-11</v>
      </c>
      <c r="Y107" s="101">
        <v>1.8592447870577099E-6</v>
      </c>
      <c r="Z107" s="101">
        <v>4.7947999557362187E-5</v>
      </c>
      <c r="AA107" s="101">
        <v>3.3678434563154418E-7</v>
      </c>
      <c r="AB107" s="101">
        <v>26.082311367690952</v>
      </c>
      <c r="AC107" s="101">
        <v>1.844055363879526E-6</v>
      </c>
      <c r="AD107" s="101">
        <v>7.2546410022825011E-10</v>
      </c>
      <c r="AE107" s="101">
        <v>1.5401215413179466E-23</v>
      </c>
      <c r="AF107">
        <f t="shared" si="99"/>
        <v>29022.5</v>
      </c>
      <c r="AG107" s="101">
        <f t="shared" si="100"/>
        <v>2.5196956934260592E-2</v>
      </c>
      <c r="AH107" s="101">
        <f t="shared" si="101"/>
        <v>-1.2273384940592602E-3</v>
      </c>
      <c r="AI107" s="101">
        <f t="shared" si="102"/>
        <v>2.7217691549271519E-2</v>
      </c>
      <c r="AJ107" s="101">
        <f t="shared" si="103"/>
        <v>3.9669806047583356E-4</v>
      </c>
      <c r="AK107" s="101">
        <f t="shared" si="104"/>
        <v>1.573693511852881E-7</v>
      </c>
      <c r="AL107">
        <f t="shared" si="105"/>
        <v>2.7217691549271519E-2</v>
      </c>
      <c r="AM107" s="195">
        <f t="shared" si="114"/>
        <v>1.573693511852881E-7</v>
      </c>
      <c r="AN107">
        <f t="shared" si="106"/>
        <v>2.6820993488795686E-2</v>
      </c>
      <c r="AO107">
        <f t="shared" si="107"/>
        <v>1.0014744327253247</v>
      </c>
      <c r="AP107">
        <f t="shared" si="108"/>
        <v>0.91749805061257828</v>
      </c>
      <c r="AQ107">
        <f t="shared" si="109"/>
        <v>9.2534280426706246E-4</v>
      </c>
      <c r="AR107">
        <f t="shared" si="110"/>
        <v>0.56046135679894349</v>
      </c>
      <c r="AS107">
        <f t="shared" si="111"/>
        <v>0.2878040949316194</v>
      </c>
      <c r="AT107" s="101">
        <f t="shared" si="125"/>
        <v>6.8427220022154946</v>
      </c>
      <c r="AU107" s="101">
        <f t="shared" si="125"/>
        <v>6.8427220022154946</v>
      </c>
      <c r="AV107" s="101">
        <f t="shared" si="125"/>
        <v>6.8427220022154946</v>
      </c>
      <c r="AW107" s="101">
        <f t="shared" si="125"/>
        <v>6.8427220022154902</v>
      </c>
      <c r="AX107" s="101">
        <f t="shared" si="125"/>
        <v>6.8427220022125264</v>
      </c>
      <c r="AY107" s="101">
        <f t="shared" si="125"/>
        <v>6.8427220002038958</v>
      </c>
      <c r="AZ107" s="101">
        <f t="shared" si="125"/>
        <v>6.84272063868631</v>
      </c>
      <c r="BA107" s="101">
        <f t="shared" si="112"/>
        <v>6.8417980231581801</v>
      </c>
      <c r="BB107"/>
      <c r="BC107">
        <v>42500</v>
      </c>
      <c r="BD107">
        <f t="shared" si="116"/>
        <v>-2.1101709184870521E-2</v>
      </c>
      <c r="BE107">
        <f t="shared" si="117"/>
        <v>-3.7645339129260887E-2</v>
      </c>
      <c r="BF107">
        <f t="shared" si="118"/>
        <v>1.6543629944390365E-2</v>
      </c>
      <c r="BG107">
        <f t="shared" si="119"/>
        <v>1.0017407501736084</v>
      </c>
      <c r="BH107">
        <f t="shared" si="120"/>
        <v>0.56570038816956669</v>
      </c>
      <c r="BI107">
        <f t="shared" si="121"/>
        <v>0</v>
      </c>
      <c r="BJ107">
        <f t="shared" si="122"/>
        <v>0</v>
      </c>
      <c r="BK107">
        <f t="shared" si="124"/>
        <v>0</v>
      </c>
      <c r="BL107">
        <f t="shared" si="124"/>
        <v>0</v>
      </c>
      <c r="BM107">
        <f t="shared" si="124"/>
        <v>0</v>
      </c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</row>
    <row r="108" spans="1:92" s="101" customFormat="1">
      <c r="A108" s="21" t="s">
        <v>117</v>
      </c>
      <c r="B108" s="123" t="s">
        <v>87</v>
      </c>
      <c r="C108" s="22">
        <v>54173.374499999998</v>
      </c>
      <c r="D108" s="22">
        <v>2.9999999999999997E-4</v>
      </c>
      <c r="E108" s="101">
        <f t="shared" si="93"/>
        <v>29140.080734279712</v>
      </c>
      <c r="F108" s="101">
        <f t="shared" si="94"/>
        <v>29140</v>
      </c>
      <c r="G108" s="101">
        <f t="shared" si="113"/>
        <v>2.6634519992512651E-2</v>
      </c>
      <c r="K108" s="101">
        <f t="shared" si="95"/>
        <v>2.6634519992512651E-2</v>
      </c>
      <c r="P108" s="103">
        <f t="shared" si="96"/>
        <v>-1.872375294486181E-3</v>
      </c>
      <c r="Q108" s="104">
        <f t="shared" si="97"/>
        <v>39154.874499999998</v>
      </c>
      <c r="R108" s="101">
        <f t="shared" si="98"/>
        <v>8.1264307890391622E-4</v>
      </c>
      <c r="S108" s="101">
        <v>1</v>
      </c>
      <c r="T108" s="221"/>
      <c r="AF108">
        <f t="shared" si="99"/>
        <v>29140</v>
      </c>
      <c r="AG108" s="101">
        <f t="shared" si="100"/>
        <v>2.5049585837654778E-2</v>
      </c>
      <c r="AH108" s="101">
        <f t="shared" si="101"/>
        <v>-2.8744113962830831E-4</v>
      </c>
      <c r="AI108" s="101">
        <f t="shared" si="102"/>
        <v>2.8506895286998832E-2</v>
      </c>
      <c r="AJ108" s="101">
        <f t="shared" si="103"/>
        <v>1.5849341548578727E-3</v>
      </c>
      <c r="AK108" s="101">
        <f t="shared" si="104"/>
        <v>2.512016275235039E-6</v>
      </c>
      <c r="AL108">
        <f t="shared" si="105"/>
        <v>2.8506895286998832E-2</v>
      </c>
      <c r="AM108" s="195">
        <f t="shared" si="114"/>
        <v>2.512016275235039E-6</v>
      </c>
      <c r="AN108">
        <f t="shared" si="106"/>
        <v>2.6921961132140959E-2</v>
      </c>
      <c r="AO108">
        <f t="shared" si="107"/>
        <v>1.0014662674410049</v>
      </c>
      <c r="AP108">
        <f t="shared" si="108"/>
        <v>0.92094817622998204</v>
      </c>
      <c r="AQ108">
        <f t="shared" si="109"/>
        <v>9.3822756214379628E-4</v>
      </c>
      <c r="AR108">
        <f t="shared" si="110"/>
        <v>0.56922435519795755</v>
      </c>
      <c r="AS108">
        <f t="shared" si="111"/>
        <v>0.29255453972831863</v>
      </c>
      <c r="AT108" s="101">
        <f t="shared" si="125"/>
        <v>6.8514721215167063</v>
      </c>
      <c r="AU108" s="101">
        <f t="shared" si="125"/>
        <v>6.8514721215167063</v>
      </c>
      <c r="AV108" s="101">
        <f t="shared" si="125"/>
        <v>6.8514721215167063</v>
      </c>
      <c r="AW108" s="101">
        <f t="shared" si="125"/>
        <v>6.8514721215167018</v>
      </c>
      <c r="AX108" s="101">
        <f t="shared" si="125"/>
        <v>6.8514721215137468</v>
      </c>
      <c r="AY108" s="101">
        <f t="shared" si="125"/>
        <v>6.8514721194995101</v>
      </c>
      <c r="AZ108" s="101">
        <f t="shared" si="125"/>
        <v>6.8514707466060312</v>
      </c>
      <c r="BA108" s="101">
        <f t="shared" si="112"/>
        <v>6.8505352690523429</v>
      </c>
      <c r="BB108"/>
      <c r="BC108">
        <v>43000</v>
      </c>
      <c r="BD108">
        <f t="shared" si="116"/>
        <v>-2.2730570342051521E-2</v>
      </c>
      <c r="BE108">
        <f t="shared" si="117"/>
        <v>-3.9274200286441886E-2</v>
      </c>
      <c r="BF108">
        <f t="shared" si="118"/>
        <v>1.6543629944390365E-2</v>
      </c>
      <c r="BG108">
        <f t="shared" si="119"/>
        <v>1.0017407501736084</v>
      </c>
      <c r="BH108">
        <f t="shared" si="120"/>
        <v>0.56570038816956669</v>
      </c>
      <c r="BI108">
        <f t="shared" si="121"/>
        <v>0</v>
      </c>
      <c r="BJ108">
        <f t="shared" si="122"/>
        <v>0</v>
      </c>
      <c r="BK108">
        <f t="shared" si="124"/>
        <v>0</v>
      </c>
      <c r="BL108">
        <f t="shared" si="124"/>
        <v>0</v>
      </c>
      <c r="BM108">
        <f t="shared" si="124"/>
        <v>0</v>
      </c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</row>
    <row r="109" spans="1:92" s="101" customFormat="1">
      <c r="A109" s="124" t="s">
        <v>122</v>
      </c>
      <c r="B109" s="125" t="s">
        <v>86</v>
      </c>
      <c r="C109" s="124">
        <v>54544.348599999998</v>
      </c>
      <c r="D109" s="124">
        <v>1E-4</v>
      </c>
      <c r="E109" s="101">
        <f t="shared" si="93"/>
        <v>30264.573563973456</v>
      </c>
      <c r="F109" s="101">
        <f t="shared" si="94"/>
        <v>30264.5</v>
      </c>
      <c r="G109" s="101">
        <f t="shared" si="113"/>
        <v>2.4269010995340068E-2</v>
      </c>
      <c r="K109" s="101">
        <f t="shared" si="95"/>
        <v>2.4269010995340068E-2</v>
      </c>
      <c r="P109" s="103">
        <f t="shared" si="96"/>
        <v>-4.3074852728644808E-3</v>
      </c>
      <c r="Q109" s="104">
        <f t="shared" si="97"/>
        <v>39525.848599999998</v>
      </c>
      <c r="R109" s="101">
        <f t="shared" si="98"/>
        <v>8.1661613896670852E-4</v>
      </c>
      <c r="S109" s="101">
        <v>1</v>
      </c>
      <c r="T109" s="221"/>
      <c r="AF109">
        <f t="shared" si="99"/>
        <v>30264.5</v>
      </c>
      <c r="AG109" s="101">
        <f t="shared" si="100"/>
        <v>2.3475415085163941E-2</v>
      </c>
      <c r="AH109" s="101">
        <f t="shared" si="101"/>
        <v>-3.5138893626883543E-3</v>
      </c>
      <c r="AI109" s="101">
        <f t="shared" si="102"/>
        <v>2.8576496268204549E-2</v>
      </c>
      <c r="AJ109" s="101">
        <f t="shared" si="103"/>
        <v>7.9359591017612655E-4</v>
      </c>
      <c r="AK109" s="101">
        <f t="shared" si="104"/>
        <v>6.2979446864827469E-7</v>
      </c>
      <c r="AL109">
        <f t="shared" si="105"/>
        <v>2.8576496268204549E-2</v>
      </c>
      <c r="AM109" s="195">
        <f t="shared" si="114"/>
        <v>6.2979446864827469E-7</v>
      </c>
      <c r="AN109">
        <f t="shared" si="106"/>
        <v>2.7782900358028422E-2</v>
      </c>
      <c r="AO109">
        <f t="shared" si="107"/>
        <v>1.0013825311403919</v>
      </c>
      <c r="AP109">
        <f t="shared" si="108"/>
        <v>0.95035130898770803</v>
      </c>
      <c r="AQ109">
        <f t="shared" si="109"/>
        <v>1.0577423186978788E-3</v>
      </c>
      <c r="AR109">
        <f t="shared" si="110"/>
        <v>0.65308055678869048</v>
      </c>
      <c r="AS109">
        <f t="shared" si="111"/>
        <v>0.33866380013754593</v>
      </c>
      <c r="AT109" s="101">
        <f t="shared" si="125"/>
        <v>6.9352088516235595</v>
      </c>
      <c r="AU109" s="101">
        <f t="shared" si="125"/>
        <v>6.9352088516235595</v>
      </c>
      <c r="AV109" s="101">
        <f t="shared" si="125"/>
        <v>6.9352088516235595</v>
      </c>
      <c r="AW109" s="101">
        <f t="shared" si="125"/>
        <v>6.9352088516235559</v>
      </c>
      <c r="AX109" s="101">
        <f t="shared" si="125"/>
        <v>6.93520885162076</v>
      </c>
      <c r="AY109" s="101">
        <f t="shared" si="125"/>
        <v>6.9352088496005129</v>
      </c>
      <c r="AZ109" s="101">
        <f t="shared" si="125"/>
        <v>6.935207389513903</v>
      </c>
      <c r="BA109" s="101">
        <f t="shared" si="112"/>
        <v>6.9341525712479664</v>
      </c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</row>
    <row r="110" spans="1:92" s="101" customFormat="1">
      <c r="A110" s="124" t="s">
        <v>122</v>
      </c>
      <c r="B110" s="125" t="s">
        <v>87</v>
      </c>
      <c r="C110" s="124">
        <v>54556.390299999999</v>
      </c>
      <c r="D110" s="124">
        <v>1E-4</v>
      </c>
      <c r="E110" s="101">
        <f t="shared" si="93"/>
        <v>30301.074239646838</v>
      </c>
      <c r="F110" s="101">
        <f t="shared" si="94"/>
        <v>30301</v>
      </c>
      <c r="G110" s="101">
        <f t="shared" si="113"/>
        <v>2.4491917996783741E-2</v>
      </c>
      <c r="K110" s="101">
        <f t="shared" si="95"/>
        <v>2.4491917996783741E-2</v>
      </c>
      <c r="P110" s="103">
        <f t="shared" si="96"/>
        <v>-4.3882998455722355E-3</v>
      </c>
      <c r="Q110" s="104">
        <f t="shared" si="97"/>
        <v>39537.890299999999</v>
      </c>
      <c r="R110" s="101">
        <f t="shared" si="98"/>
        <v>8.3406698262193646E-4</v>
      </c>
      <c r="S110" s="101">
        <v>1</v>
      </c>
      <c r="T110" s="221"/>
      <c r="AF110">
        <f t="shared" si="99"/>
        <v>30301</v>
      </c>
      <c r="AG110" s="101">
        <f t="shared" si="100"/>
        <v>2.3419311080394873E-2</v>
      </c>
      <c r="AH110" s="101">
        <f t="shared" si="101"/>
        <v>-3.3156929291833677E-3</v>
      </c>
      <c r="AI110" s="101">
        <f t="shared" si="102"/>
        <v>2.8880217842355976E-2</v>
      </c>
      <c r="AJ110" s="101">
        <f t="shared" si="103"/>
        <v>1.0726069163888678E-3</v>
      </c>
      <c r="AK110" s="101">
        <f t="shared" si="104"/>
        <v>1.1504855970852356E-6</v>
      </c>
      <c r="AL110">
        <f t="shared" si="105"/>
        <v>2.8880217842355976E-2</v>
      </c>
      <c r="AM110" s="195">
        <f t="shared" si="114"/>
        <v>1.1504855970852356E-6</v>
      </c>
      <c r="AN110">
        <f t="shared" si="106"/>
        <v>2.7807610925967109E-2</v>
      </c>
      <c r="AO110">
        <f t="shared" si="107"/>
        <v>1.0013796472322245</v>
      </c>
      <c r="AP110">
        <f t="shared" si="108"/>
        <v>0.95119470473371992</v>
      </c>
      <c r="AQ110">
        <f t="shared" si="109"/>
        <v>1.0615011453280385E-3</v>
      </c>
      <c r="AR110">
        <f t="shared" si="110"/>
        <v>0.65580219442599186</v>
      </c>
      <c r="AS110">
        <f t="shared" si="111"/>
        <v>0.34018139591573077</v>
      </c>
      <c r="AT110" s="101">
        <f t="shared" si="125"/>
        <v>6.9379267315004665</v>
      </c>
      <c r="AU110" s="101">
        <f t="shared" si="125"/>
        <v>6.9379267315004665</v>
      </c>
      <c r="AV110" s="101">
        <f t="shared" si="125"/>
        <v>6.9379267315004665</v>
      </c>
      <c r="AW110" s="101">
        <f t="shared" si="125"/>
        <v>6.9379267315004629</v>
      </c>
      <c r="AX110" s="101">
        <f t="shared" si="125"/>
        <v>6.9379267314976749</v>
      </c>
      <c r="AY110" s="101">
        <f t="shared" si="125"/>
        <v>6.9379267294786482</v>
      </c>
      <c r="AZ110" s="101">
        <f t="shared" si="125"/>
        <v>6.9379252672351868</v>
      </c>
      <c r="BA110" s="101">
        <f t="shared" si="112"/>
        <v>6.9368666944406217</v>
      </c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</row>
    <row r="111" spans="1:92" s="101" customFormat="1">
      <c r="A111" s="124" t="s">
        <v>122</v>
      </c>
      <c r="B111" s="125" t="s">
        <v>87</v>
      </c>
      <c r="C111" s="124">
        <v>54706.496700000003</v>
      </c>
      <c r="D111" s="124">
        <v>2.9999999999999997E-4</v>
      </c>
      <c r="E111" s="101">
        <f t="shared" si="93"/>
        <v>30756.075196563095</v>
      </c>
      <c r="F111" s="101">
        <f t="shared" si="94"/>
        <v>30756</v>
      </c>
      <c r="G111" s="101">
        <f t="shared" si="113"/>
        <v>2.4807608002447523E-2</v>
      </c>
      <c r="K111" s="101">
        <f t="shared" si="95"/>
        <v>2.4807608002447523E-2</v>
      </c>
      <c r="P111" s="103">
        <f t="shared" si="96"/>
        <v>-5.4050744390466005E-3</v>
      </c>
      <c r="Q111" s="104">
        <f t="shared" si="97"/>
        <v>39687.996700000003</v>
      </c>
      <c r="R111" s="101">
        <f t="shared" si="98"/>
        <v>9.1280618031056731E-4</v>
      </c>
      <c r="S111" s="101">
        <v>1</v>
      </c>
      <c r="T111" s="221"/>
      <c r="AF111">
        <f t="shared" si="99"/>
        <v>30756</v>
      </c>
      <c r="AG111" s="101">
        <f t="shared" si="100"/>
        <v>2.2693269905582857E-2</v>
      </c>
      <c r="AH111" s="101">
        <f t="shared" si="101"/>
        <v>-3.2907363421819345E-3</v>
      </c>
      <c r="AI111" s="101">
        <f t="shared" si="102"/>
        <v>3.0212682441494124E-2</v>
      </c>
      <c r="AJ111" s="101">
        <f t="shared" si="103"/>
        <v>2.1143380968646659E-3</v>
      </c>
      <c r="AK111" s="101">
        <f t="shared" si="104"/>
        <v>4.4704255878532978E-6</v>
      </c>
      <c r="AL111">
        <f t="shared" si="105"/>
        <v>3.0212682441494124E-2</v>
      </c>
      <c r="AM111" s="195">
        <f t="shared" si="114"/>
        <v>4.4704255878532978E-6</v>
      </c>
      <c r="AN111">
        <f t="shared" si="106"/>
        <v>2.8098344344629458E-2</v>
      </c>
      <c r="AO111">
        <f t="shared" si="107"/>
        <v>1.0013428478394242</v>
      </c>
      <c r="AP111">
        <f t="shared" si="108"/>
        <v>0.96111460004292226</v>
      </c>
      <c r="AQ111">
        <f t="shared" si="109"/>
        <v>1.1076871611926953E-3</v>
      </c>
      <c r="AR111">
        <f t="shared" si="110"/>
        <v>0.68972812242696357</v>
      </c>
      <c r="AS111">
        <f t="shared" si="111"/>
        <v>0.35921905401130405</v>
      </c>
      <c r="AT111" s="101">
        <f t="shared" ref="AT111:AZ120" si="126">$BA111+$AH$7*SIN(AU111)</f>
        <v>6.9718064849490151</v>
      </c>
      <c r="AU111" s="101">
        <f t="shared" si="126"/>
        <v>6.9718064849490151</v>
      </c>
      <c r="AV111" s="101">
        <f t="shared" si="126"/>
        <v>6.9718064849490151</v>
      </c>
      <c r="AW111" s="101">
        <f t="shared" si="126"/>
        <v>6.9718064849490116</v>
      </c>
      <c r="AX111" s="101">
        <f t="shared" si="126"/>
        <v>6.9718064849463275</v>
      </c>
      <c r="AY111" s="101">
        <f t="shared" si="126"/>
        <v>6.9718064829497175</v>
      </c>
      <c r="AZ111" s="101">
        <f t="shared" si="126"/>
        <v>6.9718049974587339</v>
      </c>
      <c r="BA111" s="101">
        <f t="shared" si="112"/>
        <v>6.9707002849243995</v>
      </c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</row>
    <row r="112" spans="1:92" s="101" customFormat="1">
      <c r="A112" s="124" t="s">
        <v>122</v>
      </c>
      <c r="B112" s="125" t="s">
        <v>87</v>
      </c>
      <c r="C112" s="124">
        <v>54803.486199999999</v>
      </c>
      <c r="D112" s="124">
        <v>2.9999999999999997E-4</v>
      </c>
      <c r="E112" s="101">
        <f t="shared" si="93"/>
        <v>31050.068759201502</v>
      </c>
      <c r="F112" s="101">
        <f t="shared" si="94"/>
        <v>31050</v>
      </c>
      <c r="G112" s="101">
        <f t="shared" si="113"/>
        <v>2.2683899995172396E-2</v>
      </c>
      <c r="K112" s="101">
        <f t="shared" si="95"/>
        <v>2.2683899995172396E-2</v>
      </c>
      <c r="P112" s="103">
        <f t="shared" si="96"/>
        <v>-6.0712838953603382E-3</v>
      </c>
      <c r="Q112" s="104">
        <f t="shared" si="97"/>
        <v>39784.986199999999</v>
      </c>
      <c r="R112" s="101">
        <f t="shared" si="98"/>
        <v>8.2686060057835333E-4</v>
      </c>
      <c r="S112" s="101">
        <v>1</v>
      </c>
      <c r="T112" s="221"/>
      <c r="AF112">
        <f t="shared" si="99"/>
        <v>31050</v>
      </c>
      <c r="AG112" s="101">
        <f t="shared" si="100"/>
        <v>2.2197782066050251E-2</v>
      </c>
      <c r="AH112" s="101">
        <f t="shared" si="101"/>
        <v>-5.5851659662381932E-3</v>
      </c>
      <c r="AI112" s="101">
        <f t="shared" si="102"/>
        <v>2.8755183890532734E-2</v>
      </c>
      <c r="AJ112" s="101">
        <f t="shared" si="103"/>
        <v>4.8611792912214499E-4</v>
      </c>
      <c r="AK112" s="101">
        <f t="shared" si="104"/>
        <v>2.3631064101400278E-7</v>
      </c>
      <c r="AL112">
        <f t="shared" si="105"/>
        <v>2.8755183890532734E-2</v>
      </c>
      <c r="AM112" s="195">
        <f t="shared" si="114"/>
        <v>2.3631064101400278E-7</v>
      </c>
      <c r="AN112">
        <f t="shared" si="106"/>
        <v>2.8269065961410589E-2</v>
      </c>
      <c r="AO112">
        <f t="shared" si="107"/>
        <v>1.0013182466597985</v>
      </c>
      <c r="AP112">
        <f t="shared" si="108"/>
        <v>0.96693643290333742</v>
      </c>
      <c r="AQ112">
        <f t="shared" si="109"/>
        <v>1.1368539531740596E-3</v>
      </c>
      <c r="AR112">
        <f t="shared" si="110"/>
        <v>0.7116481437748331</v>
      </c>
      <c r="AS112">
        <f t="shared" si="111"/>
        <v>0.37164273619333049</v>
      </c>
      <c r="AT112" s="101">
        <f t="shared" si="126"/>
        <v>6.9936973450967423</v>
      </c>
      <c r="AU112" s="101">
        <f t="shared" si="126"/>
        <v>6.9936973450967423</v>
      </c>
      <c r="AV112" s="101">
        <f t="shared" si="126"/>
        <v>6.9936973450967423</v>
      </c>
      <c r="AW112" s="101">
        <f t="shared" si="126"/>
        <v>6.9936973450967388</v>
      </c>
      <c r="AX112" s="101">
        <f t="shared" si="126"/>
        <v>6.993697345094132</v>
      </c>
      <c r="AY112" s="101">
        <f t="shared" si="126"/>
        <v>6.9936973431189182</v>
      </c>
      <c r="AZ112" s="101">
        <f t="shared" si="126"/>
        <v>6.9936958462212013</v>
      </c>
      <c r="BA112" s="101">
        <f t="shared" si="112"/>
        <v>6.9925619895446873</v>
      </c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</row>
    <row r="113" spans="1:92" s="101" customFormat="1">
      <c r="A113" s="21" t="s">
        <v>130</v>
      </c>
      <c r="B113" s="122" t="s">
        <v>86</v>
      </c>
      <c r="C113" s="21">
        <v>54830.703600000001</v>
      </c>
      <c r="D113" s="21">
        <v>4.0000000000000002E-4</v>
      </c>
      <c r="E113" s="101">
        <f t="shared" si="93"/>
        <v>31132.56985872006</v>
      </c>
      <c r="F113" s="101">
        <f t="shared" si="94"/>
        <v>31132.5</v>
      </c>
      <c r="G113" s="101">
        <f t="shared" si="113"/>
        <v>2.304663499671733E-2</v>
      </c>
      <c r="K113" s="101">
        <f t="shared" si="95"/>
        <v>2.304663499671733E-2</v>
      </c>
      <c r="P113" s="103">
        <f t="shared" si="96"/>
        <v>-6.259530483794469E-3</v>
      </c>
      <c r="Q113" s="104">
        <f t="shared" si="97"/>
        <v>39812.203600000001</v>
      </c>
      <c r="R113" s="101">
        <f t="shared" si="98"/>
        <v>8.5885133517114138E-4</v>
      </c>
      <c r="S113" s="101">
        <v>1</v>
      </c>
      <c r="T113" s="221"/>
      <c r="AF113">
        <f t="shared" si="99"/>
        <v>31132.5</v>
      </c>
      <c r="AG113" s="101">
        <f t="shared" si="100"/>
        <v>2.205501074424613E-2</v>
      </c>
      <c r="AH113" s="101">
        <f t="shared" si="101"/>
        <v>-5.2679062313232689E-3</v>
      </c>
      <c r="AI113" s="101">
        <f t="shared" si="102"/>
        <v>2.9306165480511799E-2</v>
      </c>
      <c r="AJ113" s="101">
        <f t="shared" si="103"/>
        <v>9.9162425247120017E-4</v>
      </c>
      <c r="AK113" s="101">
        <f t="shared" si="104"/>
        <v>9.8331865808906646E-7</v>
      </c>
      <c r="AL113">
        <f t="shared" si="105"/>
        <v>2.9306165480511799E-2</v>
      </c>
      <c r="AM113" s="195">
        <f t="shared" si="114"/>
        <v>9.8331865808906646E-7</v>
      </c>
      <c r="AN113">
        <f t="shared" si="106"/>
        <v>2.8314541228040599E-2</v>
      </c>
      <c r="AO113">
        <f t="shared" si="107"/>
        <v>1.0013112291703503</v>
      </c>
      <c r="AP113">
        <f t="shared" si="108"/>
        <v>0.96848670195158371</v>
      </c>
      <c r="AQ113">
        <f t="shared" si="109"/>
        <v>1.1449407101418452E-3</v>
      </c>
      <c r="AR113">
        <f t="shared" si="110"/>
        <v>0.71779897534339843</v>
      </c>
      <c r="AS113">
        <f t="shared" si="111"/>
        <v>0.37514693944710736</v>
      </c>
      <c r="AT113" s="101">
        <f t="shared" si="126"/>
        <v>6.9998400912194745</v>
      </c>
      <c r="AU113" s="101">
        <f t="shared" si="126"/>
        <v>6.9998400912194745</v>
      </c>
      <c r="AV113" s="101">
        <f t="shared" si="126"/>
        <v>6.9998400912194745</v>
      </c>
      <c r="AW113" s="101">
        <f t="shared" si="126"/>
        <v>6.9998400912194718</v>
      </c>
      <c r="AX113" s="101">
        <f t="shared" si="126"/>
        <v>6.9998400912168881</v>
      </c>
      <c r="AY113" s="101">
        <f t="shared" si="126"/>
        <v>6.9998400892486243</v>
      </c>
      <c r="AZ113" s="101">
        <f t="shared" si="126"/>
        <v>6.9998385896639022</v>
      </c>
      <c r="BA113" s="101">
        <f t="shared" si="112"/>
        <v>6.9986966515554823</v>
      </c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</row>
    <row r="114" spans="1:92" s="101" customFormat="1">
      <c r="A114" s="146" t="s">
        <v>543</v>
      </c>
      <c r="B114" s="147" t="s">
        <v>87</v>
      </c>
      <c r="C114" s="146">
        <v>54842.414299999997</v>
      </c>
      <c r="D114" s="146" t="s">
        <v>260</v>
      </c>
      <c r="E114" s="101">
        <f t="shared" si="93"/>
        <v>31168.067210639481</v>
      </c>
      <c r="F114" s="101">
        <f t="shared" si="94"/>
        <v>31168</v>
      </c>
      <c r="G114" s="101">
        <f t="shared" si="113"/>
        <v>2.2173023993673269E-2</v>
      </c>
      <c r="K114" s="101">
        <f t="shared" si="95"/>
        <v>2.2173023993673269E-2</v>
      </c>
      <c r="O114" s="101">
        <f ca="1">+C$11+C$12*F114</f>
        <v>2.5615683688717278E-2</v>
      </c>
      <c r="P114" s="103">
        <f t="shared" si="96"/>
        <v>-6.3407088903138648E-3</v>
      </c>
      <c r="Q114" s="104">
        <f t="shared" si="97"/>
        <v>39823.914299999997</v>
      </c>
      <c r="R114" s="101">
        <f t="shared" si="98"/>
        <v>8.130329629793692E-4</v>
      </c>
      <c r="S114" s="101">
        <v>1</v>
      </c>
      <c r="T114" s="221"/>
      <c r="AF114">
        <f t="shared" si="99"/>
        <v>31168</v>
      </c>
      <c r="AG114" s="101">
        <f t="shared" si="100"/>
        <v>2.1993071705181652E-2</v>
      </c>
      <c r="AH114" s="101">
        <f t="shared" si="101"/>
        <v>-6.1607566018222482E-3</v>
      </c>
      <c r="AI114" s="101">
        <f t="shared" si="102"/>
        <v>2.8513732883987133E-2</v>
      </c>
      <c r="AJ114" s="101">
        <f t="shared" si="103"/>
        <v>1.799522884916166E-4</v>
      </c>
      <c r="AK114" s="101">
        <f t="shared" si="104"/>
        <v>3.2382826133370006E-8</v>
      </c>
      <c r="AL114">
        <f t="shared" si="105"/>
        <v>2.8513732883987133E-2</v>
      </c>
      <c r="AM114" s="195">
        <f t="shared" si="114"/>
        <v>3.2382826133370006E-8</v>
      </c>
      <c r="AN114">
        <f t="shared" si="106"/>
        <v>2.8333780595495517E-2</v>
      </c>
      <c r="AO114">
        <f t="shared" si="107"/>
        <v>1.0013081942726061</v>
      </c>
      <c r="AP114">
        <f t="shared" si="108"/>
        <v>0.9691425088326634</v>
      </c>
      <c r="AQ114">
        <f t="shared" si="109"/>
        <v>1.1484071194651779E-3</v>
      </c>
      <c r="AR114">
        <f t="shared" si="110"/>
        <v>0.72044567021752359</v>
      </c>
      <c r="AS114">
        <f t="shared" si="111"/>
        <v>0.37665727917446146</v>
      </c>
      <c r="AT114" s="101">
        <f t="shared" si="126"/>
        <v>7.0024833202135595</v>
      </c>
      <c r="AU114" s="101">
        <f t="shared" si="126"/>
        <v>7.0024833202135595</v>
      </c>
      <c r="AV114" s="101">
        <f t="shared" si="126"/>
        <v>7.0024833202135595</v>
      </c>
      <c r="AW114" s="101">
        <f t="shared" si="126"/>
        <v>7.0024833202135568</v>
      </c>
      <c r="AX114" s="101">
        <f t="shared" si="126"/>
        <v>7.0024833202109829</v>
      </c>
      <c r="AY114" s="101">
        <f t="shared" si="126"/>
        <v>7.0024833182458357</v>
      </c>
      <c r="AZ114" s="101">
        <f t="shared" si="126"/>
        <v>7.0024818175744095</v>
      </c>
      <c r="BA114" s="101">
        <f t="shared" si="112"/>
        <v>7.0013364152086126</v>
      </c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</row>
    <row r="115" spans="1:92" s="101" customFormat="1">
      <c r="A115" s="146" t="s">
        <v>543</v>
      </c>
      <c r="B115" s="147" t="s">
        <v>87</v>
      </c>
      <c r="C115" s="146">
        <v>54843.404399999999</v>
      </c>
      <c r="D115" s="146" t="s">
        <v>260</v>
      </c>
      <c r="E115" s="101">
        <f t="shared" si="93"/>
        <v>31171.068391451518</v>
      </c>
      <c r="F115" s="101">
        <f t="shared" si="94"/>
        <v>31171</v>
      </c>
      <c r="G115" s="101">
        <f t="shared" si="113"/>
        <v>2.2562577993085142E-2</v>
      </c>
      <c r="K115" s="101">
        <f t="shared" si="95"/>
        <v>2.2562577993085142E-2</v>
      </c>
      <c r="O115" s="101">
        <f ca="1">+C$11+C$12*F115</f>
        <v>2.5606143134409814E-2</v>
      </c>
      <c r="P115" s="103">
        <f t="shared" si="96"/>
        <v>-6.3475738715541782E-3</v>
      </c>
      <c r="Q115" s="104">
        <f t="shared" si="97"/>
        <v>39824.904399999999</v>
      </c>
      <c r="R115" s="101">
        <f t="shared" si="98"/>
        <v>8.3579688083650842E-4</v>
      </c>
      <c r="S115" s="101">
        <v>1</v>
      </c>
      <c r="T115" s="221"/>
      <c r="AF115">
        <f t="shared" si="99"/>
        <v>31171</v>
      </c>
      <c r="AG115" s="101">
        <f t="shared" si="100"/>
        <v>2.1987823513900003E-2</v>
      </c>
      <c r="AH115" s="101">
        <f t="shared" si="101"/>
        <v>-5.7728193923690385E-3</v>
      </c>
      <c r="AI115" s="101">
        <f t="shared" si="102"/>
        <v>2.891015186463932E-2</v>
      </c>
      <c r="AJ115" s="101">
        <f t="shared" si="103"/>
        <v>5.7475447918513972E-4</v>
      </c>
      <c r="AK115" s="101">
        <f t="shared" si="104"/>
        <v>3.3034271134338119E-7</v>
      </c>
      <c r="AL115">
        <f t="shared" si="105"/>
        <v>2.891015186463932E-2</v>
      </c>
      <c r="AM115" s="195">
        <f t="shared" si="114"/>
        <v>3.3034271134338119E-7</v>
      </c>
      <c r="AN115">
        <f t="shared" si="106"/>
        <v>2.8335397385454181E-2</v>
      </c>
      <c r="AO115">
        <f t="shared" si="107"/>
        <v>1.0013079373829932</v>
      </c>
      <c r="AP115">
        <f t="shared" si="108"/>
        <v>0.96919761792206027</v>
      </c>
      <c r="AQ115">
        <f t="shared" si="109"/>
        <v>1.1486996862045491E-3</v>
      </c>
      <c r="AR115">
        <f t="shared" si="110"/>
        <v>0.72066933383745302</v>
      </c>
      <c r="AS115">
        <f t="shared" si="111"/>
        <v>0.37678498202191968</v>
      </c>
      <c r="AT115" s="101">
        <f t="shared" si="126"/>
        <v>7.0027066913105145</v>
      </c>
      <c r="AU115" s="101">
        <f t="shared" si="126"/>
        <v>7.0027066913105145</v>
      </c>
      <c r="AV115" s="101">
        <f t="shared" si="126"/>
        <v>7.0027066913105145</v>
      </c>
      <c r="AW115" s="101">
        <f t="shared" si="126"/>
        <v>7.0027066913105109</v>
      </c>
      <c r="AX115" s="101">
        <f t="shared" si="126"/>
        <v>7.0027066913079388</v>
      </c>
      <c r="AY115" s="101">
        <f t="shared" si="126"/>
        <v>7.0027066893430581</v>
      </c>
      <c r="AZ115" s="101">
        <f t="shared" si="126"/>
        <v>7.0027051885817162</v>
      </c>
      <c r="BA115" s="101">
        <f t="shared" si="112"/>
        <v>7.0015594938271866</v>
      </c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</row>
    <row r="116" spans="1:92" s="101" customFormat="1">
      <c r="A116" s="146" t="s">
        <v>567</v>
      </c>
      <c r="B116" s="147" t="s">
        <v>87</v>
      </c>
      <c r="C116" s="146">
        <v>54883.981200000002</v>
      </c>
      <c r="D116" s="146" t="s">
        <v>264</v>
      </c>
      <c r="E116" s="101">
        <f t="shared" si="93"/>
        <v>31294.064365164832</v>
      </c>
      <c r="F116" s="101">
        <f t="shared" si="94"/>
        <v>31294</v>
      </c>
      <c r="G116" s="101">
        <f t="shared" si="113"/>
        <v>2.123429199855309E-2</v>
      </c>
      <c r="K116" s="101">
        <f t="shared" si="95"/>
        <v>2.123429199855309E-2</v>
      </c>
      <c r="L116"/>
      <c r="O116" s="101">
        <f ca="1">+C$11+C$12*F116</f>
        <v>2.5214980407803816E-2</v>
      </c>
      <c r="P116" s="103">
        <f t="shared" si="96"/>
        <v>-6.6296867655624425E-3</v>
      </c>
      <c r="Q116" s="104">
        <f t="shared" si="97"/>
        <v>39865.481200000002</v>
      </c>
      <c r="R116" s="101">
        <f t="shared" si="98"/>
        <v>7.764013125670814E-4</v>
      </c>
      <c r="S116" s="101">
        <v>1</v>
      </c>
      <c r="T116" s="221"/>
      <c r="AF116">
        <f t="shared" si="99"/>
        <v>31294</v>
      </c>
      <c r="AG116" s="101">
        <f t="shared" si="100"/>
        <v>2.1770780476876177E-2</v>
      </c>
      <c r="AH116" s="101">
        <f t="shared" si="101"/>
        <v>-7.1661752438855301E-3</v>
      </c>
      <c r="AI116" s="101">
        <f t="shared" si="102"/>
        <v>2.7863978764115532E-2</v>
      </c>
      <c r="AJ116" s="101">
        <f t="shared" si="103"/>
        <v>-5.3648847832308763E-4</v>
      </c>
      <c r="AK116" s="101">
        <f t="shared" si="104"/>
        <v>2.8781988737342205E-7</v>
      </c>
      <c r="AL116">
        <f t="shared" si="105"/>
        <v>2.7863978764115532E-2</v>
      </c>
      <c r="AM116" s="195">
        <f t="shared" si="114"/>
        <v>2.8781988737342205E-7</v>
      </c>
      <c r="AN116">
        <f t="shared" si="106"/>
        <v>2.840046724243862E-2</v>
      </c>
      <c r="AO116">
        <f t="shared" si="107"/>
        <v>1.0012973488365624</v>
      </c>
      <c r="AP116">
        <f t="shared" si="108"/>
        <v>0.9714152905338973</v>
      </c>
      <c r="AQ116">
        <f t="shared" si="109"/>
        <v>1.160645149555848E-3</v>
      </c>
      <c r="AR116">
        <f t="shared" si="110"/>
        <v>0.72983944309668436</v>
      </c>
      <c r="AS116">
        <f t="shared" si="111"/>
        <v>0.3820300607946952</v>
      </c>
      <c r="AT116" s="101">
        <f t="shared" si="126"/>
        <v>7.0118648567714015</v>
      </c>
      <c r="AU116" s="101">
        <f t="shared" si="126"/>
        <v>7.0118648567714015</v>
      </c>
      <c r="AV116" s="101">
        <f t="shared" si="126"/>
        <v>7.0118648567714015</v>
      </c>
      <c r="AW116" s="101">
        <f t="shared" si="126"/>
        <v>7.0118648567713979</v>
      </c>
      <c r="AX116" s="101">
        <f t="shared" si="126"/>
        <v>7.0118648567688613</v>
      </c>
      <c r="AY116" s="101">
        <f t="shared" si="126"/>
        <v>7.0118648548153768</v>
      </c>
      <c r="AZ116" s="101">
        <f t="shared" si="126"/>
        <v>7.0118633506251866</v>
      </c>
      <c r="BA116" s="101">
        <f t="shared" si="112"/>
        <v>7.0107057171887357</v>
      </c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</row>
    <row r="117" spans="1:92" s="101" customFormat="1">
      <c r="A117" s="42" t="s">
        <v>126</v>
      </c>
      <c r="B117" s="125" t="s">
        <v>87</v>
      </c>
      <c r="C117" s="124">
        <v>55059.488599999997</v>
      </c>
      <c r="D117" s="124">
        <v>1E-4</v>
      </c>
      <c r="E117" s="101">
        <f t="shared" ref="E117:E148" si="127">+(C117-C$7)/C$8</f>
        <v>31826.060568830228</v>
      </c>
      <c r="F117" s="101">
        <f t="shared" ref="F117:F148" si="128">ROUND(2*E117,0)/2</f>
        <v>31826</v>
      </c>
      <c r="G117" s="101">
        <f t="shared" si="113"/>
        <v>1.9981867990281899E-2</v>
      </c>
      <c r="K117" s="101">
        <f t="shared" ref="K117:K148" si="129">G117</f>
        <v>1.9981867990281899E-2</v>
      </c>
      <c r="P117" s="103">
        <f t="shared" ref="P117:P148" si="130">+D$11+D$12*F117+D$13*F117^2</f>
        <v>-7.8644670387762183E-3</v>
      </c>
      <c r="Q117" s="104">
        <f t="shared" ref="Q117:Q148" si="131">+C117-15018.5</f>
        <v>40040.988599999997</v>
      </c>
      <c r="R117" s="101">
        <f t="shared" ref="R117:R148" si="132">+(P117-G117)^2</f>
        <v>7.7541837455054915E-4</v>
      </c>
      <c r="S117" s="101">
        <v>1</v>
      </c>
      <c r="T117" s="221"/>
      <c r="AF117">
        <f t="shared" ref="AF117:AF148" si="133">F117</f>
        <v>31826</v>
      </c>
      <c r="AG117" s="101">
        <f t="shared" ref="AG117:AG148" si="134">AH$3+AH$4*AF117+AH$5*AF117^2+AN117</f>
        <v>2.0789936645103712E-2</v>
      </c>
      <c r="AH117" s="101">
        <f t="shared" ref="AH117:AH148" si="135">IF(S117&lt;&gt;0,G117-AN117, -9999)</f>
        <v>-8.6725356935980318E-3</v>
      </c>
      <c r="AI117" s="101">
        <f t="shared" ref="AI117:AI148" si="136">+G117-P117</f>
        <v>2.7846335029058117E-2</v>
      </c>
      <c r="AJ117" s="101">
        <f t="shared" ref="AJ117:AJ148" si="137">IF(S117&lt;&gt;0,G117-AG117, -9999)</f>
        <v>-8.0806865482181342E-4</v>
      </c>
      <c r="AK117" s="101">
        <f t="shared" ref="AK117:AK148" si="138">+(G117-AG117)^2*S117</f>
        <v>6.5297495090553509E-7</v>
      </c>
      <c r="AL117">
        <f t="shared" ref="AL117:AL148" si="139">IF(S117&lt;&gt;0,G117-P117, -9999)</f>
        <v>2.7846335029058117E-2</v>
      </c>
      <c r="AM117" s="195">
        <f t="shared" si="114"/>
        <v>6.5297495090553509E-7</v>
      </c>
      <c r="AN117">
        <f t="shared" ref="AN117:AN148" si="140">$AH$6*($AH$11/AO117*AP117+$AH$12)</f>
        <v>2.865440368387993E-2</v>
      </c>
      <c r="AO117">
        <f t="shared" ref="AO117:AO148" si="141">1+$AH$7*COS(AR117)</f>
        <v>1.0012503091568279</v>
      </c>
      <c r="AP117">
        <f t="shared" ref="AP117:AP148" si="142">SIN(AR117+RADIANS($AH$9))</f>
        <v>0.98006375561687187</v>
      </c>
      <c r="AQ117">
        <f t="shared" ref="AQ117:AQ148" si="143">$AH$7*SIN(AR117)</f>
        <v>1.2111722335281737E-3</v>
      </c>
      <c r="AR117">
        <f t="shared" ref="AR117:AR148" si="144">2*ATAN(AS117)</f>
        <v>0.76949975929370917</v>
      </c>
      <c r="AS117">
        <f t="shared" ref="AS117:AS148" si="145">SQRT((1+$AH$7)/(1-$AH$7))*TAN(AT117/2)</f>
        <v>0.40493086218771407</v>
      </c>
      <c r="AT117" s="101">
        <f t="shared" si="126"/>
        <v>7.0514746501679824</v>
      </c>
      <c r="AU117" s="101">
        <f t="shared" si="126"/>
        <v>7.0514746501679824</v>
      </c>
      <c r="AV117" s="101">
        <f t="shared" si="126"/>
        <v>7.0514746501679824</v>
      </c>
      <c r="AW117" s="101">
        <f t="shared" si="126"/>
        <v>7.0514746501679788</v>
      </c>
      <c r="AX117" s="101">
        <f t="shared" si="126"/>
        <v>7.0514746501656083</v>
      </c>
      <c r="AY117" s="101">
        <f t="shared" si="126"/>
        <v>7.0514746482714132</v>
      </c>
      <c r="AZ117" s="101">
        <f t="shared" si="126"/>
        <v>7.0514731350646302</v>
      </c>
      <c r="BA117" s="101">
        <f t="shared" ref="BA117:BA148" si="146">RADIANS($AH$9)+$AH$18*(F117-AH$15)</f>
        <v>7.0502649922159231</v>
      </c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</row>
    <row r="118" spans="1:92" s="101" customFormat="1">
      <c r="A118" s="42" t="s">
        <v>126</v>
      </c>
      <c r="B118" s="125" t="s">
        <v>86</v>
      </c>
      <c r="C118" s="124">
        <v>55068.561300000001</v>
      </c>
      <c r="D118" s="126">
        <v>2.0000000000000001E-4</v>
      </c>
      <c r="E118" s="101">
        <f t="shared" si="127"/>
        <v>31853.561642613997</v>
      </c>
      <c r="F118" s="101">
        <f t="shared" si="128"/>
        <v>31853.5</v>
      </c>
      <c r="G118" s="101">
        <f t="shared" si="113"/>
        <v>2.0336112997028977E-2</v>
      </c>
      <c r="K118" s="101">
        <f t="shared" si="129"/>
        <v>2.0336112997028977E-2</v>
      </c>
      <c r="O118" s="101">
        <f t="shared" ref="O118:O149" ca="1" si="147">+C$11+C$12*F118</f>
        <v>2.3435667029461926E-2</v>
      </c>
      <c r="P118" s="103">
        <f t="shared" si="130"/>
        <v>-7.9289389523326537E-3</v>
      </c>
      <c r="Q118" s="104">
        <f t="shared" si="131"/>
        <v>40050.061300000001</v>
      </c>
      <c r="R118" s="101">
        <f t="shared" si="132"/>
        <v>7.9891316170011169E-4</v>
      </c>
      <c r="S118" s="101">
        <v>1</v>
      </c>
      <c r="T118" s="221"/>
      <c r="AF118">
        <f t="shared" si="133"/>
        <v>31853.5</v>
      </c>
      <c r="AG118" s="101">
        <f t="shared" si="134"/>
        <v>2.073737210949388E-2</v>
      </c>
      <c r="AH118" s="101">
        <f t="shared" si="135"/>
        <v>-8.3301980647975567E-3</v>
      </c>
      <c r="AI118" s="101">
        <f t="shared" si="136"/>
        <v>2.826505194936163E-2</v>
      </c>
      <c r="AJ118" s="101">
        <f t="shared" si="137"/>
        <v>-4.0125911246490301E-4</v>
      </c>
      <c r="AK118" s="101">
        <f t="shared" si="138"/>
        <v>1.6100887533612168E-7</v>
      </c>
      <c r="AL118">
        <f t="shared" si="139"/>
        <v>2.826505194936163E-2</v>
      </c>
      <c r="AM118" s="195">
        <f t="shared" si="114"/>
        <v>1.6100887533612168E-7</v>
      </c>
      <c r="AN118">
        <f t="shared" si="140"/>
        <v>2.8666311061826533E-2</v>
      </c>
      <c r="AO118">
        <f t="shared" si="141"/>
        <v>1.0012478236182674</v>
      </c>
      <c r="AP118">
        <f t="shared" si="142"/>
        <v>0.98046899826348466</v>
      </c>
      <c r="AQ118">
        <f t="shared" si="143"/>
        <v>1.2137328308205618E-3</v>
      </c>
      <c r="AR118">
        <f t="shared" si="144"/>
        <v>0.77154976754080118</v>
      </c>
      <c r="AS118">
        <f t="shared" si="145"/>
        <v>0.40612443103130125</v>
      </c>
      <c r="AT118" s="101">
        <f t="shared" si="126"/>
        <v>7.0535220979100437</v>
      </c>
      <c r="AU118" s="101">
        <f t="shared" si="126"/>
        <v>7.0535220979100437</v>
      </c>
      <c r="AV118" s="101">
        <f t="shared" si="126"/>
        <v>7.0535220979100437</v>
      </c>
      <c r="AW118" s="101">
        <f t="shared" si="126"/>
        <v>7.053522097910041</v>
      </c>
      <c r="AX118" s="101">
        <f t="shared" si="126"/>
        <v>7.0535220979076785</v>
      </c>
      <c r="AY118" s="101">
        <f t="shared" si="126"/>
        <v>7.0535220960169749</v>
      </c>
      <c r="AZ118" s="101">
        <f t="shared" si="126"/>
        <v>7.0535205826015064</v>
      </c>
      <c r="BA118" s="101">
        <f t="shared" si="146"/>
        <v>7.0523098795528547</v>
      </c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</row>
    <row r="119" spans="1:92" s="101" customFormat="1">
      <c r="A119" s="42" t="s">
        <v>126</v>
      </c>
      <c r="B119" s="125" t="s">
        <v>86</v>
      </c>
      <c r="C119" s="124">
        <v>55100.561300000001</v>
      </c>
      <c r="D119" s="124">
        <v>2.9999999999999997E-4</v>
      </c>
      <c r="E119" s="101">
        <f t="shared" si="127"/>
        <v>31950.559709460711</v>
      </c>
      <c r="F119" s="101">
        <f t="shared" si="128"/>
        <v>31950.5</v>
      </c>
      <c r="G119" s="101">
        <f t="shared" si="113"/>
        <v>1.9698358999448828E-2</v>
      </c>
      <c r="K119" s="101">
        <f t="shared" si="129"/>
        <v>1.9698358999448828E-2</v>
      </c>
      <c r="O119" s="101">
        <f t="shared" ca="1" si="147"/>
        <v>2.3127189106853963E-2</v>
      </c>
      <c r="P119" s="103">
        <f t="shared" si="130"/>
        <v>-8.1568544322121392E-3</v>
      </c>
      <c r="Q119" s="104">
        <f t="shared" si="131"/>
        <v>40082.061300000001</v>
      </c>
      <c r="R119" s="101">
        <f t="shared" si="132"/>
        <v>7.7591291532338558E-4</v>
      </c>
      <c r="S119" s="101">
        <v>1</v>
      </c>
      <c r="T119" s="221"/>
      <c r="AF119">
        <f t="shared" si="133"/>
        <v>31950.5</v>
      </c>
      <c r="AG119" s="101">
        <f t="shared" si="134"/>
        <v>2.0550497145320697E-2</v>
      </c>
      <c r="AH119" s="101">
        <f t="shared" si="135"/>
        <v>-9.0089925780840081E-3</v>
      </c>
      <c r="AI119" s="101">
        <f t="shared" si="136"/>
        <v>2.7855213431660968E-2</v>
      </c>
      <c r="AJ119" s="101">
        <f t="shared" si="137"/>
        <v>-8.5213814587186895E-4</v>
      </c>
      <c r="AK119" s="101">
        <f t="shared" si="138"/>
        <v>7.2613941964994656E-7</v>
      </c>
      <c r="AL119">
        <f t="shared" si="139"/>
        <v>2.7855213431660968E-2</v>
      </c>
      <c r="AM119" s="195">
        <f t="shared" si="114"/>
        <v>7.2613941964994656E-7</v>
      </c>
      <c r="AN119">
        <f t="shared" si="140"/>
        <v>2.8707351577532837E-2</v>
      </c>
      <c r="AO119">
        <f t="shared" si="141"/>
        <v>1.0012390147453252</v>
      </c>
      <c r="AP119">
        <f t="shared" si="142"/>
        <v>0.98186547325364448</v>
      </c>
      <c r="AQ119">
        <f t="shared" si="143"/>
        <v>1.2227238558988806E-3</v>
      </c>
      <c r="AR119">
        <f t="shared" si="144"/>
        <v>0.77878062422618277</v>
      </c>
      <c r="AS119">
        <f t="shared" si="145"/>
        <v>0.41034238913602045</v>
      </c>
      <c r="AT119" s="101">
        <f t="shared" si="126"/>
        <v>7.0607439637942573</v>
      </c>
      <c r="AU119" s="101">
        <f t="shared" si="126"/>
        <v>7.0607439637942573</v>
      </c>
      <c r="AV119" s="101">
        <f t="shared" si="126"/>
        <v>7.0607439637942573</v>
      </c>
      <c r="AW119" s="101">
        <f t="shared" si="126"/>
        <v>7.0607439637942537</v>
      </c>
      <c r="AX119" s="101">
        <f t="shared" si="126"/>
        <v>7.060743963791924</v>
      </c>
      <c r="AY119" s="101">
        <f t="shared" si="126"/>
        <v>7.0607439619138566</v>
      </c>
      <c r="AZ119" s="101">
        <f t="shared" si="126"/>
        <v>7.0607424479646506</v>
      </c>
      <c r="BA119" s="101">
        <f t="shared" si="146"/>
        <v>7.0595227548867587</v>
      </c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</row>
    <row r="120" spans="1:92" s="101" customFormat="1">
      <c r="A120" s="21" t="s">
        <v>124</v>
      </c>
      <c r="B120" s="122" t="s">
        <v>86</v>
      </c>
      <c r="C120" s="21">
        <v>55135.863599999997</v>
      </c>
      <c r="D120" s="21">
        <v>5.9999999999999995E-4</v>
      </c>
      <c r="E120" s="101">
        <f t="shared" si="127"/>
        <v>32057.567673687034</v>
      </c>
      <c r="F120" s="101">
        <f t="shared" si="128"/>
        <v>32057.5</v>
      </c>
      <c r="G120" s="101">
        <f t="shared" si="113"/>
        <v>2.2325784993881825E-2</v>
      </c>
      <c r="K120" s="101">
        <f t="shared" si="129"/>
        <v>2.2325784993881825E-2</v>
      </c>
      <c r="O120" s="101">
        <f t="shared" ca="1" si="147"/>
        <v>2.2786909336554431E-2</v>
      </c>
      <c r="P120" s="103">
        <f t="shared" si="130"/>
        <v>-8.4091799563202133E-3</v>
      </c>
      <c r="Q120" s="104">
        <f t="shared" si="131"/>
        <v>40117.363599999997</v>
      </c>
      <c r="R120" s="101">
        <f t="shared" si="132"/>
        <v>9.4463807049014782E-4</v>
      </c>
      <c r="S120" s="101">
        <v>1</v>
      </c>
      <c r="T120" s="221"/>
      <c r="AF120">
        <f t="shared" si="133"/>
        <v>32057.5</v>
      </c>
      <c r="AG120" s="101">
        <f t="shared" si="134"/>
        <v>2.0341705916128286E-2</v>
      </c>
      <c r="AH120" s="101">
        <f t="shared" si="135"/>
        <v>-6.4251008785666738E-3</v>
      </c>
      <c r="AI120" s="101">
        <f t="shared" si="136"/>
        <v>3.0734964950202039E-2</v>
      </c>
      <c r="AJ120" s="101">
        <f t="shared" si="137"/>
        <v>1.9840790777535394E-3</v>
      </c>
      <c r="AK120" s="101">
        <f t="shared" si="138"/>
        <v>3.9365697867793355E-6</v>
      </c>
      <c r="AL120">
        <f t="shared" si="139"/>
        <v>3.0734964950202039E-2</v>
      </c>
      <c r="AM120" s="195">
        <f t="shared" si="114"/>
        <v>3.9365697867793355E-6</v>
      </c>
      <c r="AN120">
        <f t="shared" si="140"/>
        <v>2.8750885872448499E-2</v>
      </c>
      <c r="AO120">
        <f t="shared" si="141"/>
        <v>1.0012292227981912</v>
      </c>
      <c r="AP120">
        <f t="shared" si="142"/>
        <v>0.98334633658444082</v>
      </c>
      <c r="AQ120">
        <f t="shared" si="143"/>
        <v>1.232567433986692E-3</v>
      </c>
      <c r="AR120">
        <f t="shared" si="144"/>
        <v>0.78675678189138742</v>
      </c>
      <c r="AS120">
        <f t="shared" si="145"/>
        <v>0.41500964678472541</v>
      </c>
      <c r="AT120" s="101">
        <f t="shared" si="126"/>
        <v>7.0687102779448381</v>
      </c>
      <c r="AU120" s="101">
        <f t="shared" si="126"/>
        <v>7.0687102779448381</v>
      </c>
      <c r="AV120" s="101">
        <f t="shared" si="126"/>
        <v>7.0687102779448381</v>
      </c>
      <c r="AW120" s="101">
        <f t="shared" si="126"/>
        <v>7.0687102779448354</v>
      </c>
      <c r="AX120" s="101">
        <f t="shared" si="126"/>
        <v>7.0687102779425421</v>
      </c>
      <c r="AY120" s="101">
        <f t="shared" si="126"/>
        <v>7.0687102760789884</v>
      </c>
      <c r="AZ120" s="101">
        <f t="shared" si="126"/>
        <v>7.0687087619068629</v>
      </c>
      <c r="BA120" s="101">
        <f t="shared" si="146"/>
        <v>7.0674792256159114</v>
      </c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</row>
    <row r="121" spans="1:92" s="101" customFormat="1">
      <c r="A121" s="114" t="s">
        <v>125</v>
      </c>
      <c r="B121" s="22"/>
      <c r="C121" s="22">
        <v>55149.717499999999</v>
      </c>
      <c r="D121" s="22">
        <v>1E-4</v>
      </c>
      <c r="E121" s="101">
        <f t="shared" si="127"/>
        <v>32099.561471133533</v>
      </c>
      <c r="F121" s="101">
        <f t="shared" si="128"/>
        <v>32099.5</v>
      </c>
      <c r="G121" s="101">
        <f t="shared" si="113"/>
        <v>2.0279540993215051E-2</v>
      </c>
      <c r="K121" s="101">
        <f t="shared" si="129"/>
        <v>2.0279540993215051E-2</v>
      </c>
      <c r="O121" s="101">
        <f t="shared" ca="1" si="147"/>
        <v>2.2653341576249944E-2</v>
      </c>
      <c r="P121" s="103">
        <f t="shared" si="130"/>
        <v>-8.5084855463035611E-3</v>
      </c>
      <c r="Q121" s="104">
        <f t="shared" si="131"/>
        <v>40131.217499999999</v>
      </c>
      <c r="R121" s="101">
        <f t="shared" si="132"/>
        <v>8.2875047204002789E-4</v>
      </c>
      <c r="S121" s="101">
        <v>1</v>
      </c>
      <c r="T121" s="221"/>
      <c r="AF121">
        <f t="shared" si="133"/>
        <v>32099.5</v>
      </c>
      <c r="AG121" s="101">
        <f t="shared" si="134"/>
        <v>2.0258989933983319E-2</v>
      </c>
      <c r="AH121" s="101">
        <f t="shared" si="135"/>
        <v>-8.4879344870718298E-3</v>
      </c>
      <c r="AI121" s="101">
        <f t="shared" si="136"/>
        <v>2.8788026539518612E-2</v>
      </c>
      <c r="AJ121" s="101">
        <f t="shared" si="137"/>
        <v>2.0551059231731228E-5</v>
      </c>
      <c r="AK121" s="101">
        <f t="shared" si="138"/>
        <v>4.2234603554612533E-10</v>
      </c>
      <c r="AL121">
        <f t="shared" si="139"/>
        <v>2.8788026539518612E-2</v>
      </c>
      <c r="AM121" s="195">
        <f t="shared" si="114"/>
        <v>4.2234603554612533E-10</v>
      </c>
      <c r="AN121">
        <f t="shared" si="140"/>
        <v>2.876747548028688E-2</v>
      </c>
      <c r="AO121">
        <f t="shared" si="141"/>
        <v>1.0012253578759369</v>
      </c>
      <c r="AP121">
        <f t="shared" si="142"/>
        <v>0.98391051010342112</v>
      </c>
      <c r="AQ121">
        <f t="shared" si="143"/>
        <v>1.2364098199209258E-3</v>
      </c>
      <c r="AR121">
        <f t="shared" si="144"/>
        <v>0.78988756739475452</v>
      </c>
      <c r="AS121">
        <f t="shared" si="145"/>
        <v>0.41684584622953896</v>
      </c>
      <c r="AT121" s="101">
        <f t="shared" ref="AT121:AZ130" si="148">$BA121+$AH$7*SIN(AU121)</f>
        <v>7.0718372210345617</v>
      </c>
      <c r="AU121" s="101">
        <f t="shared" si="148"/>
        <v>7.0718372210345617</v>
      </c>
      <c r="AV121" s="101">
        <f t="shared" si="148"/>
        <v>7.0718372210345617</v>
      </c>
      <c r="AW121" s="101">
        <f t="shared" si="148"/>
        <v>7.071837221034559</v>
      </c>
      <c r="AX121" s="101">
        <f t="shared" si="148"/>
        <v>7.07183722103228</v>
      </c>
      <c r="AY121" s="101">
        <f t="shared" si="148"/>
        <v>7.0718372191745846</v>
      </c>
      <c r="AZ121" s="101">
        <f t="shared" si="148"/>
        <v>7.0718357050198586</v>
      </c>
      <c r="BA121" s="101">
        <f t="shared" si="146"/>
        <v>7.0706023262759521</v>
      </c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</row>
    <row r="122" spans="1:92" s="101" customFormat="1">
      <c r="A122" s="42" t="s">
        <v>126</v>
      </c>
      <c r="B122" s="125" t="s">
        <v>86</v>
      </c>
      <c r="C122" s="124">
        <v>55212.4</v>
      </c>
      <c r="D122" s="124">
        <v>2.0000000000000001E-4</v>
      </c>
      <c r="E122" s="101">
        <f t="shared" si="127"/>
        <v>32289.564012543513</v>
      </c>
      <c r="F122" s="101">
        <f t="shared" si="128"/>
        <v>32289.5</v>
      </c>
      <c r="G122" s="101">
        <f t="shared" si="113"/>
        <v>2.1117960997798946E-2</v>
      </c>
      <c r="K122" s="101">
        <f t="shared" si="129"/>
        <v>2.1117960997798946E-2</v>
      </c>
      <c r="O122" s="101">
        <f t="shared" ca="1" si="147"/>
        <v>2.2049106470110616E-2</v>
      </c>
      <c r="P122" s="103">
        <f t="shared" si="130"/>
        <v>-8.9595700724113755E-3</v>
      </c>
      <c r="Q122" s="104">
        <f t="shared" si="131"/>
        <v>40193.9</v>
      </c>
      <c r="R122" s="101">
        <f t="shared" si="132"/>
        <v>9.0465787527946719E-4</v>
      </c>
      <c r="S122" s="101">
        <v>1</v>
      </c>
      <c r="T122" s="221"/>
      <c r="AF122">
        <f t="shared" si="133"/>
        <v>32289.5</v>
      </c>
      <c r="AG122" s="101">
        <f t="shared" si="134"/>
        <v>1.987943615775031E-2</v>
      </c>
      <c r="AH122" s="101">
        <f t="shared" si="135"/>
        <v>-7.7210452323627395E-3</v>
      </c>
      <c r="AI122" s="101">
        <f t="shared" si="136"/>
        <v>3.0077531070210321E-2</v>
      </c>
      <c r="AJ122" s="101">
        <f t="shared" si="137"/>
        <v>1.2385248400486361E-3</v>
      </c>
      <c r="AK122" s="101">
        <f t="shared" si="138"/>
        <v>1.5339437794174995E-6</v>
      </c>
      <c r="AL122">
        <f t="shared" si="139"/>
        <v>3.0077531070210321E-2</v>
      </c>
      <c r="AM122" s="195">
        <f t="shared" si="114"/>
        <v>1.5339437794174995E-6</v>
      </c>
      <c r="AN122">
        <f t="shared" si="140"/>
        <v>2.8839006230161685E-2</v>
      </c>
      <c r="AO122">
        <f t="shared" si="141"/>
        <v>1.0012077245771991</v>
      </c>
      <c r="AP122">
        <f t="shared" si="142"/>
        <v>0.986342098124247</v>
      </c>
      <c r="AQ122">
        <f t="shared" si="143"/>
        <v>1.2536397060346142E-3</v>
      </c>
      <c r="AR122">
        <f t="shared" si="144"/>
        <v>0.80405034111169083</v>
      </c>
      <c r="AS122">
        <f t="shared" si="145"/>
        <v>0.42518244583620018</v>
      </c>
      <c r="AT122" s="101">
        <f t="shared" si="148"/>
        <v>7.0859827643694571</v>
      </c>
      <c r="AU122" s="101">
        <f t="shared" si="148"/>
        <v>7.0859827643694571</v>
      </c>
      <c r="AV122" s="101">
        <f t="shared" si="148"/>
        <v>7.0859827643694571</v>
      </c>
      <c r="AW122" s="101">
        <f t="shared" si="148"/>
        <v>7.0859827643694544</v>
      </c>
      <c r="AX122" s="101">
        <f t="shared" si="148"/>
        <v>7.0859827643672419</v>
      </c>
      <c r="AY122" s="101">
        <f t="shared" si="148"/>
        <v>7.0859827625371699</v>
      </c>
      <c r="AZ122" s="101">
        <f t="shared" si="148"/>
        <v>7.0859812491999765</v>
      </c>
      <c r="BA122" s="101">
        <f t="shared" si="146"/>
        <v>7.0847306387856621</v>
      </c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</row>
    <row r="123" spans="1:92" s="101" customFormat="1">
      <c r="A123" s="42" t="s">
        <v>126</v>
      </c>
      <c r="B123" s="125" t="s">
        <v>86</v>
      </c>
      <c r="C123" s="124">
        <v>55213.388800000001</v>
      </c>
      <c r="D123" s="124">
        <v>1E-4</v>
      </c>
      <c r="E123" s="101">
        <f t="shared" si="127"/>
        <v>32292.561252809075</v>
      </c>
      <c r="F123" s="101">
        <f t="shared" si="128"/>
        <v>32292.5</v>
      </c>
      <c r="G123" s="101">
        <f t="shared" si="113"/>
        <v>2.0207514993671793E-2</v>
      </c>
      <c r="K123" s="101">
        <f t="shared" si="129"/>
        <v>2.0207514993671793E-2</v>
      </c>
      <c r="O123" s="101">
        <f t="shared" ca="1" si="147"/>
        <v>2.2039565915803153E-2</v>
      </c>
      <c r="P123" s="103">
        <f t="shared" si="130"/>
        <v>-8.9667166935002013E-3</v>
      </c>
      <c r="Q123" s="104">
        <f t="shared" si="131"/>
        <v>40194.888800000001</v>
      </c>
      <c r="R123" s="101">
        <f t="shared" si="132"/>
        <v>8.5113579453679046E-4</v>
      </c>
      <c r="S123" s="101">
        <v>1</v>
      </c>
      <c r="T123" s="221"/>
      <c r="AF123">
        <f t="shared" si="133"/>
        <v>32292.5</v>
      </c>
      <c r="AG123" s="101">
        <f t="shared" si="134"/>
        <v>1.9873372720202006E-2</v>
      </c>
      <c r="AH123" s="101">
        <f t="shared" si="135"/>
        <v>-8.6325744200304137E-3</v>
      </c>
      <c r="AI123" s="101">
        <f t="shared" si="136"/>
        <v>2.9174231687171995E-2</v>
      </c>
      <c r="AJ123" s="101">
        <f t="shared" si="137"/>
        <v>3.3414227346978756E-4</v>
      </c>
      <c r="AK123" s="101">
        <f t="shared" si="138"/>
        <v>1.116510589195583E-7</v>
      </c>
      <c r="AL123">
        <f t="shared" si="139"/>
        <v>2.9174231687171995E-2</v>
      </c>
      <c r="AM123" s="195">
        <f t="shared" si="114"/>
        <v>1.116510589195583E-7</v>
      </c>
      <c r="AN123">
        <f t="shared" si="140"/>
        <v>2.8840089413702207E-2</v>
      </c>
      <c r="AO123">
        <f t="shared" si="141"/>
        <v>1.0012074442096828</v>
      </c>
      <c r="AP123">
        <f t="shared" si="142"/>
        <v>0.986378905623707</v>
      </c>
      <c r="AQ123">
        <f t="shared" si="143"/>
        <v>1.2539097445275706E-3</v>
      </c>
      <c r="AR123">
        <f t="shared" si="144"/>
        <v>0.804273959844508</v>
      </c>
      <c r="AS123">
        <f t="shared" si="145"/>
        <v>0.42531447438952419</v>
      </c>
      <c r="AT123" s="101">
        <f t="shared" si="148"/>
        <v>7.0862061130510847</v>
      </c>
      <c r="AU123" s="101">
        <f t="shared" si="148"/>
        <v>7.0862061130510847</v>
      </c>
      <c r="AV123" s="101">
        <f t="shared" si="148"/>
        <v>7.0862061130510847</v>
      </c>
      <c r="AW123" s="101">
        <f t="shared" si="148"/>
        <v>7.0862061130510821</v>
      </c>
      <c r="AX123" s="101">
        <f t="shared" si="148"/>
        <v>7.0862061130488696</v>
      </c>
      <c r="AY123" s="101">
        <f t="shared" si="148"/>
        <v>7.0862061112192487</v>
      </c>
      <c r="AZ123" s="101">
        <f t="shared" si="148"/>
        <v>7.0862045979046666</v>
      </c>
      <c r="BA123" s="101">
        <f t="shared" si="146"/>
        <v>7.0849537174042361</v>
      </c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</row>
    <row r="124" spans="1:92" s="101" customFormat="1">
      <c r="A124" s="127" t="s">
        <v>127</v>
      </c>
      <c r="B124" s="123" t="s">
        <v>87</v>
      </c>
      <c r="C124" s="22">
        <v>55476.813000000002</v>
      </c>
      <c r="D124" s="22">
        <v>8.9999999999999998E-4</v>
      </c>
      <c r="E124" s="101">
        <f t="shared" si="127"/>
        <v>33091.049945329156</v>
      </c>
      <c r="F124" s="101">
        <f t="shared" si="128"/>
        <v>33091</v>
      </c>
      <c r="G124" s="101">
        <f t="shared" si="113"/>
        <v>1.6477138000482228E-2</v>
      </c>
      <c r="K124" s="101">
        <f t="shared" si="129"/>
        <v>1.6477138000482228E-2</v>
      </c>
      <c r="O124" s="101">
        <f t="shared" ca="1" si="147"/>
        <v>1.9500188377633371E-2</v>
      </c>
      <c r="P124" s="103">
        <f t="shared" si="130"/>
        <v>-1.0895695879781862E-2</v>
      </c>
      <c r="Q124" s="104">
        <f t="shared" si="131"/>
        <v>40458.313000000002</v>
      </c>
      <c r="R124" s="101">
        <f t="shared" si="132"/>
        <v>7.492720346365336E-4</v>
      </c>
      <c r="S124" s="101">
        <v>1</v>
      </c>
      <c r="T124" s="221"/>
      <c r="AF124">
        <f t="shared" si="133"/>
        <v>33091</v>
      </c>
      <c r="AG124" s="101">
        <f t="shared" si="134"/>
        <v>1.8181386352640216E-2</v>
      </c>
      <c r="AH124" s="101">
        <f t="shared" si="135"/>
        <v>-1.2599944231939851E-2</v>
      </c>
      <c r="AI124" s="101">
        <f t="shared" si="136"/>
        <v>2.737283388026409E-2</v>
      </c>
      <c r="AJ124" s="101">
        <f t="shared" si="137"/>
        <v>-1.7042483521579888E-3</v>
      </c>
      <c r="AK124" s="101">
        <f t="shared" si="138"/>
        <v>2.9044624458332199E-6</v>
      </c>
      <c r="AL124">
        <f t="shared" si="139"/>
        <v>2.737283388026409E-2</v>
      </c>
      <c r="AM124" s="195">
        <f t="shared" si="114"/>
        <v>2.9044624458332199E-6</v>
      </c>
      <c r="AN124">
        <f t="shared" si="140"/>
        <v>2.9077082232422079E-2</v>
      </c>
      <c r="AO124">
        <f t="shared" si="141"/>
        <v>1.0011307236260072</v>
      </c>
      <c r="AP124">
        <f t="shared" si="142"/>
        <v>0.99441634907670673</v>
      </c>
      <c r="AQ124">
        <f t="shared" si="143"/>
        <v>1.3235086884891827E-3</v>
      </c>
      <c r="AR124">
        <f t="shared" si="144"/>
        <v>0.86378927604703271</v>
      </c>
      <c r="AS124">
        <f t="shared" si="145"/>
        <v>0.46091616391079093</v>
      </c>
      <c r="AT124" s="101">
        <f t="shared" si="148"/>
        <v>7.1456518215679754</v>
      </c>
      <c r="AU124" s="101">
        <f t="shared" si="148"/>
        <v>7.1456518215679754</v>
      </c>
      <c r="AV124" s="101">
        <f t="shared" si="148"/>
        <v>7.1456518215679754</v>
      </c>
      <c r="AW124" s="101">
        <f t="shared" si="148"/>
        <v>7.1456518215679736</v>
      </c>
      <c r="AX124" s="101">
        <f t="shared" si="148"/>
        <v>7.1456518215660543</v>
      </c>
      <c r="AY124" s="101">
        <f t="shared" si="148"/>
        <v>7.1456518198711914</v>
      </c>
      <c r="AZ124" s="101">
        <f t="shared" si="148"/>
        <v>7.1456503232700053</v>
      </c>
      <c r="BA124" s="101">
        <f t="shared" si="146"/>
        <v>7.1443298097147796</v>
      </c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</row>
    <row r="125" spans="1:92" s="101" customFormat="1">
      <c r="A125" s="146" t="s">
        <v>128</v>
      </c>
      <c r="B125" s="147" t="s">
        <v>86</v>
      </c>
      <c r="C125" s="146">
        <v>55483.5766</v>
      </c>
      <c r="D125" s="146" t="s">
        <v>264</v>
      </c>
      <c r="E125" s="101">
        <f t="shared" si="127"/>
        <v>33111.551699233038</v>
      </c>
      <c r="F125" s="101">
        <f t="shared" si="128"/>
        <v>33111.5</v>
      </c>
      <c r="G125" s="101">
        <f t="shared" si="113"/>
        <v>1.7055756994523108E-2</v>
      </c>
      <c r="K125" s="105">
        <f t="shared" si="129"/>
        <v>1.7055756994523108E-2</v>
      </c>
      <c r="O125" s="101">
        <f t="shared" ca="1" si="147"/>
        <v>1.9434994589865695E-2</v>
      </c>
      <c r="P125" s="103">
        <f t="shared" si="130"/>
        <v>-1.0945921545374555E-2</v>
      </c>
      <c r="Q125" s="104">
        <f t="shared" si="131"/>
        <v>40465.0766</v>
      </c>
      <c r="R125" s="101">
        <f t="shared" si="132"/>
        <v>7.8409400105176538E-4</v>
      </c>
      <c r="S125" s="101">
        <v>1</v>
      </c>
      <c r="T125" s="221"/>
      <c r="AF125">
        <f t="shared" si="133"/>
        <v>33111.5</v>
      </c>
      <c r="AG125" s="101">
        <f t="shared" si="134"/>
        <v>1.8135895193875328E-2</v>
      </c>
      <c r="AH125" s="101">
        <f t="shared" si="135"/>
        <v>-1.2026059744726775E-2</v>
      </c>
      <c r="AI125" s="101">
        <f t="shared" si="136"/>
        <v>2.8001678539897663E-2</v>
      </c>
      <c r="AJ125" s="101">
        <f t="shared" si="137"/>
        <v>-1.0801381993522201E-3</v>
      </c>
      <c r="AK125" s="101">
        <f t="shared" si="138"/>
        <v>1.1666985296998564E-6</v>
      </c>
      <c r="AL125">
        <f t="shared" si="139"/>
        <v>2.8001678539897663E-2</v>
      </c>
      <c r="AM125" s="195">
        <f t="shared" si="114"/>
        <v>1.1666985296998564E-6</v>
      </c>
      <c r="AN125">
        <f t="shared" si="140"/>
        <v>2.9081816739249883E-2</v>
      </c>
      <c r="AO125">
        <f t="shared" si="141"/>
        <v>1.001128700219226</v>
      </c>
      <c r="AP125">
        <f t="shared" si="142"/>
        <v>0.99457641633578875</v>
      </c>
      <c r="AQ125">
        <f t="shared" si="143"/>
        <v>1.3252346894180242E-3</v>
      </c>
      <c r="AR125">
        <f t="shared" si="144"/>
        <v>0.86531709969706683</v>
      </c>
      <c r="AS125">
        <f t="shared" si="145"/>
        <v>0.46184269040771198</v>
      </c>
      <c r="AT125" s="101">
        <f t="shared" si="148"/>
        <v>7.1471779188525613</v>
      </c>
      <c r="AU125" s="101">
        <f t="shared" si="148"/>
        <v>7.1471779188525613</v>
      </c>
      <c r="AV125" s="101">
        <f t="shared" si="148"/>
        <v>7.1471779188525613</v>
      </c>
      <c r="AW125" s="101">
        <f t="shared" si="148"/>
        <v>7.1471779188525586</v>
      </c>
      <c r="AX125" s="101">
        <f t="shared" si="148"/>
        <v>7.1471779188506472</v>
      </c>
      <c r="AY125" s="101">
        <f t="shared" si="148"/>
        <v>7.147177917159607</v>
      </c>
      <c r="AZ125" s="101">
        <f t="shared" si="148"/>
        <v>7.1471764212670017</v>
      </c>
      <c r="BA125" s="101">
        <f t="shared" si="146"/>
        <v>7.1458541802750375</v>
      </c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</row>
    <row r="126" spans="1:92" s="101" customFormat="1">
      <c r="A126" s="127" t="s">
        <v>128</v>
      </c>
      <c r="B126" s="123" t="s">
        <v>86</v>
      </c>
      <c r="C126" s="22">
        <v>55483.576639999999</v>
      </c>
      <c r="D126" s="126">
        <v>2.0000000000000001E-4</v>
      </c>
      <c r="E126" s="101">
        <f t="shared" si="127"/>
        <v>33111.551820480621</v>
      </c>
      <c r="F126" s="101">
        <f t="shared" si="128"/>
        <v>33111.5</v>
      </c>
      <c r="G126" s="101">
        <f t="shared" si="113"/>
        <v>1.7095756993512623E-2</v>
      </c>
      <c r="K126" s="105">
        <f t="shared" si="129"/>
        <v>1.7095756993512623E-2</v>
      </c>
      <c r="O126" s="101">
        <f t="shared" ca="1" si="147"/>
        <v>1.9434994589865695E-2</v>
      </c>
      <c r="P126" s="103">
        <f t="shared" si="130"/>
        <v>-1.0945921545374555E-2</v>
      </c>
      <c r="Q126" s="104">
        <f t="shared" si="131"/>
        <v>40465.076639999999</v>
      </c>
      <c r="R126" s="101">
        <f t="shared" si="132"/>
        <v>7.8633573527828573E-4</v>
      </c>
      <c r="S126" s="101">
        <v>1</v>
      </c>
      <c r="T126" s="221"/>
      <c r="AF126">
        <f t="shared" si="133"/>
        <v>33111.5</v>
      </c>
      <c r="AG126" s="101">
        <f t="shared" si="134"/>
        <v>1.8135895193875328E-2</v>
      </c>
      <c r="AH126" s="101">
        <f t="shared" si="135"/>
        <v>-1.198605974573726E-2</v>
      </c>
      <c r="AI126" s="101">
        <f t="shared" si="136"/>
        <v>2.8041678538887178E-2</v>
      </c>
      <c r="AJ126" s="101">
        <f t="shared" si="137"/>
        <v>-1.0401382003627051E-3</v>
      </c>
      <c r="AK126" s="101">
        <f t="shared" si="138"/>
        <v>1.0818874758537668E-6</v>
      </c>
      <c r="AL126">
        <f t="shared" si="139"/>
        <v>2.8041678538887178E-2</v>
      </c>
      <c r="AM126" s="195">
        <f t="shared" si="114"/>
        <v>1.0818874758537668E-6</v>
      </c>
      <c r="AN126">
        <f t="shared" si="140"/>
        <v>2.9081816739249883E-2</v>
      </c>
      <c r="AO126">
        <f t="shared" si="141"/>
        <v>1.001128700219226</v>
      </c>
      <c r="AP126">
        <f t="shared" si="142"/>
        <v>0.99457641633578875</v>
      </c>
      <c r="AQ126">
        <f t="shared" si="143"/>
        <v>1.3252346894180242E-3</v>
      </c>
      <c r="AR126">
        <f t="shared" si="144"/>
        <v>0.86531709969706683</v>
      </c>
      <c r="AS126">
        <f t="shared" si="145"/>
        <v>0.46184269040771198</v>
      </c>
      <c r="AT126" s="101">
        <f t="shared" si="148"/>
        <v>7.1471779188525613</v>
      </c>
      <c r="AU126" s="101">
        <f t="shared" si="148"/>
        <v>7.1471779188525613</v>
      </c>
      <c r="AV126" s="101">
        <f t="shared" si="148"/>
        <v>7.1471779188525613</v>
      </c>
      <c r="AW126" s="101">
        <f t="shared" si="148"/>
        <v>7.1471779188525586</v>
      </c>
      <c r="AX126" s="101">
        <f t="shared" si="148"/>
        <v>7.1471779188506472</v>
      </c>
      <c r="AY126" s="101">
        <f t="shared" si="148"/>
        <v>7.147177917159607</v>
      </c>
      <c r="AZ126" s="101">
        <f t="shared" si="148"/>
        <v>7.1471764212670017</v>
      </c>
      <c r="BA126" s="101">
        <f t="shared" si="146"/>
        <v>7.1458541802750375</v>
      </c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</row>
    <row r="127" spans="1:92" s="101" customFormat="1">
      <c r="A127" s="146" t="s">
        <v>128</v>
      </c>
      <c r="B127" s="147" t="s">
        <v>86</v>
      </c>
      <c r="C127" s="146">
        <v>55483.576800000003</v>
      </c>
      <c r="D127" s="146" t="s">
        <v>264</v>
      </c>
      <c r="E127" s="101">
        <f t="shared" si="127"/>
        <v>33111.552305470963</v>
      </c>
      <c r="F127" s="101">
        <f t="shared" si="128"/>
        <v>33111.5</v>
      </c>
      <c r="G127" s="101">
        <f t="shared" si="113"/>
        <v>1.7255756996746641E-2</v>
      </c>
      <c r="K127" s="105">
        <f t="shared" si="129"/>
        <v>1.7255756996746641E-2</v>
      </c>
      <c r="O127" s="101">
        <f t="shared" ca="1" si="147"/>
        <v>1.9434994589865695E-2</v>
      </c>
      <c r="P127" s="103">
        <f t="shared" si="130"/>
        <v>-1.0945921545374555E-2</v>
      </c>
      <c r="Q127" s="104">
        <f t="shared" si="131"/>
        <v>40465.076800000003</v>
      </c>
      <c r="R127" s="101">
        <f t="shared" si="132"/>
        <v>7.9533467259313914E-4</v>
      </c>
      <c r="S127" s="101">
        <v>1</v>
      </c>
      <c r="T127" s="221"/>
      <c r="AF127">
        <f t="shared" si="133"/>
        <v>33111.5</v>
      </c>
      <c r="AG127" s="101">
        <f t="shared" si="134"/>
        <v>1.8135895193875328E-2</v>
      </c>
      <c r="AH127" s="101">
        <f t="shared" si="135"/>
        <v>-1.1826059742503243E-2</v>
      </c>
      <c r="AI127" s="101">
        <f t="shared" si="136"/>
        <v>2.8201678542121196E-2</v>
      </c>
      <c r="AJ127" s="101">
        <f t="shared" si="137"/>
        <v>-8.8013819712868743E-4</v>
      </c>
      <c r="AK127" s="101">
        <f t="shared" si="138"/>
        <v>7.7464324604493629E-7</v>
      </c>
      <c r="AL127">
        <f t="shared" si="139"/>
        <v>2.8201678542121196E-2</v>
      </c>
      <c r="AM127" s="195">
        <f t="shared" si="114"/>
        <v>7.7464324604493629E-7</v>
      </c>
      <c r="AN127">
        <f t="shared" si="140"/>
        <v>2.9081816739249883E-2</v>
      </c>
      <c r="AO127">
        <f t="shared" si="141"/>
        <v>1.001128700219226</v>
      </c>
      <c r="AP127">
        <f t="shared" si="142"/>
        <v>0.99457641633578875</v>
      </c>
      <c r="AQ127">
        <f t="shared" si="143"/>
        <v>1.3252346894180242E-3</v>
      </c>
      <c r="AR127">
        <f t="shared" si="144"/>
        <v>0.86531709969706683</v>
      </c>
      <c r="AS127">
        <f t="shared" si="145"/>
        <v>0.46184269040771198</v>
      </c>
      <c r="AT127" s="101">
        <f t="shared" si="148"/>
        <v>7.1471779188525613</v>
      </c>
      <c r="AU127" s="101">
        <f t="shared" si="148"/>
        <v>7.1471779188525613</v>
      </c>
      <c r="AV127" s="101">
        <f t="shared" si="148"/>
        <v>7.1471779188525613</v>
      </c>
      <c r="AW127" s="101">
        <f t="shared" si="148"/>
        <v>7.1471779188525586</v>
      </c>
      <c r="AX127" s="101">
        <f t="shared" si="148"/>
        <v>7.1471779188506472</v>
      </c>
      <c r="AY127" s="101">
        <f t="shared" si="148"/>
        <v>7.147177917159607</v>
      </c>
      <c r="AZ127" s="101">
        <f t="shared" si="148"/>
        <v>7.1471764212670017</v>
      </c>
      <c r="BA127" s="101">
        <f t="shared" si="146"/>
        <v>7.1458541802750375</v>
      </c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</row>
    <row r="128" spans="1:92" s="101" customFormat="1">
      <c r="A128" s="127" t="s">
        <v>128</v>
      </c>
      <c r="B128" s="123" t="s">
        <v>86</v>
      </c>
      <c r="C128" s="22">
        <v>55483.576849999998</v>
      </c>
      <c r="D128" s="22">
        <v>2.9999999999999997E-4</v>
      </c>
      <c r="E128" s="101">
        <f t="shared" si="127"/>
        <v>33111.552457030426</v>
      </c>
      <c r="F128" s="101">
        <f t="shared" si="128"/>
        <v>33111.5</v>
      </c>
      <c r="G128" s="101">
        <f t="shared" si="113"/>
        <v>1.7305756991845556E-2</v>
      </c>
      <c r="K128" s="105">
        <f t="shared" si="129"/>
        <v>1.7305756991845556E-2</v>
      </c>
      <c r="O128" s="101">
        <f t="shared" ca="1" si="147"/>
        <v>1.9434994589865695E-2</v>
      </c>
      <c r="P128" s="103">
        <f t="shared" si="130"/>
        <v>-1.0945921545374555E-2</v>
      </c>
      <c r="Q128" s="104">
        <f t="shared" si="131"/>
        <v>40465.076849999998</v>
      </c>
      <c r="R128" s="101">
        <f t="shared" si="132"/>
        <v>7.9815734017042348E-4</v>
      </c>
      <c r="S128" s="101">
        <v>1</v>
      </c>
      <c r="T128" s="221"/>
      <c r="AF128">
        <f t="shared" si="133"/>
        <v>33111.5</v>
      </c>
      <c r="AG128" s="101">
        <f t="shared" si="134"/>
        <v>1.8135895193875328E-2</v>
      </c>
      <c r="AH128" s="101">
        <f t="shared" si="135"/>
        <v>-1.1776059747404328E-2</v>
      </c>
      <c r="AI128" s="101">
        <f t="shared" si="136"/>
        <v>2.8251678537220111E-2</v>
      </c>
      <c r="AJ128" s="101">
        <f t="shared" si="137"/>
        <v>-8.3013820202977248E-4</v>
      </c>
      <c r="AK128" s="101">
        <f t="shared" si="138"/>
        <v>6.8912943446922337E-7</v>
      </c>
      <c r="AL128">
        <f t="shared" si="139"/>
        <v>2.8251678537220111E-2</v>
      </c>
      <c r="AM128" s="195">
        <f t="shared" si="114"/>
        <v>6.8912943446922337E-7</v>
      </c>
      <c r="AN128">
        <f t="shared" si="140"/>
        <v>2.9081816739249883E-2</v>
      </c>
      <c r="AO128">
        <f t="shared" si="141"/>
        <v>1.001128700219226</v>
      </c>
      <c r="AP128">
        <f t="shared" si="142"/>
        <v>0.99457641633578875</v>
      </c>
      <c r="AQ128">
        <f t="shared" si="143"/>
        <v>1.3252346894180242E-3</v>
      </c>
      <c r="AR128">
        <f t="shared" si="144"/>
        <v>0.86531709969706683</v>
      </c>
      <c r="AS128">
        <f t="shared" si="145"/>
        <v>0.46184269040771198</v>
      </c>
      <c r="AT128" s="101">
        <f t="shared" si="148"/>
        <v>7.1471779188525613</v>
      </c>
      <c r="AU128" s="101">
        <f t="shared" si="148"/>
        <v>7.1471779188525613</v>
      </c>
      <c r="AV128" s="101">
        <f t="shared" si="148"/>
        <v>7.1471779188525613</v>
      </c>
      <c r="AW128" s="101">
        <f t="shared" si="148"/>
        <v>7.1471779188525586</v>
      </c>
      <c r="AX128" s="101">
        <f t="shared" si="148"/>
        <v>7.1471779188506472</v>
      </c>
      <c r="AY128" s="101">
        <f t="shared" si="148"/>
        <v>7.147177917159607</v>
      </c>
      <c r="AZ128" s="101">
        <f t="shared" si="148"/>
        <v>7.1471764212670017</v>
      </c>
      <c r="BA128" s="101">
        <f t="shared" si="146"/>
        <v>7.1458541802750375</v>
      </c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</row>
    <row r="129" spans="1:92">
      <c r="A129" s="146" t="s">
        <v>128</v>
      </c>
      <c r="B129" s="147" t="s">
        <v>86</v>
      </c>
      <c r="C129" s="146">
        <v>55600.361700000001</v>
      </c>
      <c r="D129" s="146" t="s">
        <v>264</v>
      </c>
      <c r="E129" s="101">
        <f t="shared" si="127"/>
        <v>33465.549478498673</v>
      </c>
      <c r="F129" s="101">
        <f t="shared" si="128"/>
        <v>33465.5</v>
      </c>
      <c r="G129" s="101">
        <f t="shared" si="113"/>
        <v>1.6323128998919856E-2</v>
      </c>
      <c r="H129" s="101"/>
      <c r="I129" s="101"/>
      <c r="J129" s="101"/>
      <c r="K129" s="105">
        <f t="shared" si="129"/>
        <v>1.6323128998919856E-2</v>
      </c>
      <c r="L129" s="101"/>
      <c r="M129" s="101"/>
      <c r="N129" s="101"/>
      <c r="O129" s="101">
        <f t="shared" ca="1" si="147"/>
        <v>1.8309209181585046E-2</v>
      </c>
      <c r="P129" s="103">
        <f t="shared" si="130"/>
        <v>-1.1818781833738801E-2</v>
      </c>
      <c r="Q129" s="104">
        <f t="shared" si="131"/>
        <v>40581.861700000001</v>
      </c>
      <c r="R129" s="101">
        <f t="shared" si="132"/>
        <v>7.9196714531331062E-4</v>
      </c>
      <c r="S129" s="101">
        <v>1</v>
      </c>
      <c r="T129" s="22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>
        <f t="shared" si="133"/>
        <v>33465.5</v>
      </c>
      <c r="AG129" s="101">
        <f t="shared" si="134"/>
        <v>1.7334098593521197E-2</v>
      </c>
      <c r="AH129" s="101">
        <f t="shared" si="135"/>
        <v>-1.2829751428340141E-2</v>
      </c>
      <c r="AI129" s="101">
        <f t="shared" si="136"/>
        <v>2.8141910832658656E-2</v>
      </c>
      <c r="AJ129" s="101">
        <f t="shared" si="137"/>
        <v>-1.0109695946013408E-3</v>
      </c>
      <c r="AK129" s="101">
        <f t="shared" si="138"/>
        <v>1.0220595212083995E-6</v>
      </c>
      <c r="AL129">
        <f t="shared" si="139"/>
        <v>2.8141910832658656E-2</v>
      </c>
      <c r="AM129" s="195">
        <f t="shared" si="114"/>
        <v>1.0220595212083995E-6</v>
      </c>
      <c r="AN129">
        <f t="shared" si="140"/>
        <v>2.9152880427259997E-2</v>
      </c>
      <c r="AO129">
        <f t="shared" si="141"/>
        <v>1.0010933492650915</v>
      </c>
      <c r="AP129">
        <f t="shared" si="142"/>
        <v>0.99697394493208225</v>
      </c>
      <c r="AQ129">
        <f t="shared" si="143"/>
        <v>1.354547360353651E-3</v>
      </c>
      <c r="AR129">
        <f t="shared" si="144"/>
        <v>0.89169902410816404</v>
      </c>
      <c r="AS129">
        <f t="shared" si="145"/>
        <v>0.47794630698455537</v>
      </c>
      <c r="AT129" s="101">
        <f t="shared" si="148"/>
        <v>7.1735305232012374</v>
      </c>
      <c r="AU129" s="101">
        <f t="shared" si="148"/>
        <v>7.1735305232012374</v>
      </c>
      <c r="AV129" s="101">
        <f t="shared" si="148"/>
        <v>7.1735305232012374</v>
      </c>
      <c r="AW129" s="101">
        <f t="shared" si="148"/>
        <v>7.1735305232012356</v>
      </c>
      <c r="AX129" s="101">
        <f t="shared" si="148"/>
        <v>7.1735305231994584</v>
      </c>
      <c r="AY129" s="101">
        <f t="shared" si="148"/>
        <v>7.1735305215769802</v>
      </c>
      <c r="AZ129" s="101">
        <f t="shared" si="148"/>
        <v>7.1735290401095648</v>
      </c>
      <c r="BA129" s="101">
        <f t="shared" si="146"/>
        <v>7.1721774572668124</v>
      </c>
    </row>
    <row r="130" spans="1:92" s="101" customFormat="1">
      <c r="A130" s="127" t="s">
        <v>128</v>
      </c>
      <c r="B130" s="123" t="s">
        <v>86</v>
      </c>
      <c r="C130" s="22">
        <v>55600.36176</v>
      </c>
      <c r="D130" s="22">
        <v>2.9999999999999997E-4</v>
      </c>
      <c r="E130" s="101">
        <f t="shared" si="127"/>
        <v>33465.549660370045</v>
      </c>
      <c r="F130" s="101">
        <f t="shared" si="128"/>
        <v>33465.5</v>
      </c>
      <c r="G130" s="101">
        <f t="shared" si="113"/>
        <v>1.6383128997404128E-2</v>
      </c>
      <c r="K130" s="105">
        <f t="shared" si="129"/>
        <v>1.6383128997404128E-2</v>
      </c>
      <c r="O130" s="101">
        <f t="shared" ca="1" si="147"/>
        <v>1.8309209181585046E-2</v>
      </c>
      <c r="P130" s="103">
        <f t="shared" si="130"/>
        <v>-1.1818781833738801E-2</v>
      </c>
      <c r="Q130" s="104">
        <f t="shared" si="131"/>
        <v>40581.86176</v>
      </c>
      <c r="R130" s="101">
        <f t="shared" si="132"/>
        <v>7.9534777452773683E-4</v>
      </c>
      <c r="S130" s="101">
        <v>1</v>
      </c>
      <c r="T130" s="221"/>
      <c r="U130" s="101">
        <v>2.135823326679421E-11</v>
      </c>
      <c r="V130" s="101">
        <v>3.4111247605802088E-20</v>
      </c>
      <c r="W130" s="101">
        <v>1.2954296947096341E-30</v>
      </c>
      <c r="X130" s="101">
        <v>2.7062332546559001E-12</v>
      </c>
      <c r="Y130" s="101">
        <v>2.2596412431160157E-6</v>
      </c>
      <c r="Z130" s="101">
        <v>1.3625493248709865E-6</v>
      </c>
      <c r="AA130" s="101">
        <v>6.1617798676646352E-8</v>
      </c>
      <c r="AB130" s="101">
        <v>15.577842343167598</v>
      </c>
      <c r="AC130" s="101">
        <v>8.1240396392259673E-8</v>
      </c>
      <c r="AD130" s="101">
        <v>1.3176636305085602E-11</v>
      </c>
      <c r="AE130" s="101">
        <v>6.3512134524642793E-24</v>
      </c>
      <c r="AF130">
        <f t="shared" si="133"/>
        <v>33465.5</v>
      </c>
      <c r="AG130" s="101">
        <f t="shared" si="134"/>
        <v>1.7334098593521197E-2</v>
      </c>
      <c r="AH130" s="101">
        <f t="shared" si="135"/>
        <v>-1.2769751429855869E-2</v>
      </c>
      <c r="AI130" s="101">
        <f t="shared" si="136"/>
        <v>2.8201910831142929E-2</v>
      </c>
      <c r="AJ130" s="101">
        <f t="shared" si="137"/>
        <v>-9.5096959611706833E-4</v>
      </c>
      <c r="AK130" s="101">
        <f t="shared" si="138"/>
        <v>9.0434317273906004E-7</v>
      </c>
      <c r="AL130">
        <f t="shared" si="139"/>
        <v>2.8201910831142929E-2</v>
      </c>
      <c r="AM130" s="195">
        <f t="shared" si="114"/>
        <v>9.0434317273906004E-7</v>
      </c>
      <c r="AN130">
        <f t="shared" si="140"/>
        <v>2.9152880427259997E-2</v>
      </c>
      <c r="AO130">
        <f t="shared" si="141"/>
        <v>1.0010933492650915</v>
      </c>
      <c r="AP130">
        <f t="shared" si="142"/>
        <v>0.99697394493208225</v>
      </c>
      <c r="AQ130">
        <f t="shared" si="143"/>
        <v>1.354547360353651E-3</v>
      </c>
      <c r="AR130">
        <f t="shared" si="144"/>
        <v>0.89169902410816404</v>
      </c>
      <c r="AS130">
        <f t="shared" si="145"/>
        <v>0.47794630698455537</v>
      </c>
      <c r="AT130" s="101">
        <f t="shared" si="148"/>
        <v>7.1735305232012374</v>
      </c>
      <c r="AU130" s="101">
        <f t="shared" si="148"/>
        <v>7.1735305232012374</v>
      </c>
      <c r="AV130" s="101">
        <f t="shared" si="148"/>
        <v>7.1735305232012374</v>
      </c>
      <c r="AW130" s="101">
        <f t="shared" si="148"/>
        <v>7.1735305232012356</v>
      </c>
      <c r="AX130" s="101">
        <f t="shared" si="148"/>
        <v>7.1735305231994584</v>
      </c>
      <c r="AY130" s="101">
        <f t="shared" si="148"/>
        <v>7.1735305215769802</v>
      </c>
      <c r="AZ130" s="101">
        <f t="shared" si="148"/>
        <v>7.1735290401095648</v>
      </c>
      <c r="BA130" s="101">
        <f t="shared" si="146"/>
        <v>7.1721774572668124</v>
      </c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</row>
    <row r="131" spans="1:92">
      <c r="A131" s="146" t="s">
        <v>128</v>
      </c>
      <c r="B131" s="147" t="s">
        <v>86</v>
      </c>
      <c r="C131" s="146">
        <v>55600.362200000003</v>
      </c>
      <c r="D131" s="146" t="s">
        <v>264</v>
      </c>
      <c r="E131" s="101">
        <f t="shared" si="127"/>
        <v>33465.550994093472</v>
      </c>
      <c r="F131" s="101">
        <f t="shared" si="128"/>
        <v>33465.5</v>
      </c>
      <c r="G131" s="101">
        <f t="shared" si="113"/>
        <v>1.6823129000840709E-2</v>
      </c>
      <c r="H131" s="101"/>
      <c r="I131" s="101"/>
      <c r="J131" s="101"/>
      <c r="K131" s="105">
        <f t="shared" si="129"/>
        <v>1.6823129000840709E-2</v>
      </c>
      <c r="L131" s="101"/>
      <c r="M131" s="101"/>
      <c r="N131" s="101"/>
      <c r="O131" s="101">
        <f t="shared" ca="1" si="147"/>
        <v>1.8309209181585046E-2</v>
      </c>
      <c r="P131" s="103">
        <f t="shared" si="130"/>
        <v>-1.1818781833738801E-2</v>
      </c>
      <c r="Q131" s="104">
        <f t="shared" si="131"/>
        <v>40581.862200000003</v>
      </c>
      <c r="R131" s="101">
        <f t="shared" si="132"/>
        <v>8.2035905625600311E-4</v>
      </c>
      <c r="S131" s="101">
        <v>1</v>
      </c>
      <c r="T131" s="22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>
        <f t="shared" si="133"/>
        <v>33465.5</v>
      </c>
      <c r="AG131" s="101">
        <f t="shared" si="134"/>
        <v>1.7334098593521197E-2</v>
      </c>
      <c r="AH131" s="101">
        <f t="shared" si="135"/>
        <v>-1.2329751426419289E-2</v>
      </c>
      <c r="AI131" s="101">
        <f t="shared" si="136"/>
        <v>2.8641910834579509E-2</v>
      </c>
      <c r="AJ131" s="101">
        <f t="shared" si="137"/>
        <v>-5.1096959268048803E-4</v>
      </c>
      <c r="AK131" s="101">
        <f t="shared" si="138"/>
        <v>2.6108992464406385E-7</v>
      </c>
      <c r="AL131">
        <f t="shared" si="139"/>
        <v>2.8641910834579509E-2</v>
      </c>
      <c r="AM131" s="195">
        <f t="shared" si="114"/>
        <v>2.6108992464406385E-7</v>
      </c>
      <c r="AN131">
        <f t="shared" si="140"/>
        <v>2.9152880427259997E-2</v>
      </c>
      <c r="AO131">
        <f t="shared" si="141"/>
        <v>1.0010933492650915</v>
      </c>
      <c r="AP131">
        <f t="shared" si="142"/>
        <v>0.99697394493208225</v>
      </c>
      <c r="AQ131">
        <f t="shared" si="143"/>
        <v>1.354547360353651E-3</v>
      </c>
      <c r="AR131">
        <f t="shared" si="144"/>
        <v>0.89169902410816404</v>
      </c>
      <c r="AS131">
        <f t="shared" si="145"/>
        <v>0.47794630698455537</v>
      </c>
      <c r="AT131" s="101">
        <f t="shared" ref="AT131:AZ140" si="149">$BA131+$AH$7*SIN(AU131)</f>
        <v>7.1735305232012374</v>
      </c>
      <c r="AU131" s="101">
        <f t="shared" si="149"/>
        <v>7.1735305232012374</v>
      </c>
      <c r="AV131" s="101">
        <f t="shared" si="149"/>
        <v>7.1735305232012374</v>
      </c>
      <c r="AW131" s="101">
        <f t="shared" si="149"/>
        <v>7.1735305232012356</v>
      </c>
      <c r="AX131" s="101">
        <f t="shared" si="149"/>
        <v>7.1735305231994584</v>
      </c>
      <c r="AY131" s="101">
        <f t="shared" si="149"/>
        <v>7.1735305215769802</v>
      </c>
      <c r="AZ131" s="101">
        <f t="shared" si="149"/>
        <v>7.1735290401095648</v>
      </c>
      <c r="BA131" s="101">
        <f t="shared" si="146"/>
        <v>7.1721774572668124</v>
      </c>
    </row>
    <row r="132" spans="1:92">
      <c r="A132" s="127" t="s">
        <v>128</v>
      </c>
      <c r="B132" s="123" t="s">
        <v>86</v>
      </c>
      <c r="C132" s="22">
        <v>55600.362260000002</v>
      </c>
      <c r="D132" s="22">
        <v>2.0000000000000001E-4</v>
      </c>
      <c r="E132" s="101">
        <f t="shared" si="127"/>
        <v>33465.551175964843</v>
      </c>
      <c r="F132" s="101">
        <f t="shared" si="128"/>
        <v>33465.5</v>
      </c>
      <c r="G132" s="101">
        <f t="shared" si="113"/>
        <v>1.6883128999324981E-2</v>
      </c>
      <c r="H132" s="101"/>
      <c r="I132" s="101"/>
      <c r="J132" s="101"/>
      <c r="K132" s="105">
        <f t="shared" si="129"/>
        <v>1.6883128999324981E-2</v>
      </c>
      <c r="L132" s="101"/>
      <c r="M132" s="101"/>
      <c r="N132" s="101"/>
      <c r="O132" s="101">
        <f t="shared" ca="1" si="147"/>
        <v>1.8309209181585046E-2</v>
      </c>
      <c r="P132" s="103">
        <f t="shared" si="130"/>
        <v>-1.1818781833738801E-2</v>
      </c>
      <c r="Q132" s="104">
        <f t="shared" si="131"/>
        <v>40581.862260000002</v>
      </c>
      <c r="R132" s="101">
        <f t="shared" si="132"/>
        <v>8.2379968546914407E-4</v>
      </c>
      <c r="S132" s="101">
        <v>1</v>
      </c>
      <c r="T132" s="22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>
        <f t="shared" si="133"/>
        <v>33465.5</v>
      </c>
      <c r="AG132" s="101">
        <f t="shared" si="134"/>
        <v>1.7334098593521197E-2</v>
      </c>
      <c r="AH132" s="101">
        <f t="shared" si="135"/>
        <v>-1.2269751427935016E-2</v>
      </c>
      <c r="AI132" s="101">
        <f t="shared" si="136"/>
        <v>2.8701910833063782E-2</v>
      </c>
      <c r="AJ132" s="101">
        <f t="shared" si="137"/>
        <v>-4.5096959419621552E-4</v>
      </c>
      <c r="AK132" s="101">
        <f t="shared" si="138"/>
        <v>2.0337357488949931E-7</v>
      </c>
      <c r="AL132">
        <f t="shared" si="139"/>
        <v>2.8701910833063782E-2</v>
      </c>
      <c r="AM132" s="195">
        <f t="shared" si="114"/>
        <v>2.0337357488949931E-7</v>
      </c>
      <c r="AN132">
        <f t="shared" si="140"/>
        <v>2.9152880427259997E-2</v>
      </c>
      <c r="AO132">
        <f t="shared" si="141"/>
        <v>1.0010933492650915</v>
      </c>
      <c r="AP132">
        <f t="shared" si="142"/>
        <v>0.99697394493208225</v>
      </c>
      <c r="AQ132">
        <f t="shared" si="143"/>
        <v>1.354547360353651E-3</v>
      </c>
      <c r="AR132">
        <f t="shared" si="144"/>
        <v>0.89169902410816404</v>
      </c>
      <c r="AS132">
        <f t="shared" si="145"/>
        <v>0.47794630698455537</v>
      </c>
      <c r="AT132" s="101">
        <f t="shared" si="149"/>
        <v>7.1735305232012374</v>
      </c>
      <c r="AU132" s="101">
        <f t="shared" si="149"/>
        <v>7.1735305232012374</v>
      </c>
      <c r="AV132" s="101">
        <f t="shared" si="149"/>
        <v>7.1735305232012374</v>
      </c>
      <c r="AW132" s="101">
        <f t="shared" si="149"/>
        <v>7.1735305232012356</v>
      </c>
      <c r="AX132" s="101">
        <f t="shared" si="149"/>
        <v>7.1735305231994584</v>
      </c>
      <c r="AY132" s="101">
        <f t="shared" si="149"/>
        <v>7.1735305215769802</v>
      </c>
      <c r="AZ132" s="101">
        <f t="shared" si="149"/>
        <v>7.1735290401095648</v>
      </c>
      <c r="BA132" s="101">
        <f t="shared" si="146"/>
        <v>7.1721774572668124</v>
      </c>
    </row>
    <row r="133" spans="1:92">
      <c r="A133" s="146" t="s">
        <v>128</v>
      </c>
      <c r="B133" s="147" t="s">
        <v>86</v>
      </c>
      <c r="C133" s="146">
        <v>55600.362699999998</v>
      </c>
      <c r="D133" s="146" t="s">
        <v>264</v>
      </c>
      <c r="E133" s="101">
        <f t="shared" si="127"/>
        <v>33465.552509688256</v>
      </c>
      <c r="F133" s="101">
        <f t="shared" si="128"/>
        <v>33465.5</v>
      </c>
      <c r="G133" s="101">
        <f t="shared" si="113"/>
        <v>1.7323128995485604E-2</v>
      </c>
      <c r="H133" s="101"/>
      <c r="I133" s="101"/>
      <c r="J133" s="101"/>
      <c r="K133" s="105">
        <f t="shared" si="129"/>
        <v>1.7323128995485604E-2</v>
      </c>
      <c r="L133" s="101"/>
      <c r="M133" s="101"/>
      <c r="N133" s="101"/>
      <c r="O133" s="101">
        <f t="shared" ca="1" si="147"/>
        <v>1.8309209181585046E-2</v>
      </c>
      <c r="P133" s="103">
        <f t="shared" si="130"/>
        <v>-1.1818781833738801E-2</v>
      </c>
      <c r="Q133" s="104">
        <f t="shared" si="131"/>
        <v>40581.862699999998</v>
      </c>
      <c r="R133" s="101">
        <f t="shared" si="132"/>
        <v>8.492509667784666E-4</v>
      </c>
      <c r="S133" s="101">
        <v>1</v>
      </c>
      <c r="T133" s="22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>
        <f t="shared" si="133"/>
        <v>33465.5</v>
      </c>
      <c r="AG133" s="101">
        <f t="shared" si="134"/>
        <v>1.7334098593521197E-2</v>
      </c>
      <c r="AH133" s="101">
        <f t="shared" si="135"/>
        <v>-1.1829751431774393E-2</v>
      </c>
      <c r="AI133" s="101">
        <f t="shared" si="136"/>
        <v>2.9141910829224404E-2</v>
      </c>
      <c r="AJ133" s="101">
        <f t="shared" si="137"/>
        <v>-1.0969598035592831E-5</v>
      </c>
      <c r="AK133" s="101">
        <f t="shared" si="138"/>
        <v>1.2033208106248211E-10</v>
      </c>
      <c r="AL133">
        <f t="shared" si="139"/>
        <v>2.9141910829224404E-2</v>
      </c>
      <c r="AM133" s="195">
        <f t="shared" si="114"/>
        <v>1.2033208106248211E-10</v>
      </c>
      <c r="AN133">
        <f t="shared" si="140"/>
        <v>2.9152880427259997E-2</v>
      </c>
      <c r="AO133">
        <f t="shared" si="141"/>
        <v>1.0010933492650915</v>
      </c>
      <c r="AP133">
        <f t="shared" si="142"/>
        <v>0.99697394493208225</v>
      </c>
      <c r="AQ133">
        <f t="shared" si="143"/>
        <v>1.354547360353651E-3</v>
      </c>
      <c r="AR133">
        <f t="shared" si="144"/>
        <v>0.89169902410816404</v>
      </c>
      <c r="AS133">
        <f t="shared" si="145"/>
        <v>0.47794630698455537</v>
      </c>
      <c r="AT133" s="101">
        <f t="shared" si="149"/>
        <v>7.1735305232012374</v>
      </c>
      <c r="AU133" s="101">
        <f t="shared" si="149"/>
        <v>7.1735305232012374</v>
      </c>
      <c r="AV133" s="101">
        <f t="shared" si="149"/>
        <v>7.1735305232012374</v>
      </c>
      <c r="AW133" s="101">
        <f t="shared" si="149"/>
        <v>7.1735305232012356</v>
      </c>
      <c r="AX133" s="101">
        <f t="shared" si="149"/>
        <v>7.1735305231994584</v>
      </c>
      <c r="AY133" s="101">
        <f t="shared" si="149"/>
        <v>7.1735305215769802</v>
      </c>
      <c r="AZ133" s="101">
        <f t="shared" si="149"/>
        <v>7.1735290401095648</v>
      </c>
      <c r="BA133" s="101">
        <f t="shared" si="146"/>
        <v>7.1721774572668124</v>
      </c>
    </row>
    <row r="134" spans="1:92" s="101" customFormat="1">
      <c r="A134" s="127" t="s">
        <v>128</v>
      </c>
      <c r="B134" s="123" t="s">
        <v>86</v>
      </c>
      <c r="C134" s="22">
        <v>55600.362760000004</v>
      </c>
      <c r="D134" s="22">
        <v>2.0000000000000001E-4</v>
      </c>
      <c r="E134" s="101">
        <f t="shared" si="127"/>
        <v>33465.552691559649</v>
      </c>
      <c r="F134" s="101">
        <f t="shared" si="128"/>
        <v>33465.5</v>
      </c>
      <c r="G134" s="101">
        <f t="shared" si="113"/>
        <v>1.7383129001245834E-2</v>
      </c>
      <c r="K134" s="105">
        <f t="shared" si="129"/>
        <v>1.7383129001245834E-2</v>
      </c>
      <c r="O134" s="101">
        <f t="shared" ca="1" si="147"/>
        <v>1.8309209181585046E-2</v>
      </c>
      <c r="P134" s="103">
        <f t="shared" si="130"/>
        <v>-1.1818781833738801E-2</v>
      </c>
      <c r="Q134" s="104">
        <f t="shared" si="131"/>
        <v>40581.862760000004</v>
      </c>
      <c r="R134" s="101">
        <f t="shared" si="132"/>
        <v>8.5275159641439303E-4</v>
      </c>
      <c r="S134" s="101">
        <v>1</v>
      </c>
      <c r="T134" s="221"/>
      <c r="AF134">
        <f t="shared" si="133"/>
        <v>33465.5</v>
      </c>
      <c r="AG134" s="101">
        <f t="shared" si="134"/>
        <v>1.7334098593521197E-2</v>
      </c>
      <c r="AH134" s="101">
        <f t="shared" si="135"/>
        <v>-1.1769751426014163E-2</v>
      </c>
      <c r="AI134" s="101">
        <f t="shared" si="136"/>
        <v>2.9201910834984635E-2</v>
      </c>
      <c r="AJ134" s="101">
        <f t="shared" si="137"/>
        <v>4.9030407724637293E-5</v>
      </c>
      <c r="AK134" s="101">
        <f t="shared" si="138"/>
        <v>2.4039808816441724E-9</v>
      </c>
      <c r="AL134">
        <f t="shared" si="139"/>
        <v>2.9201910834984635E-2</v>
      </c>
      <c r="AM134" s="195">
        <f t="shared" si="114"/>
        <v>2.4039808816441724E-9</v>
      </c>
      <c r="AN134">
        <f t="shared" si="140"/>
        <v>2.9152880427259997E-2</v>
      </c>
      <c r="AO134">
        <f t="shared" si="141"/>
        <v>1.0010933492650915</v>
      </c>
      <c r="AP134">
        <f t="shared" si="142"/>
        <v>0.99697394493208225</v>
      </c>
      <c r="AQ134">
        <f t="shared" si="143"/>
        <v>1.354547360353651E-3</v>
      </c>
      <c r="AR134">
        <f t="shared" si="144"/>
        <v>0.89169902410816404</v>
      </c>
      <c r="AS134">
        <f t="shared" si="145"/>
        <v>0.47794630698455537</v>
      </c>
      <c r="AT134" s="101">
        <f t="shared" si="149"/>
        <v>7.1735305232012374</v>
      </c>
      <c r="AU134" s="101">
        <f t="shared" si="149"/>
        <v>7.1735305232012374</v>
      </c>
      <c r="AV134" s="101">
        <f t="shared" si="149"/>
        <v>7.1735305232012374</v>
      </c>
      <c r="AW134" s="101">
        <f t="shared" si="149"/>
        <v>7.1735305232012356</v>
      </c>
      <c r="AX134" s="101">
        <f t="shared" si="149"/>
        <v>7.1735305231994584</v>
      </c>
      <c r="AY134" s="101">
        <f t="shared" si="149"/>
        <v>7.1735305215769802</v>
      </c>
      <c r="AZ134" s="101">
        <f t="shared" si="149"/>
        <v>7.1735290401095648</v>
      </c>
      <c r="BA134" s="101">
        <f t="shared" si="146"/>
        <v>7.1721774572668124</v>
      </c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</row>
    <row r="135" spans="1:92" s="101" customFormat="1">
      <c r="A135" s="146" t="s">
        <v>128</v>
      </c>
      <c r="B135" s="147" t="s">
        <v>87</v>
      </c>
      <c r="C135" s="146">
        <v>55622.298900000002</v>
      </c>
      <c r="D135" s="146" t="s">
        <v>264</v>
      </c>
      <c r="E135" s="101">
        <f t="shared" si="127"/>
        <v>33532.045290749607</v>
      </c>
      <c r="F135" s="101">
        <f t="shared" si="128"/>
        <v>33532</v>
      </c>
      <c r="G135" s="101">
        <f t="shared" si="113"/>
        <v>1.4941575995180756E-2</v>
      </c>
      <c r="K135" s="105">
        <f t="shared" si="129"/>
        <v>1.4941575995180756E-2</v>
      </c>
      <c r="O135" s="101">
        <f t="shared" ca="1" si="147"/>
        <v>1.8097726894436283E-2</v>
      </c>
      <c r="P135" s="103">
        <f t="shared" si="130"/>
        <v>-1.1983921742847785E-2</v>
      </c>
      <c r="Q135" s="104">
        <f t="shared" si="131"/>
        <v>40603.798900000002</v>
      </c>
      <c r="R135" s="101">
        <f t="shared" si="132"/>
        <v>7.249824284405801E-4</v>
      </c>
      <c r="S135" s="101">
        <v>1</v>
      </c>
      <c r="T135" s="221"/>
      <c r="AB135"/>
      <c r="AC135"/>
      <c r="AD135"/>
      <c r="AE135"/>
      <c r="AF135">
        <f t="shared" si="133"/>
        <v>33532</v>
      </c>
      <c r="AG135" s="101">
        <f t="shared" si="134"/>
        <v>1.7180050572029648E-2</v>
      </c>
      <c r="AH135" s="101">
        <f t="shared" si="135"/>
        <v>-1.4222396319696677E-2</v>
      </c>
      <c r="AI135" s="101">
        <f t="shared" si="136"/>
        <v>2.6925497738028541E-2</v>
      </c>
      <c r="AJ135" s="101">
        <f t="shared" si="137"/>
        <v>-2.2384745768488923E-3</v>
      </c>
      <c r="AK135" s="101">
        <f t="shared" si="138"/>
        <v>5.0107684311988273E-6</v>
      </c>
      <c r="AL135">
        <f t="shared" si="139"/>
        <v>2.6925497738028541E-2</v>
      </c>
      <c r="AM135" s="195">
        <f t="shared" si="114"/>
        <v>5.0107684311988273E-6</v>
      </c>
      <c r="AN135">
        <f t="shared" si="140"/>
        <v>2.9163972314877433E-2</v>
      </c>
      <c r="AO135">
        <f t="shared" si="141"/>
        <v>1.0010866231125903</v>
      </c>
      <c r="AP135">
        <f t="shared" si="142"/>
        <v>0.99734694078074138</v>
      </c>
      <c r="AQ135">
        <f t="shared" si="143"/>
        <v>1.3599490351119434E-3</v>
      </c>
      <c r="AR135">
        <f t="shared" si="144"/>
        <v>0.89665474167463388</v>
      </c>
      <c r="AS135">
        <f t="shared" si="145"/>
        <v>0.48099380500986122</v>
      </c>
      <c r="AT135" s="101">
        <f t="shared" si="149"/>
        <v>7.1784808374740541</v>
      </c>
      <c r="AU135" s="101">
        <f t="shared" si="149"/>
        <v>7.1784808374740541</v>
      </c>
      <c r="AV135" s="101">
        <f t="shared" si="149"/>
        <v>7.1784808374740541</v>
      </c>
      <c r="AW135" s="101">
        <f t="shared" si="149"/>
        <v>7.1784808374740523</v>
      </c>
      <c r="AX135" s="101">
        <f t="shared" si="149"/>
        <v>7.1784808374723008</v>
      </c>
      <c r="AY135" s="101">
        <f t="shared" si="149"/>
        <v>7.1784808358632164</v>
      </c>
      <c r="AZ135" s="101">
        <f t="shared" si="149"/>
        <v>7.1784793575655064</v>
      </c>
      <c r="BA135" s="101">
        <f t="shared" si="146"/>
        <v>7.1771223666452109</v>
      </c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</row>
    <row r="136" spans="1:92">
      <c r="A136" s="127" t="s">
        <v>128</v>
      </c>
      <c r="B136" s="123" t="s">
        <v>87</v>
      </c>
      <c r="C136" s="22">
        <v>55622.298920000001</v>
      </c>
      <c r="D136" s="22">
        <v>2.0000000000000001E-4</v>
      </c>
      <c r="E136" s="101">
        <f t="shared" si="127"/>
        <v>33532.045351373396</v>
      </c>
      <c r="F136" s="101">
        <f t="shared" si="128"/>
        <v>33532</v>
      </c>
      <c r="G136" s="101">
        <f t="shared" si="113"/>
        <v>1.4961575994675513E-2</v>
      </c>
      <c r="H136" s="101"/>
      <c r="I136" s="101"/>
      <c r="J136" s="101"/>
      <c r="K136" s="105">
        <f t="shared" si="129"/>
        <v>1.4961575994675513E-2</v>
      </c>
      <c r="L136" s="101"/>
      <c r="M136" s="101"/>
      <c r="N136" s="101"/>
      <c r="O136" s="101">
        <f t="shared" ca="1" si="147"/>
        <v>1.8097726894436283E-2</v>
      </c>
      <c r="P136" s="103">
        <f t="shared" si="130"/>
        <v>-1.1983921742847785E-2</v>
      </c>
      <c r="Q136" s="104">
        <f t="shared" si="131"/>
        <v>40603.798920000001</v>
      </c>
      <c r="R136" s="101">
        <f t="shared" si="132"/>
        <v>7.2605984832287314E-4</v>
      </c>
      <c r="S136" s="101">
        <v>1</v>
      </c>
      <c r="T136" s="22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>
        <f t="shared" si="133"/>
        <v>33532</v>
      </c>
      <c r="AG136" s="101">
        <f t="shared" si="134"/>
        <v>1.7180050572029648E-2</v>
      </c>
      <c r="AH136" s="101">
        <f t="shared" si="135"/>
        <v>-1.420239632020192E-2</v>
      </c>
      <c r="AI136" s="101">
        <f t="shared" si="136"/>
        <v>2.6945497737523298E-2</v>
      </c>
      <c r="AJ136" s="101">
        <f t="shared" si="137"/>
        <v>-2.2184745773541348E-3</v>
      </c>
      <c r="AK136" s="101">
        <f t="shared" si="138"/>
        <v>4.9216294503666072E-6</v>
      </c>
      <c r="AL136">
        <f t="shared" si="139"/>
        <v>2.6945497737523298E-2</v>
      </c>
      <c r="AM136" s="195">
        <f t="shared" si="114"/>
        <v>4.9216294503666072E-6</v>
      </c>
      <c r="AN136">
        <f t="shared" si="140"/>
        <v>2.9163972314877433E-2</v>
      </c>
      <c r="AO136">
        <f t="shared" si="141"/>
        <v>1.0010866231125903</v>
      </c>
      <c r="AP136">
        <f t="shared" si="142"/>
        <v>0.99734694078074138</v>
      </c>
      <c r="AQ136">
        <f t="shared" si="143"/>
        <v>1.3599490351119434E-3</v>
      </c>
      <c r="AR136">
        <f t="shared" si="144"/>
        <v>0.89665474167463388</v>
      </c>
      <c r="AS136">
        <f t="shared" si="145"/>
        <v>0.48099380500986122</v>
      </c>
      <c r="AT136" s="101">
        <f t="shared" si="149"/>
        <v>7.1784808374740541</v>
      </c>
      <c r="AU136" s="101">
        <f t="shared" si="149"/>
        <v>7.1784808374740541</v>
      </c>
      <c r="AV136" s="101">
        <f t="shared" si="149"/>
        <v>7.1784808374740541</v>
      </c>
      <c r="AW136" s="101">
        <f t="shared" si="149"/>
        <v>7.1784808374740523</v>
      </c>
      <c r="AX136" s="101">
        <f t="shared" si="149"/>
        <v>7.1784808374723008</v>
      </c>
      <c r="AY136" s="101">
        <f t="shared" si="149"/>
        <v>7.1784808358632164</v>
      </c>
      <c r="AZ136" s="101">
        <f t="shared" si="149"/>
        <v>7.1784793575655064</v>
      </c>
      <c r="BA136" s="101">
        <f t="shared" si="146"/>
        <v>7.1771223666452109</v>
      </c>
    </row>
    <row r="137" spans="1:92">
      <c r="A137" s="146" t="s">
        <v>128</v>
      </c>
      <c r="B137" s="147" t="s">
        <v>87</v>
      </c>
      <c r="C137" s="146">
        <v>55622.299599999998</v>
      </c>
      <c r="D137" s="146" t="s">
        <v>264</v>
      </c>
      <c r="E137" s="101">
        <f t="shared" si="127"/>
        <v>33532.047412582309</v>
      </c>
      <c r="F137" s="101">
        <f t="shared" si="128"/>
        <v>33532</v>
      </c>
      <c r="G137" s="101">
        <f t="shared" si="113"/>
        <v>1.5641575992049184E-2</v>
      </c>
      <c r="H137" s="101"/>
      <c r="I137" s="101"/>
      <c r="J137" s="101"/>
      <c r="K137" s="105">
        <f t="shared" si="129"/>
        <v>1.5641575992049184E-2</v>
      </c>
      <c r="L137" s="101"/>
      <c r="M137" s="101"/>
      <c r="N137" s="101"/>
      <c r="O137" s="101">
        <f t="shared" ca="1" si="147"/>
        <v>1.8097726894436283E-2</v>
      </c>
      <c r="P137" s="103">
        <f t="shared" si="130"/>
        <v>-1.1983921742847785E-2</v>
      </c>
      <c r="Q137" s="104">
        <f t="shared" si="131"/>
        <v>40603.799599999998</v>
      </c>
      <c r="R137" s="101">
        <f t="shared" si="132"/>
        <v>7.631681251007975E-4</v>
      </c>
      <c r="S137" s="101">
        <v>1</v>
      </c>
      <c r="T137" s="221"/>
      <c r="U137" s="101"/>
      <c r="V137" s="101"/>
      <c r="W137" s="101"/>
      <c r="X137" s="101"/>
      <c r="Y137" s="101"/>
      <c r="Z137" s="101"/>
      <c r="AA137" s="101"/>
      <c r="AF137">
        <f t="shared" si="133"/>
        <v>33532</v>
      </c>
      <c r="AG137" s="101">
        <f t="shared" si="134"/>
        <v>1.7180050572029648E-2</v>
      </c>
      <c r="AH137" s="101">
        <f t="shared" si="135"/>
        <v>-1.3522396322828249E-2</v>
      </c>
      <c r="AI137" s="101">
        <f t="shared" si="136"/>
        <v>2.7625497734896969E-2</v>
      </c>
      <c r="AJ137" s="101">
        <f t="shared" si="137"/>
        <v>-1.5384745799804644E-3</v>
      </c>
      <c r="AK137" s="101">
        <f t="shared" si="138"/>
        <v>2.3669040332460663E-6</v>
      </c>
      <c r="AL137">
        <f t="shared" si="139"/>
        <v>2.7625497734896969E-2</v>
      </c>
      <c r="AM137" s="195">
        <f t="shared" si="114"/>
        <v>2.3669040332460663E-6</v>
      </c>
      <c r="AN137">
        <f t="shared" si="140"/>
        <v>2.9163972314877433E-2</v>
      </c>
      <c r="AO137">
        <f t="shared" si="141"/>
        <v>1.0010866231125903</v>
      </c>
      <c r="AP137">
        <f t="shared" si="142"/>
        <v>0.99734694078074138</v>
      </c>
      <c r="AQ137">
        <f t="shared" si="143"/>
        <v>1.3599490351119434E-3</v>
      </c>
      <c r="AR137">
        <f t="shared" si="144"/>
        <v>0.89665474167463388</v>
      </c>
      <c r="AS137">
        <f t="shared" si="145"/>
        <v>0.48099380500986122</v>
      </c>
      <c r="AT137" s="101">
        <f t="shared" si="149"/>
        <v>7.1784808374740541</v>
      </c>
      <c r="AU137" s="101">
        <f t="shared" si="149"/>
        <v>7.1784808374740541</v>
      </c>
      <c r="AV137" s="101">
        <f t="shared" si="149"/>
        <v>7.1784808374740541</v>
      </c>
      <c r="AW137" s="101">
        <f t="shared" si="149"/>
        <v>7.1784808374740523</v>
      </c>
      <c r="AX137" s="101">
        <f t="shared" si="149"/>
        <v>7.1784808374723008</v>
      </c>
      <c r="AY137" s="101">
        <f t="shared" si="149"/>
        <v>7.1784808358632164</v>
      </c>
      <c r="AZ137" s="101">
        <f t="shared" si="149"/>
        <v>7.1784793575655064</v>
      </c>
      <c r="BA137" s="101">
        <f t="shared" si="146"/>
        <v>7.1771223666452109</v>
      </c>
    </row>
    <row r="138" spans="1:92">
      <c r="A138" s="127" t="s">
        <v>128</v>
      </c>
      <c r="B138" s="123" t="s">
        <v>87</v>
      </c>
      <c r="C138" s="22">
        <v>55622.299619999998</v>
      </c>
      <c r="D138" s="22">
        <v>2.0000000000000001E-4</v>
      </c>
      <c r="E138" s="101">
        <f t="shared" si="127"/>
        <v>33532.047473206097</v>
      </c>
      <c r="F138" s="101">
        <f t="shared" si="128"/>
        <v>33532</v>
      </c>
      <c r="G138" s="101">
        <f t="shared" si="113"/>
        <v>1.5661575991543941E-2</v>
      </c>
      <c r="H138" s="101"/>
      <c r="I138" s="101"/>
      <c r="J138" s="101"/>
      <c r="K138" s="105">
        <f t="shared" si="129"/>
        <v>1.5661575991543941E-2</v>
      </c>
      <c r="L138" s="101"/>
      <c r="M138" s="101"/>
      <c r="N138" s="101"/>
      <c r="O138" s="101">
        <f t="shared" ca="1" si="147"/>
        <v>1.8097726894436283E-2</v>
      </c>
      <c r="P138" s="103">
        <f t="shared" si="130"/>
        <v>-1.1983921742847785E-2</v>
      </c>
      <c r="Q138" s="104">
        <f t="shared" si="131"/>
        <v>40603.799619999998</v>
      </c>
      <c r="R138" s="101">
        <f t="shared" si="132"/>
        <v>7.642735449822581E-4</v>
      </c>
      <c r="S138" s="101">
        <v>1</v>
      </c>
      <c r="T138" s="221"/>
      <c r="U138" s="101"/>
      <c r="V138" s="101"/>
      <c r="W138" s="101"/>
      <c r="X138" s="101"/>
      <c r="Y138" s="101"/>
      <c r="Z138" s="101"/>
      <c r="AA138" s="101"/>
      <c r="AF138">
        <f t="shared" si="133"/>
        <v>33532</v>
      </c>
      <c r="AG138" s="101">
        <f t="shared" si="134"/>
        <v>1.7180050572029648E-2</v>
      </c>
      <c r="AH138" s="101">
        <f t="shared" si="135"/>
        <v>-1.3502396323333492E-2</v>
      </c>
      <c r="AI138" s="101">
        <f t="shared" si="136"/>
        <v>2.7645497734391726E-2</v>
      </c>
      <c r="AJ138" s="101">
        <f t="shared" si="137"/>
        <v>-1.5184745804857069E-3</v>
      </c>
      <c r="AK138" s="101">
        <f t="shared" si="138"/>
        <v>2.3057650515812437E-6</v>
      </c>
      <c r="AL138">
        <f t="shared" si="139"/>
        <v>2.7645497734391726E-2</v>
      </c>
      <c r="AM138" s="195">
        <f t="shared" si="114"/>
        <v>2.3057650515812437E-6</v>
      </c>
      <c r="AN138">
        <f t="shared" si="140"/>
        <v>2.9163972314877433E-2</v>
      </c>
      <c r="AO138">
        <f t="shared" si="141"/>
        <v>1.0010866231125903</v>
      </c>
      <c r="AP138">
        <f t="shared" si="142"/>
        <v>0.99734694078074138</v>
      </c>
      <c r="AQ138">
        <f t="shared" si="143"/>
        <v>1.3599490351119434E-3</v>
      </c>
      <c r="AR138">
        <f t="shared" si="144"/>
        <v>0.89665474167463388</v>
      </c>
      <c r="AS138">
        <f t="shared" si="145"/>
        <v>0.48099380500986122</v>
      </c>
      <c r="AT138" s="101">
        <f t="shared" si="149"/>
        <v>7.1784808374740541</v>
      </c>
      <c r="AU138" s="101">
        <f t="shared" si="149"/>
        <v>7.1784808374740541</v>
      </c>
      <c r="AV138" s="101">
        <f t="shared" si="149"/>
        <v>7.1784808374740541</v>
      </c>
      <c r="AW138" s="101">
        <f t="shared" si="149"/>
        <v>7.1784808374740523</v>
      </c>
      <c r="AX138" s="101">
        <f t="shared" si="149"/>
        <v>7.1784808374723008</v>
      </c>
      <c r="AY138" s="101">
        <f t="shared" si="149"/>
        <v>7.1784808358632164</v>
      </c>
      <c r="AZ138" s="101">
        <f t="shared" si="149"/>
        <v>7.1784793575655064</v>
      </c>
      <c r="BA138" s="101">
        <f t="shared" si="146"/>
        <v>7.1771223666452109</v>
      </c>
    </row>
    <row r="139" spans="1:92" s="101" customFormat="1">
      <c r="A139" s="146" t="s">
        <v>128</v>
      </c>
      <c r="B139" s="147" t="s">
        <v>87</v>
      </c>
      <c r="C139" s="146">
        <v>55622.299800000001</v>
      </c>
      <c r="D139" s="146" t="s">
        <v>264</v>
      </c>
      <c r="E139" s="101">
        <f t="shared" si="127"/>
        <v>33532.048018820235</v>
      </c>
      <c r="F139" s="101">
        <f t="shared" si="128"/>
        <v>33532</v>
      </c>
      <c r="G139" s="101">
        <f t="shared" si="113"/>
        <v>1.5841575994272716E-2</v>
      </c>
      <c r="K139" s="105">
        <f t="shared" si="129"/>
        <v>1.5841575994272716E-2</v>
      </c>
      <c r="O139" s="101">
        <f t="shared" ca="1" si="147"/>
        <v>1.8097726894436283E-2</v>
      </c>
      <c r="P139" s="103">
        <f t="shared" si="130"/>
        <v>-1.1983921742847785E-2</v>
      </c>
      <c r="Q139" s="104">
        <f t="shared" si="131"/>
        <v>40603.799800000001</v>
      </c>
      <c r="R139" s="101">
        <f t="shared" si="132"/>
        <v>7.7425832431849816E-4</v>
      </c>
      <c r="S139" s="101">
        <v>1</v>
      </c>
      <c r="T139" s="221"/>
      <c r="AB139"/>
      <c r="AC139"/>
      <c r="AD139"/>
      <c r="AE139"/>
      <c r="AF139">
        <f t="shared" si="133"/>
        <v>33532</v>
      </c>
      <c r="AG139" s="101">
        <f t="shared" si="134"/>
        <v>1.7180050572029648E-2</v>
      </c>
      <c r="AH139" s="101">
        <f t="shared" si="135"/>
        <v>-1.3322396320604717E-2</v>
      </c>
      <c r="AI139" s="101">
        <f t="shared" si="136"/>
        <v>2.7825497737120501E-2</v>
      </c>
      <c r="AJ139" s="101">
        <f t="shared" si="137"/>
        <v>-1.3384745777569318E-3</v>
      </c>
      <c r="AK139" s="101">
        <f t="shared" si="138"/>
        <v>1.7915141953015969E-6</v>
      </c>
      <c r="AL139">
        <f t="shared" si="139"/>
        <v>2.7825497737120501E-2</v>
      </c>
      <c r="AM139" s="195">
        <f t="shared" si="114"/>
        <v>1.7915141953015969E-6</v>
      </c>
      <c r="AN139">
        <f t="shared" si="140"/>
        <v>2.9163972314877433E-2</v>
      </c>
      <c r="AO139">
        <f t="shared" si="141"/>
        <v>1.0010866231125903</v>
      </c>
      <c r="AP139">
        <f t="shared" si="142"/>
        <v>0.99734694078074138</v>
      </c>
      <c r="AQ139">
        <f t="shared" si="143"/>
        <v>1.3599490351119434E-3</v>
      </c>
      <c r="AR139">
        <f t="shared" si="144"/>
        <v>0.89665474167463388</v>
      </c>
      <c r="AS139">
        <f t="shared" si="145"/>
        <v>0.48099380500986122</v>
      </c>
      <c r="AT139" s="101">
        <f t="shared" si="149"/>
        <v>7.1784808374740541</v>
      </c>
      <c r="AU139" s="101">
        <f t="shared" si="149"/>
        <v>7.1784808374740541</v>
      </c>
      <c r="AV139" s="101">
        <f t="shared" si="149"/>
        <v>7.1784808374740541</v>
      </c>
      <c r="AW139" s="101">
        <f t="shared" si="149"/>
        <v>7.1784808374740523</v>
      </c>
      <c r="AX139" s="101">
        <f t="shared" si="149"/>
        <v>7.1784808374723008</v>
      </c>
      <c r="AY139" s="101">
        <f t="shared" si="149"/>
        <v>7.1784808358632164</v>
      </c>
      <c r="AZ139" s="101">
        <f t="shared" si="149"/>
        <v>7.1784793575655064</v>
      </c>
      <c r="BA139" s="101">
        <f t="shared" si="146"/>
        <v>7.1771223666452109</v>
      </c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</row>
    <row r="140" spans="1:92">
      <c r="A140" s="127" t="s">
        <v>128</v>
      </c>
      <c r="B140" s="123" t="s">
        <v>87</v>
      </c>
      <c r="C140" s="22">
        <v>55622.29982</v>
      </c>
      <c r="D140" s="22">
        <v>2.0000000000000001E-4</v>
      </c>
      <c r="E140" s="101">
        <f t="shared" si="127"/>
        <v>33532.048079444023</v>
      </c>
      <c r="F140" s="101">
        <f t="shared" si="128"/>
        <v>33532</v>
      </c>
      <c r="G140" s="101">
        <f t="shared" si="113"/>
        <v>1.5861575993767474E-2</v>
      </c>
      <c r="H140" s="101"/>
      <c r="I140" s="101"/>
      <c r="J140" s="101"/>
      <c r="K140" s="105">
        <f t="shared" si="129"/>
        <v>1.5861575993767474E-2</v>
      </c>
      <c r="L140" s="101"/>
      <c r="M140" s="101"/>
      <c r="N140" s="101"/>
      <c r="O140" s="101">
        <f t="shared" ca="1" si="147"/>
        <v>1.8097726894436283E-2</v>
      </c>
      <c r="P140" s="103">
        <f t="shared" si="130"/>
        <v>-1.1983921742847785E-2</v>
      </c>
      <c r="Q140" s="104">
        <f t="shared" si="131"/>
        <v>40603.79982</v>
      </c>
      <c r="R140" s="101">
        <f t="shared" si="132"/>
        <v>7.7537174419984548E-4</v>
      </c>
      <c r="S140" s="101">
        <v>1</v>
      </c>
      <c r="T140" s="22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>
        <f t="shared" si="133"/>
        <v>33532</v>
      </c>
      <c r="AG140" s="101">
        <f t="shared" si="134"/>
        <v>1.7180050572029648E-2</v>
      </c>
      <c r="AH140" s="101">
        <f t="shared" si="135"/>
        <v>-1.3302396321109959E-2</v>
      </c>
      <c r="AI140" s="101">
        <f t="shared" si="136"/>
        <v>2.7845497736615259E-2</v>
      </c>
      <c r="AJ140" s="101">
        <f t="shared" si="137"/>
        <v>-1.3184745782621743E-3</v>
      </c>
      <c r="AK140" s="101">
        <f t="shared" si="138"/>
        <v>1.7383752135236183E-6</v>
      </c>
      <c r="AL140">
        <f t="shared" si="139"/>
        <v>2.7845497736615259E-2</v>
      </c>
      <c r="AM140" s="195">
        <f t="shared" si="114"/>
        <v>1.7383752135236183E-6</v>
      </c>
      <c r="AN140">
        <f t="shared" si="140"/>
        <v>2.9163972314877433E-2</v>
      </c>
      <c r="AO140">
        <f t="shared" si="141"/>
        <v>1.0010866231125903</v>
      </c>
      <c r="AP140">
        <f t="shared" si="142"/>
        <v>0.99734694078074138</v>
      </c>
      <c r="AQ140">
        <f t="shared" si="143"/>
        <v>1.3599490351119434E-3</v>
      </c>
      <c r="AR140">
        <f t="shared" si="144"/>
        <v>0.89665474167463388</v>
      </c>
      <c r="AS140">
        <f t="shared" si="145"/>
        <v>0.48099380500986122</v>
      </c>
      <c r="AT140" s="101">
        <f t="shared" si="149"/>
        <v>7.1784808374740541</v>
      </c>
      <c r="AU140" s="101">
        <f t="shared" si="149"/>
        <v>7.1784808374740541</v>
      </c>
      <c r="AV140" s="101">
        <f t="shared" si="149"/>
        <v>7.1784808374740541</v>
      </c>
      <c r="AW140" s="101">
        <f t="shared" si="149"/>
        <v>7.1784808374740523</v>
      </c>
      <c r="AX140" s="101">
        <f t="shared" si="149"/>
        <v>7.1784808374723008</v>
      </c>
      <c r="AY140" s="101">
        <f t="shared" si="149"/>
        <v>7.1784808358632164</v>
      </c>
      <c r="AZ140" s="101">
        <f t="shared" si="149"/>
        <v>7.1784793575655064</v>
      </c>
      <c r="BA140" s="101">
        <f t="shared" si="146"/>
        <v>7.1771223666452109</v>
      </c>
    </row>
    <row r="141" spans="1:92">
      <c r="A141" s="21" t="s">
        <v>134</v>
      </c>
      <c r="B141" s="122" t="s">
        <v>86</v>
      </c>
      <c r="C141" s="21">
        <v>55804.572</v>
      </c>
      <c r="D141" s="128">
        <v>4.0000000000000001E-3</v>
      </c>
      <c r="E141" s="101">
        <f t="shared" si="127"/>
        <v>34084.549613817035</v>
      </c>
      <c r="F141" s="101">
        <f t="shared" si="128"/>
        <v>34084.5</v>
      </c>
      <c r="G141" s="101">
        <f t="shared" si="113"/>
        <v>1.6367770993383601E-2</v>
      </c>
      <c r="H141" s="101"/>
      <c r="I141" s="101"/>
      <c r="J141" s="101"/>
      <c r="K141" s="105">
        <f t="shared" si="129"/>
        <v>1.6367770993383601E-2</v>
      </c>
      <c r="L141" s="101"/>
      <c r="M141" s="105"/>
      <c r="N141" s="101"/>
      <c r="O141" s="101">
        <f t="shared" ca="1" si="147"/>
        <v>1.634067480947847E-2</v>
      </c>
      <c r="P141" s="103">
        <f t="shared" si="130"/>
        <v>-1.3370262988270543E-2</v>
      </c>
      <c r="Q141" s="104">
        <f t="shared" si="131"/>
        <v>40786.072</v>
      </c>
      <c r="R141" s="101">
        <f t="shared" si="132"/>
        <v>8.8435066509401665E-4</v>
      </c>
      <c r="S141" s="101">
        <v>1</v>
      </c>
      <c r="T141" s="22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>
        <f t="shared" si="133"/>
        <v>34084.5</v>
      </c>
      <c r="AG141" s="101">
        <f t="shared" si="134"/>
        <v>1.5858206025615346E-2</v>
      </c>
      <c r="AH141" s="101">
        <f t="shared" si="135"/>
        <v>-1.2860698020502288E-2</v>
      </c>
      <c r="AI141" s="101">
        <f t="shared" si="136"/>
        <v>2.9738033981654144E-2</v>
      </c>
      <c r="AJ141" s="101">
        <f t="shared" si="137"/>
        <v>5.0956496776825497E-4</v>
      </c>
      <c r="AK141" s="101">
        <f t="shared" si="138"/>
        <v>2.5965645637666273E-7</v>
      </c>
      <c r="AL141">
        <f t="shared" si="139"/>
        <v>2.9738033981654144E-2</v>
      </c>
      <c r="AM141" s="195">
        <f t="shared" si="114"/>
        <v>2.5965645637666273E-7</v>
      </c>
      <c r="AN141">
        <f t="shared" si="140"/>
        <v>2.9228469013885889E-2</v>
      </c>
      <c r="AO141">
        <f t="shared" si="141"/>
        <v>1.0010297278832663</v>
      </c>
      <c r="AP141">
        <f t="shared" si="142"/>
        <v>0.99949796516057687</v>
      </c>
      <c r="AQ141">
        <f t="shared" si="143"/>
        <v>1.4035211624130275E-3</v>
      </c>
      <c r="AR141">
        <f t="shared" si="144"/>
        <v>0.93782558007693217</v>
      </c>
      <c r="AS141">
        <f t="shared" si="145"/>
        <v>0.50659890950239028</v>
      </c>
      <c r="AT141" s="101">
        <f t="shared" ref="AT141:AZ150" si="150">$BA141+$AH$7*SIN(AU141)</f>
        <v>7.219608087512575</v>
      </c>
      <c r="AU141" s="101">
        <f t="shared" si="150"/>
        <v>7.219608087512575</v>
      </c>
      <c r="AV141" s="101">
        <f t="shared" si="150"/>
        <v>7.219608087512575</v>
      </c>
      <c r="AW141" s="101">
        <f t="shared" si="150"/>
        <v>7.2196080875125732</v>
      </c>
      <c r="AX141" s="101">
        <f t="shared" si="150"/>
        <v>7.2196080875110331</v>
      </c>
      <c r="AY141" s="101">
        <f t="shared" si="150"/>
        <v>7.2196080860187886</v>
      </c>
      <c r="AZ141" s="101">
        <f t="shared" si="150"/>
        <v>7.2196066396198608</v>
      </c>
      <c r="BA141" s="101">
        <f t="shared" si="146"/>
        <v>7.2182060122326561</v>
      </c>
    </row>
    <row r="142" spans="1:92">
      <c r="A142" s="146" t="s">
        <v>646</v>
      </c>
      <c r="B142" s="147" t="s">
        <v>87</v>
      </c>
      <c r="C142" s="146">
        <v>55867.087299999999</v>
      </c>
      <c r="D142" s="146" t="s">
        <v>264</v>
      </c>
      <c r="E142" s="101">
        <f t="shared" si="127"/>
        <v>34274.045340327735</v>
      </c>
      <c r="F142" s="101">
        <f t="shared" si="128"/>
        <v>34274</v>
      </c>
      <c r="G142" s="101">
        <f t="shared" si="113"/>
        <v>1.4957931998651475E-2</v>
      </c>
      <c r="H142" s="101"/>
      <c r="I142" s="101"/>
      <c r="J142" s="101"/>
      <c r="K142" s="101">
        <f t="shared" si="129"/>
        <v>1.4957931998651475E-2</v>
      </c>
      <c r="M142" s="101"/>
      <c r="N142" s="101"/>
      <c r="O142" s="101">
        <f t="shared" ca="1" si="147"/>
        <v>1.573802979572371E-2</v>
      </c>
      <c r="P142" s="103">
        <f t="shared" si="130"/>
        <v>-1.3851644354911812E-2</v>
      </c>
      <c r="Q142" s="104">
        <f t="shared" si="131"/>
        <v>40848.587299999999</v>
      </c>
      <c r="R142" s="101">
        <f t="shared" si="132"/>
        <v>8.2999168967179285E-4</v>
      </c>
      <c r="S142" s="101">
        <v>1</v>
      </c>
      <c r="T142" s="221"/>
      <c r="U142" s="101"/>
      <c r="V142" s="101"/>
      <c r="W142" s="101"/>
      <c r="X142" s="101"/>
      <c r="Y142" s="101"/>
      <c r="Z142" s="101"/>
      <c r="AA142" s="101"/>
      <c r="AF142">
        <f t="shared" si="133"/>
        <v>34274</v>
      </c>
      <c r="AG142" s="101">
        <f t="shared" si="134"/>
        <v>1.5387564152192518E-2</v>
      </c>
      <c r="AH142" s="101">
        <f t="shared" si="135"/>
        <v>-1.4281276508452855E-2</v>
      </c>
      <c r="AI142" s="101">
        <f t="shared" si="136"/>
        <v>2.8809576353563286E-2</v>
      </c>
      <c r="AJ142" s="101">
        <f t="shared" si="137"/>
        <v>-4.296321535410437E-4</v>
      </c>
      <c r="AK142" s="101">
        <f t="shared" si="138"/>
        <v>1.8458378735631495E-7</v>
      </c>
      <c r="AL142">
        <f t="shared" si="139"/>
        <v>2.8809576353563286E-2</v>
      </c>
      <c r="AM142" s="195">
        <f t="shared" si="114"/>
        <v>1.8458378735631495E-7</v>
      </c>
      <c r="AN142">
        <f t="shared" si="140"/>
        <v>2.923920850710433E-2</v>
      </c>
      <c r="AO142">
        <f t="shared" si="141"/>
        <v>1.0010098082428636</v>
      </c>
      <c r="AP142">
        <f t="shared" si="142"/>
        <v>0.99984567905148369</v>
      </c>
      <c r="AQ142">
        <f t="shared" si="143"/>
        <v>1.4179204771644634E-3</v>
      </c>
      <c r="AR142">
        <f t="shared" si="144"/>
        <v>0.95194553150109729</v>
      </c>
      <c r="AS142">
        <f t="shared" si="145"/>
        <v>0.51550276797364647</v>
      </c>
      <c r="AT142" s="101">
        <f t="shared" si="150"/>
        <v>7.2337136329202609</v>
      </c>
      <c r="AU142" s="101">
        <f t="shared" si="150"/>
        <v>7.2337136329202609</v>
      </c>
      <c r="AV142" s="101">
        <f t="shared" si="150"/>
        <v>7.2337136329202609</v>
      </c>
      <c r="AW142" s="101">
        <f t="shared" si="150"/>
        <v>7.2337136329202592</v>
      </c>
      <c r="AX142" s="101">
        <f t="shared" si="150"/>
        <v>7.2337136329187919</v>
      </c>
      <c r="AY142" s="101">
        <f t="shared" si="150"/>
        <v>7.2337136314686603</v>
      </c>
      <c r="AZ142" s="101">
        <f t="shared" si="150"/>
        <v>7.2337121982735129</v>
      </c>
      <c r="BA142" s="101">
        <f t="shared" si="146"/>
        <v>7.2322971449726028</v>
      </c>
    </row>
    <row r="143" spans="1:92">
      <c r="A143" s="146" t="s">
        <v>646</v>
      </c>
      <c r="B143" s="147" t="s">
        <v>86</v>
      </c>
      <c r="C143" s="146">
        <v>55867.253199999999</v>
      </c>
      <c r="D143" s="146" t="s">
        <v>264</v>
      </c>
      <c r="E143" s="101">
        <f t="shared" si="127"/>
        <v>34274.548214680544</v>
      </c>
      <c r="F143" s="101">
        <f t="shared" si="128"/>
        <v>34274.5</v>
      </c>
      <c r="G143" s="101">
        <f t="shared" si="113"/>
        <v>1.5906190994428471E-2</v>
      </c>
      <c r="H143" s="101"/>
      <c r="I143" s="101"/>
      <c r="J143" s="101"/>
      <c r="K143" s="101">
        <f t="shared" si="129"/>
        <v>1.5906190994428471E-2</v>
      </c>
      <c r="M143" s="101"/>
      <c r="N143" s="101"/>
      <c r="O143" s="101">
        <f t="shared" ca="1" si="147"/>
        <v>1.5736439703339142E-2</v>
      </c>
      <c r="P143" s="103">
        <f t="shared" si="130"/>
        <v>-1.3852918466634306E-2</v>
      </c>
      <c r="Q143" s="104">
        <f t="shared" si="131"/>
        <v>40848.753199999999</v>
      </c>
      <c r="R143" s="101">
        <f t="shared" si="132"/>
        <v>8.8560459591551606E-4</v>
      </c>
      <c r="S143" s="101">
        <v>1</v>
      </c>
      <c r="T143" s="221"/>
      <c r="U143" s="101"/>
      <c r="V143" s="101"/>
      <c r="W143" s="101"/>
      <c r="X143" s="101"/>
      <c r="Y143" s="101"/>
      <c r="Z143" s="101"/>
      <c r="AA143" s="101"/>
      <c r="AF143">
        <f t="shared" si="133"/>
        <v>34274.5</v>
      </c>
      <c r="AG143" s="101">
        <f t="shared" si="134"/>
        <v>1.5386310682258608E-2</v>
      </c>
      <c r="AH143" s="101">
        <f t="shared" si="135"/>
        <v>-1.3333038154464443E-2</v>
      </c>
      <c r="AI143" s="101">
        <f t="shared" si="136"/>
        <v>2.9759109461062777E-2</v>
      </c>
      <c r="AJ143" s="101">
        <f t="shared" si="137"/>
        <v>5.1988031216986322E-4</v>
      </c>
      <c r="AK143" s="101">
        <f t="shared" si="138"/>
        <v>2.7027553898183445E-7</v>
      </c>
      <c r="AL143">
        <f t="shared" si="139"/>
        <v>2.9759109461062777E-2</v>
      </c>
      <c r="AM143" s="195">
        <f t="shared" si="114"/>
        <v>2.7027553898183445E-7</v>
      </c>
      <c r="AN143">
        <f t="shared" si="140"/>
        <v>2.9239229148892914E-2</v>
      </c>
      <c r="AO143">
        <f t="shared" si="141"/>
        <v>1.0010097554174449</v>
      </c>
      <c r="AP143">
        <f t="shared" si="142"/>
        <v>0.99984633283704394</v>
      </c>
      <c r="AQ143">
        <f t="shared" si="143"/>
        <v>1.4179580966510968E-3</v>
      </c>
      <c r="AR143">
        <f t="shared" si="144"/>
        <v>0.95198278656501867</v>
      </c>
      <c r="AS143">
        <f t="shared" si="145"/>
        <v>0.51552634587017687</v>
      </c>
      <c r="AT143" s="101">
        <f t="shared" si="150"/>
        <v>7.2337508503462562</v>
      </c>
      <c r="AU143" s="101">
        <f t="shared" si="150"/>
        <v>7.2337508503462562</v>
      </c>
      <c r="AV143" s="101">
        <f t="shared" si="150"/>
        <v>7.2337508503462562</v>
      </c>
      <c r="AW143" s="101">
        <f t="shared" si="150"/>
        <v>7.2337508503462544</v>
      </c>
      <c r="AX143" s="101">
        <f t="shared" si="150"/>
        <v>7.2337508503447872</v>
      </c>
      <c r="AY143" s="101">
        <f t="shared" si="150"/>
        <v>7.2337508488947675</v>
      </c>
      <c r="AZ143" s="101">
        <f t="shared" si="150"/>
        <v>7.2337494157359714</v>
      </c>
      <c r="BA143" s="101">
        <f t="shared" si="146"/>
        <v>7.2323343247423653</v>
      </c>
    </row>
    <row r="144" spans="1:92">
      <c r="A144" s="21" t="s">
        <v>135</v>
      </c>
      <c r="B144" s="122" t="s">
        <v>86</v>
      </c>
      <c r="C144" s="21">
        <v>55874.841999999997</v>
      </c>
      <c r="D144" s="21">
        <v>2.9999999999999997E-4</v>
      </c>
      <c r="E144" s="101">
        <f t="shared" si="127"/>
        <v>34297.551306233232</v>
      </c>
      <c r="F144" s="101">
        <f t="shared" si="128"/>
        <v>34297.5</v>
      </c>
      <c r="G144" s="101">
        <f t="shared" si="113"/>
        <v>1.6926104995945934E-2</v>
      </c>
      <c r="H144" s="101"/>
      <c r="I144" s="101"/>
      <c r="J144" s="101"/>
      <c r="K144" s="101">
        <f t="shared" si="129"/>
        <v>1.6926104995945934E-2</v>
      </c>
      <c r="L144" s="101"/>
      <c r="M144" s="101"/>
      <c r="N144" s="101"/>
      <c r="O144" s="101">
        <f t="shared" ca="1" si="147"/>
        <v>1.5663295453648585E-2</v>
      </c>
      <c r="P144" s="103">
        <f t="shared" si="130"/>
        <v>-1.3911550228300089E-2</v>
      </c>
      <c r="Q144" s="104">
        <f t="shared" si="131"/>
        <v>40856.341999999997</v>
      </c>
      <c r="R144" s="101">
        <f t="shared" si="132"/>
        <v>9.5096097972946806E-4</v>
      </c>
      <c r="S144" s="101">
        <v>1</v>
      </c>
      <c r="T144" s="221"/>
      <c r="U144" s="101"/>
      <c r="V144" s="101"/>
      <c r="W144" s="101"/>
      <c r="X144" s="101"/>
      <c r="Y144" s="101"/>
      <c r="Z144" s="101"/>
      <c r="AA144" s="101"/>
      <c r="AF144">
        <f t="shared" si="133"/>
        <v>34297.5</v>
      </c>
      <c r="AG144" s="101">
        <f t="shared" si="134"/>
        <v>1.5328584660485291E-2</v>
      </c>
      <c r="AH144" s="101">
        <f t="shared" si="135"/>
        <v>-1.2314029892839445E-2</v>
      </c>
      <c r="AI144" s="101">
        <f t="shared" si="136"/>
        <v>3.0837655224246023E-2</v>
      </c>
      <c r="AJ144" s="101">
        <f t="shared" si="137"/>
        <v>1.5975203354606435E-3</v>
      </c>
      <c r="AK144" s="101">
        <f t="shared" si="138"/>
        <v>2.552071222210287E-6</v>
      </c>
      <c r="AL144">
        <f t="shared" si="139"/>
        <v>3.0837655224246023E-2</v>
      </c>
      <c r="AM144" s="195">
        <f t="shared" si="114"/>
        <v>2.552071222210287E-6</v>
      </c>
      <c r="AN144">
        <f t="shared" si="140"/>
        <v>2.924013488878538E-2</v>
      </c>
      <c r="AO144">
        <f t="shared" si="141"/>
        <v>1.0010073239404076</v>
      </c>
      <c r="AP144">
        <f t="shared" si="142"/>
        <v>0.99987490675886292</v>
      </c>
      <c r="AQ144">
        <f t="shared" si="143"/>
        <v>1.4196864604549297E-3</v>
      </c>
      <c r="AR144">
        <f t="shared" si="144"/>
        <v>0.95369651525309107</v>
      </c>
      <c r="AS144">
        <f t="shared" si="145"/>
        <v>0.51661141641490227</v>
      </c>
      <c r="AT144" s="101">
        <f t="shared" si="150"/>
        <v>7.2354628498180276</v>
      </c>
      <c r="AU144" s="101">
        <f t="shared" si="150"/>
        <v>7.2354628498180276</v>
      </c>
      <c r="AV144" s="101">
        <f t="shared" si="150"/>
        <v>7.2354628498180276</v>
      </c>
      <c r="AW144" s="101">
        <f t="shared" si="150"/>
        <v>7.2354628498180258</v>
      </c>
      <c r="AX144" s="101">
        <f t="shared" si="150"/>
        <v>7.2354628498165674</v>
      </c>
      <c r="AY144" s="101">
        <f t="shared" si="150"/>
        <v>7.2354628483717214</v>
      </c>
      <c r="AZ144" s="101">
        <f t="shared" si="150"/>
        <v>7.2354614168936147</v>
      </c>
      <c r="BA144" s="101">
        <f t="shared" si="146"/>
        <v>7.2340445941514355</v>
      </c>
    </row>
    <row r="145" spans="1:53">
      <c r="A145" s="127" t="s">
        <v>252</v>
      </c>
      <c r="B145" s="123" t="s">
        <v>87</v>
      </c>
      <c r="C145" s="22">
        <v>55877.643960000001</v>
      </c>
      <c r="D145" s="22">
        <v>1E-4</v>
      </c>
      <c r="E145" s="101">
        <f t="shared" si="127"/>
        <v>34306.044578213929</v>
      </c>
      <c r="F145" s="101">
        <f t="shared" si="128"/>
        <v>34306</v>
      </c>
      <c r="G145" s="101">
        <f t="shared" si="113"/>
        <v>1.4706507994560525E-2</v>
      </c>
      <c r="H145" s="101"/>
      <c r="I145" s="101"/>
      <c r="J145" s="101"/>
      <c r="K145" s="105">
        <f t="shared" si="129"/>
        <v>1.4706507994560525E-2</v>
      </c>
      <c r="L145" s="101"/>
      <c r="M145" s="101"/>
      <c r="N145" s="101"/>
      <c r="O145" s="101">
        <f t="shared" ca="1" si="147"/>
        <v>1.5636263883110776E-2</v>
      </c>
      <c r="P145" s="103">
        <f t="shared" si="130"/>
        <v>-1.3933229694625036E-2</v>
      </c>
      <c r="Q145" s="104">
        <f t="shared" si="131"/>
        <v>40859.143960000001</v>
      </c>
      <c r="R145" s="101">
        <f t="shared" si="132"/>
        <v>8.2023457490535594E-4</v>
      </c>
      <c r="S145" s="101">
        <v>1</v>
      </c>
      <c r="T145" s="22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>
        <f t="shared" si="133"/>
        <v>34306</v>
      </c>
      <c r="AG145" s="101">
        <f t="shared" si="134"/>
        <v>1.5307218235202102E-2</v>
      </c>
      <c r="AH145" s="101">
        <f t="shared" si="135"/>
        <v>-1.4533939935266613E-2</v>
      </c>
      <c r="AI145" s="101">
        <f t="shared" si="136"/>
        <v>2.8639737689185561E-2</v>
      </c>
      <c r="AJ145" s="101">
        <f t="shared" si="137"/>
        <v>-6.0071024064157694E-4</v>
      </c>
      <c r="AK145" s="101">
        <f t="shared" si="138"/>
        <v>3.6085279321166128E-7</v>
      </c>
      <c r="AL145">
        <f t="shared" si="139"/>
        <v>2.8639737689185561E-2</v>
      </c>
      <c r="AM145" s="195">
        <f t="shared" si="114"/>
        <v>3.6085279321166128E-7</v>
      </c>
      <c r="AN145">
        <f t="shared" si="140"/>
        <v>2.9240447929827138E-2</v>
      </c>
      <c r="AO145">
        <f t="shared" si="141"/>
        <v>1.0010064246050001</v>
      </c>
      <c r="AP145">
        <f t="shared" si="142"/>
        <v>0.99988472351376922</v>
      </c>
      <c r="AQ145">
        <f t="shared" si="143"/>
        <v>1.4203241465834233E-3</v>
      </c>
      <c r="AR145">
        <f t="shared" si="144"/>
        <v>0.95432984766058815</v>
      </c>
      <c r="AS145">
        <f t="shared" si="145"/>
        <v>0.51701266247897792</v>
      </c>
      <c r="AT145" s="101">
        <f t="shared" si="150"/>
        <v>7.236095544222219</v>
      </c>
      <c r="AU145" s="101">
        <f t="shared" si="150"/>
        <v>7.236095544222219</v>
      </c>
      <c r="AV145" s="101">
        <f t="shared" si="150"/>
        <v>7.236095544222219</v>
      </c>
      <c r="AW145" s="101">
        <f t="shared" si="150"/>
        <v>7.2360955442222181</v>
      </c>
      <c r="AX145" s="101">
        <f t="shared" si="150"/>
        <v>7.2360955442207624</v>
      </c>
      <c r="AY145" s="101">
        <f t="shared" si="150"/>
        <v>7.2360955427778322</v>
      </c>
      <c r="AZ145" s="101">
        <f t="shared" si="150"/>
        <v>7.2360941119250937</v>
      </c>
      <c r="BA145" s="101">
        <f t="shared" si="146"/>
        <v>7.2346766502373967</v>
      </c>
    </row>
    <row r="146" spans="1:53">
      <c r="A146" s="127" t="s">
        <v>252</v>
      </c>
      <c r="B146" s="123" t="s">
        <v>87</v>
      </c>
      <c r="C146" s="22">
        <v>55877.644160000003</v>
      </c>
      <c r="D146" s="22">
        <v>1E-4</v>
      </c>
      <c r="E146" s="101">
        <f t="shared" si="127"/>
        <v>34306.045184451854</v>
      </c>
      <c r="F146" s="101">
        <f t="shared" si="128"/>
        <v>34306</v>
      </c>
      <c r="G146" s="101">
        <f t="shared" si="113"/>
        <v>1.4906507996784057E-2</v>
      </c>
      <c r="H146" s="101"/>
      <c r="I146" s="101"/>
      <c r="J146" s="101"/>
      <c r="K146" s="105">
        <f t="shared" si="129"/>
        <v>1.4906507996784057E-2</v>
      </c>
      <c r="L146" s="101"/>
      <c r="M146" s="101"/>
      <c r="N146" s="101"/>
      <c r="O146" s="101">
        <f t="shared" ca="1" si="147"/>
        <v>1.5636263883110776E-2</v>
      </c>
      <c r="P146" s="103">
        <f t="shared" si="130"/>
        <v>-1.3933229694625036E-2</v>
      </c>
      <c r="Q146" s="104">
        <f t="shared" si="131"/>
        <v>40859.144160000003</v>
      </c>
      <c r="R146" s="101">
        <f t="shared" si="132"/>
        <v>8.3173047010928237E-4</v>
      </c>
      <c r="S146" s="101">
        <v>1</v>
      </c>
      <c r="T146" s="221"/>
      <c r="U146" s="101"/>
      <c r="V146" s="101"/>
      <c r="W146" s="101"/>
      <c r="X146" s="101"/>
      <c r="Y146" s="101"/>
      <c r="Z146" s="101"/>
      <c r="AA146" s="101"/>
      <c r="AF146">
        <f t="shared" si="133"/>
        <v>34306</v>
      </c>
      <c r="AG146" s="101">
        <f t="shared" si="134"/>
        <v>1.5307218235202102E-2</v>
      </c>
      <c r="AH146" s="101">
        <f t="shared" si="135"/>
        <v>-1.4333939933043081E-2</v>
      </c>
      <c r="AI146" s="101">
        <f t="shared" si="136"/>
        <v>2.8839737691409094E-2</v>
      </c>
      <c r="AJ146" s="101">
        <f t="shared" si="137"/>
        <v>-4.0071023841804429E-4</v>
      </c>
      <c r="AK146" s="101">
        <f t="shared" si="138"/>
        <v>1.6056869517304589E-7</v>
      </c>
      <c r="AL146">
        <f t="shared" si="139"/>
        <v>2.8839737691409094E-2</v>
      </c>
      <c r="AM146" s="195">
        <f t="shared" si="114"/>
        <v>1.6056869517304589E-7</v>
      </c>
      <c r="AN146">
        <f t="shared" si="140"/>
        <v>2.9240447929827138E-2</v>
      </c>
      <c r="AO146">
        <f t="shared" si="141"/>
        <v>1.0010064246050001</v>
      </c>
      <c r="AP146">
        <f t="shared" si="142"/>
        <v>0.99988472351376922</v>
      </c>
      <c r="AQ146">
        <f t="shared" si="143"/>
        <v>1.4203241465834233E-3</v>
      </c>
      <c r="AR146">
        <f t="shared" si="144"/>
        <v>0.95432984766058815</v>
      </c>
      <c r="AS146">
        <f t="shared" si="145"/>
        <v>0.51701266247897792</v>
      </c>
      <c r="AT146" s="101">
        <f t="shared" si="150"/>
        <v>7.236095544222219</v>
      </c>
      <c r="AU146" s="101">
        <f t="shared" si="150"/>
        <v>7.236095544222219</v>
      </c>
      <c r="AV146" s="101">
        <f t="shared" si="150"/>
        <v>7.236095544222219</v>
      </c>
      <c r="AW146" s="101">
        <f t="shared" si="150"/>
        <v>7.2360955442222181</v>
      </c>
      <c r="AX146" s="101">
        <f t="shared" si="150"/>
        <v>7.2360955442207624</v>
      </c>
      <c r="AY146" s="101">
        <f t="shared" si="150"/>
        <v>7.2360955427778322</v>
      </c>
      <c r="AZ146" s="101">
        <f t="shared" si="150"/>
        <v>7.2360941119250937</v>
      </c>
      <c r="BA146" s="101">
        <f t="shared" si="146"/>
        <v>7.2346766502373967</v>
      </c>
    </row>
    <row r="147" spans="1:53">
      <c r="A147" s="127" t="s">
        <v>252</v>
      </c>
      <c r="B147" s="123" t="s">
        <v>87</v>
      </c>
      <c r="C147" s="22">
        <v>55877.644160000003</v>
      </c>
      <c r="D147" s="22">
        <v>1E-4</v>
      </c>
      <c r="E147" s="101">
        <f t="shared" si="127"/>
        <v>34306.045184451854</v>
      </c>
      <c r="F147" s="101">
        <f t="shared" si="128"/>
        <v>34306</v>
      </c>
      <c r="G147" s="101">
        <f t="shared" si="113"/>
        <v>1.4906507996784057E-2</v>
      </c>
      <c r="H147" s="101"/>
      <c r="I147" s="101"/>
      <c r="J147" s="101"/>
      <c r="K147" s="105">
        <f t="shared" si="129"/>
        <v>1.4906507996784057E-2</v>
      </c>
      <c r="L147" s="101"/>
      <c r="M147" s="101"/>
      <c r="N147" s="101"/>
      <c r="O147" s="101">
        <f t="shared" ca="1" si="147"/>
        <v>1.5636263883110776E-2</v>
      </c>
      <c r="P147" s="103">
        <f t="shared" si="130"/>
        <v>-1.3933229694625036E-2</v>
      </c>
      <c r="Q147" s="104">
        <f t="shared" si="131"/>
        <v>40859.144160000003</v>
      </c>
      <c r="R147" s="101">
        <f t="shared" si="132"/>
        <v>8.3173047010928237E-4</v>
      </c>
      <c r="S147" s="101">
        <v>1</v>
      </c>
      <c r="T147" s="221"/>
      <c r="U147" s="101"/>
      <c r="V147" s="101"/>
      <c r="W147" s="101"/>
      <c r="X147" s="101"/>
      <c r="Y147" s="101"/>
      <c r="Z147" s="101"/>
      <c r="AA147" s="101"/>
      <c r="AF147">
        <f t="shared" si="133"/>
        <v>34306</v>
      </c>
      <c r="AG147" s="101">
        <f t="shared" si="134"/>
        <v>1.5307218235202102E-2</v>
      </c>
      <c r="AH147" s="101">
        <f t="shared" si="135"/>
        <v>-1.4333939933043081E-2</v>
      </c>
      <c r="AI147" s="101">
        <f t="shared" si="136"/>
        <v>2.8839737691409094E-2</v>
      </c>
      <c r="AJ147" s="101">
        <f t="shared" si="137"/>
        <v>-4.0071023841804429E-4</v>
      </c>
      <c r="AK147" s="101">
        <f t="shared" si="138"/>
        <v>1.6056869517304589E-7</v>
      </c>
      <c r="AL147">
        <f t="shared" si="139"/>
        <v>2.8839737691409094E-2</v>
      </c>
      <c r="AM147" s="195">
        <f t="shared" si="114"/>
        <v>1.6056869517304589E-7</v>
      </c>
      <c r="AN147">
        <f t="shared" si="140"/>
        <v>2.9240447929827138E-2</v>
      </c>
      <c r="AO147">
        <f t="shared" si="141"/>
        <v>1.0010064246050001</v>
      </c>
      <c r="AP147">
        <f t="shared" si="142"/>
        <v>0.99988472351376922</v>
      </c>
      <c r="AQ147">
        <f t="shared" si="143"/>
        <v>1.4203241465834233E-3</v>
      </c>
      <c r="AR147">
        <f t="shared" si="144"/>
        <v>0.95432984766058815</v>
      </c>
      <c r="AS147">
        <f t="shared" si="145"/>
        <v>0.51701266247897792</v>
      </c>
      <c r="AT147" s="101">
        <f t="shared" si="150"/>
        <v>7.236095544222219</v>
      </c>
      <c r="AU147" s="101">
        <f t="shared" si="150"/>
        <v>7.236095544222219</v>
      </c>
      <c r="AV147" s="101">
        <f t="shared" si="150"/>
        <v>7.236095544222219</v>
      </c>
      <c r="AW147" s="101">
        <f t="shared" si="150"/>
        <v>7.2360955442222181</v>
      </c>
      <c r="AX147" s="101">
        <f t="shared" si="150"/>
        <v>7.2360955442207624</v>
      </c>
      <c r="AY147" s="101">
        <f t="shared" si="150"/>
        <v>7.2360955427778322</v>
      </c>
      <c r="AZ147" s="101">
        <f t="shared" si="150"/>
        <v>7.2360941119250937</v>
      </c>
      <c r="BA147" s="101">
        <f t="shared" si="146"/>
        <v>7.2346766502373967</v>
      </c>
    </row>
    <row r="148" spans="1:53">
      <c r="A148" s="146" t="s">
        <v>666</v>
      </c>
      <c r="B148" s="147" t="s">
        <v>86</v>
      </c>
      <c r="C148" s="146">
        <v>55896.284599999999</v>
      </c>
      <c r="D148" s="146" t="s">
        <v>264</v>
      </c>
      <c r="E148" s="101">
        <f t="shared" si="127"/>
        <v>34362.547892113471</v>
      </c>
      <c r="F148" s="101">
        <f t="shared" si="128"/>
        <v>34362.5</v>
      </c>
      <c r="G148" s="101">
        <f t="shared" si="113"/>
        <v>1.5799774992046878E-2</v>
      </c>
      <c r="H148" s="101"/>
      <c r="I148" s="101"/>
      <c r="J148" s="101"/>
      <c r="K148" s="101">
        <f t="shared" si="129"/>
        <v>1.5799774992046878E-2</v>
      </c>
      <c r="L148" s="101"/>
      <c r="M148" s="101"/>
      <c r="N148" s="101"/>
      <c r="O148" s="101">
        <f t="shared" ca="1" si="147"/>
        <v>1.5456583443653554E-2</v>
      </c>
      <c r="P148" s="103">
        <f t="shared" si="130"/>
        <v>-1.407748809370199E-2</v>
      </c>
      <c r="Q148" s="104">
        <f t="shared" si="131"/>
        <v>40877.784599999999</v>
      </c>
      <c r="R148" s="101">
        <f t="shared" si="132"/>
        <v>8.9265084949505193E-4</v>
      </c>
      <c r="S148" s="101">
        <v>1</v>
      </c>
      <c r="T148" s="221"/>
      <c r="U148" s="101"/>
      <c r="V148" s="101"/>
      <c r="W148" s="101"/>
      <c r="X148" s="101"/>
      <c r="Y148" s="101"/>
      <c r="Z148" s="101"/>
      <c r="AA148" s="101"/>
      <c r="AF148">
        <f t="shared" si="133"/>
        <v>34362.5</v>
      </c>
      <c r="AG148" s="101">
        <f t="shared" si="134"/>
        <v>1.5164743141988492E-2</v>
      </c>
      <c r="AH148" s="101">
        <f t="shared" si="135"/>
        <v>-1.3442456243643604E-2</v>
      </c>
      <c r="AI148" s="101">
        <f t="shared" si="136"/>
        <v>2.9877263085748867E-2</v>
      </c>
      <c r="AJ148" s="101">
        <f t="shared" si="137"/>
        <v>6.3503185005838597E-4</v>
      </c>
      <c r="AK148" s="101">
        <f t="shared" si="138"/>
        <v>4.032654505885764E-7</v>
      </c>
      <c r="AL148">
        <f t="shared" si="139"/>
        <v>2.9877263085748867E-2</v>
      </c>
      <c r="AM148" s="195">
        <f t="shared" si="114"/>
        <v>4.032654505885764E-7</v>
      </c>
      <c r="AN148">
        <f t="shared" si="140"/>
        <v>2.9242231235690481E-2</v>
      </c>
      <c r="AO148">
        <f t="shared" si="141"/>
        <v>1.0010004364683704</v>
      </c>
      <c r="AP148">
        <f t="shared" si="142"/>
        <v>0.99993978244781379</v>
      </c>
      <c r="AQ148">
        <f t="shared" si="143"/>
        <v>1.4245483634022697E-3</v>
      </c>
      <c r="AR148">
        <f t="shared" si="144"/>
        <v>0.95853961647456176</v>
      </c>
      <c r="AS148">
        <f t="shared" si="145"/>
        <v>0.51968309694299819</v>
      </c>
      <c r="AT148" s="101">
        <f t="shared" si="150"/>
        <v>7.2403010866819963</v>
      </c>
      <c r="AU148" s="101">
        <f t="shared" si="150"/>
        <v>7.2403010866819963</v>
      </c>
      <c r="AV148" s="101">
        <f t="shared" si="150"/>
        <v>7.2403010866819963</v>
      </c>
      <c r="AW148" s="101">
        <f t="shared" si="150"/>
        <v>7.2403010866819955</v>
      </c>
      <c r="AX148" s="101">
        <f t="shared" si="150"/>
        <v>7.240301086680561</v>
      </c>
      <c r="AY148" s="101">
        <f t="shared" si="150"/>
        <v>7.2403010852504073</v>
      </c>
      <c r="AZ148" s="101">
        <f t="shared" si="150"/>
        <v>7.24029965861265</v>
      </c>
      <c r="BA148" s="101">
        <f t="shared" si="146"/>
        <v>7.2388779642205465</v>
      </c>
    </row>
    <row r="149" spans="1:53">
      <c r="A149" s="146" t="s">
        <v>646</v>
      </c>
      <c r="B149" s="147" t="s">
        <v>87</v>
      </c>
      <c r="C149" s="146">
        <v>55907.004999999997</v>
      </c>
      <c r="D149" s="146" t="s">
        <v>264</v>
      </c>
      <c r="E149" s="101">
        <f t="shared" ref="E149:E180" si="151">+(C149-C$7)/C$8</f>
        <v>34395.043456982952</v>
      </c>
      <c r="F149" s="101">
        <f t="shared" ref="F149:F180" si="152">ROUND(2*E149,0)/2</f>
        <v>34395</v>
      </c>
      <c r="G149" s="101">
        <f t="shared" si="113"/>
        <v>1.4336609994643368E-2</v>
      </c>
      <c r="H149" s="101"/>
      <c r="I149" s="101"/>
      <c r="J149" s="101"/>
      <c r="K149" s="101">
        <f t="shared" ref="K149:K180" si="153">G149</f>
        <v>1.4336609994643368E-2</v>
      </c>
      <c r="M149" s="101"/>
      <c r="N149" s="101"/>
      <c r="O149" s="101">
        <f t="shared" ca="1" si="147"/>
        <v>1.5353227438656039E-2</v>
      </c>
      <c r="P149" s="103">
        <f t="shared" ref="P149:P180" si="154">+D$11+D$12*F149+D$13*F149^2</f>
        <v>-1.416058965328211E-2</v>
      </c>
      <c r="Q149" s="104">
        <f t="shared" ref="Q149:Q180" si="155">+C149-15018.5</f>
        <v>40888.504999999997</v>
      </c>
      <c r="R149" s="101">
        <f t="shared" ref="R149:R180" si="156">+(P149-G149)^2</f>
        <v>8.1209038777372395E-4</v>
      </c>
      <c r="S149" s="101">
        <v>1</v>
      </c>
      <c r="T149" s="221"/>
      <c r="U149" s="101"/>
      <c r="V149" s="101"/>
      <c r="W149" s="101"/>
      <c r="X149" s="101"/>
      <c r="Y149" s="101"/>
      <c r="Z149" s="101"/>
      <c r="AA149" s="101"/>
      <c r="AF149">
        <f t="shared" ref="AF149:AF180" si="157">F149</f>
        <v>34395</v>
      </c>
      <c r="AG149" s="101">
        <f t="shared" ref="AG149:AG180" si="158">AH$3+AH$4*AF149+AH$5*AF149^2+AN149</f>
        <v>1.5082433060972868E-2</v>
      </c>
      <c r="AH149" s="101">
        <f t="shared" ref="AH149:AH180" si="159">IF(S149&lt;&gt;0,G149-AN149, -9999)</f>
        <v>-1.4906412719611611E-2</v>
      </c>
      <c r="AI149" s="101">
        <f t="shared" ref="AI149:AI180" si="160">+G149-P149</f>
        <v>2.8497199647925478E-2</v>
      </c>
      <c r="AJ149" s="101">
        <f t="shared" ref="AJ149:AJ180" si="161">IF(S149&lt;&gt;0,G149-AG149, -9999)</f>
        <v>-7.4582306632950054E-4</v>
      </c>
      <c r="AK149" s="101">
        <f t="shared" ref="AK149:AK180" si="162">+(G149-AG149)^2*S149</f>
        <v>5.5625204626913856E-7</v>
      </c>
      <c r="AL149">
        <f t="shared" ref="AL149:AL180" si="163">IF(S149&lt;&gt;0,G149-P149, -9999)</f>
        <v>2.8497199647925478E-2</v>
      </c>
      <c r="AM149" s="195">
        <f t="shared" si="114"/>
        <v>5.5625204626913856E-7</v>
      </c>
      <c r="AN149">
        <f t="shared" ref="AN149:AN180" si="164">$AH$6*($AH$11/AO149*AP149+$AH$12)</f>
        <v>2.9243022714254979E-2</v>
      </c>
      <c r="AO149">
        <f t="shared" ref="AO149:AO180" si="165">1+$AH$7*COS(AR149)</f>
        <v>1.0009969839582542</v>
      </c>
      <c r="AP149">
        <f t="shared" ref="AP149:AP180" si="166">SIN(AR149+RADIANS($AH$9))</f>
        <v>0.9999634248377276</v>
      </c>
      <c r="AQ149">
        <f t="shared" ref="AQ149:AQ180" si="167">$AH$7*SIN(AR149)</f>
        <v>1.4269667669225602E-3</v>
      </c>
      <c r="AR149">
        <f t="shared" ref="AR149:AR180" si="168">2*ATAN(AS149)</f>
        <v>0.96096114206457206</v>
      </c>
      <c r="AS149">
        <f t="shared" ref="AS149:AS180" si="169">SQRT((1+$AH$7)/(1-$AH$7))*TAN(AT149/2)</f>
        <v>0.52122182001355</v>
      </c>
      <c r="AT149" s="101">
        <f t="shared" si="150"/>
        <v>7.2427201926161553</v>
      </c>
      <c r="AU149" s="101">
        <f t="shared" si="150"/>
        <v>7.2427201926161553</v>
      </c>
      <c r="AV149" s="101">
        <f t="shared" si="150"/>
        <v>7.2427201926161553</v>
      </c>
      <c r="AW149" s="101">
        <f t="shared" si="150"/>
        <v>7.2427201926161535</v>
      </c>
      <c r="AX149" s="101">
        <f t="shared" si="150"/>
        <v>7.2427201926147324</v>
      </c>
      <c r="AY149" s="101">
        <f t="shared" si="150"/>
        <v>7.2427201911919612</v>
      </c>
      <c r="AZ149" s="101">
        <f t="shared" si="150"/>
        <v>7.2427187670244502</v>
      </c>
      <c r="BA149" s="101">
        <f t="shared" ref="BA149:BA180" si="170">RADIANS($AH$9)+$AH$18*(F149-AH$15)</f>
        <v>7.241294649255102</v>
      </c>
    </row>
    <row r="150" spans="1:53">
      <c r="A150" s="127" t="s">
        <v>252</v>
      </c>
      <c r="B150" s="123" t="s">
        <v>87</v>
      </c>
      <c r="C150" s="22">
        <v>55958.46933</v>
      </c>
      <c r="D150" s="22">
        <v>2.0000000000000001E-4</v>
      </c>
      <c r="E150" s="101">
        <f t="shared" si="151"/>
        <v>34551.04159828175</v>
      </c>
      <c r="F150" s="101">
        <f t="shared" si="152"/>
        <v>34551</v>
      </c>
      <c r="G150" s="101">
        <f t="shared" ref="G150:G193" si="171">+C150-(C$7+F150*C$8)+T150*K$9</f>
        <v>1.372341799287824E-2</v>
      </c>
      <c r="H150" s="101"/>
      <c r="I150" s="101"/>
      <c r="J150" s="101"/>
      <c r="K150" s="105">
        <f t="shared" si="153"/>
        <v>1.372341799287824E-2</v>
      </c>
      <c r="L150" s="101"/>
      <c r="M150" s="101"/>
      <c r="N150" s="101"/>
      <c r="O150" s="101">
        <f t="shared" ref="O150:O181" ca="1" si="172">+C$11+C$12*F150</f>
        <v>1.4857118614667944E-2</v>
      </c>
      <c r="P150" s="103">
        <f t="shared" si="154"/>
        <v>-1.4560707916705454E-2</v>
      </c>
      <c r="Q150" s="104">
        <f t="shared" si="155"/>
        <v>40939.96933</v>
      </c>
      <c r="R150" s="101">
        <f t="shared" si="156"/>
        <v>7.9999177846918354E-4</v>
      </c>
      <c r="S150" s="101">
        <v>1</v>
      </c>
      <c r="T150" s="221"/>
      <c r="U150" s="101"/>
      <c r="V150" s="101"/>
      <c r="W150" s="101"/>
      <c r="X150" s="101"/>
      <c r="Y150" s="101"/>
      <c r="Z150" s="101"/>
      <c r="AA150" s="101"/>
      <c r="AF150">
        <f t="shared" si="157"/>
        <v>34551</v>
      </c>
      <c r="AG150" s="101">
        <f t="shared" si="158"/>
        <v>1.46837316878572E-2</v>
      </c>
      <c r="AH150" s="101">
        <f t="shared" si="159"/>
        <v>-1.5521021611684414E-2</v>
      </c>
      <c r="AI150" s="101">
        <f t="shared" si="160"/>
        <v>2.8284125909583693E-2</v>
      </c>
      <c r="AJ150" s="101">
        <f t="shared" si="161"/>
        <v>-9.6031369497896063E-4</v>
      </c>
      <c r="AK150" s="101">
        <f t="shared" si="162"/>
        <v>9.2220239276414424E-7</v>
      </c>
      <c r="AL150">
        <f t="shared" si="163"/>
        <v>2.8284125909583693E-2</v>
      </c>
      <c r="AM150" s="195">
        <f t="shared" ref="AM150:AM193" si="173">+(G150-AG150)^2</f>
        <v>9.2220239276414424E-7</v>
      </c>
      <c r="AN150">
        <f t="shared" si="164"/>
        <v>2.9244439604562654E-2</v>
      </c>
      <c r="AO150">
        <f t="shared" si="165"/>
        <v>1.0009803312254562</v>
      </c>
      <c r="AP150">
        <f t="shared" si="166"/>
        <v>0.99999528673319471</v>
      </c>
      <c r="AQ150">
        <f t="shared" si="167"/>
        <v>1.4384581520896882E-3</v>
      </c>
      <c r="AR150">
        <f t="shared" si="168"/>
        <v>0.97258423168760066</v>
      </c>
      <c r="AS150">
        <f t="shared" si="169"/>
        <v>0.5286347378598385</v>
      </c>
      <c r="AT150" s="101">
        <f t="shared" si="150"/>
        <v>7.2543317846114084</v>
      </c>
      <c r="AU150" s="101">
        <f t="shared" si="150"/>
        <v>7.2543317846114084</v>
      </c>
      <c r="AV150" s="101">
        <f t="shared" si="150"/>
        <v>7.2543317846114084</v>
      </c>
      <c r="AW150" s="101">
        <f t="shared" si="150"/>
        <v>7.2543317846114066</v>
      </c>
      <c r="AX150" s="101">
        <f t="shared" si="150"/>
        <v>7.2543317846100441</v>
      </c>
      <c r="AY150" s="101">
        <f t="shared" si="150"/>
        <v>7.2543317832230461</v>
      </c>
      <c r="AZ150" s="101">
        <f t="shared" si="150"/>
        <v>7.2543303713752634</v>
      </c>
      <c r="BA150" s="101">
        <f t="shared" si="170"/>
        <v>7.2528947374209691</v>
      </c>
    </row>
    <row r="151" spans="1:53">
      <c r="A151" s="127" t="s">
        <v>252</v>
      </c>
      <c r="B151" s="123" t="s">
        <v>87</v>
      </c>
      <c r="C151" s="22">
        <v>55958.469929999999</v>
      </c>
      <c r="D151" s="22">
        <v>2.0000000000000001E-4</v>
      </c>
      <c r="E151" s="101">
        <f t="shared" si="151"/>
        <v>34551.043416995504</v>
      </c>
      <c r="F151" s="101">
        <f t="shared" si="152"/>
        <v>34551</v>
      </c>
      <c r="G151" s="101">
        <f t="shared" si="171"/>
        <v>1.432341799227288E-2</v>
      </c>
      <c r="H151" s="101"/>
      <c r="I151" s="101"/>
      <c r="J151" s="101"/>
      <c r="K151" s="105">
        <f t="shared" si="153"/>
        <v>1.432341799227288E-2</v>
      </c>
      <c r="L151" s="101"/>
      <c r="M151" s="101"/>
      <c r="N151" s="101"/>
      <c r="O151" s="101">
        <f t="shared" ca="1" si="172"/>
        <v>1.4857118614667944E-2</v>
      </c>
      <c r="P151" s="103">
        <f t="shared" si="154"/>
        <v>-1.4560707916705454E-2</v>
      </c>
      <c r="Q151" s="104">
        <f t="shared" si="155"/>
        <v>40939.969929999999</v>
      </c>
      <c r="R151" s="101">
        <f t="shared" si="156"/>
        <v>8.3429272952571343E-4</v>
      </c>
      <c r="S151" s="101">
        <v>1</v>
      </c>
      <c r="T151" s="221"/>
      <c r="U151" s="101">
        <v>3.1120554133205671E-11</v>
      </c>
      <c r="V151" s="101">
        <v>4.3931414203910991E-20</v>
      </c>
      <c r="W151" s="101">
        <v>2.8735851169136648E-30</v>
      </c>
      <c r="X151" s="101">
        <v>1.0520202226781846E-11</v>
      </c>
      <c r="Y151" s="101">
        <v>1.1817332975449666E-6</v>
      </c>
      <c r="Z151" s="101">
        <v>2.1475597388383756E-7</v>
      </c>
      <c r="AA151" s="101">
        <v>2.6066198168980097E-7</v>
      </c>
      <c r="AB151">
        <v>5.7272409180407005</v>
      </c>
      <c r="AC151">
        <v>3.1581364893552477E-7</v>
      </c>
      <c r="AD151">
        <v>8.6282313961777783E-11</v>
      </c>
      <c r="AE151">
        <v>1.408857039953022E-23</v>
      </c>
      <c r="AF151">
        <f t="shared" si="157"/>
        <v>34551</v>
      </c>
      <c r="AG151" s="101">
        <f t="shared" si="158"/>
        <v>1.46837316878572E-2</v>
      </c>
      <c r="AH151" s="101">
        <f t="shared" si="159"/>
        <v>-1.4921021612289774E-2</v>
      </c>
      <c r="AI151" s="101">
        <f t="shared" si="160"/>
        <v>2.8884125908978334E-2</v>
      </c>
      <c r="AJ151" s="101">
        <f t="shared" si="161"/>
        <v>-3.603136955843203E-4</v>
      </c>
      <c r="AK151" s="101">
        <f t="shared" si="162"/>
        <v>1.2982595922563025E-7</v>
      </c>
      <c r="AL151">
        <f t="shared" si="163"/>
        <v>2.8884125908978334E-2</v>
      </c>
      <c r="AM151" s="195">
        <f t="shared" si="173"/>
        <v>1.2982595922563025E-7</v>
      </c>
      <c r="AN151">
        <f t="shared" si="164"/>
        <v>2.9244439604562654E-2</v>
      </c>
      <c r="AO151">
        <f t="shared" si="165"/>
        <v>1.0009803312254562</v>
      </c>
      <c r="AP151">
        <f t="shared" si="166"/>
        <v>0.99999528673319471</v>
      </c>
      <c r="AQ151">
        <f t="shared" si="167"/>
        <v>1.4384581520896882E-3</v>
      </c>
      <c r="AR151">
        <f t="shared" si="168"/>
        <v>0.97258423168760066</v>
      </c>
      <c r="AS151">
        <f t="shared" si="169"/>
        <v>0.5286347378598385</v>
      </c>
      <c r="AT151" s="101">
        <f t="shared" ref="AT151:AZ160" si="174">$BA151+$AH$7*SIN(AU151)</f>
        <v>7.2543317846114084</v>
      </c>
      <c r="AU151" s="101">
        <f t="shared" si="174"/>
        <v>7.2543317846114084</v>
      </c>
      <c r="AV151" s="101">
        <f t="shared" si="174"/>
        <v>7.2543317846114084</v>
      </c>
      <c r="AW151" s="101">
        <f t="shared" si="174"/>
        <v>7.2543317846114066</v>
      </c>
      <c r="AX151" s="101">
        <f t="shared" si="174"/>
        <v>7.2543317846100441</v>
      </c>
      <c r="AY151" s="101">
        <f t="shared" si="174"/>
        <v>7.2543317832230461</v>
      </c>
      <c r="AZ151" s="101">
        <f t="shared" si="174"/>
        <v>7.2543303713752634</v>
      </c>
      <c r="BA151" s="101">
        <f t="shared" si="170"/>
        <v>7.2528947374209691</v>
      </c>
    </row>
    <row r="152" spans="1:53">
      <c r="A152" s="127" t="s">
        <v>252</v>
      </c>
      <c r="B152" s="123" t="s">
        <v>87</v>
      </c>
      <c r="C152" s="22">
        <v>55958.470730000001</v>
      </c>
      <c r="D152" s="22">
        <v>2.9999999999999997E-4</v>
      </c>
      <c r="E152" s="101">
        <f t="shared" si="151"/>
        <v>34551.045841947183</v>
      </c>
      <c r="F152" s="101">
        <f t="shared" si="152"/>
        <v>34551</v>
      </c>
      <c r="G152" s="101">
        <f t="shared" si="171"/>
        <v>1.5123417993891053E-2</v>
      </c>
      <c r="H152" s="101"/>
      <c r="I152" s="101"/>
      <c r="J152" s="101"/>
      <c r="K152" s="105">
        <f t="shared" si="153"/>
        <v>1.5123417993891053E-2</v>
      </c>
      <c r="L152" s="101"/>
      <c r="M152" s="101"/>
      <c r="N152" s="101"/>
      <c r="O152" s="101">
        <f t="shared" ca="1" si="172"/>
        <v>1.4857118614667944E-2</v>
      </c>
      <c r="P152" s="103">
        <f t="shared" si="154"/>
        <v>-1.4560707916705454E-2</v>
      </c>
      <c r="Q152" s="104">
        <f t="shared" si="155"/>
        <v>40939.970730000001</v>
      </c>
      <c r="R152" s="101">
        <f t="shared" si="156"/>
        <v>8.8114733107614684E-4</v>
      </c>
      <c r="S152" s="101">
        <v>1</v>
      </c>
      <c r="T152" s="221"/>
      <c r="U152" s="101"/>
      <c r="V152" s="101"/>
      <c r="W152" s="101"/>
      <c r="X152" s="101"/>
      <c r="Y152" s="101"/>
      <c r="Z152" s="101"/>
      <c r="AA152" s="101"/>
      <c r="AF152">
        <f t="shared" si="157"/>
        <v>34551</v>
      </c>
      <c r="AG152" s="101">
        <f t="shared" si="158"/>
        <v>1.46837316878572E-2</v>
      </c>
      <c r="AH152" s="101">
        <f t="shared" si="159"/>
        <v>-1.4121021610671601E-2</v>
      </c>
      <c r="AI152" s="101">
        <f t="shared" si="160"/>
        <v>2.9684125910596507E-2</v>
      </c>
      <c r="AJ152" s="101">
        <f t="shared" si="161"/>
        <v>4.3968630603385267E-4</v>
      </c>
      <c r="AK152" s="101">
        <f t="shared" si="162"/>
        <v>1.9332404771369474E-7</v>
      </c>
      <c r="AL152">
        <f t="shared" si="163"/>
        <v>2.9684125910596507E-2</v>
      </c>
      <c r="AM152" s="195">
        <f t="shared" si="173"/>
        <v>1.9332404771369474E-7</v>
      </c>
      <c r="AN152">
        <f t="shared" si="164"/>
        <v>2.9244439604562654E-2</v>
      </c>
      <c r="AO152">
        <f t="shared" si="165"/>
        <v>1.0009803312254562</v>
      </c>
      <c r="AP152">
        <f t="shared" si="166"/>
        <v>0.99999528673319471</v>
      </c>
      <c r="AQ152">
        <f t="shared" si="167"/>
        <v>1.4384581520896882E-3</v>
      </c>
      <c r="AR152">
        <f t="shared" si="168"/>
        <v>0.97258423168760066</v>
      </c>
      <c r="AS152">
        <f t="shared" si="169"/>
        <v>0.5286347378598385</v>
      </c>
      <c r="AT152" s="101">
        <f t="shared" si="174"/>
        <v>7.2543317846114084</v>
      </c>
      <c r="AU152" s="101">
        <f t="shared" si="174"/>
        <v>7.2543317846114084</v>
      </c>
      <c r="AV152" s="101">
        <f t="shared" si="174"/>
        <v>7.2543317846114084</v>
      </c>
      <c r="AW152" s="101">
        <f t="shared" si="174"/>
        <v>7.2543317846114066</v>
      </c>
      <c r="AX152" s="101">
        <f t="shared" si="174"/>
        <v>7.2543317846100441</v>
      </c>
      <c r="AY152" s="101">
        <f t="shared" si="174"/>
        <v>7.2543317832230461</v>
      </c>
      <c r="AZ152" s="101">
        <f t="shared" si="174"/>
        <v>7.2543303713752634</v>
      </c>
      <c r="BA152" s="101">
        <f t="shared" si="170"/>
        <v>7.2528947374209691</v>
      </c>
    </row>
    <row r="153" spans="1:53">
      <c r="A153" s="127" t="s">
        <v>252</v>
      </c>
      <c r="B153" s="123" t="s">
        <v>87</v>
      </c>
      <c r="C153" s="22">
        <v>56009.274140000001</v>
      </c>
      <c r="D153" s="22">
        <v>2.0000000000000001E-4</v>
      </c>
      <c r="E153" s="101">
        <f t="shared" si="151"/>
        <v>34705.040609422838</v>
      </c>
      <c r="F153" s="101">
        <f t="shared" si="152"/>
        <v>34705</v>
      </c>
      <c r="G153" s="101">
        <f t="shared" si="171"/>
        <v>1.3397189999523107E-2</v>
      </c>
      <c r="H153" s="101"/>
      <c r="I153" s="101"/>
      <c r="J153" s="101"/>
      <c r="K153" s="105">
        <f t="shared" si="153"/>
        <v>1.3397189999523107E-2</v>
      </c>
      <c r="L153" s="101"/>
      <c r="M153" s="101"/>
      <c r="N153" s="101"/>
      <c r="O153" s="101">
        <f t="shared" ca="1" si="172"/>
        <v>1.4367370160218176E-2</v>
      </c>
      <c r="P153" s="103">
        <f t="shared" si="154"/>
        <v>-1.4957694599145817E-2</v>
      </c>
      <c r="Q153" s="104">
        <f t="shared" si="155"/>
        <v>40990.774140000001</v>
      </c>
      <c r="R153" s="101">
        <f t="shared" si="156"/>
        <v>8.0399948060383213E-4</v>
      </c>
      <c r="S153" s="101">
        <v>1</v>
      </c>
      <c r="T153" s="221"/>
      <c r="U153" s="101"/>
      <c r="V153" s="101"/>
      <c r="W153" s="101"/>
      <c r="X153" s="101"/>
      <c r="Y153" s="101"/>
      <c r="Z153" s="101"/>
      <c r="AA153" s="101"/>
      <c r="AF153">
        <f t="shared" si="157"/>
        <v>34705</v>
      </c>
      <c r="AG153" s="101">
        <f t="shared" si="158"/>
        <v>1.4284276348235293E-2</v>
      </c>
      <c r="AH153" s="101">
        <f t="shared" si="159"/>
        <v>-1.5844780947858003E-2</v>
      </c>
      <c r="AI153" s="101">
        <f t="shared" si="160"/>
        <v>2.8354884598668924E-2</v>
      </c>
      <c r="AJ153" s="101">
        <f t="shared" si="161"/>
        <v>-8.8708634871218633E-4</v>
      </c>
      <c r="AK153" s="101">
        <f t="shared" si="162"/>
        <v>7.8692219007151866E-7</v>
      </c>
      <c r="AL153">
        <f t="shared" si="163"/>
        <v>2.8354884598668924E-2</v>
      </c>
      <c r="AM153" s="195">
        <f t="shared" si="173"/>
        <v>7.8692219007151866E-7</v>
      </c>
      <c r="AN153">
        <f t="shared" si="164"/>
        <v>2.924197094738111E-2</v>
      </c>
      <c r="AO153">
        <f t="shared" si="165"/>
        <v>1.0009637626302272</v>
      </c>
      <c r="AP153">
        <f t="shared" si="166"/>
        <v>0.9998942384476196</v>
      </c>
      <c r="AQ153">
        <f t="shared" si="167"/>
        <v>1.449611244263345E-3</v>
      </c>
      <c r="AR153">
        <f t="shared" si="168"/>
        <v>0.98405792652603608</v>
      </c>
      <c r="AS153">
        <f t="shared" si="169"/>
        <v>0.53599718300739052</v>
      </c>
      <c r="AT153" s="101">
        <f t="shared" si="174"/>
        <v>7.2657943198218611</v>
      </c>
      <c r="AU153" s="101">
        <f t="shared" si="174"/>
        <v>7.2657943198218611</v>
      </c>
      <c r="AV153" s="101">
        <f t="shared" si="174"/>
        <v>7.2657943198218611</v>
      </c>
      <c r="AW153" s="101">
        <f t="shared" si="174"/>
        <v>7.2657943198218602</v>
      </c>
      <c r="AX153" s="101">
        <f t="shared" si="174"/>
        <v>7.2657943198205546</v>
      </c>
      <c r="AY153" s="101">
        <f t="shared" si="174"/>
        <v>7.2657943184693705</v>
      </c>
      <c r="AZ153" s="101">
        <f t="shared" si="174"/>
        <v>7.2657929195294875</v>
      </c>
      <c r="BA153" s="101">
        <f t="shared" si="170"/>
        <v>7.2643461065077863</v>
      </c>
    </row>
    <row r="154" spans="1:53">
      <c r="A154" s="127" t="s">
        <v>252</v>
      </c>
      <c r="B154" s="123" t="s">
        <v>87</v>
      </c>
      <c r="C154" s="22">
        <v>56177.525090000003</v>
      </c>
      <c r="D154" s="22">
        <v>2.0000000000000001E-4</v>
      </c>
      <c r="E154" s="101">
        <f t="shared" si="151"/>
        <v>35215.041137395448</v>
      </c>
      <c r="F154" s="101">
        <f t="shared" si="152"/>
        <v>35215</v>
      </c>
      <c r="G154" s="101">
        <f t="shared" si="171"/>
        <v>1.3571370000136085E-2</v>
      </c>
      <c r="H154" s="101"/>
      <c r="I154" s="101"/>
      <c r="J154" s="101"/>
      <c r="K154" s="105">
        <f t="shared" si="153"/>
        <v>1.3571370000136085E-2</v>
      </c>
      <c r="L154" s="101"/>
      <c r="M154" s="101"/>
      <c r="N154" s="101"/>
      <c r="O154" s="101">
        <f t="shared" ca="1" si="172"/>
        <v>1.2745475927949432E-2</v>
      </c>
      <c r="P154" s="103">
        <f t="shared" si="154"/>
        <v>-1.628656440935871E-2</v>
      </c>
      <c r="Q154" s="104">
        <f t="shared" si="155"/>
        <v>41159.025090000003</v>
      </c>
      <c r="R154" s="101">
        <f t="shared" si="156"/>
        <v>8.9149624720169334E-4</v>
      </c>
      <c r="S154" s="101">
        <v>1</v>
      </c>
      <c r="T154" s="221"/>
      <c r="U154" s="101">
        <v>1.7214511550271131E-11</v>
      </c>
      <c r="V154" s="101">
        <v>5.3638014618604134E-20</v>
      </c>
      <c r="W154" s="101">
        <v>2.239156006363513E-30</v>
      </c>
      <c r="X154" s="101">
        <v>4.1380237606835089E-12</v>
      </c>
      <c r="Y154" s="101">
        <v>5.6684896174637628E-7</v>
      </c>
      <c r="Z154" s="101">
        <v>2.36972993604169E-7</v>
      </c>
      <c r="AA154" s="101">
        <v>9.2574404887613927E-8</v>
      </c>
      <c r="AB154">
        <v>1.483275128678154</v>
      </c>
      <c r="AC154">
        <v>1.2422236332228442E-7</v>
      </c>
      <c r="AD154">
        <v>3.5726363713899038E-11</v>
      </c>
      <c r="AE154">
        <v>1.0978100786118553E-23</v>
      </c>
      <c r="AF154">
        <f t="shared" si="157"/>
        <v>35215</v>
      </c>
      <c r="AG154" s="101">
        <f t="shared" si="158"/>
        <v>1.2919808358768683E-2</v>
      </c>
      <c r="AH154" s="101">
        <f t="shared" si="159"/>
        <v>-1.5635002767991308E-2</v>
      </c>
      <c r="AI154" s="101">
        <f t="shared" si="160"/>
        <v>2.9857934409494795E-2</v>
      </c>
      <c r="AJ154" s="101">
        <f t="shared" si="161"/>
        <v>6.5156164136740205E-4</v>
      </c>
      <c r="AK154" s="101">
        <f t="shared" si="162"/>
        <v>4.2453257250138306E-7</v>
      </c>
      <c r="AL154">
        <f t="shared" si="163"/>
        <v>2.9857934409494795E-2</v>
      </c>
      <c r="AM154" s="195">
        <f t="shared" si="173"/>
        <v>4.2453257250138306E-7</v>
      </c>
      <c r="AN154">
        <f t="shared" si="164"/>
        <v>2.9206372768127393E-2</v>
      </c>
      <c r="AO154">
        <f t="shared" si="165"/>
        <v>1.0009080029808222</v>
      </c>
      <c r="AP154">
        <f t="shared" si="166"/>
        <v>0.99862016911688922</v>
      </c>
      <c r="AQ154">
        <f t="shared" si="167"/>
        <v>1.4851739809649677E-3</v>
      </c>
      <c r="AR154">
        <f t="shared" si="168"/>
        <v>1.0220524897668208</v>
      </c>
      <c r="AS154">
        <f t="shared" si="169"/>
        <v>0.56070682859997645</v>
      </c>
      <c r="AT154" s="101">
        <f t="shared" si="174"/>
        <v>7.3037532960792051</v>
      </c>
      <c r="AU154" s="101">
        <f t="shared" si="174"/>
        <v>7.3037532960792051</v>
      </c>
      <c r="AV154" s="101">
        <f t="shared" si="174"/>
        <v>7.3037532960792051</v>
      </c>
      <c r="AW154" s="101">
        <f t="shared" si="174"/>
        <v>7.3037532960792042</v>
      </c>
      <c r="AX154" s="101">
        <f t="shared" si="174"/>
        <v>7.3037532960780851</v>
      </c>
      <c r="AY154" s="101">
        <f t="shared" si="174"/>
        <v>7.3037532948484047</v>
      </c>
      <c r="AZ154" s="101">
        <f t="shared" si="174"/>
        <v>7.3037519438592522</v>
      </c>
      <c r="BA154" s="101">
        <f t="shared" si="170"/>
        <v>7.3022694716654284</v>
      </c>
    </row>
    <row r="155" spans="1:53">
      <c r="A155" s="131" t="s">
        <v>257</v>
      </c>
      <c r="B155" s="132"/>
      <c r="C155" s="131">
        <v>56177.525199999996</v>
      </c>
      <c r="D155" s="131">
        <v>1E-4</v>
      </c>
      <c r="E155" s="101">
        <f t="shared" si="151"/>
        <v>35215.041470826283</v>
      </c>
      <c r="F155" s="101">
        <f t="shared" si="152"/>
        <v>35215</v>
      </c>
      <c r="G155" s="101">
        <f t="shared" si="171"/>
        <v>1.3681369993719272E-2</v>
      </c>
      <c r="H155" s="101"/>
      <c r="I155" s="101"/>
      <c r="K155" s="105">
        <f t="shared" si="153"/>
        <v>1.3681369993719272E-2</v>
      </c>
      <c r="L155" s="101"/>
      <c r="M155" s="101"/>
      <c r="N155" s="101"/>
      <c r="O155" s="101">
        <f t="shared" ca="1" si="172"/>
        <v>1.2745475927949432E-2</v>
      </c>
      <c r="P155" s="103">
        <f t="shared" si="154"/>
        <v>-1.628656440935871E-2</v>
      </c>
      <c r="Q155" s="104">
        <f t="shared" si="155"/>
        <v>41159.025199999996</v>
      </c>
      <c r="R155" s="101">
        <f t="shared" si="156"/>
        <v>8.9807709238718487E-4</v>
      </c>
      <c r="S155" s="101">
        <v>1</v>
      </c>
      <c r="T155" s="221"/>
      <c r="U155" s="101"/>
      <c r="V155" s="101"/>
      <c r="W155" s="101"/>
      <c r="X155" s="101"/>
      <c r="Y155" s="101"/>
      <c r="Z155" s="101"/>
      <c r="AA155" s="101"/>
      <c r="AF155">
        <f t="shared" si="157"/>
        <v>35215</v>
      </c>
      <c r="AG155" s="101">
        <f t="shared" si="158"/>
        <v>1.2919808358768683E-2</v>
      </c>
      <c r="AH155" s="101">
        <f t="shared" si="159"/>
        <v>-1.5525002774408121E-2</v>
      </c>
      <c r="AI155" s="101">
        <f t="shared" si="160"/>
        <v>2.9967934403077982E-2</v>
      </c>
      <c r="AJ155" s="101">
        <f t="shared" si="161"/>
        <v>7.6156163495058951E-4</v>
      </c>
      <c r="AK155" s="101">
        <f t="shared" si="162"/>
        <v>5.7997612382861501E-7</v>
      </c>
      <c r="AL155">
        <f t="shared" si="163"/>
        <v>2.9967934403077982E-2</v>
      </c>
      <c r="AM155" s="195">
        <f t="shared" si="173"/>
        <v>5.7997612382861501E-7</v>
      </c>
      <c r="AN155">
        <f t="shared" si="164"/>
        <v>2.9206372768127393E-2</v>
      </c>
      <c r="AO155">
        <f t="shared" si="165"/>
        <v>1.0009080029808222</v>
      </c>
      <c r="AP155">
        <f t="shared" si="166"/>
        <v>0.99862016911688922</v>
      </c>
      <c r="AQ155">
        <f t="shared" si="167"/>
        <v>1.4851739809649677E-3</v>
      </c>
      <c r="AR155">
        <f t="shared" si="168"/>
        <v>1.0220524897668208</v>
      </c>
      <c r="AS155">
        <f t="shared" si="169"/>
        <v>0.56070682859997645</v>
      </c>
      <c r="AT155" s="101">
        <f t="shared" si="174"/>
        <v>7.3037532960792051</v>
      </c>
      <c r="AU155" s="101">
        <f t="shared" si="174"/>
        <v>7.3037532960792051</v>
      </c>
      <c r="AV155" s="101">
        <f t="shared" si="174"/>
        <v>7.3037532960792051</v>
      </c>
      <c r="AW155" s="101">
        <f t="shared" si="174"/>
        <v>7.3037532960792042</v>
      </c>
      <c r="AX155" s="101">
        <f t="shared" si="174"/>
        <v>7.3037532960780851</v>
      </c>
      <c r="AY155" s="101">
        <f t="shared" si="174"/>
        <v>7.3037532948484047</v>
      </c>
      <c r="AZ155" s="101">
        <f t="shared" si="174"/>
        <v>7.3037519438592522</v>
      </c>
      <c r="BA155" s="101">
        <f t="shared" si="170"/>
        <v>7.3022694716654284</v>
      </c>
    </row>
    <row r="156" spans="1:53">
      <c r="A156" s="127" t="s">
        <v>252</v>
      </c>
      <c r="B156" s="123" t="s">
        <v>87</v>
      </c>
      <c r="C156" s="22">
        <v>56177.525269999998</v>
      </c>
      <c r="D156" s="22">
        <v>2.0000000000000001E-4</v>
      </c>
      <c r="E156" s="101">
        <f t="shared" si="151"/>
        <v>35215.041683009556</v>
      </c>
      <c r="F156" s="101">
        <f t="shared" si="152"/>
        <v>35215</v>
      </c>
      <c r="G156" s="101">
        <f t="shared" si="171"/>
        <v>1.3751369995588902E-2</v>
      </c>
      <c r="H156" s="101"/>
      <c r="I156" s="101"/>
      <c r="J156" s="101"/>
      <c r="K156" s="105">
        <f t="shared" si="153"/>
        <v>1.3751369995588902E-2</v>
      </c>
      <c r="L156" s="101"/>
      <c r="M156" s="101"/>
      <c r="N156" s="101"/>
      <c r="O156" s="101">
        <f t="shared" ca="1" si="172"/>
        <v>1.2745475927949432E-2</v>
      </c>
      <c r="P156" s="103">
        <f t="shared" si="154"/>
        <v>-1.628656440935871E-2</v>
      </c>
      <c r="Q156" s="104">
        <f t="shared" si="155"/>
        <v>41159.025269999998</v>
      </c>
      <c r="R156" s="101">
        <f t="shared" si="156"/>
        <v>9.0227750331593553E-4</v>
      </c>
      <c r="S156" s="101">
        <v>1</v>
      </c>
      <c r="T156" s="221"/>
      <c r="U156" s="101"/>
      <c r="V156" s="101"/>
      <c r="W156" s="101"/>
      <c r="X156" s="101"/>
      <c r="Y156" s="101"/>
      <c r="Z156" s="101"/>
      <c r="AA156" s="101"/>
      <c r="AF156">
        <f t="shared" si="157"/>
        <v>35215</v>
      </c>
      <c r="AG156" s="101">
        <f t="shared" si="158"/>
        <v>1.2919808358768683E-2</v>
      </c>
      <c r="AH156" s="101">
        <f t="shared" si="159"/>
        <v>-1.545500277253849E-2</v>
      </c>
      <c r="AI156" s="101">
        <f t="shared" si="160"/>
        <v>3.0037934404947612E-2</v>
      </c>
      <c r="AJ156" s="101">
        <f t="shared" si="161"/>
        <v>8.3156163682021958E-4</v>
      </c>
      <c r="AK156" s="101">
        <f t="shared" si="162"/>
        <v>6.9149475583112281E-7</v>
      </c>
      <c r="AL156">
        <f t="shared" si="163"/>
        <v>3.0037934404947612E-2</v>
      </c>
      <c r="AM156" s="195">
        <f t="shared" si="173"/>
        <v>6.9149475583112281E-7</v>
      </c>
      <c r="AN156">
        <f t="shared" si="164"/>
        <v>2.9206372768127393E-2</v>
      </c>
      <c r="AO156">
        <f t="shared" si="165"/>
        <v>1.0009080029808222</v>
      </c>
      <c r="AP156">
        <f t="shared" si="166"/>
        <v>0.99862016911688922</v>
      </c>
      <c r="AQ156">
        <f t="shared" si="167"/>
        <v>1.4851739809649677E-3</v>
      </c>
      <c r="AR156">
        <f t="shared" si="168"/>
        <v>1.0220524897668208</v>
      </c>
      <c r="AS156">
        <f t="shared" si="169"/>
        <v>0.56070682859997645</v>
      </c>
      <c r="AT156" s="101">
        <f t="shared" si="174"/>
        <v>7.3037532960792051</v>
      </c>
      <c r="AU156" s="101">
        <f t="shared" si="174"/>
        <v>7.3037532960792051</v>
      </c>
      <c r="AV156" s="101">
        <f t="shared" si="174"/>
        <v>7.3037532960792051</v>
      </c>
      <c r="AW156" s="101">
        <f t="shared" si="174"/>
        <v>7.3037532960792042</v>
      </c>
      <c r="AX156" s="101">
        <f t="shared" si="174"/>
        <v>7.3037532960780851</v>
      </c>
      <c r="AY156" s="101">
        <f t="shared" si="174"/>
        <v>7.3037532948484047</v>
      </c>
      <c r="AZ156" s="101">
        <f t="shared" si="174"/>
        <v>7.3037519438592522</v>
      </c>
      <c r="BA156" s="101">
        <f t="shared" si="170"/>
        <v>7.3022694716654284</v>
      </c>
    </row>
    <row r="157" spans="1:53">
      <c r="A157" s="127" t="s">
        <v>252</v>
      </c>
      <c r="B157" s="123" t="s">
        <v>87</v>
      </c>
      <c r="C157" s="22">
        <v>56177.525329999997</v>
      </c>
      <c r="D157" s="22">
        <v>1E-4</v>
      </c>
      <c r="E157" s="101">
        <f t="shared" si="151"/>
        <v>35215.041864880928</v>
      </c>
      <c r="F157" s="101">
        <f t="shared" si="152"/>
        <v>35215</v>
      </c>
      <c r="G157" s="101">
        <f t="shared" si="171"/>
        <v>1.3811369994073175E-2</v>
      </c>
      <c r="H157" s="101"/>
      <c r="I157" s="101"/>
      <c r="K157" s="105">
        <f t="shared" si="153"/>
        <v>1.3811369994073175E-2</v>
      </c>
      <c r="L157" s="101"/>
      <c r="M157" s="101"/>
      <c r="N157" s="101"/>
      <c r="O157" s="101">
        <f t="shared" ca="1" si="172"/>
        <v>1.2745475927949432E-2</v>
      </c>
      <c r="P157" s="103">
        <f t="shared" si="154"/>
        <v>-1.628656440935871E-2</v>
      </c>
      <c r="Q157" s="104">
        <f t="shared" si="155"/>
        <v>41159.025329999997</v>
      </c>
      <c r="R157" s="101">
        <f t="shared" si="156"/>
        <v>9.0588565535328861E-4</v>
      </c>
      <c r="S157" s="101">
        <v>1</v>
      </c>
      <c r="T157" s="221"/>
      <c r="U157" s="101"/>
      <c r="V157" s="101"/>
      <c r="W157" s="101"/>
      <c r="X157" s="101"/>
      <c r="Y157" s="101"/>
      <c r="Z157" s="101"/>
      <c r="AA157" s="101"/>
      <c r="AF157">
        <f t="shared" si="157"/>
        <v>35215</v>
      </c>
      <c r="AG157" s="101">
        <f t="shared" si="158"/>
        <v>1.2919808358768683E-2</v>
      </c>
      <c r="AH157" s="101">
        <f t="shared" si="159"/>
        <v>-1.5395002774054218E-2</v>
      </c>
      <c r="AI157" s="101">
        <f t="shared" si="160"/>
        <v>3.0097934403431885E-2</v>
      </c>
      <c r="AJ157" s="101">
        <f t="shared" si="161"/>
        <v>8.9156163530449209E-4</v>
      </c>
      <c r="AK157" s="101">
        <f t="shared" si="162"/>
        <v>7.9488214954682017E-7</v>
      </c>
      <c r="AL157">
        <f t="shared" si="163"/>
        <v>3.0097934403431885E-2</v>
      </c>
      <c r="AM157" s="195">
        <f t="shared" si="173"/>
        <v>7.9488214954682017E-7</v>
      </c>
      <c r="AN157">
        <f t="shared" si="164"/>
        <v>2.9206372768127393E-2</v>
      </c>
      <c r="AO157">
        <f t="shared" si="165"/>
        <v>1.0009080029808222</v>
      </c>
      <c r="AP157">
        <f t="shared" si="166"/>
        <v>0.99862016911688922</v>
      </c>
      <c r="AQ157">
        <f t="shared" si="167"/>
        <v>1.4851739809649677E-3</v>
      </c>
      <c r="AR157">
        <f t="shared" si="168"/>
        <v>1.0220524897668208</v>
      </c>
      <c r="AS157">
        <f t="shared" si="169"/>
        <v>0.56070682859997645</v>
      </c>
      <c r="AT157" s="101">
        <f t="shared" si="174"/>
        <v>7.3037532960792051</v>
      </c>
      <c r="AU157" s="101">
        <f t="shared" si="174"/>
        <v>7.3037532960792051</v>
      </c>
      <c r="AV157" s="101">
        <f t="shared" si="174"/>
        <v>7.3037532960792051</v>
      </c>
      <c r="AW157" s="101">
        <f t="shared" si="174"/>
        <v>7.3037532960792042</v>
      </c>
      <c r="AX157" s="101">
        <f t="shared" si="174"/>
        <v>7.3037532960780851</v>
      </c>
      <c r="AY157" s="101">
        <f t="shared" si="174"/>
        <v>7.3037532948484047</v>
      </c>
      <c r="AZ157" s="101">
        <f t="shared" si="174"/>
        <v>7.3037519438592522</v>
      </c>
      <c r="BA157" s="101">
        <f t="shared" si="170"/>
        <v>7.3022694716654284</v>
      </c>
    </row>
    <row r="158" spans="1:53">
      <c r="A158" s="131" t="s">
        <v>257</v>
      </c>
      <c r="B158" s="132"/>
      <c r="C158" s="131">
        <v>56177.525430000002</v>
      </c>
      <c r="D158" s="131">
        <v>1E-4</v>
      </c>
      <c r="E158" s="101">
        <f t="shared" si="151"/>
        <v>35215.042167999905</v>
      </c>
      <c r="F158" s="101">
        <f t="shared" si="152"/>
        <v>35215</v>
      </c>
      <c r="G158" s="101">
        <f t="shared" si="171"/>
        <v>1.391136999882292E-2</v>
      </c>
      <c r="H158" s="101"/>
      <c r="I158" s="101"/>
      <c r="K158" s="105">
        <f t="shared" si="153"/>
        <v>1.391136999882292E-2</v>
      </c>
      <c r="L158" s="101"/>
      <c r="M158" s="101"/>
      <c r="N158" s="101"/>
      <c r="O158" s="101">
        <f t="shared" ca="1" si="172"/>
        <v>1.2745475927949432E-2</v>
      </c>
      <c r="P158" s="103">
        <f t="shared" si="154"/>
        <v>-1.628656440935871E-2</v>
      </c>
      <c r="Q158" s="104">
        <f t="shared" si="155"/>
        <v>41159.025430000002</v>
      </c>
      <c r="R158" s="101">
        <f t="shared" si="156"/>
        <v>9.1191524252084001E-4</v>
      </c>
      <c r="S158" s="101">
        <v>1</v>
      </c>
      <c r="T158" s="221"/>
      <c r="U158" s="101"/>
      <c r="V158" s="101"/>
      <c r="W158" s="101"/>
      <c r="X158" s="101"/>
      <c r="Y158" s="101"/>
      <c r="Z158" s="101"/>
      <c r="AA158" s="101"/>
      <c r="AF158">
        <f t="shared" si="157"/>
        <v>35215</v>
      </c>
      <c r="AG158" s="101">
        <f t="shared" si="158"/>
        <v>1.2919808358768683E-2</v>
      </c>
      <c r="AH158" s="101">
        <f t="shared" si="159"/>
        <v>-1.5295002769304473E-2</v>
      </c>
      <c r="AI158" s="101">
        <f t="shared" si="160"/>
        <v>3.019793440818163E-2</v>
      </c>
      <c r="AJ158" s="101">
        <f t="shared" si="161"/>
        <v>9.9156164005423722E-4</v>
      </c>
      <c r="AK158" s="101">
        <f t="shared" si="162"/>
        <v>9.8319448602704859E-7</v>
      </c>
      <c r="AL158">
        <f t="shared" si="163"/>
        <v>3.019793440818163E-2</v>
      </c>
      <c r="AM158" s="195">
        <f t="shared" si="173"/>
        <v>9.8319448602704859E-7</v>
      </c>
      <c r="AN158">
        <f t="shared" si="164"/>
        <v>2.9206372768127393E-2</v>
      </c>
      <c r="AO158">
        <f t="shared" si="165"/>
        <v>1.0009080029808222</v>
      </c>
      <c r="AP158">
        <f t="shared" si="166"/>
        <v>0.99862016911688922</v>
      </c>
      <c r="AQ158">
        <f t="shared" si="167"/>
        <v>1.4851739809649677E-3</v>
      </c>
      <c r="AR158">
        <f t="shared" si="168"/>
        <v>1.0220524897668208</v>
      </c>
      <c r="AS158">
        <f t="shared" si="169"/>
        <v>0.56070682859997645</v>
      </c>
      <c r="AT158" s="101">
        <f t="shared" si="174"/>
        <v>7.3037532960792051</v>
      </c>
      <c r="AU158" s="101">
        <f t="shared" si="174"/>
        <v>7.3037532960792051</v>
      </c>
      <c r="AV158" s="101">
        <f t="shared" si="174"/>
        <v>7.3037532960792051</v>
      </c>
      <c r="AW158" s="101">
        <f t="shared" si="174"/>
        <v>7.3037532960792042</v>
      </c>
      <c r="AX158" s="101">
        <f t="shared" si="174"/>
        <v>7.3037532960780851</v>
      </c>
      <c r="AY158" s="101">
        <f t="shared" si="174"/>
        <v>7.3037532948484047</v>
      </c>
      <c r="AZ158" s="101">
        <f t="shared" si="174"/>
        <v>7.3037519438592522</v>
      </c>
      <c r="BA158" s="101">
        <f t="shared" si="170"/>
        <v>7.3022694716654284</v>
      </c>
    </row>
    <row r="159" spans="1:53">
      <c r="A159" s="127" t="s">
        <v>252</v>
      </c>
      <c r="B159" s="123" t="s">
        <v>87</v>
      </c>
      <c r="C159" s="22">
        <v>56177.525560000002</v>
      </c>
      <c r="D159" s="22">
        <v>1E-4</v>
      </c>
      <c r="E159" s="101">
        <f t="shared" si="151"/>
        <v>35215.04256205455</v>
      </c>
      <c r="F159" s="101">
        <f t="shared" si="152"/>
        <v>35215</v>
      </c>
      <c r="G159" s="101">
        <f t="shared" si="171"/>
        <v>1.4041369999176823E-2</v>
      </c>
      <c r="H159" s="101"/>
      <c r="I159" s="101"/>
      <c r="K159" s="105">
        <f t="shared" si="153"/>
        <v>1.4041369999176823E-2</v>
      </c>
      <c r="L159" s="101"/>
      <c r="M159" s="101"/>
      <c r="N159" s="101"/>
      <c r="O159" s="101">
        <f t="shared" ca="1" si="172"/>
        <v>1.2745475927949432E-2</v>
      </c>
      <c r="P159" s="103">
        <f t="shared" si="154"/>
        <v>-1.628656440935871E-2</v>
      </c>
      <c r="Q159" s="104">
        <f t="shared" si="155"/>
        <v>41159.025560000002</v>
      </c>
      <c r="R159" s="101">
        <f t="shared" si="156"/>
        <v>9.1978360548843356E-4</v>
      </c>
      <c r="S159" s="101">
        <v>1</v>
      </c>
      <c r="T159" s="221"/>
      <c r="U159" s="101"/>
      <c r="V159" s="101"/>
      <c r="W159" s="101"/>
      <c r="X159" s="101"/>
      <c r="Y159" s="101"/>
      <c r="Z159" s="101"/>
      <c r="AA159" s="101"/>
      <c r="AF159">
        <f t="shared" si="157"/>
        <v>35215</v>
      </c>
      <c r="AG159" s="101">
        <f t="shared" si="158"/>
        <v>1.2919808358768683E-2</v>
      </c>
      <c r="AH159" s="101">
        <f t="shared" si="159"/>
        <v>-1.516500276895057E-2</v>
      </c>
      <c r="AI159" s="101">
        <f t="shared" si="160"/>
        <v>3.0327934408535533E-2</v>
      </c>
      <c r="AJ159" s="101">
        <f t="shared" si="161"/>
        <v>1.1215616404081398E-3</v>
      </c>
      <c r="AK159" s="101">
        <f t="shared" si="162"/>
        <v>1.2579005132349976E-6</v>
      </c>
      <c r="AL159">
        <f t="shared" si="163"/>
        <v>3.0327934408535533E-2</v>
      </c>
      <c r="AM159" s="195">
        <f t="shared" si="173"/>
        <v>1.2579005132349976E-6</v>
      </c>
      <c r="AN159">
        <f t="shared" si="164"/>
        <v>2.9206372768127393E-2</v>
      </c>
      <c r="AO159">
        <f t="shared" si="165"/>
        <v>1.0009080029808222</v>
      </c>
      <c r="AP159">
        <f t="shared" si="166"/>
        <v>0.99862016911688922</v>
      </c>
      <c r="AQ159">
        <f t="shared" si="167"/>
        <v>1.4851739809649677E-3</v>
      </c>
      <c r="AR159">
        <f t="shared" si="168"/>
        <v>1.0220524897668208</v>
      </c>
      <c r="AS159">
        <f t="shared" si="169"/>
        <v>0.56070682859997645</v>
      </c>
      <c r="AT159" s="101">
        <f t="shared" si="174"/>
        <v>7.3037532960792051</v>
      </c>
      <c r="AU159" s="101">
        <f t="shared" si="174"/>
        <v>7.3037532960792051</v>
      </c>
      <c r="AV159" s="101">
        <f t="shared" si="174"/>
        <v>7.3037532960792051</v>
      </c>
      <c r="AW159" s="101">
        <f t="shared" si="174"/>
        <v>7.3037532960792042</v>
      </c>
      <c r="AX159" s="101">
        <f t="shared" si="174"/>
        <v>7.3037532960780851</v>
      </c>
      <c r="AY159" s="101">
        <f t="shared" si="174"/>
        <v>7.3037532948484047</v>
      </c>
      <c r="AZ159" s="101">
        <f t="shared" si="174"/>
        <v>7.3037519438592522</v>
      </c>
      <c r="BA159" s="101">
        <f t="shared" si="170"/>
        <v>7.3022694716654284</v>
      </c>
    </row>
    <row r="160" spans="1:53">
      <c r="A160" s="127" t="s">
        <v>250</v>
      </c>
      <c r="B160" s="125" t="s">
        <v>86</v>
      </c>
      <c r="C160" s="124">
        <v>56181.483899999999</v>
      </c>
      <c r="D160" s="124">
        <v>1E-4</v>
      </c>
      <c r="E160" s="101">
        <f t="shared" si="151"/>
        <v>35227.041041052107</v>
      </c>
      <c r="F160" s="101">
        <f t="shared" si="152"/>
        <v>35227</v>
      </c>
      <c r="G160" s="101">
        <f t="shared" si="171"/>
        <v>1.3539585990656633E-2</v>
      </c>
      <c r="H160" s="101"/>
      <c r="I160" s="101"/>
      <c r="J160" s="101"/>
      <c r="K160" s="101">
        <f t="shared" si="153"/>
        <v>1.3539585990656633E-2</v>
      </c>
      <c r="L160" s="101"/>
      <c r="M160" s="101"/>
      <c r="N160" s="101"/>
      <c r="O160" s="101">
        <f t="shared" ca="1" si="172"/>
        <v>1.2707313710719578E-2</v>
      </c>
      <c r="P160" s="103">
        <f t="shared" si="154"/>
        <v>-1.6318094111747471E-2</v>
      </c>
      <c r="Q160" s="104">
        <f t="shared" si="155"/>
        <v>41162.983899999999</v>
      </c>
      <c r="R160" s="101">
        <f t="shared" si="156"/>
        <v>8.914810610974979E-4</v>
      </c>
      <c r="S160" s="101">
        <v>1</v>
      </c>
      <c r="T160" s="221"/>
      <c r="U160" s="101"/>
      <c r="V160" s="101"/>
      <c r="W160" s="101"/>
      <c r="X160" s="101"/>
      <c r="Y160" s="101"/>
      <c r="Z160" s="101"/>
      <c r="AA160" s="101"/>
      <c r="AF160">
        <f t="shared" si="157"/>
        <v>35227</v>
      </c>
      <c r="AG160" s="101">
        <f t="shared" si="158"/>
        <v>1.2886934087239277E-2</v>
      </c>
      <c r="AH160" s="101">
        <f t="shared" si="159"/>
        <v>-1.5665442208330115E-2</v>
      </c>
      <c r="AI160" s="101">
        <f t="shared" si="160"/>
        <v>2.9857680102404104E-2</v>
      </c>
      <c r="AJ160" s="101">
        <f t="shared" si="161"/>
        <v>6.5265190341735543E-4</v>
      </c>
      <c r="AK160" s="101">
        <f t="shared" si="162"/>
        <v>4.2595450703429707E-7</v>
      </c>
      <c r="AL160">
        <f t="shared" si="163"/>
        <v>2.9857680102404104E-2</v>
      </c>
      <c r="AM160" s="195">
        <f t="shared" si="173"/>
        <v>4.2595450703429707E-7</v>
      </c>
      <c r="AN160">
        <f t="shared" si="164"/>
        <v>2.9205028198986748E-2</v>
      </c>
      <c r="AO160">
        <f t="shared" si="165"/>
        <v>1.000906674963941</v>
      </c>
      <c r="AP160">
        <f t="shared" si="166"/>
        <v>0.99857282550284088</v>
      </c>
      <c r="AQ160">
        <f t="shared" si="167"/>
        <v>1.4859850862912849E-3</v>
      </c>
      <c r="AR160">
        <f t="shared" si="168"/>
        <v>1.0229464283024636</v>
      </c>
      <c r="AS160">
        <f t="shared" si="169"/>
        <v>0.56129446880860723</v>
      </c>
      <c r="AT160" s="101">
        <f t="shared" si="174"/>
        <v>7.3046464228916177</v>
      </c>
      <c r="AU160" s="101">
        <f t="shared" si="174"/>
        <v>7.3046464228916177</v>
      </c>
      <c r="AV160" s="101">
        <f t="shared" si="174"/>
        <v>7.3046464228916177</v>
      </c>
      <c r="AW160" s="101">
        <f t="shared" si="174"/>
        <v>7.3046464228916168</v>
      </c>
      <c r="AX160" s="101">
        <f t="shared" si="174"/>
        <v>7.3046464228905021</v>
      </c>
      <c r="AY160" s="101">
        <f t="shared" si="174"/>
        <v>7.3046464216637235</v>
      </c>
      <c r="AZ160" s="101">
        <f t="shared" si="174"/>
        <v>7.3046450718976281</v>
      </c>
      <c r="BA160" s="101">
        <f t="shared" si="170"/>
        <v>7.303161786139726</v>
      </c>
    </row>
    <row r="161" spans="1:54">
      <c r="A161" s="127" t="s">
        <v>249</v>
      </c>
      <c r="B161" s="123" t="s">
        <v>86</v>
      </c>
      <c r="C161" s="22">
        <v>56230.801599999999</v>
      </c>
      <c r="D161" s="22">
        <v>3.0000000000000003E-4</v>
      </c>
      <c r="E161" s="101">
        <f t="shared" si="151"/>
        <v>35376.53233984355</v>
      </c>
      <c r="F161" s="101">
        <f t="shared" si="152"/>
        <v>35376.5</v>
      </c>
      <c r="G161" s="101">
        <f t="shared" si="171"/>
        <v>1.0669026996765751E-2</v>
      </c>
      <c r="H161" s="101"/>
      <c r="I161" s="101"/>
      <c r="J161" s="101"/>
      <c r="K161" s="101">
        <f t="shared" si="153"/>
        <v>1.0669026996765751E-2</v>
      </c>
      <c r="L161" s="101"/>
      <c r="M161" s="101"/>
      <c r="N161" s="101"/>
      <c r="O161" s="101">
        <f t="shared" ca="1" si="172"/>
        <v>1.2231876087730992E-2</v>
      </c>
      <c r="P161" s="103">
        <f t="shared" si="154"/>
        <v>-1.6711912202812915E-2</v>
      </c>
      <c r="Q161" s="104">
        <f t="shared" si="155"/>
        <v>41212.301599999999</v>
      </c>
      <c r="R161" s="101">
        <f t="shared" si="156"/>
        <v>7.4971583145102356E-4</v>
      </c>
      <c r="S161" s="101">
        <v>1</v>
      </c>
      <c r="T161" s="221"/>
      <c r="U161" s="101"/>
      <c r="V161" s="101"/>
      <c r="W161" s="101"/>
      <c r="X161" s="101"/>
      <c r="Y161" s="101"/>
      <c r="Z161" s="101"/>
      <c r="AA161" s="101"/>
      <c r="AF161">
        <f t="shared" si="157"/>
        <v>35376.5</v>
      </c>
      <c r="AG161" s="101">
        <f t="shared" si="158"/>
        <v>1.2474412441325022E-2</v>
      </c>
      <c r="AH161" s="101">
        <f t="shared" si="159"/>
        <v>-1.8517297647372186E-2</v>
      </c>
      <c r="AI161" s="101">
        <f t="shared" si="160"/>
        <v>2.7380939199578666E-2</v>
      </c>
      <c r="AJ161" s="101">
        <f t="shared" si="161"/>
        <v>-1.805385444559271E-3</v>
      </c>
      <c r="AK161" s="101">
        <f t="shared" si="162"/>
        <v>3.2594166034264763E-6</v>
      </c>
      <c r="AL161">
        <f t="shared" si="163"/>
        <v>2.7380939199578666E-2</v>
      </c>
      <c r="AM161" s="195">
        <f t="shared" si="173"/>
        <v>3.2594166034264763E-6</v>
      </c>
      <c r="AN161">
        <f t="shared" si="164"/>
        <v>2.9186324644137937E-2</v>
      </c>
      <c r="AO161">
        <f t="shared" si="165"/>
        <v>1.0008900699837748</v>
      </c>
      <c r="AP161">
        <f t="shared" si="166"/>
        <v>0.99791613020982095</v>
      </c>
      <c r="AQ161">
        <f t="shared" si="167"/>
        <v>1.4959901707232548E-3</v>
      </c>
      <c r="AR161">
        <f t="shared" si="168"/>
        <v>1.0340832132259732</v>
      </c>
      <c r="AS161">
        <f t="shared" si="169"/>
        <v>0.56864022670835546</v>
      </c>
      <c r="AT161" s="101">
        <f t="shared" ref="AT161:AZ170" si="175">$BA161+$AH$7*SIN(AU161)</f>
        <v>7.3157731948529952</v>
      </c>
      <c r="AU161" s="101">
        <f t="shared" si="175"/>
        <v>7.3157731948529952</v>
      </c>
      <c r="AV161" s="101">
        <f t="shared" si="175"/>
        <v>7.3157731948529952</v>
      </c>
      <c r="AW161" s="101">
        <f t="shared" si="175"/>
        <v>7.3157731948529943</v>
      </c>
      <c r="AX161" s="101">
        <f t="shared" si="175"/>
        <v>7.315773194851932</v>
      </c>
      <c r="AY161" s="101">
        <f t="shared" si="175"/>
        <v>7.3157731936614434</v>
      </c>
      <c r="AZ161" s="101">
        <f t="shared" si="175"/>
        <v>7.3157718594920844</v>
      </c>
      <c r="BA161" s="101">
        <f t="shared" si="170"/>
        <v>7.3142785372986818</v>
      </c>
    </row>
    <row r="162" spans="1:54">
      <c r="A162" s="146" t="s">
        <v>712</v>
      </c>
      <c r="B162" s="147" t="s">
        <v>86</v>
      </c>
      <c r="C162" s="146">
        <v>56243.999499999998</v>
      </c>
      <c r="D162" s="146" t="s">
        <v>264</v>
      </c>
      <c r="E162" s="101">
        <f t="shared" si="151"/>
        <v>35416.537676919681</v>
      </c>
      <c r="F162" s="101">
        <f t="shared" si="152"/>
        <v>35416.5</v>
      </c>
      <c r="G162" s="101">
        <f t="shared" si="171"/>
        <v>1.2429746995621826E-2</v>
      </c>
      <c r="H162" s="101"/>
      <c r="I162" s="101"/>
      <c r="J162" s="101"/>
      <c r="K162" s="101">
        <f t="shared" si="153"/>
        <v>1.2429746995621826E-2</v>
      </c>
      <c r="M162" s="101"/>
      <c r="N162" s="101"/>
      <c r="O162" s="101">
        <f t="shared" ca="1" si="172"/>
        <v>1.2104668696964818E-2</v>
      </c>
      <c r="P162" s="103">
        <f t="shared" si="154"/>
        <v>-1.6817598849870857E-2</v>
      </c>
      <c r="Q162" s="104">
        <f t="shared" si="155"/>
        <v>41225.499499999998</v>
      </c>
      <c r="R162" s="101">
        <f t="shared" si="156"/>
        <v>8.5540723900585816E-4</v>
      </c>
      <c r="S162" s="101">
        <v>1</v>
      </c>
      <c r="T162" s="221"/>
      <c r="U162" s="101"/>
      <c r="V162" s="101"/>
      <c r="W162" s="101"/>
      <c r="X162" s="101"/>
      <c r="Y162" s="101"/>
      <c r="Z162" s="101"/>
      <c r="AA162" s="101"/>
      <c r="AF162">
        <f t="shared" si="157"/>
        <v>35416.5</v>
      </c>
      <c r="AG162" s="101">
        <f t="shared" si="158"/>
        <v>1.2363108721423616E-2</v>
      </c>
      <c r="AH162" s="101">
        <f t="shared" si="159"/>
        <v>-1.6750960575672647E-2</v>
      </c>
      <c r="AI162" s="101">
        <f t="shared" si="160"/>
        <v>2.9247345845492684E-2</v>
      </c>
      <c r="AJ162" s="101">
        <f t="shared" si="161"/>
        <v>6.6638274198210085E-5</v>
      </c>
      <c r="AK162" s="101">
        <f t="shared" si="162"/>
        <v>4.4406595881158322E-9</v>
      </c>
      <c r="AL162">
        <f t="shared" si="163"/>
        <v>2.9247345845492684E-2</v>
      </c>
      <c r="AM162" s="195">
        <f t="shared" si="173"/>
        <v>4.4406595881158322E-9</v>
      </c>
      <c r="AN162">
        <f t="shared" si="164"/>
        <v>2.9180707571294474E-2</v>
      </c>
      <c r="AO162">
        <f t="shared" si="165"/>
        <v>1.0008856084686131</v>
      </c>
      <c r="AP162">
        <f t="shared" si="166"/>
        <v>0.99771943853007905</v>
      </c>
      <c r="AQ162">
        <f t="shared" si="167"/>
        <v>1.498635648594512E-3</v>
      </c>
      <c r="AR162">
        <f t="shared" si="168"/>
        <v>1.0370628922442993</v>
      </c>
      <c r="AS162">
        <f t="shared" si="169"/>
        <v>0.57061348153386848</v>
      </c>
      <c r="AT162" s="101">
        <f t="shared" si="175"/>
        <v>7.3187502262296054</v>
      </c>
      <c r="AU162" s="101">
        <f t="shared" si="175"/>
        <v>7.3187502262296054</v>
      </c>
      <c r="AV162" s="101">
        <f t="shared" si="175"/>
        <v>7.3187502262296054</v>
      </c>
      <c r="AW162" s="101">
        <f t="shared" si="175"/>
        <v>7.3187502262296045</v>
      </c>
      <c r="AX162" s="101">
        <f t="shared" si="175"/>
        <v>7.3187502262285555</v>
      </c>
      <c r="AY162" s="101">
        <f t="shared" si="175"/>
        <v>7.3187502250478138</v>
      </c>
      <c r="AZ162" s="101">
        <f t="shared" si="175"/>
        <v>7.3187488951637638</v>
      </c>
      <c r="BA162" s="101">
        <f t="shared" si="170"/>
        <v>7.3172529188796727</v>
      </c>
    </row>
    <row r="163" spans="1:54">
      <c r="A163" s="146" t="s">
        <v>712</v>
      </c>
      <c r="B163" s="147" t="s">
        <v>87</v>
      </c>
      <c r="C163" s="146">
        <v>56244.165200000003</v>
      </c>
      <c r="D163" s="146" t="s">
        <v>264</v>
      </c>
      <c r="E163" s="101">
        <f t="shared" si="151"/>
        <v>35417.039945034587</v>
      </c>
      <c r="F163" s="101">
        <f t="shared" si="152"/>
        <v>35417</v>
      </c>
      <c r="G163" s="101">
        <f t="shared" si="171"/>
        <v>1.3178005996451247E-2</v>
      </c>
      <c r="H163" s="101"/>
      <c r="I163" s="101"/>
      <c r="J163" s="101"/>
      <c r="K163" s="101">
        <f t="shared" si="153"/>
        <v>1.3178005996451247E-2</v>
      </c>
      <c r="M163" s="101"/>
      <c r="N163" s="101"/>
      <c r="O163" s="101">
        <f t="shared" ca="1" si="172"/>
        <v>1.2103078604580236E-2</v>
      </c>
      <c r="P163" s="103">
        <f t="shared" si="154"/>
        <v>-1.6818920780515466E-2</v>
      </c>
      <c r="Q163" s="104">
        <f t="shared" si="155"/>
        <v>41225.665200000003</v>
      </c>
      <c r="R163" s="101">
        <f t="shared" si="156"/>
        <v>8.9981561606270258E-4</v>
      </c>
      <c r="S163" s="101">
        <v>1</v>
      </c>
      <c r="T163" s="221"/>
      <c r="U163" s="101"/>
      <c r="V163" s="101"/>
      <c r="W163" s="101"/>
      <c r="X163" s="101"/>
      <c r="Y163" s="101"/>
      <c r="Z163" s="101"/>
      <c r="AA163" s="101"/>
      <c r="AF163">
        <f t="shared" si="157"/>
        <v>35417</v>
      </c>
      <c r="AG163" s="101">
        <f t="shared" si="158"/>
        <v>1.2361714940844107E-2</v>
      </c>
      <c r="AH163" s="101">
        <f t="shared" si="159"/>
        <v>-1.6002629724908325E-2</v>
      </c>
      <c r="AI163" s="101">
        <f t="shared" si="160"/>
        <v>2.9996926776966713E-2</v>
      </c>
      <c r="AJ163" s="101">
        <f t="shared" si="161"/>
        <v>8.1629105560714066E-4</v>
      </c>
      <c r="AK163" s="101">
        <f t="shared" si="162"/>
        <v>6.6633108746421999E-7</v>
      </c>
      <c r="AL163">
        <f t="shared" si="163"/>
        <v>2.9996926776966713E-2</v>
      </c>
      <c r="AM163" s="195">
        <f t="shared" si="173"/>
        <v>6.6633108746421999E-7</v>
      </c>
      <c r="AN163">
        <f t="shared" si="164"/>
        <v>2.9180635721359573E-2</v>
      </c>
      <c r="AO163">
        <f t="shared" si="165"/>
        <v>1.0008855526500857</v>
      </c>
      <c r="AP163">
        <f t="shared" si="166"/>
        <v>0.99771692383571542</v>
      </c>
      <c r="AQ163">
        <f t="shared" si="167"/>
        <v>1.4986686327682506E-3</v>
      </c>
      <c r="AR163">
        <f t="shared" si="168"/>
        <v>1.0371001380638767</v>
      </c>
      <c r="AS163">
        <f t="shared" si="169"/>
        <v>0.57063816832067793</v>
      </c>
      <c r="AT163" s="101">
        <f t="shared" si="175"/>
        <v>7.3187874390378118</v>
      </c>
      <c r="AU163" s="101">
        <f t="shared" si="175"/>
        <v>7.3187874390378118</v>
      </c>
      <c r="AV163" s="101">
        <f t="shared" si="175"/>
        <v>7.3187874390378118</v>
      </c>
      <c r="AW163" s="101">
        <f t="shared" si="175"/>
        <v>7.3187874390378109</v>
      </c>
      <c r="AX163" s="101">
        <f t="shared" si="175"/>
        <v>7.318787439036762</v>
      </c>
      <c r="AY163" s="101">
        <f t="shared" si="175"/>
        <v>7.3187874378561419</v>
      </c>
      <c r="AZ163" s="101">
        <f t="shared" si="175"/>
        <v>7.3187861080259573</v>
      </c>
      <c r="BA163" s="101">
        <f t="shared" si="170"/>
        <v>7.3172900986494351</v>
      </c>
    </row>
    <row r="164" spans="1:54">
      <c r="A164" s="146" t="s">
        <v>712</v>
      </c>
      <c r="B164" s="147" t="s">
        <v>86</v>
      </c>
      <c r="C164" s="146">
        <v>56244.3295</v>
      </c>
      <c r="D164" s="146" t="s">
        <v>264</v>
      </c>
      <c r="E164" s="101">
        <f t="shared" si="151"/>
        <v>35417.537969484045</v>
      </c>
      <c r="F164" s="101">
        <f t="shared" si="152"/>
        <v>35417.5</v>
      </c>
      <c r="G164" s="101">
        <f t="shared" si="171"/>
        <v>1.2526264996267855E-2</v>
      </c>
      <c r="H164" s="101"/>
      <c r="I164" s="101"/>
      <c r="J164" s="101"/>
      <c r="K164" s="101">
        <f t="shared" si="153"/>
        <v>1.2526264996267855E-2</v>
      </c>
      <c r="M164" s="101"/>
      <c r="N164" s="101"/>
      <c r="O164" s="101">
        <f t="shared" ca="1" si="172"/>
        <v>1.2101488512195668E-2</v>
      </c>
      <c r="P164" s="103">
        <f t="shared" si="154"/>
        <v>-1.6820242732087397E-2</v>
      </c>
      <c r="Q164" s="104">
        <f t="shared" si="155"/>
        <v>41225.8295</v>
      </c>
      <c r="R164" s="101">
        <f t="shared" si="156"/>
        <v>8.6121751585041453E-4</v>
      </c>
      <c r="S164" s="101">
        <v>1</v>
      </c>
      <c r="T164" s="221"/>
      <c r="U164" s="101"/>
      <c r="V164" s="101"/>
      <c r="W164" s="101"/>
      <c r="X164" s="101"/>
      <c r="Y164" s="101"/>
      <c r="Z164" s="101"/>
      <c r="AA164" s="101"/>
      <c r="AF164">
        <f t="shared" si="157"/>
        <v>35417.5</v>
      </c>
      <c r="AG164" s="101">
        <f t="shared" si="158"/>
        <v>1.2360321098932141E-2</v>
      </c>
      <c r="AH164" s="101">
        <f t="shared" si="159"/>
        <v>-1.6654298834751682E-2</v>
      </c>
      <c r="AI164" s="101">
        <f t="shared" si="160"/>
        <v>2.9346507728355252E-2</v>
      </c>
      <c r="AJ164" s="101">
        <f t="shared" si="161"/>
        <v>1.6594389733571441E-4</v>
      </c>
      <c r="AK164" s="101">
        <f t="shared" si="162"/>
        <v>2.7537377062966125E-8</v>
      </c>
      <c r="AL164">
        <f t="shared" si="163"/>
        <v>2.9346507728355252E-2</v>
      </c>
      <c r="AM164" s="195">
        <f t="shared" si="173"/>
        <v>2.7537377062966125E-8</v>
      </c>
      <c r="AN164">
        <f t="shared" si="164"/>
        <v>2.9180563831019538E-2</v>
      </c>
      <c r="AO164">
        <f t="shared" si="165"/>
        <v>1.0008854968303362</v>
      </c>
      <c r="AP164">
        <f t="shared" si="166"/>
        <v>0.9977144077575486</v>
      </c>
      <c r="AQ164">
        <f t="shared" si="167"/>
        <v>1.4987016148592803E-3</v>
      </c>
      <c r="AR164">
        <f t="shared" si="168"/>
        <v>1.0371373838792992</v>
      </c>
      <c r="AS164">
        <f t="shared" si="169"/>
        <v>0.57066285562942909</v>
      </c>
      <c r="AT164" s="101">
        <f t="shared" si="175"/>
        <v>7.3188246518439426</v>
      </c>
      <c r="AU164" s="101">
        <f t="shared" si="175"/>
        <v>7.3188246518439426</v>
      </c>
      <c r="AV164" s="101">
        <f t="shared" si="175"/>
        <v>7.3188246518439426</v>
      </c>
      <c r="AW164" s="101">
        <f t="shared" si="175"/>
        <v>7.3188246518439417</v>
      </c>
      <c r="AX164" s="101">
        <f t="shared" si="175"/>
        <v>7.3188246518428937</v>
      </c>
      <c r="AY164" s="101">
        <f t="shared" si="175"/>
        <v>7.3188246506623953</v>
      </c>
      <c r="AZ164" s="101">
        <f t="shared" si="175"/>
        <v>7.3188233208860822</v>
      </c>
      <c r="BA164" s="101">
        <f t="shared" si="170"/>
        <v>7.3173272784191976</v>
      </c>
    </row>
    <row r="165" spans="1:54">
      <c r="A165" s="127" t="s">
        <v>252</v>
      </c>
      <c r="B165" s="123" t="s">
        <v>86</v>
      </c>
      <c r="C165" s="22">
        <v>56291.505039999996</v>
      </c>
      <c r="D165" s="22">
        <v>1E-4</v>
      </c>
      <c r="E165" s="101">
        <f t="shared" si="151"/>
        <v>35560.535975185594</v>
      </c>
      <c r="F165" s="101">
        <f t="shared" si="152"/>
        <v>35560.5</v>
      </c>
      <c r="G165" s="101">
        <f t="shared" si="171"/>
        <v>1.186833899555495E-2</v>
      </c>
      <c r="H165" s="101"/>
      <c r="I165" s="101"/>
      <c r="K165" s="105">
        <f t="shared" si="153"/>
        <v>1.186833899555495E-2</v>
      </c>
      <c r="L165" s="101"/>
      <c r="M165" s="101"/>
      <c r="N165" s="101"/>
      <c r="O165" s="101">
        <f t="shared" ca="1" si="172"/>
        <v>1.164672209020659E-2</v>
      </c>
      <c r="P165" s="103">
        <f t="shared" si="154"/>
        <v>-1.7199179759726173E-2</v>
      </c>
      <c r="Q165" s="104">
        <f t="shared" si="155"/>
        <v>41273.005039999996</v>
      </c>
      <c r="R165" s="101">
        <f t="shared" si="156"/>
        <v>8.4492064658861987E-4</v>
      </c>
      <c r="S165" s="101">
        <v>1</v>
      </c>
      <c r="T165" s="221"/>
      <c r="U165" s="101"/>
      <c r="V165" s="101"/>
      <c r="W165" s="101"/>
      <c r="X165" s="101"/>
      <c r="Y165" s="101"/>
      <c r="Z165" s="101"/>
      <c r="AA165" s="101"/>
      <c r="AF165">
        <f t="shared" si="157"/>
        <v>35560.5</v>
      </c>
      <c r="AG165" s="101">
        <f t="shared" si="158"/>
        <v>1.19591656019707E-2</v>
      </c>
      <c r="AH165" s="101">
        <f t="shared" si="159"/>
        <v>-1.7290006366141922E-2</v>
      </c>
      <c r="AI165" s="101">
        <f t="shared" si="160"/>
        <v>2.9067518755281123E-2</v>
      </c>
      <c r="AJ165" s="101">
        <f t="shared" si="161"/>
        <v>-9.0826606415749661E-5</v>
      </c>
      <c r="AK165" s="101">
        <f t="shared" si="162"/>
        <v>8.2494724330014971E-9</v>
      </c>
      <c r="AL165">
        <f t="shared" si="163"/>
        <v>2.9067518755281123E-2</v>
      </c>
      <c r="AM165" s="195">
        <f t="shared" si="173"/>
        <v>8.2494724330014971E-9</v>
      </c>
      <c r="AN165">
        <f t="shared" si="164"/>
        <v>2.9158345361696873E-2</v>
      </c>
      <c r="AO165">
        <f t="shared" si="165"/>
        <v>1.000869482527011</v>
      </c>
      <c r="AP165">
        <f t="shared" si="166"/>
        <v>0.9969380328793469</v>
      </c>
      <c r="AQ165">
        <f t="shared" si="167"/>
        <v>1.5080488394411753E-3</v>
      </c>
      <c r="AR165">
        <f t="shared" si="168"/>
        <v>1.0477895162344917</v>
      </c>
      <c r="AS165">
        <f t="shared" si="169"/>
        <v>0.5777449800101383</v>
      </c>
      <c r="AT165" s="101">
        <f t="shared" si="175"/>
        <v>7.3294674290447919</v>
      </c>
      <c r="AU165" s="101">
        <f t="shared" si="175"/>
        <v>7.3294674290447919</v>
      </c>
      <c r="AV165" s="101">
        <f t="shared" si="175"/>
        <v>7.3294674290447919</v>
      </c>
      <c r="AW165" s="101">
        <f t="shared" si="175"/>
        <v>7.329467429044791</v>
      </c>
      <c r="AX165" s="101">
        <f t="shared" si="175"/>
        <v>7.3294674290437927</v>
      </c>
      <c r="AY165" s="101">
        <f t="shared" si="175"/>
        <v>7.3294674278982459</v>
      </c>
      <c r="AZ165" s="101">
        <f t="shared" si="175"/>
        <v>7.3294661138302546</v>
      </c>
      <c r="BA165" s="101">
        <f t="shared" si="170"/>
        <v>7.3279606925712422</v>
      </c>
    </row>
    <row r="166" spans="1:54">
      <c r="A166" s="127" t="s">
        <v>252</v>
      </c>
      <c r="B166" s="123" t="s">
        <v>86</v>
      </c>
      <c r="C166" s="22">
        <v>56291.505149999997</v>
      </c>
      <c r="D166" s="22">
        <v>1E-4</v>
      </c>
      <c r="E166" s="101">
        <f t="shared" si="151"/>
        <v>35560.536308616451</v>
      </c>
      <c r="F166" s="101">
        <f t="shared" si="152"/>
        <v>35560.5</v>
      </c>
      <c r="G166" s="101">
        <f t="shared" si="171"/>
        <v>1.1978338996414095E-2</v>
      </c>
      <c r="H166" s="101"/>
      <c r="I166" s="101"/>
      <c r="K166" s="105">
        <f t="shared" si="153"/>
        <v>1.1978338996414095E-2</v>
      </c>
      <c r="L166" s="101"/>
      <c r="M166" s="101"/>
      <c r="N166" s="101"/>
      <c r="O166" s="101">
        <f t="shared" ca="1" si="172"/>
        <v>1.164672209020659E-2</v>
      </c>
      <c r="P166" s="103">
        <f t="shared" si="154"/>
        <v>-1.7199179759726173E-2</v>
      </c>
      <c r="Q166" s="104">
        <f t="shared" si="155"/>
        <v>41273.005149999997</v>
      </c>
      <c r="R166" s="101">
        <f t="shared" si="156"/>
        <v>8.5132760076491712E-4</v>
      </c>
      <c r="S166" s="101">
        <v>1</v>
      </c>
      <c r="T166" s="221"/>
      <c r="U166" s="101"/>
      <c r="V166" s="101"/>
      <c r="W166" s="101"/>
      <c r="X166" s="101"/>
      <c r="Y166" s="101"/>
      <c r="Z166" s="101"/>
      <c r="AA166" s="101"/>
      <c r="AF166">
        <f t="shared" si="157"/>
        <v>35560.5</v>
      </c>
      <c r="AG166" s="101">
        <f t="shared" si="158"/>
        <v>1.19591656019707E-2</v>
      </c>
      <c r="AH166" s="101">
        <f t="shared" si="159"/>
        <v>-1.7180006365282777E-2</v>
      </c>
      <c r="AI166" s="101">
        <f t="shared" si="160"/>
        <v>2.9177518756140268E-2</v>
      </c>
      <c r="AJ166" s="101">
        <f t="shared" si="161"/>
        <v>1.9173394443395414E-5</v>
      </c>
      <c r="AK166" s="101">
        <f t="shared" si="162"/>
        <v>3.6761905448202611E-10</v>
      </c>
      <c r="AL166">
        <f t="shared" si="163"/>
        <v>2.9177518756140268E-2</v>
      </c>
      <c r="AM166" s="195">
        <f t="shared" si="173"/>
        <v>3.6761905448202611E-10</v>
      </c>
      <c r="AN166">
        <f t="shared" si="164"/>
        <v>2.9158345361696873E-2</v>
      </c>
      <c r="AO166">
        <f t="shared" si="165"/>
        <v>1.000869482527011</v>
      </c>
      <c r="AP166">
        <f t="shared" si="166"/>
        <v>0.9969380328793469</v>
      </c>
      <c r="AQ166">
        <f t="shared" si="167"/>
        <v>1.5080488394411753E-3</v>
      </c>
      <c r="AR166">
        <f t="shared" si="168"/>
        <v>1.0477895162344917</v>
      </c>
      <c r="AS166">
        <f t="shared" si="169"/>
        <v>0.5777449800101383</v>
      </c>
      <c r="AT166" s="101">
        <f t="shared" si="175"/>
        <v>7.3294674290447919</v>
      </c>
      <c r="AU166" s="101">
        <f t="shared" si="175"/>
        <v>7.3294674290447919</v>
      </c>
      <c r="AV166" s="101">
        <f t="shared" si="175"/>
        <v>7.3294674290447919</v>
      </c>
      <c r="AW166" s="101">
        <f t="shared" si="175"/>
        <v>7.329467429044791</v>
      </c>
      <c r="AX166" s="101">
        <f t="shared" si="175"/>
        <v>7.3294674290437927</v>
      </c>
      <c r="AY166" s="101">
        <f t="shared" si="175"/>
        <v>7.3294674278982459</v>
      </c>
      <c r="AZ166" s="101">
        <f t="shared" si="175"/>
        <v>7.3294661138302546</v>
      </c>
      <c r="BA166" s="101">
        <f t="shared" si="170"/>
        <v>7.3279606925712422</v>
      </c>
    </row>
    <row r="167" spans="1:54">
      <c r="A167" s="23" t="s">
        <v>254</v>
      </c>
      <c r="B167" s="105"/>
      <c r="C167" s="22">
        <v>56600.787400000001</v>
      </c>
      <c r="D167" s="22">
        <v>1E-4</v>
      </c>
      <c r="E167" s="101">
        <f t="shared" si="151"/>
        <v>36498.029444866537</v>
      </c>
      <c r="F167" s="101">
        <f t="shared" si="152"/>
        <v>36498</v>
      </c>
      <c r="G167" s="101">
        <f t="shared" si="171"/>
        <v>9.713963998365216E-3</v>
      </c>
      <c r="H167" s="101"/>
      <c r="I167" s="101"/>
      <c r="J167" s="101"/>
      <c r="K167" s="101">
        <f t="shared" si="153"/>
        <v>9.713963998365216E-3</v>
      </c>
      <c r="L167" s="101"/>
      <c r="M167" s="101"/>
      <c r="N167" s="101"/>
      <c r="O167" s="101">
        <f t="shared" ca="1" si="172"/>
        <v>8.6652988691243438E-3</v>
      </c>
      <c r="P167" s="103">
        <f t="shared" si="154"/>
        <v>-1.9725867152393627E-2</v>
      </c>
      <c r="Q167" s="104">
        <f t="shared" si="155"/>
        <v>41582.287400000001</v>
      </c>
      <c r="R167" s="101">
        <f t="shared" si="156"/>
        <v>8.6670365818519073E-4</v>
      </c>
      <c r="S167" s="101">
        <v>1</v>
      </c>
      <c r="T167" s="221"/>
      <c r="U167" s="101"/>
      <c r="V167" s="101"/>
      <c r="W167" s="101"/>
      <c r="X167" s="101"/>
      <c r="Y167" s="101"/>
      <c r="Z167" s="101"/>
      <c r="AA167" s="101"/>
      <c r="AF167">
        <f t="shared" si="157"/>
        <v>36498</v>
      </c>
      <c r="AG167" s="101">
        <f t="shared" si="158"/>
        <v>9.2051837733169578E-3</v>
      </c>
      <c r="AH167" s="101">
        <f t="shared" si="159"/>
        <v>-1.9217086927345368E-2</v>
      </c>
      <c r="AI167" s="101">
        <f t="shared" si="160"/>
        <v>2.9439831150758843E-2</v>
      </c>
      <c r="AJ167" s="101">
        <f t="shared" si="161"/>
        <v>5.0878022504825815E-4</v>
      </c>
      <c r="AK167" s="101">
        <f t="shared" si="162"/>
        <v>2.5885731740015619E-7</v>
      </c>
      <c r="AL167">
        <f t="shared" si="163"/>
        <v>2.9439831150758843E-2</v>
      </c>
      <c r="AM167" s="195">
        <f t="shared" si="173"/>
        <v>2.5885731740015619E-7</v>
      </c>
      <c r="AN167">
        <f t="shared" si="164"/>
        <v>2.8931050925710584E-2</v>
      </c>
      <c r="AO167">
        <f t="shared" si="165"/>
        <v>1.0007621479145563</v>
      </c>
      <c r="AP167">
        <f t="shared" si="166"/>
        <v>0.98905296367085671</v>
      </c>
      <c r="AQ167">
        <f t="shared" si="167"/>
        <v>1.5650372913304932E-3</v>
      </c>
      <c r="AR167">
        <f t="shared" si="168"/>
        <v>1.1176157387257439</v>
      </c>
      <c r="AS167">
        <f t="shared" si="169"/>
        <v>0.62529005824531569</v>
      </c>
      <c r="AT167" s="101">
        <f t="shared" si="175"/>
        <v>7.399236603916151</v>
      </c>
      <c r="AU167" s="101">
        <f t="shared" si="175"/>
        <v>7.399236603916151</v>
      </c>
      <c r="AV167" s="101">
        <f t="shared" si="175"/>
        <v>7.399236603916151</v>
      </c>
      <c r="AW167" s="101">
        <f t="shared" si="175"/>
        <v>7.399236603916151</v>
      </c>
      <c r="AX167" s="101">
        <f t="shared" si="175"/>
        <v>7.3992366039154511</v>
      </c>
      <c r="AY167" s="101">
        <f t="shared" si="175"/>
        <v>7.3992366030004559</v>
      </c>
      <c r="AZ167" s="101">
        <f t="shared" si="175"/>
        <v>7.399235406297187</v>
      </c>
      <c r="BA167" s="101">
        <f t="shared" si="170"/>
        <v>7.3976727608757313</v>
      </c>
    </row>
    <row r="168" spans="1:54">
      <c r="A168" s="131" t="s">
        <v>258</v>
      </c>
      <c r="B168" s="132" t="s">
        <v>86</v>
      </c>
      <c r="C168" s="149">
        <v>56692.334940000001</v>
      </c>
      <c r="D168" s="131">
        <v>1E-4</v>
      </c>
      <c r="E168" s="101">
        <f t="shared" si="151"/>
        <v>36775.52739500942</v>
      </c>
      <c r="F168" s="101">
        <f t="shared" si="152"/>
        <v>36775.5</v>
      </c>
      <c r="G168" s="101">
        <f t="shared" si="171"/>
        <v>9.0377089945832267E-3</v>
      </c>
      <c r="H168" s="101"/>
      <c r="I168" s="101"/>
      <c r="K168" s="105">
        <f t="shared" si="153"/>
        <v>9.0377089945832267E-3</v>
      </c>
      <c r="L168" s="101"/>
      <c r="M168" s="101"/>
      <c r="N168" s="101"/>
      <c r="O168" s="101">
        <f t="shared" ca="1" si="172"/>
        <v>7.7827975956839962E-3</v>
      </c>
      <c r="P168" s="103">
        <f t="shared" si="154"/>
        <v>-2.0487878434477087E-2</v>
      </c>
      <c r="Q168" s="104">
        <f t="shared" si="155"/>
        <v>41673.834940000001</v>
      </c>
      <c r="R168" s="101">
        <f t="shared" si="156"/>
        <v>8.7176031303108441E-4</v>
      </c>
      <c r="S168" s="101">
        <v>1</v>
      </c>
      <c r="T168" s="221"/>
      <c r="U168" s="101"/>
      <c r="V168" s="101"/>
      <c r="W168" s="101"/>
      <c r="X168" s="101"/>
      <c r="Y168" s="101"/>
      <c r="Z168" s="101"/>
      <c r="AA168" s="101"/>
      <c r="AF168">
        <f t="shared" si="157"/>
        <v>36775.5</v>
      </c>
      <c r="AG168" s="101">
        <f t="shared" si="158"/>
        <v>8.3488317202213176E-3</v>
      </c>
      <c r="AH168" s="101">
        <f t="shared" si="159"/>
        <v>-1.9799001160115178E-2</v>
      </c>
      <c r="AI168" s="101">
        <f t="shared" si="160"/>
        <v>2.9525587429060314E-2</v>
      </c>
      <c r="AJ168" s="101">
        <f t="shared" si="161"/>
        <v>6.8887727436190913E-4</v>
      </c>
      <c r="AK168" s="101">
        <f t="shared" si="162"/>
        <v>4.7455189913229302E-7</v>
      </c>
      <c r="AL168">
        <f t="shared" si="163"/>
        <v>2.9525587429060314E-2</v>
      </c>
      <c r="AM168" s="195">
        <f t="shared" si="173"/>
        <v>4.7455189913229302E-7</v>
      </c>
      <c r="AN168">
        <f t="shared" si="164"/>
        <v>2.8836710154698405E-2</v>
      </c>
      <c r="AO168">
        <f t="shared" si="165"/>
        <v>1.0007296449463541</v>
      </c>
      <c r="AP168">
        <f t="shared" si="166"/>
        <v>0.98579254630286595</v>
      </c>
      <c r="AQ168">
        <f t="shared" si="167"/>
        <v>1.5804522831067277E-3</v>
      </c>
      <c r="AR168">
        <f t="shared" si="168"/>
        <v>1.1382814002529997</v>
      </c>
      <c r="AS168">
        <f t="shared" si="169"/>
        <v>0.6397568835590608</v>
      </c>
      <c r="AT168" s="101">
        <f t="shared" si="175"/>
        <v>7.4198868306559271</v>
      </c>
      <c r="AU168" s="101">
        <f t="shared" si="175"/>
        <v>7.4198868306559271</v>
      </c>
      <c r="AV168" s="101">
        <f t="shared" si="175"/>
        <v>7.4198868306559271</v>
      </c>
      <c r="AW168" s="101">
        <f t="shared" si="175"/>
        <v>7.4198868306559271</v>
      </c>
      <c r="AX168" s="101">
        <f t="shared" si="175"/>
        <v>7.4198868306553063</v>
      </c>
      <c r="AY168" s="101">
        <f t="shared" si="175"/>
        <v>7.4198868298079326</v>
      </c>
      <c r="AZ168" s="101">
        <f t="shared" si="175"/>
        <v>7.4198856724184568</v>
      </c>
      <c r="BA168" s="101">
        <f t="shared" si="170"/>
        <v>7.4183075330938593</v>
      </c>
      <c r="BB168" s="101"/>
    </row>
    <row r="169" spans="1:54">
      <c r="A169" s="131" t="s">
        <v>258</v>
      </c>
      <c r="B169" s="132" t="s">
        <v>86</v>
      </c>
      <c r="C169" s="149">
        <v>56692.335059999998</v>
      </c>
      <c r="D169" s="131">
        <v>2.0000000000000001E-4</v>
      </c>
      <c r="E169" s="101">
        <f t="shared" si="151"/>
        <v>36775.527758752156</v>
      </c>
      <c r="F169" s="101">
        <f t="shared" si="152"/>
        <v>36775.5</v>
      </c>
      <c r="G169" s="101">
        <f t="shared" si="171"/>
        <v>9.1577089915517718E-3</v>
      </c>
      <c r="H169" s="101"/>
      <c r="I169" s="101"/>
      <c r="K169" s="105">
        <f t="shared" si="153"/>
        <v>9.1577089915517718E-3</v>
      </c>
      <c r="L169" s="101"/>
      <c r="M169" s="101"/>
      <c r="N169" s="101"/>
      <c r="O169" s="101">
        <f t="shared" ca="1" si="172"/>
        <v>7.7827975956839962E-3</v>
      </c>
      <c r="P169" s="103">
        <f t="shared" si="154"/>
        <v>-2.0487878434477087E-2</v>
      </c>
      <c r="Q169" s="104">
        <f t="shared" si="155"/>
        <v>41673.835059999998</v>
      </c>
      <c r="R169" s="101">
        <f t="shared" si="156"/>
        <v>8.7886085383432038E-4</v>
      </c>
      <c r="S169" s="101">
        <v>1</v>
      </c>
      <c r="T169" s="221"/>
      <c r="U169" s="101"/>
      <c r="V169" s="101"/>
      <c r="W169" s="101"/>
      <c r="X169" s="101"/>
      <c r="Y169" s="101"/>
      <c r="Z169" s="101"/>
      <c r="AA169" s="101"/>
      <c r="AF169">
        <f t="shared" si="157"/>
        <v>36775.5</v>
      </c>
      <c r="AG169" s="101">
        <f t="shared" si="158"/>
        <v>8.3488317202213176E-3</v>
      </c>
      <c r="AH169" s="101">
        <f t="shared" si="159"/>
        <v>-1.9679001163146633E-2</v>
      </c>
      <c r="AI169" s="101">
        <f t="shared" si="160"/>
        <v>2.9645587426028859E-2</v>
      </c>
      <c r="AJ169" s="101">
        <f t="shared" si="161"/>
        <v>8.0887727133045415E-4</v>
      </c>
      <c r="AK169" s="101">
        <f t="shared" si="162"/>
        <v>6.5428244007500113E-7</v>
      </c>
      <c r="AL169">
        <f t="shared" si="163"/>
        <v>2.9645587426028859E-2</v>
      </c>
      <c r="AM169" s="195">
        <f t="shared" si="173"/>
        <v>6.5428244007500113E-7</v>
      </c>
      <c r="AN169">
        <f t="shared" si="164"/>
        <v>2.8836710154698405E-2</v>
      </c>
      <c r="AO169">
        <f t="shared" si="165"/>
        <v>1.0007296449463541</v>
      </c>
      <c r="AP169">
        <f t="shared" si="166"/>
        <v>0.98579254630286595</v>
      </c>
      <c r="AQ169">
        <f t="shared" si="167"/>
        <v>1.5804522831067277E-3</v>
      </c>
      <c r="AR169">
        <f t="shared" si="168"/>
        <v>1.1382814002529997</v>
      </c>
      <c r="AS169">
        <f t="shared" si="169"/>
        <v>0.6397568835590608</v>
      </c>
      <c r="AT169" s="101">
        <f t="shared" si="175"/>
        <v>7.4198868306559271</v>
      </c>
      <c r="AU169" s="101">
        <f t="shared" si="175"/>
        <v>7.4198868306559271</v>
      </c>
      <c r="AV169" s="101">
        <f t="shared" si="175"/>
        <v>7.4198868306559271</v>
      </c>
      <c r="AW169" s="101">
        <f t="shared" si="175"/>
        <v>7.4198868306559271</v>
      </c>
      <c r="AX169" s="101">
        <f t="shared" si="175"/>
        <v>7.4198868306553063</v>
      </c>
      <c r="AY169" s="101">
        <f t="shared" si="175"/>
        <v>7.4198868298079326</v>
      </c>
      <c r="AZ169" s="101">
        <f t="shared" si="175"/>
        <v>7.4198856724184568</v>
      </c>
      <c r="BA169" s="101">
        <f t="shared" si="170"/>
        <v>7.4183075330938593</v>
      </c>
    </row>
    <row r="170" spans="1:54">
      <c r="A170" s="131" t="s">
        <v>258</v>
      </c>
      <c r="B170" s="132" t="s">
        <v>86</v>
      </c>
      <c r="C170" s="149">
        <v>56692.33539</v>
      </c>
      <c r="D170" s="131">
        <v>1E-4</v>
      </c>
      <c r="E170" s="101">
        <f t="shared" si="151"/>
        <v>36775.528759044733</v>
      </c>
      <c r="F170" s="101">
        <f t="shared" si="152"/>
        <v>36775.5</v>
      </c>
      <c r="G170" s="101">
        <f t="shared" si="171"/>
        <v>9.487708994129207E-3</v>
      </c>
      <c r="H170" s="101"/>
      <c r="I170" s="101"/>
      <c r="K170" s="105">
        <f t="shared" si="153"/>
        <v>9.487708994129207E-3</v>
      </c>
      <c r="L170" s="101"/>
      <c r="M170" s="101"/>
      <c r="N170" s="101"/>
      <c r="O170" s="101">
        <f t="shared" ca="1" si="172"/>
        <v>7.7827975956839962E-3</v>
      </c>
      <c r="P170" s="103">
        <f t="shared" si="154"/>
        <v>-2.0487878434477087E-2</v>
      </c>
      <c r="Q170" s="104">
        <f t="shared" si="155"/>
        <v>41673.83539</v>
      </c>
      <c r="R170" s="101">
        <f t="shared" si="156"/>
        <v>8.9853584169001966E-4</v>
      </c>
      <c r="S170" s="101">
        <v>1</v>
      </c>
      <c r="T170" s="221"/>
      <c r="U170" s="101"/>
      <c r="V170" s="101"/>
      <c r="W170" s="101"/>
      <c r="X170" s="101"/>
      <c r="Y170" s="101"/>
      <c r="Z170" s="101"/>
      <c r="AA170" s="101"/>
      <c r="AF170">
        <f t="shared" si="157"/>
        <v>36775.5</v>
      </c>
      <c r="AG170" s="101">
        <f t="shared" si="158"/>
        <v>8.3488317202213176E-3</v>
      </c>
      <c r="AH170" s="101">
        <f t="shared" si="159"/>
        <v>-1.9349001160569198E-2</v>
      </c>
      <c r="AI170" s="101">
        <f t="shared" si="160"/>
        <v>2.9975587428606294E-2</v>
      </c>
      <c r="AJ170" s="101">
        <f t="shared" si="161"/>
        <v>1.1388772739078894E-3</v>
      </c>
      <c r="AK170" s="101">
        <f t="shared" si="162"/>
        <v>1.2970414450238657E-6</v>
      </c>
      <c r="AL170">
        <f t="shared" si="163"/>
        <v>2.9975587428606294E-2</v>
      </c>
      <c r="AM170" s="195">
        <f t="shared" si="173"/>
        <v>1.2970414450238657E-6</v>
      </c>
      <c r="AN170">
        <f t="shared" si="164"/>
        <v>2.8836710154698405E-2</v>
      </c>
      <c r="AO170">
        <f t="shared" si="165"/>
        <v>1.0007296449463541</v>
      </c>
      <c r="AP170">
        <f t="shared" si="166"/>
        <v>0.98579254630286595</v>
      </c>
      <c r="AQ170">
        <f t="shared" si="167"/>
        <v>1.5804522831067277E-3</v>
      </c>
      <c r="AR170">
        <f t="shared" si="168"/>
        <v>1.1382814002529997</v>
      </c>
      <c r="AS170">
        <f t="shared" si="169"/>
        <v>0.6397568835590608</v>
      </c>
      <c r="AT170" s="101">
        <f t="shared" si="175"/>
        <v>7.4198868306559271</v>
      </c>
      <c r="AU170" s="101">
        <f t="shared" si="175"/>
        <v>7.4198868306559271</v>
      </c>
      <c r="AV170" s="101">
        <f t="shared" si="175"/>
        <v>7.4198868306559271</v>
      </c>
      <c r="AW170" s="101">
        <f t="shared" si="175"/>
        <v>7.4198868306559271</v>
      </c>
      <c r="AX170" s="101">
        <f t="shared" si="175"/>
        <v>7.4198868306553063</v>
      </c>
      <c r="AY170" s="101">
        <f t="shared" si="175"/>
        <v>7.4198868298079326</v>
      </c>
      <c r="AZ170" s="101">
        <f t="shared" si="175"/>
        <v>7.4198856724184568</v>
      </c>
      <c r="BA170" s="101">
        <f t="shared" si="170"/>
        <v>7.4183075330938593</v>
      </c>
      <c r="BB170" s="101"/>
    </row>
    <row r="171" spans="1:54">
      <c r="A171" s="131" t="s">
        <v>258</v>
      </c>
      <c r="B171" s="132" t="s">
        <v>86</v>
      </c>
      <c r="C171" s="149">
        <v>56692.335859999999</v>
      </c>
      <c r="D171" s="131">
        <v>1E-4</v>
      </c>
      <c r="E171" s="101">
        <f t="shared" si="151"/>
        <v>36775.530183703835</v>
      </c>
      <c r="F171" s="101">
        <f t="shared" si="152"/>
        <v>36775.5</v>
      </c>
      <c r="G171" s="101">
        <f t="shared" si="171"/>
        <v>9.9577089931699447E-3</v>
      </c>
      <c r="H171" s="101"/>
      <c r="I171" s="101"/>
      <c r="K171" s="105">
        <f t="shared" si="153"/>
        <v>9.9577089931699447E-3</v>
      </c>
      <c r="L171" s="101"/>
      <c r="M171" s="101"/>
      <c r="N171" s="101"/>
      <c r="O171" s="101">
        <f t="shared" ca="1" si="172"/>
        <v>7.7827975956839962E-3</v>
      </c>
      <c r="P171" s="103">
        <f t="shared" si="154"/>
        <v>-2.0487878434477087E-2</v>
      </c>
      <c r="Q171" s="104">
        <f t="shared" si="155"/>
        <v>41673.835859999999</v>
      </c>
      <c r="R171" s="101">
        <f t="shared" si="156"/>
        <v>9.2693379381449906E-4</v>
      </c>
      <c r="S171" s="101">
        <v>1</v>
      </c>
      <c r="T171" s="221"/>
      <c r="U171" s="101"/>
      <c r="V171" s="101"/>
      <c r="W171" s="101"/>
      <c r="X171" s="101"/>
      <c r="Y171" s="101"/>
      <c r="Z171" s="101"/>
      <c r="AA171" s="101"/>
      <c r="AF171">
        <f t="shared" si="157"/>
        <v>36775.5</v>
      </c>
      <c r="AG171" s="101">
        <f t="shared" si="158"/>
        <v>8.3488317202213176E-3</v>
      </c>
      <c r="AH171" s="101">
        <f t="shared" si="159"/>
        <v>-1.887900116152846E-2</v>
      </c>
      <c r="AI171" s="101">
        <f t="shared" si="160"/>
        <v>3.0445587427647032E-2</v>
      </c>
      <c r="AJ171" s="101">
        <f t="shared" si="161"/>
        <v>1.6088772729486271E-3</v>
      </c>
      <c r="AK171" s="101">
        <f t="shared" si="162"/>
        <v>2.5884860794106114E-6</v>
      </c>
      <c r="AL171">
        <f t="shared" si="163"/>
        <v>3.0445587427647032E-2</v>
      </c>
      <c r="AM171" s="195">
        <f t="shared" si="173"/>
        <v>2.5884860794106114E-6</v>
      </c>
      <c r="AN171">
        <f t="shared" si="164"/>
        <v>2.8836710154698405E-2</v>
      </c>
      <c r="AO171">
        <f t="shared" si="165"/>
        <v>1.0007296449463541</v>
      </c>
      <c r="AP171">
        <f t="shared" si="166"/>
        <v>0.98579254630286595</v>
      </c>
      <c r="AQ171">
        <f t="shared" si="167"/>
        <v>1.5804522831067277E-3</v>
      </c>
      <c r="AR171">
        <f t="shared" si="168"/>
        <v>1.1382814002529997</v>
      </c>
      <c r="AS171">
        <f t="shared" si="169"/>
        <v>0.6397568835590608</v>
      </c>
      <c r="AT171" s="101">
        <f t="shared" ref="AT171:AZ180" si="176">$BA171+$AH$7*SIN(AU171)</f>
        <v>7.4198868306559271</v>
      </c>
      <c r="AU171" s="101">
        <f t="shared" si="176"/>
        <v>7.4198868306559271</v>
      </c>
      <c r="AV171" s="101">
        <f t="shared" si="176"/>
        <v>7.4198868306559271</v>
      </c>
      <c r="AW171" s="101">
        <f t="shared" si="176"/>
        <v>7.4198868306559271</v>
      </c>
      <c r="AX171" s="101">
        <f t="shared" si="176"/>
        <v>7.4198868306553063</v>
      </c>
      <c r="AY171" s="101">
        <f t="shared" si="176"/>
        <v>7.4198868298079326</v>
      </c>
      <c r="AZ171" s="101">
        <f t="shared" si="176"/>
        <v>7.4198856724184568</v>
      </c>
      <c r="BA171" s="101">
        <f t="shared" si="170"/>
        <v>7.4183075330938593</v>
      </c>
    </row>
    <row r="172" spans="1:54">
      <c r="A172" s="131" t="s">
        <v>258</v>
      </c>
      <c r="B172" s="132" t="s">
        <v>87</v>
      </c>
      <c r="C172" s="149">
        <v>56714.272239999998</v>
      </c>
      <c r="D172" s="131">
        <v>4.0000000000000002E-4</v>
      </c>
      <c r="E172" s="101">
        <f t="shared" si="151"/>
        <v>36842.023510379302</v>
      </c>
      <c r="F172" s="101">
        <f t="shared" si="152"/>
        <v>36842</v>
      </c>
      <c r="G172" s="101">
        <f t="shared" si="171"/>
        <v>7.7561559955938719E-3</v>
      </c>
      <c r="H172" s="101"/>
      <c r="I172" s="101"/>
      <c r="K172" s="105">
        <f t="shared" si="153"/>
        <v>7.7561559955938719E-3</v>
      </c>
      <c r="L172" s="101"/>
      <c r="M172" s="101"/>
      <c r="N172" s="101"/>
      <c r="O172" s="101">
        <f t="shared" ca="1" si="172"/>
        <v>7.5713153085352203E-3</v>
      </c>
      <c r="P172" s="103">
        <f t="shared" si="154"/>
        <v>-2.0671444010179785E-2</v>
      </c>
      <c r="Q172" s="104">
        <f t="shared" si="155"/>
        <v>41695.772239999998</v>
      </c>
      <c r="R172" s="101">
        <f t="shared" si="156"/>
        <v>8.0812844208826245E-4</v>
      </c>
      <c r="S172" s="101">
        <v>1</v>
      </c>
      <c r="T172" s="221"/>
      <c r="U172" s="101"/>
      <c r="V172" s="101"/>
      <c r="W172" s="101"/>
      <c r="X172" s="101"/>
      <c r="Y172" s="101"/>
      <c r="Z172" s="101"/>
      <c r="AA172" s="101"/>
      <c r="AF172">
        <f t="shared" si="157"/>
        <v>36842</v>
      </c>
      <c r="AG172" s="101">
        <f t="shared" si="158"/>
        <v>8.140830796987842E-3</v>
      </c>
      <c r="AH172" s="101">
        <f t="shared" si="159"/>
        <v>-2.1056118811573755E-2</v>
      </c>
      <c r="AI172" s="101">
        <f t="shared" si="160"/>
        <v>2.8427600005773657E-2</v>
      </c>
      <c r="AJ172" s="101">
        <f t="shared" si="161"/>
        <v>-3.8467480139397006E-4</v>
      </c>
      <c r="AK172" s="101">
        <f t="shared" si="162"/>
        <v>1.4797470282749031E-7</v>
      </c>
      <c r="AL172">
        <f t="shared" si="163"/>
        <v>2.8427600005773657E-2</v>
      </c>
      <c r="AM172" s="195">
        <f t="shared" si="173"/>
        <v>1.4797470282749031E-7</v>
      </c>
      <c r="AN172">
        <f t="shared" si="164"/>
        <v>2.8812274807167627E-2</v>
      </c>
      <c r="AO172">
        <f t="shared" si="165"/>
        <v>1.0007218094552428</v>
      </c>
      <c r="AP172">
        <f t="shared" si="166"/>
        <v>0.98494866876207599</v>
      </c>
      <c r="AQ172">
        <f t="shared" si="167"/>
        <v>1.5840461726980915E-3</v>
      </c>
      <c r="AR172">
        <f t="shared" si="168"/>
        <v>1.1432335120697681</v>
      </c>
      <c r="AS172">
        <f t="shared" si="169"/>
        <v>0.64325190510699104</v>
      </c>
      <c r="AT172" s="101">
        <f t="shared" si="176"/>
        <v>7.4248353436918899</v>
      </c>
      <c r="AU172" s="101">
        <f t="shared" si="176"/>
        <v>7.4248353436918899</v>
      </c>
      <c r="AV172" s="101">
        <f t="shared" si="176"/>
        <v>7.4248353436918899</v>
      </c>
      <c r="AW172" s="101">
        <f t="shared" si="176"/>
        <v>7.424835343691889</v>
      </c>
      <c r="AX172" s="101">
        <f t="shared" si="176"/>
        <v>7.4248353436912868</v>
      </c>
      <c r="AY172" s="101">
        <f t="shared" si="176"/>
        <v>7.4248353428600078</v>
      </c>
      <c r="AZ172" s="101">
        <f t="shared" si="176"/>
        <v>7.4248341951873078</v>
      </c>
      <c r="BA172" s="101">
        <f t="shared" si="170"/>
        <v>7.4232524424722577</v>
      </c>
    </row>
    <row r="173" spans="1:54">
      <c r="A173" s="131" t="s">
        <v>258</v>
      </c>
      <c r="B173" s="132" t="s">
        <v>87</v>
      </c>
      <c r="C173" s="149">
        <v>56714.272669999998</v>
      </c>
      <c r="D173" s="131">
        <v>2.0000000000000001E-4</v>
      </c>
      <c r="E173" s="101">
        <f t="shared" si="151"/>
        <v>36842.02481379082</v>
      </c>
      <c r="F173" s="101">
        <f t="shared" si="152"/>
        <v>36842</v>
      </c>
      <c r="G173" s="101">
        <f t="shared" si="171"/>
        <v>8.1861559956450947E-3</v>
      </c>
      <c r="H173" s="101"/>
      <c r="I173" s="101"/>
      <c r="K173" s="105">
        <f t="shared" si="153"/>
        <v>8.1861559956450947E-3</v>
      </c>
      <c r="L173" s="101"/>
      <c r="M173" s="101"/>
      <c r="N173" s="101"/>
      <c r="O173" s="101">
        <f t="shared" ca="1" si="172"/>
        <v>7.5713153085352203E-3</v>
      </c>
      <c r="P173" s="103">
        <f t="shared" si="154"/>
        <v>-2.0671444010179785E-2</v>
      </c>
      <c r="Q173" s="104">
        <f t="shared" si="155"/>
        <v>41695.772669999998</v>
      </c>
      <c r="R173" s="101">
        <f t="shared" si="156"/>
        <v>8.3276107809618404E-4</v>
      </c>
      <c r="S173" s="101">
        <v>1</v>
      </c>
      <c r="T173" s="221"/>
      <c r="U173" s="101"/>
      <c r="V173" s="101"/>
      <c r="W173" s="101"/>
      <c r="X173" s="101"/>
      <c r="Y173" s="101"/>
      <c r="Z173" s="101"/>
      <c r="AA173" s="101"/>
      <c r="AF173">
        <f t="shared" si="157"/>
        <v>36842</v>
      </c>
      <c r="AG173" s="101">
        <f t="shared" si="158"/>
        <v>8.140830796987842E-3</v>
      </c>
      <c r="AH173" s="101">
        <f t="shared" si="159"/>
        <v>-2.0626118811522532E-2</v>
      </c>
      <c r="AI173" s="101">
        <f t="shared" si="160"/>
        <v>2.8857600005824879E-2</v>
      </c>
      <c r="AJ173" s="101">
        <f t="shared" si="161"/>
        <v>4.532519865725268E-5</v>
      </c>
      <c r="AK173" s="101">
        <f t="shared" si="162"/>
        <v>2.05437363331942E-9</v>
      </c>
      <c r="AL173">
        <f t="shared" si="163"/>
        <v>2.8857600005824879E-2</v>
      </c>
      <c r="AM173" s="195">
        <f t="shared" si="173"/>
        <v>2.05437363331942E-9</v>
      </c>
      <c r="AN173">
        <f t="shared" si="164"/>
        <v>2.8812274807167627E-2</v>
      </c>
      <c r="AO173">
        <f t="shared" si="165"/>
        <v>1.0007218094552428</v>
      </c>
      <c r="AP173">
        <f t="shared" si="166"/>
        <v>0.98494866876207599</v>
      </c>
      <c r="AQ173">
        <f t="shared" si="167"/>
        <v>1.5840461726980915E-3</v>
      </c>
      <c r="AR173">
        <f t="shared" si="168"/>
        <v>1.1432335120697681</v>
      </c>
      <c r="AS173">
        <f t="shared" si="169"/>
        <v>0.64325190510699104</v>
      </c>
      <c r="AT173" s="101">
        <f t="shared" si="176"/>
        <v>7.4248353436918899</v>
      </c>
      <c r="AU173" s="101">
        <f t="shared" si="176"/>
        <v>7.4248353436918899</v>
      </c>
      <c r="AV173" s="101">
        <f t="shared" si="176"/>
        <v>7.4248353436918899</v>
      </c>
      <c r="AW173" s="101">
        <f t="shared" si="176"/>
        <v>7.424835343691889</v>
      </c>
      <c r="AX173" s="101">
        <f t="shared" si="176"/>
        <v>7.4248353436912868</v>
      </c>
      <c r="AY173" s="101">
        <f t="shared" si="176"/>
        <v>7.4248353428600078</v>
      </c>
      <c r="AZ173" s="101">
        <f t="shared" si="176"/>
        <v>7.4248341951873078</v>
      </c>
      <c r="BA173" s="101">
        <f t="shared" si="170"/>
        <v>7.4232524424722577</v>
      </c>
    </row>
    <row r="174" spans="1:54">
      <c r="A174" s="131" t="s">
        <v>258</v>
      </c>
      <c r="B174" s="132" t="s">
        <v>87</v>
      </c>
      <c r="C174" s="149">
        <v>56714.272830000002</v>
      </c>
      <c r="D174" s="131">
        <v>2.0000000000000001E-4</v>
      </c>
      <c r="E174" s="101">
        <f t="shared" si="151"/>
        <v>36842.025298781169</v>
      </c>
      <c r="F174" s="101">
        <f t="shared" si="152"/>
        <v>36842</v>
      </c>
      <c r="G174" s="101">
        <f t="shared" si="171"/>
        <v>8.3461559988791123E-3</v>
      </c>
      <c r="H174" s="101"/>
      <c r="I174" s="101"/>
      <c r="K174" s="105">
        <f t="shared" si="153"/>
        <v>8.3461559988791123E-3</v>
      </c>
      <c r="L174" s="101"/>
      <c r="M174" s="101"/>
      <c r="N174" s="101"/>
      <c r="O174" s="101">
        <f t="shared" ca="1" si="172"/>
        <v>7.5713153085352203E-3</v>
      </c>
      <c r="P174" s="103">
        <f t="shared" si="154"/>
        <v>-2.0671444010179785E-2</v>
      </c>
      <c r="Q174" s="104">
        <f t="shared" si="155"/>
        <v>41695.772830000002</v>
      </c>
      <c r="R174" s="101">
        <f t="shared" si="156"/>
        <v>8.4202111028573495E-4</v>
      </c>
      <c r="S174" s="101">
        <v>1</v>
      </c>
      <c r="T174" s="221"/>
      <c r="U174" s="101"/>
      <c r="V174" s="101"/>
      <c r="W174" s="101"/>
      <c r="X174" s="101"/>
      <c r="Y174" s="101"/>
      <c r="Z174" s="101"/>
      <c r="AA174" s="101"/>
      <c r="AF174">
        <f t="shared" si="157"/>
        <v>36842</v>
      </c>
      <c r="AG174" s="101">
        <f t="shared" si="158"/>
        <v>8.140830796987842E-3</v>
      </c>
      <c r="AH174" s="101">
        <f t="shared" si="159"/>
        <v>-2.0466118808288514E-2</v>
      </c>
      <c r="AI174" s="101">
        <f t="shared" si="160"/>
        <v>2.9017600009058897E-2</v>
      </c>
      <c r="AJ174" s="101">
        <f t="shared" si="161"/>
        <v>2.0532520189127032E-4</v>
      </c>
      <c r="AK174" s="101">
        <f t="shared" si="162"/>
        <v>4.2158438531690919E-8</v>
      </c>
      <c r="AL174">
        <f t="shared" si="163"/>
        <v>2.9017600009058897E-2</v>
      </c>
      <c r="AM174" s="195">
        <f t="shared" si="173"/>
        <v>4.2158438531690919E-8</v>
      </c>
      <c r="AN174">
        <f t="shared" si="164"/>
        <v>2.8812274807167627E-2</v>
      </c>
      <c r="AO174">
        <f t="shared" si="165"/>
        <v>1.0007218094552428</v>
      </c>
      <c r="AP174">
        <f t="shared" si="166"/>
        <v>0.98494866876207599</v>
      </c>
      <c r="AQ174">
        <f t="shared" si="167"/>
        <v>1.5840461726980915E-3</v>
      </c>
      <c r="AR174">
        <f t="shared" si="168"/>
        <v>1.1432335120697681</v>
      </c>
      <c r="AS174">
        <f t="shared" si="169"/>
        <v>0.64325190510699104</v>
      </c>
      <c r="AT174" s="101">
        <f t="shared" si="176"/>
        <v>7.4248353436918899</v>
      </c>
      <c r="AU174" s="101">
        <f t="shared" si="176"/>
        <v>7.4248353436918899</v>
      </c>
      <c r="AV174" s="101">
        <f t="shared" si="176"/>
        <v>7.4248353436918899</v>
      </c>
      <c r="AW174" s="101">
        <f t="shared" si="176"/>
        <v>7.424835343691889</v>
      </c>
      <c r="AX174" s="101">
        <f t="shared" si="176"/>
        <v>7.4248353436912868</v>
      </c>
      <c r="AY174" s="101">
        <f t="shared" si="176"/>
        <v>7.4248353428600078</v>
      </c>
      <c r="AZ174" s="101">
        <f t="shared" si="176"/>
        <v>7.4248341951873078</v>
      </c>
      <c r="BA174" s="101">
        <f t="shared" si="170"/>
        <v>7.4232524424722577</v>
      </c>
    </row>
    <row r="175" spans="1:54">
      <c r="A175" s="131" t="s">
        <v>258</v>
      </c>
      <c r="B175" s="132" t="s">
        <v>87</v>
      </c>
      <c r="C175" s="149">
        <v>56714.272949999999</v>
      </c>
      <c r="D175" s="131">
        <v>2.0000000000000001E-4</v>
      </c>
      <c r="E175" s="101">
        <f t="shared" si="151"/>
        <v>36842.025662523905</v>
      </c>
      <c r="F175" s="101">
        <f t="shared" si="152"/>
        <v>36842</v>
      </c>
      <c r="G175" s="101">
        <f t="shared" si="171"/>
        <v>8.4661559958476573E-3</v>
      </c>
      <c r="H175" s="101"/>
      <c r="I175" s="101"/>
      <c r="K175" s="105">
        <f t="shared" si="153"/>
        <v>8.4661559958476573E-3</v>
      </c>
      <c r="L175" s="101"/>
      <c r="M175" s="101"/>
      <c r="N175" s="101"/>
      <c r="O175" s="101">
        <f t="shared" ca="1" si="172"/>
        <v>7.5713153085352203E-3</v>
      </c>
      <c r="P175" s="103">
        <f t="shared" si="154"/>
        <v>-2.0671444010179785E-2</v>
      </c>
      <c r="Q175" s="104">
        <f t="shared" si="155"/>
        <v>41695.772949999999</v>
      </c>
      <c r="R175" s="101">
        <f t="shared" si="156"/>
        <v>8.4899973411125043E-4</v>
      </c>
      <c r="S175" s="101">
        <v>1</v>
      </c>
      <c r="T175" s="221"/>
      <c r="U175" s="101"/>
      <c r="V175" s="101"/>
      <c r="W175" s="101"/>
      <c r="X175" s="101"/>
      <c r="Y175" s="101"/>
      <c r="Z175" s="101"/>
      <c r="AA175" s="101"/>
      <c r="AF175">
        <f t="shared" si="157"/>
        <v>36842</v>
      </c>
      <c r="AG175" s="101">
        <f t="shared" si="158"/>
        <v>8.140830796987842E-3</v>
      </c>
      <c r="AH175" s="101">
        <f t="shared" si="159"/>
        <v>-2.0346118811319969E-2</v>
      </c>
      <c r="AI175" s="101">
        <f t="shared" si="160"/>
        <v>2.9137600006027442E-2</v>
      </c>
      <c r="AJ175" s="101">
        <f t="shared" si="161"/>
        <v>3.2532519885981534E-4</v>
      </c>
      <c r="AK175" s="101">
        <f t="shared" si="162"/>
        <v>1.058364850131784E-7</v>
      </c>
      <c r="AL175">
        <f t="shared" si="163"/>
        <v>2.9137600006027442E-2</v>
      </c>
      <c r="AM175" s="195">
        <f t="shared" si="173"/>
        <v>1.058364850131784E-7</v>
      </c>
      <c r="AN175">
        <f t="shared" si="164"/>
        <v>2.8812274807167627E-2</v>
      </c>
      <c r="AO175">
        <f t="shared" si="165"/>
        <v>1.0007218094552428</v>
      </c>
      <c r="AP175">
        <f t="shared" si="166"/>
        <v>0.98494866876207599</v>
      </c>
      <c r="AQ175">
        <f t="shared" si="167"/>
        <v>1.5840461726980915E-3</v>
      </c>
      <c r="AR175">
        <f t="shared" si="168"/>
        <v>1.1432335120697681</v>
      </c>
      <c r="AS175">
        <f t="shared" si="169"/>
        <v>0.64325190510699104</v>
      </c>
      <c r="AT175" s="101">
        <f t="shared" si="176"/>
        <v>7.4248353436918899</v>
      </c>
      <c r="AU175" s="101">
        <f t="shared" si="176"/>
        <v>7.4248353436918899</v>
      </c>
      <c r="AV175" s="101">
        <f t="shared" si="176"/>
        <v>7.4248353436918899</v>
      </c>
      <c r="AW175" s="101">
        <f t="shared" si="176"/>
        <v>7.424835343691889</v>
      </c>
      <c r="AX175" s="101">
        <f t="shared" si="176"/>
        <v>7.4248353436912868</v>
      </c>
      <c r="AY175" s="101">
        <f t="shared" si="176"/>
        <v>7.4248353428600078</v>
      </c>
      <c r="AZ175" s="101">
        <f t="shared" si="176"/>
        <v>7.4248341951873078</v>
      </c>
      <c r="BA175" s="101">
        <f t="shared" si="170"/>
        <v>7.4232524424722577</v>
      </c>
    </row>
    <row r="176" spans="1:54">
      <c r="A176" s="154" t="s">
        <v>753</v>
      </c>
      <c r="B176" s="155" t="s">
        <v>86</v>
      </c>
      <c r="C176" s="156">
        <v>56943.384879999998</v>
      </c>
      <c r="D176" s="156">
        <v>1E-4</v>
      </c>
      <c r="E176" s="101">
        <f t="shared" si="151"/>
        <v>37536.507359446397</v>
      </c>
      <c r="F176" s="101">
        <f t="shared" si="152"/>
        <v>37536.5</v>
      </c>
      <c r="G176" s="101">
        <f t="shared" si="171"/>
        <v>2.4279069912154227E-3</v>
      </c>
      <c r="H176" s="101"/>
      <c r="I176" s="101"/>
      <c r="J176" s="101"/>
      <c r="K176" s="101">
        <f t="shared" si="153"/>
        <v>2.4279069912154227E-3</v>
      </c>
      <c r="M176" s="101"/>
      <c r="N176" s="101"/>
      <c r="O176" s="101">
        <f t="shared" ca="1" si="172"/>
        <v>5.3626769863574925E-3</v>
      </c>
      <c r="P176" s="103">
        <f t="shared" si="154"/>
        <v>-2.261065189506245E-2</v>
      </c>
      <c r="Q176" s="104">
        <f t="shared" si="155"/>
        <v>41924.884879999998</v>
      </c>
      <c r="R176" s="101">
        <f t="shared" si="156"/>
        <v>6.2692943110160464E-4</v>
      </c>
      <c r="S176" s="101">
        <v>1</v>
      </c>
      <c r="T176" s="221"/>
      <c r="U176" s="101"/>
      <c r="V176" s="101"/>
      <c r="W176" s="101"/>
      <c r="X176" s="101"/>
      <c r="Y176" s="101"/>
      <c r="Z176" s="101"/>
      <c r="AA176" s="101"/>
      <c r="AF176">
        <f t="shared" si="157"/>
        <v>37536.5</v>
      </c>
      <c r="AG176" s="101">
        <f t="shared" si="158"/>
        <v>5.9044066098724937E-3</v>
      </c>
      <c r="AH176" s="101">
        <f t="shared" si="159"/>
        <v>-2.6087151513719521E-2</v>
      </c>
      <c r="AI176" s="101">
        <f t="shared" si="160"/>
        <v>2.5038558886277873E-2</v>
      </c>
      <c r="AJ176" s="101">
        <f t="shared" si="161"/>
        <v>-3.476499618657071E-3</v>
      </c>
      <c r="AK176" s="101">
        <f t="shared" si="162"/>
        <v>1.208604959852276E-5</v>
      </c>
      <c r="AL176">
        <f t="shared" si="163"/>
        <v>2.5038558886277873E-2</v>
      </c>
      <c r="AM176" s="195">
        <f t="shared" si="173"/>
        <v>1.208604959852276E-5</v>
      </c>
      <c r="AN176">
        <f t="shared" si="164"/>
        <v>2.8515058504934944E-2</v>
      </c>
      <c r="AO176">
        <f t="shared" si="165"/>
        <v>1.0006389648493275</v>
      </c>
      <c r="AP176">
        <f t="shared" si="166"/>
        <v>0.974697456136288</v>
      </c>
      <c r="AQ176">
        <f t="shared" si="167"/>
        <v>1.6192390460464821E-3</v>
      </c>
      <c r="AR176">
        <f t="shared" si="168"/>
        <v>1.1949467608760433</v>
      </c>
      <c r="AS176">
        <f t="shared" si="169"/>
        <v>0.68043401434216111</v>
      </c>
      <c r="AT176" s="101">
        <f t="shared" si="176"/>
        <v>7.4765133452903578</v>
      </c>
      <c r="AU176" s="101">
        <f t="shared" si="176"/>
        <v>7.4765133452903578</v>
      </c>
      <c r="AV176" s="101">
        <f t="shared" si="176"/>
        <v>7.4765133452903578</v>
      </c>
      <c r="AW176" s="101">
        <f t="shared" si="176"/>
        <v>7.4765133452903578</v>
      </c>
      <c r="AX176" s="101">
        <f t="shared" si="176"/>
        <v>7.4765133452899297</v>
      </c>
      <c r="AY176" s="101">
        <f t="shared" si="176"/>
        <v>7.4765133446228953</v>
      </c>
      <c r="AZ176" s="101">
        <f t="shared" si="176"/>
        <v>7.47651230495741</v>
      </c>
      <c r="BA176" s="101">
        <f t="shared" si="170"/>
        <v>7.4748951426722234</v>
      </c>
    </row>
    <row r="177" spans="1:54">
      <c r="A177" s="154" t="s">
        <v>753</v>
      </c>
      <c r="B177" s="155" t="s">
        <v>86</v>
      </c>
      <c r="C177" s="156">
        <v>56943.387410000003</v>
      </c>
      <c r="D177" s="156">
        <v>2.0000000000000001E-4</v>
      </c>
      <c r="E177" s="101">
        <f t="shared" si="151"/>
        <v>37536.51502835608</v>
      </c>
      <c r="F177" s="101">
        <f t="shared" si="152"/>
        <v>37536.5</v>
      </c>
      <c r="G177" s="101">
        <f t="shared" si="171"/>
        <v>4.9579069964238442E-3</v>
      </c>
      <c r="H177" s="101"/>
      <c r="I177" s="101"/>
      <c r="J177" s="101"/>
      <c r="K177" s="101">
        <f t="shared" si="153"/>
        <v>4.9579069964238442E-3</v>
      </c>
      <c r="M177" s="101"/>
      <c r="N177" s="101"/>
      <c r="O177" s="101">
        <f t="shared" ca="1" si="172"/>
        <v>5.3626769863574925E-3</v>
      </c>
      <c r="P177" s="103">
        <f t="shared" si="154"/>
        <v>-2.261065189506245E-2</v>
      </c>
      <c r="Q177" s="104">
        <f t="shared" si="155"/>
        <v>41924.887410000003</v>
      </c>
      <c r="R177" s="101">
        <f t="shared" si="156"/>
        <v>7.6002543935334798E-4</v>
      </c>
      <c r="S177" s="101">
        <v>1</v>
      </c>
      <c r="T177" s="221"/>
      <c r="U177" s="101">
        <v>2.0749640797253678E-11</v>
      </c>
      <c r="V177" s="101">
        <v>9.5435352256746483E-20</v>
      </c>
      <c r="W177" s="101">
        <v>1.0318276911340781E-29</v>
      </c>
      <c r="X177" s="101">
        <v>3.0872323539576876E-11</v>
      </c>
      <c r="Y177" s="101">
        <v>1.1545678233206375E-6</v>
      </c>
      <c r="Z177" s="101">
        <v>2.750828385923452E-5</v>
      </c>
      <c r="AA177" s="101">
        <v>1.0990337659760214E-6</v>
      </c>
      <c r="AB177">
        <v>22.397388530923667</v>
      </c>
      <c r="AC177">
        <v>9.2677887154165795E-7</v>
      </c>
      <c r="AD177">
        <v>3.7411771872635317E-10</v>
      </c>
      <c r="AE177">
        <v>5.0588294674440449E-23</v>
      </c>
      <c r="AF177">
        <f t="shared" si="157"/>
        <v>37536.5</v>
      </c>
      <c r="AG177" s="101">
        <f t="shared" si="158"/>
        <v>5.9044066098724937E-3</v>
      </c>
      <c r="AH177" s="101">
        <f t="shared" si="159"/>
        <v>-2.35571515085111E-2</v>
      </c>
      <c r="AI177" s="101">
        <f t="shared" si="160"/>
        <v>2.7568558891486294E-2</v>
      </c>
      <c r="AJ177" s="101">
        <f t="shared" si="161"/>
        <v>-9.4649961344864947E-4</v>
      </c>
      <c r="AK177" s="101">
        <f t="shared" si="162"/>
        <v>8.9586151825844291E-7</v>
      </c>
      <c r="AL177">
        <f t="shared" si="163"/>
        <v>2.7568558891486294E-2</v>
      </c>
      <c r="AM177" s="195">
        <f t="shared" si="173"/>
        <v>8.9586151825844291E-7</v>
      </c>
      <c r="AN177">
        <f t="shared" si="164"/>
        <v>2.8515058504934944E-2</v>
      </c>
      <c r="AO177">
        <f t="shared" si="165"/>
        <v>1.0006389648493275</v>
      </c>
      <c r="AP177">
        <f t="shared" si="166"/>
        <v>0.974697456136288</v>
      </c>
      <c r="AQ177">
        <f t="shared" si="167"/>
        <v>1.6192390460464821E-3</v>
      </c>
      <c r="AR177">
        <f t="shared" si="168"/>
        <v>1.1949467608760433</v>
      </c>
      <c r="AS177">
        <f t="shared" si="169"/>
        <v>0.68043401434216111</v>
      </c>
      <c r="AT177" s="101">
        <f t="shared" si="176"/>
        <v>7.4765133452903578</v>
      </c>
      <c r="AU177" s="101">
        <f t="shared" si="176"/>
        <v>7.4765133452903578</v>
      </c>
      <c r="AV177" s="101">
        <f t="shared" si="176"/>
        <v>7.4765133452903578</v>
      </c>
      <c r="AW177" s="101">
        <f t="shared" si="176"/>
        <v>7.4765133452903578</v>
      </c>
      <c r="AX177" s="101">
        <f t="shared" si="176"/>
        <v>7.4765133452899297</v>
      </c>
      <c r="AY177" s="101">
        <f t="shared" si="176"/>
        <v>7.4765133446228953</v>
      </c>
      <c r="AZ177" s="101">
        <f t="shared" si="176"/>
        <v>7.47651230495741</v>
      </c>
      <c r="BA177" s="101">
        <f t="shared" si="170"/>
        <v>7.4748951426722234</v>
      </c>
    </row>
    <row r="178" spans="1:54">
      <c r="A178" s="154" t="s">
        <v>753</v>
      </c>
      <c r="B178" s="155" t="s">
        <v>86</v>
      </c>
      <c r="C178" s="156">
        <v>56943.38768</v>
      </c>
      <c r="D178" s="156">
        <v>1E-4</v>
      </c>
      <c r="E178" s="101">
        <f t="shared" si="151"/>
        <v>37536.515846777256</v>
      </c>
      <c r="F178" s="101">
        <f t="shared" si="152"/>
        <v>37536.5</v>
      </c>
      <c r="G178" s="101">
        <f t="shared" si="171"/>
        <v>5.2279069932410493E-3</v>
      </c>
      <c r="H178" s="101"/>
      <c r="I178" s="101"/>
      <c r="J178" s="101"/>
      <c r="K178" s="101">
        <f t="shared" si="153"/>
        <v>5.2279069932410493E-3</v>
      </c>
      <c r="M178" s="101"/>
      <c r="N178" s="101"/>
      <c r="O178" s="101">
        <f t="shared" ca="1" si="172"/>
        <v>5.3626769863574925E-3</v>
      </c>
      <c r="P178" s="103">
        <f t="shared" si="154"/>
        <v>-2.261065189506245E-2</v>
      </c>
      <c r="Q178" s="104">
        <f t="shared" si="155"/>
        <v>41924.88768</v>
      </c>
      <c r="R178" s="101">
        <f t="shared" si="156"/>
        <v>7.7498536097754176E-4</v>
      </c>
      <c r="S178" s="101">
        <v>1</v>
      </c>
      <c r="T178" s="221"/>
      <c r="U178" s="101"/>
      <c r="V178" s="101"/>
      <c r="W178" s="101"/>
      <c r="X178" s="101"/>
      <c r="Y178" s="101"/>
      <c r="Z178" s="101"/>
      <c r="AA178" s="101"/>
      <c r="AF178">
        <f t="shared" si="157"/>
        <v>37536.5</v>
      </c>
      <c r="AG178" s="101">
        <f t="shared" si="158"/>
        <v>5.9044066098724937E-3</v>
      </c>
      <c r="AH178" s="101">
        <f t="shared" si="159"/>
        <v>-2.3287151511693895E-2</v>
      </c>
      <c r="AI178" s="101">
        <f t="shared" si="160"/>
        <v>2.78385588883035E-2</v>
      </c>
      <c r="AJ178" s="101">
        <f t="shared" si="161"/>
        <v>-6.7649961663144437E-4</v>
      </c>
      <c r="AK178" s="101">
        <f t="shared" si="162"/>
        <v>4.5765173130249119E-7</v>
      </c>
      <c r="AL178">
        <f t="shared" si="163"/>
        <v>2.78385588883035E-2</v>
      </c>
      <c r="AM178" s="195">
        <f t="shared" si="173"/>
        <v>4.5765173130249119E-7</v>
      </c>
      <c r="AN178">
        <f t="shared" si="164"/>
        <v>2.8515058504934944E-2</v>
      </c>
      <c r="AO178">
        <f t="shared" si="165"/>
        <v>1.0006389648493275</v>
      </c>
      <c r="AP178">
        <f t="shared" si="166"/>
        <v>0.974697456136288</v>
      </c>
      <c r="AQ178">
        <f t="shared" si="167"/>
        <v>1.6192390460464821E-3</v>
      </c>
      <c r="AR178">
        <f t="shared" si="168"/>
        <v>1.1949467608760433</v>
      </c>
      <c r="AS178">
        <f t="shared" si="169"/>
        <v>0.68043401434216111</v>
      </c>
      <c r="AT178" s="101">
        <f t="shared" si="176"/>
        <v>7.4765133452903578</v>
      </c>
      <c r="AU178" s="101">
        <f t="shared" si="176"/>
        <v>7.4765133452903578</v>
      </c>
      <c r="AV178" s="101">
        <f t="shared" si="176"/>
        <v>7.4765133452903578</v>
      </c>
      <c r="AW178" s="101">
        <f t="shared" si="176"/>
        <v>7.4765133452903578</v>
      </c>
      <c r="AX178" s="101">
        <f t="shared" si="176"/>
        <v>7.4765133452899297</v>
      </c>
      <c r="AY178" s="101">
        <f t="shared" si="176"/>
        <v>7.4765133446228953</v>
      </c>
      <c r="AZ178" s="101">
        <f t="shared" si="176"/>
        <v>7.47651230495741</v>
      </c>
      <c r="BA178" s="101">
        <f t="shared" si="170"/>
        <v>7.4748951426722234</v>
      </c>
    </row>
    <row r="179" spans="1:54">
      <c r="A179" s="154" t="s">
        <v>753</v>
      </c>
      <c r="B179" s="155" t="s">
        <v>86</v>
      </c>
      <c r="C179" s="156">
        <v>56943.388140000003</v>
      </c>
      <c r="D179" s="156">
        <v>1E-4</v>
      </c>
      <c r="E179" s="101">
        <f t="shared" si="151"/>
        <v>37536.517241124478</v>
      </c>
      <c r="F179" s="101">
        <f t="shared" si="152"/>
        <v>37536.5</v>
      </c>
      <c r="G179" s="101">
        <f t="shared" si="171"/>
        <v>5.6879069961723872E-3</v>
      </c>
      <c r="H179" s="101"/>
      <c r="I179" s="101"/>
      <c r="J179" s="101"/>
      <c r="K179" s="101">
        <f t="shared" si="153"/>
        <v>5.6879069961723872E-3</v>
      </c>
      <c r="M179" s="101"/>
      <c r="N179" s="101"/>
      <c r="O179" s="101">
        <f t="shared" ca="1" si="172"/>
        <v>5.3626769863574925E-3</v>
      </c>
      <c r="P179" s="103">
        <f t="shared" si="154"/>
        <v>-2.261065189506245E-2</v>
      </c>
      <c r="Q179" s="104">
        <f t="shared" si="155"/>
        <v>41924.888140000003</v>
      </c>
      <c r="R179" s="101">
        <f t="shared" si="156"/>
        <v>8.0080843532068626E-4</v>
      </c>
      <c r="S179" s="101">
        <v>1</v>
      </c>
      <c r="T179" s="221"/>
      <c r="U179" s="101"/>
      <c r="V179" s="101"/>
      <c r="W179" s="101"/>
      <c r="X179" s="101"/>
      <c r="Y179" s="101"/>
      <c r="Z179" s="101"/>
      <c r="AA179" s="101"/>
      <c r="AF179">
        <f t="shared" si="157"/>
        <v>37536.5</v>
      </c>
      <c r="AG179" s="101">
        <f t="shared" si="158"/>
        <v>5.9044066098724937E-3</v>
      </c>
      <c r="AH179" s="101">
        <f t="shared" si="159"/>
        <v>-2.2827151508762557E-2</v>
      </c>
      <c r="AI179" s="101">
        <f t="shared" si="160"/>
        <v>2.8298558891234837E-2</v>
      </c>
      <c r="AJ179" s="101">
        <f t="shared" si="161"/>
        <v>-2.1649961370010656E-4</v>
      </c>
      <c r="AK179" s="101">
        <f t="shared" si="162"/>
        <v>4.687208273229537E-8</v>
      </c>
      <c r="AL179">
        <f t="shared" si="163"/>
        <v>2.8298558891234837E-2</v>
      </c>
      <c r="AM179" s="195">
        <f t="shared" si="173"/>
        <v>4.687208273229537E-8</v>
      </c>
      <c r="AN179">
        <f t="shared" si="164"/>
        <v>2.8515058504934944E-2</v>
      </c>
      <c r="AO179">
        <f t="shared" si="165"/>
        <v>1.0006389648493275</v>
      </c>
      <c r="AP179">
        <f t="shared" si="166"/>
        <v>0.974697456136288</v>
      </c>
      <c r="AQ179">
        <f t="shared" si="167"/>
        <v>1.6192390460464821E-3</v>
      </c>
      <c r="AR179">
        <f t="shared" si="168"/>
        <v>1.1949467608760433</v>
      </c>
      <c r="AS179">
        <f t="shared" si="169"/>
        <v>0.68043401434216111</v>
      </c>
      <c r="AT179" s="101">
        <f t="shared" si="176"/>
        <v>7.4765133452903578</v>
      </c>
      <c r="AU179" s="101">
        <f t="shared" si="176"/>
        <v>7.4765133452903578</v>
      </c>
      <c r="AV179" s="101">
        <f t="shared" si="176"/>
        <v>7.4765133452903578</v>
      </c>
      <c r="AW179" s="101">
        <f t="shared" si="176"/>
        <v>7.4765133452903578</v>
      </c>
      <c r="AX179" s="101">
        <f t="shared" si="176"/>
        <v>7.4765133452899297</v>
      </c>
      <c r="AY179" s="101">
        <f t="shared" si="176"/>
        <v>7.4765133446228953</v>
      </c>
      <c r="AZ179" s="101">
        <f t="shared" si="176"/>
        <v>7.47651230495741</v>
      </c>
      <c r="BA179" s="101">
        <f t="shared" si="170"/>
        <v>7.4748951426722234</v>
      </c>
      <c r="BB179" s="101"/>
    </row>
    <row r="180" spans="1:54">
      <c r="A180" s="154" t="s">
        <v>753</v>
      </c>
      <c r="B180" s="155" t="s">
        <v>86</v>
      </c>
      <c r="C180" s="156">
        <v>56985.284829999997</v>
      </c>
      <c r="D180" s="156">
        <v>2.0000000000000001E-4</v>
      </c>
      <c r="E180" s="101">
        <f t="shared" si="151"/>
        <v>37663.514051664337</v>
      </c>
      <c r="F180" s="101">
        <f t="shared" si="152"/>
        <v>37663.5</v>
      </c>
      <c r="G180" s="101">
        <f t="shared" si="171"/>
        <v>4.6356929888133891E-3</v>
      </c>
      <c r="H180" s="101"/>
      <c r="I180" s="101"/>
      <c r="J180" s="101"/>
      <c r="K180" s="101">
        <f t="shared" si="153"/>
        <v>4.6356929888133891E-3</v>
      </c>
      <c r="M180" s="101"/>
      <c r="N180" s="101"/>
      <c r="O180" s="101">
        <f t="shared" ca="1" si="172"/>
        <v>4.9587935206748951E-3</v>
      </c>
      <c r="P180" s="103">
        <f t="shared" si="154"/>
        <v>-2.29696325790779E-2</v>
      </c>
      <c r="Q180" s="104">
        <f t="shared" si="155"/>
        <v>41966.784829999997</v>
      </c>
      <c r="R180" s="101">
        <f t="shared" si="156"/>
        <v>7.6205399970927256E-4</v>
      </c>
      <c r="S180" s="101">
        <v>1</v>
      </c>
      <c r="T180" s="221"/>
      <c r="U180" s="101"/>
      <c r="V180" s="101"/>
      <c r="W180" s="101"/>
      <c r="X180" s="101"/>
      <c r="Y180" s="101"/>
      <c r="Z180" s="101"/>
      <c r="AA180" s="101"/>
      <c r="AF180">
        <f t="shared" si="157"/>
        <v>37663.5</v>
      </c>
      <c r="AG180" s="101">
        <f t="shared" si="158"/>
        <v>5.4828175566696974E-3</v>
      </c>
      <c r="AH180" s="101">
        <f t="shared" si="159"/>
        <v>-2.3816757146934209E-2</v>
      </c>
      <c r="AI180" s="101">
        <f t="shared" si="160"/>
        <v>2.760532556789129E-2</v>
      </c>
      <c r="AJ180" s="101">
        <f t="shared" si="161"/>
        <v>-8.471245678563083E-4</v>
      </c>
      <c r="AK180" s="101">
        <f t="shared" si="162"/>
        <v>7.176200334657371E-7</v>
      </c>
      <c r="AL180">
        <f t="shared" si="163"/>
        <v>2.760532556789129E-2</v>
      </c>
      <c r="AM180" s="195">
        <f t="shared" si="173"/>
        <v>7.176200334657371E-7</v>
      </c>
      <c r="AN180">
        <f t="shared" si="164"/>
        <v>2.8452450135747598E-2</v>
      </c>
      <c r="AO180">
        <f t="shared" si="165"/>
        <v>1.0006236255848397</v>
      </c>
      <c r="AP180">
        <f t="shared" si="166"/>
        <v>0.97254031397417973</v>
      </c>
      <c r="AQ180">
        <f t="shared" si="167"/>
        <v>1.625208385669552E-3</v>
      </c>
      <c r="AR180">
        <f t="shared" si="168"/>
        <v>1.2044023927031562</v>
      </c>
      <c r="AS180">
        <f t="shared" si="169"/>
        <v>0.68737313849649651</v>
      </c>
      <c r="AT180" s="101">
        <f t="shared" si="176"/>
        <v>7.4859629972268458</v>
      </c>
      <c r="AU180" s="101">
        <f t="shared" si="176"/>
        <v>7.4859629972268458</v>
      </c>
      <c r="AV180" s="101">
        <f t="shared" si="176"/>
        <v>7.4859629972268458</v>
      </c>
      <c r="AW180" s="101">
        <f t="shared" si="176"/>
        <v>7.4859629972268449</v>
      </c>
      <c r="AX180" s="101">
        <f t="shared" si="176"/>
        <v>7.4859629972264461</v>
      </c>
      <c r="AY180" s="101">
        <f t="shared" si="176"/>
        <v>7.4859629965884817</v>
      </c>
      <c r="AZ180" s="101">
        <f t="shared" si="176"/>
        <v>7.485961977909338</v>
      </c>
      <c r="BA180" s="101">
        <f t="shared" si="170"/>
        <v>7.4843388041918715</v>
      </c>
    </row>
    <row r="181" spans="1:54">
      <c r="A181" s="154" t="s">
        <v>753</v>
      </c>
      <c r="B181" s="155" t="s">
        <v>86</v>
      </c>
      <c r="C181" s="156">
        <v>56985.284899999999</v>
      </c>
      <c r="D181" s="156">
        <v>2.0000000000000001E-4</v>
      </c>
      <c r="E181" s="101">
        <f t="shared" ref="E181:E193" si="177">+(C181-C$7)/C$8</f>
        <v>37663.51426384761</v>
      </c>
      <c r="F181" s="101">
        <f t="shared" ref="F181:F193" si="178">ROUND(2*E181,0)/2</f>
        <v>37663.5</v>
      </c>
      <c r="G181" s="101">
        <f t="shared" si="171"/>
        <v>4.7056929906830192E-3</v>
      </c>
      <c r="H181" s="101"/>
      <c r="I181" s="101"/>
      <c r="J181" s="101"/>
      <c r="K181" s="101">
        <f t="shared" ref="K181:K193" si="179">G181</f>
        <v>4.7056929906830192E-3</v>
      </c>
      <c r="M181" s="101"/>
      <c r="N181" s="101"/>
      <c r="O181" s="101">
        <f t="shared" ca="1" si="172"/>
        <v>4.9587935206748951E-3</v>
      </c>
      <c r="P181" s="103">
        <f t="shared" ref="P181:P193" si="180">+D$11+D$12*F181+D$13*F181^2</f>
        <v>-2.29696325790779E-2</v>
      </c>
      <c r="Q181" s="104">
        <f t="shared" ref="Q181:Q193" si="181">+C181-15018.5</f>
        <v>41966.784899999999</v>
      </c>
      <c r="R181" s="101">
        <f t="shared" ref="R181:R193" si="182">+(P181-G181)^2</f>
        <v>7.6592364539226259E-4</v>
      </c>
      <c r="S181" s="101">
        <v>1</v>
      </c>
      <c r="T181" s="221"/>
      <c r="AF181">
        <f t="shared" ref="AF181:AF193" si="183">F181</f>
        <v>37663.5</v>
      </c>
      <c r="AG181" s="101">
        <f t="shared" ref="AG181:AG193" si="184">AH$3+AH$4*AF181+AH$5*AF181^2+AN181</f>
        <v>5.4828175566696974E-3</v>
      </c>
      <c r="AH181" s="101">
        <f t="shared" ref="AH181:AH193" si="185">IF(S181&lt;&gt;0,G181-AN181, -9999)</f>
        <v>-2.3746757145064579E-2</v>
      </c>
      <c r="AI181" s="101">
        <f t="shared" ref="AI181:AI193" si="186">+G181-P181</f>
        <v>2.767532556976092E-2</v>
      </c>
      <c r="AJ181" s="101">
        <f t="shared" ref="AJ181:AJ193" si="187">IF(S181&lt;&gt;0,G181-AG181, -9999)</f>
        <v>-7.7712456598667823E-4</v>
      </c>
      <c r="AK181" s="101">
        <f t="shared" ref="AK181:AK193" si="188">+(G181-AG181)^2*S181</f>
        <v>6.0392259105998301E-7</v>
      </c>
      <c r="AL181">
        <f t="shared" ref="AL181:AL193" si="189">IF(S181&lt;&gt;0,G181-P181, -9999)</f>
        <v>2.767532556976092E-2</v>
      </c>
      <c r="AM181" s="195">
        <f t="shared" si="173"/>
        <v>6.0392259105998301E-7</v>
      </c>
      <c r="AN181">
        <f t="shared" ref="AN181:AN193" si="190">$AH$6*($AH$11/AO181*AP181+$AH$12)</f>
        <v>2.8452450135747598E-2</v>
      </c>
      <c r="AO181">
        <f t="shared" ref="AO181:AO193" si="191">1+$AH$7*COS(AR181)</f>
        <v>1.0006236255848397</v>
      </c>
      <c r="AP181">
        <f t="shared" ref="AP181:AP193" si="192">SIN(AR181+RADIANS($AH$9))</f>
        <v>0.97254031397417973</v>
      </c>
      <c r="AQ181">
        <f t="shared" ref="AQ181:AQ193" si="193">$AH$7*SIN(AR181)</f>
        <v>1.625208385669552E-3</v>
      </c>
      <c r="AR181">
        <f t="shared" ref="AR181:AR193" si="194">2*ATAN(AS181)</f>
        <v>1.2044023927031562</v>
      </c>
      <c r="AS181">
        <f t="shared" ref="AS181:AS193" si="195">SQRT((1+$AH$7)/(1-$AH$7))*TAN(AT181/2)</f>
        <v>0.68737313849649651</v>
      </c>
      <c r="AT181" s="101">
        <f t="shared" ref="AT181:AZ190" si="196">$BA181+$AH$7*SIN(AU181)</f>
        <v>7.4859629972268458</v>
      </c>
      <c r="AU181" s="101">
        <f t="shared" si="196"/>
        <v>7.4859629972268458</v>
      </c>
      <c r="AV181" s="101">
        <f t="shared" si="196"/>
        <v>7.4859629972268458</v>
      </c>
      <c r="AW181" s="101">
        <f t="shared" si="196"/>
        <v>7.4859629972268449</v>
      </c>
      <c r="AX181" s="101">
        <f t="shared" si="196"/>
        <v>7.4859629972264461</v>
      </c>
      <c r="AY181" s="101">
        <f t="shared" si="196"/>
        <v>7.4859629965884817</v>
      </c>
      <c r="AZ181" s="101">
        <f t="shared" si="196"/>
        <v>7.485961977909338</v>
      </c>
      <c r="BA181" s="101">
        <f t="shared" ref="BA181:BA193" si="197">RADIANS($AH$9)+$AH$18*(F181-AH$15)</f>
        <v>7.4843388041918715</v>
      </c>
    </row>
    <row r="182" spans="1:54">
      <c r="A182" s="154" t="s">
        <v>753</v>
      </c>
      <c r="B182" s="155" t="s">
        <v>86</v>
      </c>
      <c r="C182" s="156">
        <v>56985.28501</v>
      </c>
      <c r="D182" s="156">
        <v>2.0000000000000001E-4</v>
      </c>
      <c r="E182" s="101">
        <f t="shared" si="177"/>
        <v>37663.514597278467</v>
      </c>
      <c r="F182" s="101">
        <f t="shared" si="178"/>
        <v>37663.5</v>
      </c>
      <c r="G182" s="101">
        <f t="shared" si="171"/>
        <v>4.8156929915421642E-3</v>
      </c>
      <c r="H182" s="101"/>
      <c r="I182" s="101"/>
      <c r="J182" s="101"/>
      <c r="K182" s="101">
        <f t="shared" si="179"/>
        <v>4.8156929915421642E-3</v>
      </c>
      <c r="M182" s="101"/>
      <c r="N182" s="101"/>
      <c r="O182" s="101">
        <f t="shared" ref="O182:O193" ca="1" si="198">+C$11+C$12*F182</f>
        <v>4.9587935206748951E-3</v>
      </c>
      <c r="P182" s="103">
        <f t="shared" si="180"/>
        <v>-2.29696325790779E-2</v>
      </c>
      <c r="Q182" s="104">
        <f t="shared" si="181"/>
        <v>41966.78501</v>
      </c>
      <c r="R182" s="101">
        <f t="shared" si="182"/>
        <v>7.720243170653532E-4</v>
      </c>
      <c r="S182" s="101">
        <v>1</v>
      </c>
      <c r="T182" s="221"/>
      <c r="AF182">
        <f t="shared" si="183"/>
        <v>37663.5</v>
      </c>
      <c r="AG182" s="101">
        <f t="shared" si="184"/>
        <v>5.4828175566696974E-3</v>
      </c>
      <c r="AH182" s="101">
        <f t="shared" si="185"/>
        <v>-2.3636757144205434E-2</v>
      </c>
      <c r="AI182" s="101">
        <f t="shared" si="186"/>
        <v>2.7785325570620065E-2</v>
      </c>
      <c r="AJ182" s="101">
        <f t="shared" si="187"/>
        <v>-6.6712456512753315E-4</v>
      </c>
      <c r="AK182" s="101">
        <f t="shared" si="188"/>
        <v>4.4505518539660025E-7</v>
      </c>
      <c r="AL182">
        <f t="shared" si="189"/>
        <v>2.7785325570620065E-2</v>
      </c>
      <c r="AM182" s="195">
        <f t="shared" si="173"/>
        <v>4.4505518539660025E-7</v>
      </c>
      <c r="AN182">
        <f t="shared" si="190"/>
        <v>2.8452450135747598E-2</v>
      </c>
      <c r="AO182">
        <f t="shared" si="191"/>
        <v>1.0006236255848397</v>
      </c>
      <c r="AP182">
        <f t="shared" si="192"/>
        <v>0.97254031397417973</v>
      </c>
      <c r="AQ182">
        <f t="shared" si="193"/>
        <v>1.625208385669552E-3</v>
      </c>
      <c r="AR182">
        <f t="shared" si="194"/>
        <v>1.2044023927031562</v>
      </c>
      <c r="AS182">
        <f t="shared" si="195"/>
        <v>0.68737313849649651</v>
      </c>
      <c r="AT182" s="101">
        <f t="shared" si="196"/>
        <v>7.4859629972268458</v>
      </c>
      <c r="AU182" s="101">
        <f t="shared" si="196"/>
        <v>7.4859629972268458</v>
      </c>
      <c r="AV182" s="101">
        <f t="shared" si="196"/>
        <v>7.4859629972268458</v>
      </c>
      <c r="AW182" s="101">
        <f t="shared" si="196"/>
        <v>7.4859629972268449</v>
      </c>
      <c r="AX182" s="101">
        <f t="shared" si="196"/>
        <v>7.4859629972264461</v>
      </c>
      <c r="AY182" s="101">
        <f t="shared" si="196"/>
        <v>7.4859629965884817</v>
      </c>
      <c r="AZ182" s="101">
        <f t="shared" si="196"/>
        <v>7.485961977909338</v>
      </c>
      <c r="BA182" s="101">
        <f t="shared" si="197"/>
        <v>7.4843388041918715</v>
      </c>
    </row>
    <row r="183" spans="1:54">
      <c r="A183" s="114" t="s">
        <v>751</v>
      </c>
      <c r="B183" s="123"/>
      <c r="C183" s="22">
        <v>57308.917699999998</v>
      </c>
      <c r="D183" s="22">
        <v>2.9999999999999997E-4</v>
      </c>
      <c r="E183" s="101">
        <f t="shared" si="177"/>
        <v>38644.506637853534</v>
      </c>
      <c r="F183" s="101">
        <f t="shared" si="178"/>
        <v>38644.5</v>
      </c>
      <c r="G183" s="101">
        <f t="shared" si="171"/>
        <v>2.1898509949096479E-3</v>
      </c>
      <c r="H183" s="101"/>
      <c r="I183" s="101"/>
      <c r="J183" s="101"/>
      <c r="K183" s="101">
        <f t="shared" si="179"/>
        <v>2.1898509949096479E-3</v>
      </c>
      <c r="M183" s="101"/>
      <c r="N183" s="101"/>
      <c r="O183" s="101">
        <f t="shared" ca="1" si="198"/>
        <v>1.8390322621344296E-3</v>
      </c>
      <c r="P183" s="103">
        <f t="shared" si="180"/>
        <v>-2.5788040179984012E-2</v>
      </c>
      <c r="Q183" s="104">
        <f t="shared" si="181"/>
        <v>42290.417699999998</v>
      </c>
      <c r="R183" s="101">
        <f t="shared" si="182"/>
        <v>7.827623945941925E-4</v>
      </c>
      <c r="S183" s="101">
        <v>1</v>
      </c>
      <c r="T183" s="221"/>
      <c r="U183" s="101"/>
      <c r="V183" s="101"/>
      <c r="W183" s="101"/>
      <c r="X183" s="101"/>
      <c r="Y183" s="101"/>
      <c r="Z183" s="101"/>
      <c r="AA183" s="101"/>
      <c r="AF183">
        <f t="shared" si="183"/>
        <v>38644.5</v>
      </c>
      <c r="AG183" s="101">
        <f t="shared" si="184"/>
        <v>2.0956955176781693E-3</v>
      </c>
      <c r="AH183" s="101">
        <f t="shared" si="185"/>
        <v>-2.5693884702752533E-2</v>
      </c>
      <c r="AI183" s="101">
        <f t="shared" si="186"/>
        <v>2.797789117489366E-2</v>
      </c>
      <c r="AJ183" s="101">
        <f t="shared" si="187"/>
        <v>9.4155477231478574E-5</v>
      </c>
      <c r="AK183" s="101">
        <f t="shared" si="188"/>
        <v>8.8652538926874804E-9</v>
      </c>
      <c r="AL183">
        <f t="shared" si="189"/>
        <v>2.797789117489366E-2</v>
      </c>
      <c r="AM183" s="195">
        <f t="shared" si="173"/>
        <v>8.8652538926874804E-9</v>
      </c>
      <c r="AN183">
        <f t="shared" si="190"/>
        <v>2.7883735697662181E-2</v>
      </c>
      <c r="AO183">
        <f t="shared" si="191"/>
        <v>1.0005033809611035</v>
      </c>
      <c r="AP183">
        <f t="shared" si="192"/>
        <v>0.95296671644434983</v>
      </c>
      <c r="AQ183">
        <f t="shared" si="193"/>
        <v>1.6663789409722828E-3</v>
      </c>
      <c r="AR183">
        <f t="shared" si="194"/>
        <v>1.2774317038134197</v>
      </c>
      <c r="AS183">
        <f t="shared" si="195"/>
        <v>0.74254971788277946</v>
      </c>
      <c r="AT183" s="101">
        <f t="shared" si="196"/>
        <v>7.5589510504817907</v>
      </c>
      <c r="AU183" s="101">
        <f t="shared" si="196"/>
        <v>7.5589510504817907</v>
      </c>
      <c r="AV183" s="101">
        <f t="shared" si="196"/>
        <v>7.5589510504817907</v>
      </c>
      <c r="AW183" s="101">
        <f t="shared" si="196"/>
        <v>7.5589510504817907</v>
      </c>
      <c r="AX183" s="101">
        <f t="shared" si="196"/>
        <v>7.558951050481574</v>
      </c>
      <c r="AY183" s="101">
        <f t="shared" si="196"/>
        <v>7.5589510500539197</v>
      </c>
      <c r="AZ183" s="101">
        <f t="shared" si="196"/>
        <v>7.558950205149368</v>
      </c>
      <c r="BA183" s="101">
        <f t="shared" si="197"/>
        <v>7.5572855124656879</v>
      </c>
    </row>
    <row r="184" spans="1:54">
      <c r="A184" s="154" t="s">
        <v>753</v>
      </c>
      <c r="B184" s="155" t="s">
        <v>86</v>
      </c>
      <c r="C184" s="156">
        <v>57402.280059999997</v>
      </c>
      <c r="D184" s="156">
        <v>1E-4</v>
      </c>
      <c r="E184" s="101">
        <f t="shared" si="177"/>
        <v>38927.505651486252</v>
      </c>
      <c r="F184" s="101">
        <f t="shared" si="178"/>
        <v>38927.5</v>
      </c>
      <c r="G184" s="101">
        <f t="shared" si="171"/>
        <v>1.86444499559002E-3</v>
      </c>
      <c r="H184" s="101"/>
      <c r="I184" s="101"/>
      <c r="J184" s="101"/>
      <c r="K184" s="101">
        <f t="shared" si="179"/>
        <v>1.86444499559002E-3</v>
      </c>
      <c r="M184" s="101"/>
      <c r="N184" s="101"/>
      <c r="O184" s="101">
        <f t="shared" ca="1" si="198"/>
        <v>9.3903997246373716E-4</v>
      </c>
      <c r="P184" s="103">
        <f t="shared" si="180"/>
        <v>-2.6616069528152368E-2</v>
      </c>
      <c r="Q184" s="104">
        <f t="shared" si="181"/>
        <v>42383.780059999997</v>
      </c>
      <c r="R184" s="101">
        <f t="shared" si="182"/>
        <v>8.1113970753710107E-4</v>
      </c>
      <c r="S184" s="101">
        <v>1</v>
      </c>
      <c r="T184" s="221"/>
      <c r="AF184">
        <f t="shared" si="183"/>
        <v>38927.5</v>
      </c>
      <c r="AG184" s="101">
        <f t="shared" si="184"/>
        <v>1.0758698222542891E-3</v>
      </c>
      <c r="AH184" s="101">
        <f t="shared" si="185"/>
        <v>-2.5827494354816637E-2</v>
      </c>
      <c r="AI184" s="101">
        <f t="shared" si="186"/>
        <v>2.8480514523742388E-2</v>
      </c>
      <c r="AJ184" s="101">
        <f t="shared" si="187"/>
        <v>7.8857517333573088E-4</v>
      </c>
      <c r="AK184" s="101">
        <f t="shared" si="188"/>
        <v>6.2185080400147805E-7</v>
      </c>
      <c r="AL184">
        <f t="shared" si="189"/>
        <v>2.8480514523742388E-2</v>
      </c>
      <c r="AM184" s="195">
        <f t="shared" si="173"/>
        <v>6.2185080400147805E-7</v>
      </c>
      <c r="AN184">
        <f t="shared" si="190"/>
        <v>2.7691939350406657E-2</v>
      </c>
      <c r="AO184">
        <f t="shared" si="191"/>
        <v>1.0004681707850549</v>
      </c>
      <c r="AP184">
        <f t="shared" si="192"/>
        <v>0.94637171756391358</v>
      </c>
      <c r="AQ184">
        <f t="shared" si="193"/>
        <v>1.6766118462358884E-3</v>
      </c>
      <c r="AR184">
        <f t="shared" si="194"/>
        <v>1.2984960000502237</v>
      </c>
      <c r="AS184">
        <f t="shared" si="195"/>
        <v>0.75901848803612315</v>
      </c>
      <c r="AT184" s="101">
        <f t="shared" si="196"/>
        <v>7.580005086885012</v>
      </c>
      <c r="AU184" s="101">
        <f t="shared" si="196"/>
        <v>7.580005086885012</v>
      </c>
      <c r="AV184" s="101">
        <f t="shared" si="196"/>
        <v>7.580005086885012</v>
      </c>
      <c r="AW184" s="101">
        <f t="shared" si="196"/>
        <v>7.580005086885012</v>
      </c>
      <c r="AX184" s="101">
        <f t="shared" si="196"/>
        <v>7.5800050868848361</v>
      </c>
      <c r="AY184" s="101">
        <f t="shared" si="196"/>
        <v>7.5800050865121671</v>
      </c>
      <c r="AZ184" s="101">
        <f t="shared" si="196"/>
        <v>7.5800042952514328</v>
      </c>
      <c r="BA184" s="101">
        <f t="shared" si="197"/>
        <v>7.5783292621512031</v>
      </c>
    </row>
    <row r="185" spans="1:54">
      <c r="A185" s="154" t="s">
        <v>753</v>
      </c>
      <c r="B185" s="155" t="s">
        <v>86</v>
      </c>
      <c r="C185" s="156">
        <v>57402.280169999998</v>
      </c>
      <c r="D185" s="156">
        <v>1E-4</v>
      </c>
      <c r="E185" s="101">
        <f t="shared" si="177"/>
        <v>38927.505984917108</v>
      </c>
      <c r="F185" s="101">
        <f t="shared" si="178"/>
        <v>38927.5</v>
      </c>
      <c r="G185" s="101">
        <f t="shared" si="171"/>
        <v>1.974444996449165E-3</v>
      </c>
      <c r="H185" s="101"/>
      <c r="I185" s="101"/>
      <c r="J185" s="101"/>
      <c r="K185" s="101">
        <f t="shared" si="179"/>
        <v>1.974444996449165E-3</v>
      </c>
      <c r="M185" s="101"/>
      <c r="N185" s="101"/>
      <c r="O185" s="101">
        <f t="shared" ca="1" si="198"/>
        <v>9.3903997246373716E-4</v>
      </c>
      <c r="P185" s="103">
        <f t="shared" si="180"/>
        <v>-2.6616069528152368E-2</v>
      </c>
      <c r="Q185" s="104">
        <f t="shared" si="181"/>
        <v>42383.780169999998</v>
      </c>
      <c r="R185" s="101">
        <f t="shared" si="182"/>
        <v>8.1741752078145124E-4</v>
      </c>
      <c r="S185" s="101">
        <v>1</v>
      </c>
      <c r="T185" s="221"/>
      <c r="AF185">
        <f t="shared" si="183"/>
        <v>38927.5</v>
      </c>
      <c r="AG185" s="101">
        <f t="shared" si="184"/>
        <v>1.0758698222542891E-3</v>
      </c>
      <c r="AH185" s="101">
        <f t="shared" si="185"/>
        <v>-2.5717494353957492E-2</v>
      </c>
      <c r="AI185" s="101">
        <f t="shared" si="186"/>
        <v>2.8590514524601533E-2</v>
      </c>
      <c r="AJ185" s="101">
        <f t="shared" si="187"/>
        <v>8.9857517419487595E-4</v>
      </c>
      <c r="AK185" s="101">
        <f t="shared" si="188"/>
        <v>8.0743734367935169E-7</v>
      </c>
      <c r="AL185">
        <f t="shared" si="189"/>
        <v>2.8590514524601533E-2</v>
      </c>
      <c r="AM185" s="195">
        <f t="shared" si="173"/>
        <v>8.0743734367935169E-7</v>
      </c>
      <c r="AN185">
        <f t="shared" si="190"/>
        <v>2.7691939350406657E-2</v>
      </c>
      <c r="AO185">
        <f t="shared" si="191"/>
        <v>1.0004681707850549</v>
      </c>
      <c r="AP185">
        <f t="shared" si="192"/>
        <v>0.94637171756391358</v>
      </c>
      <c r="AQ185">
        <f t="shared" si="193"/>
        <v>1.6766118462358884E-3</v>
      </c>
      <c r="AR185">
        <f t="shared" si="194"/>
        <v>1.2984960000502237</v>
      </c>
      <c r="AS185">
        <f t="shared" si="195"/>
        <v>0.75901848803612315</v>
      </c>
      <c r="AT185" s="101">
        <f t="shared" si="196"/>
        <v>7.580005086885012</v>
      </c>
      <c r="AU185" s="101">
        <f t="shared" si="196"/>
        <v>7.580005086885012</v>
      </c>
      <c r="AV185" s="101">
        <f t="shared" si="196"/>
        <v>7.580005086885012</v>
      </c>
      <c r="AW185" s="101">
        <f t="shared" si="196"/>
        <v>7.580005086885012</v>
      </c>
      <c r="AX185" s="101">
        <f t="shared" si="196"/>
        <v>7.5800050868848361</v>
      </c>
      <c r="AY185" s="101">
        <f t="shared" si="196"/>
        <v>7.5800050865121671</v>
      </c>
      <c r="AZ185" s="101">
        <f t="shared" si="196"/>
        <v>7.5800042952514328</v>
      </c>
      <c r="BA185" s="101">
        <f t="shared" si="197"/>
        <v>7.5783292621512031</v>
      </c>
    </row>
    <row r="186" spans="1:54">
      <c r="A186" s="154" t="s">
        <v>753</v>
      </c>
      <c r="B186" s="155" t="s">
        <v>86</v>
      </c>
      <c r="C186" s="156">
        <v>57657.623</v>
      </c>
      <c r="D186" s="156">
        <v>1E-4</v>
      </c>
      <c r="E186" s="101">
        <f t="shared" si="177"/>
        <v>39701.498512828657</v>
      </c>
      <c r="F186" s="101">
        <f t="shared" si="178"/>
        <v>39701.5</v>
      </c>
      <c r="G186" s="101">
        <f t="shared" si="171"/>
        <v>-4.9062300240620971E-4</v>
      </c>
      <c r="H186" s="101"/>
      <c r="I186" s="101"/>
      <c r="J186" s="101"/>
      <c r="K186" s="101">
        <f t="shared" si="179"/>
        <v>-4.9062300240620971E-4</v>
      </c>
      <c r="M186" s="101"/>
      <c r="N186" s="101"/>
      <c r="O186" s="101">
        <f t="shared" ca="1" si="198"/>
        <v>-1.5224230388617699E-3</v>
      </c>
      <c r="P186" s="103">
        <f t="shared" si="180"/>
        <v>-2.8914957197342404E-2</v>
      </c>
      <c r="Q186" s="104">
        <f t="shared" si="181"/>
        <v>42639.123</v>
      </c>
      <c r="R186" s="101">
        <f t="shared" si="182"/>
        <v>8.0794277442541905E-4</v>
      </c>
      <c r="S186" s="101">
        <v>1</v>
      </c>
      <c r="T186" s="221"/>
      <c r="AF186">
        <f t="shared" si="183"/>
        <v>39701.5</v>
      </c>
      <c r="AG186" s="101">
        <f t="shared" si="184"/>
        <v>-1.8099588379489953E-3</v>
      </c>
      <c r="AH186" s="101">
        <f t="shared" si="185"/>
        <v>-2.7595621361799619E-2</v>
      </c>
      <c r="AI186" s="101">
        <f t="shared" si="186"/>
        <v>2.8424334194936195E-2</v>
      </c>
      <c r="AJ186" s="101">
        <f t="shared" si="187"/>
        <v>1.3193358355427856E-3</v>
      </c>
      <c r="AK186" s="101">
        <f t="shared" si="188"/>
        <v>1.7406470469473802E-6</v>
      </c>
      <c r="AL186">
        <f t="shared" si="189"/>
        <v>2.8424334194936195E-2</v>
      </c>
      <c r="AM186" s="195">
        <f t="shared" si="173"/>
        <v>1.7406470469473802E-6</v>
      </c>
      <c r="AN186">
        <f t="shared" si="190"/>
        <v>2.7104998359393409E-2</v>
      </c>
      <c r="AO186">
        <f t="shared" si="191"/>
        <v>1.0003708700475011</v>
      </c>
      <c r="AP186">
        <f t="shared" si="192"/>
        <v>0.92620204719773624</v>
      </c>
      <c r="AQ186">
        <f t="shared" si="193"/>
        <v>1.7007841058711351E-3</v>
      </c>
      <c r="AR186">
        <f t="shared" si="194"/>
        <v>1.3560988592153287</v>
      </c>
      <c r="AS186">
        <f t="shared" si="195"/>
        <v>0.80544033859338182</v>
      </c>
      <c r="AT186" s="101">
        <f t="shared" si="196"/>
        <v>7.6375836967373107</v>
      </c>
      <c r="AU186" s="101">
        <f t="shared" si="196"/>
        <v>7.6375836967373107</v>
      </c>
      <c r="AV186" s="101">
        <f t="shared" si="196"/>
        <v>7.6375836967373107</v>
      </c>
      <c r="AW186" s="101">
        <f t="shared" si="196"/>
        <v>7.6375836967373107</v>
      </c>
      <c r="AX186" s="101">
        <f t="shared" si="196"/>
        <v>7.6375836967372219</v>
      </c>
      <c r="AY186" s="101">
        <f t="shared" si="196"/>
        <v>7.6375836964988846</v>
      </c>
      <c r="AZ186" s="101">
        <f t="shared" si="196"/>
        <v>7.6375830588292359</v>
      </c>
      <c r="BA186" s="101">
        <f t="shared" si="197"/>
        <v>7.6358835457433889</v>
      </c>
      <c r="BB186" s="101"/>
    </row>
    <row r="187" spans="1:54">
      <c r="A187" s="154" t="s">
        <v>753</v>
      </c>
      <c r="B187" s="155" t="s">
        <v>86</v>
      </c>
      <c r="C187" s="156">
        <v>57657.623440000003</v>
      </c>
      <c r="D187" s="156">
        <v>2.0000000000000001E-4</v>
      </c>
      <c r="E187" s="101">
        <f t="shared" si="177"/>
        <v>39701.499846552084</v>
      </c>
      <c r="F187" s="101">
        <f t="shared" si="178"/>
        <v>39701.5</v>
      </c>
      <c r="G187" s="101">
        <f t="shared" si="171"/>
        <v>-5.0622998969629407E-5</v>
      </c>
      <c r="H187" s="101"/>
      <c r="I187" s="101"/>
      <c r="J187" s="101"/>
      <c r="K187" s="101">
        <f t="shared" si="179"/>
        <v>-5.0622998969629407E-5</v>
      </c>
      <c r="M187" s="101"/>
      <c r="N187" s="101"/>
      <c r="O187" s="101">
        <f t="shared" ca="1" si="198"/>
        <v>-1.5224230388617699E-3</v>
      </c>
      <c r="P187" s="103">
        <f t="shared" si="180"/>
        <v>-2.8914957197342404E-2</v>
      </c>
      <c r="Q187" s="104">
        <f t="shared" si="181"/>
        <v>42639.123440000003</v>
      </c>
      <c r="R187" s="101">
        <f t="shared" si="182"/>
        <v>8.3314978871535208E-4</v>
      </c>
      <c r="S187" s="101">
        <v>1</v>
      </c>
      <c r="T187" s="221"/>
      <c r="U187">
        <v>7.9391838775771154E-12</v>
      </c>
      <c r="V187">
        <v>1.2097026032273743E-19</v>
      </c>
      <c r="W187">
        <v>2.4862473328827206E-29</v>
      </c>
      <c r="X187">
        <v>3.8466838395108255E-11</v>
      </c>
      <c r="Y187">
        <v>1.1900352714860919E-5</v>
      </c>
      <c r="Z187">
        <v>5.0069077656012864E-5</v>
      </c>
      <c r="AA187">
        <v>8.6054472213414211E-6</v>
      </c>
      <c r="AB187">
        <v>153.18568796364119</v>
      </c>
      <c r="AC187">
        <v>1.1547641703715387E-6</v>
      </c>
      <c r="AD187">
        <v>5.076562711428497E-10</v>
      </c>
      <c r="AE187">
        <v>1.2189536469142521E-22</v>
      </c>
      <c r="AF187">
        <f t="shared" si="183"/>
        <v>39701.5</v>
      </c>
      <c r="AG187" s="101">
        <f t="shared" si="184"/>
        <v>-1.8099588379489953E-3</v>
      </c>
      <c r="AH187" s="101">
        <f t="shared" si="185"/>
        <v>-2.7155621358363038E-2</v>
      </c>
      <c r="AI187" s="101">
        <f t="shared" si="186"/>
        <v>2.8864334198372775E-2</v>
      </c>
      <c r="AJ187" s="101">
        <f t="shared" si="187"/>
        <v>1.7593358389793659E-3</v>
      </c>
      <c r="AK187" s="101">
        <f t="shared" si="188"/>
        <v>3.0952625943172294E-6</v>
      </c>
      <c r="AL187">
        <f t="shared" si="189"/>
        <v>2.8864334198372775E-2</v>
      </c>
      <c r="AM187" s="195">
        <f t="shared" si="173"/>
        <v>3.0952625943172294E-6</v>
      </c>
      <c r="AN187">
        <f t="shared" si="190"/>
        <v>2.7104998359393409E-2</v>
      </c>
      <c r="AO187">
        <f t="shared" si="191"/>
        <v>1.0003708700475011</v>
      </c>
      <c r="AP187">
        <f t="shared" si="192"/>
        <v>0.92620204719773624</v>
      </c>
      <c r="AQ187">
        <f t="shared" si="193"/>
        <v>1.7007841058711351E-3</v>
      </c>
      <c r="AR187">
        <f t="shared" si="194"/>
        <v>1.3560988592153287</v>
      </c>
      <c r="AS187">
        <f t="shared" si="195"/>
        <v>0.80544033859338182</v>
      </c>
      <c r="AT187" s="101">
        <f t="shared" si="196"/>
        <v>7.6375836967373107</v>
      </c>
      <c r="AU187" s="101">
        <f t="shared" si="196"/>
        <v>7.6375836967373107</v>
      </c>
      <c r="AV187" s="101">
        <f t="shared" si="196"/>
        <v>7.6375836967373107</v>
      </c>
      <c r="AW187" s="101">
        <f t="shared" si="196"/>
        <v>7.6375836967373107</v>
      </c>
      <c r="AX187" s="101">
        <f t="shared" si="196"/>
        <v>7.6375836967372219</v>
      </c>
      <c r="AY187" s="101">
        <f t="shared" si="196"/>
        <v>7.6375836964988846</v>
      </c>
      <c r="AZ187" s="101">
        <f t="shared" si="196"/>
        <v>7.6375830588292359</v>
      </c>
      <c r="BA187" s="101">
        <f t="shared" si="197"/>
        <v>7.6358835457433889</v>
      </c>
    </row>
    <row r="188" spans="1:54">
      <c r="A188" s="154" t="s">
        <v>753</v>
      </c>
      <c r="B188" s="155" t="s">
        <v>86</v>
      </c>
      <c r="C188" s="156">
        <v>57657.623500000002</v>
      </c>
      <c r="D188" s="156">
        <v>1E-4</v>
      </c>
      <c r="E188" s="101">
        <f t="shared" si="177"/>
        <v>39701.500028423456</v>
      </c>
      <c r="F188" s="101">
        <f t="shared" si="178"/>
        <v>39701.5</v>
      </c>
      <c r="G188" s="101">
        <f t="shared" si="171"/>
        <v>9.3769995146431029E-6</v>
      </c>
      <c r="H188" s="101"/>
      <c r="I188" s="101"/>
      <c r="J188" s="101"/>
      <c r="K188" s="101">
        <f t="shared" si="179"/>
        <v>9.3769995146431029E-6</v>
      </c>
      <c r="M188" s="101"/>
      <c r="N188" s="101"/>
      <c r="O188" s="101">
        <f t="shared" ca="1" si="198"/>
        <v>-1.5224230388617699E-3</v>
      </c>
      <c r="P188" s="103">
        <f t="shared" si="180"/>
        <v>-2.8914957197342404E-2</v>
      </c>
      <c r="Q188" s="104">
        <f t="shared" si="181"/>
        <v>42639.123500000002</v>
      </c>
      <c r="R188" s="101">
        <f t="shared" si="182"/>
        <v>8.3661710873147402E-4</v>
      </c>
      <c r="S188" s="101">
        <v>1</v>
      </c>
      <c r="T188" s="221"/>
      <c r="AF188">
        <f t="shared" si="183"/>
        <v>39701.5</v>
      </c>
      <c r="AG188" s="101">
        <f t="shared" si="184"/>
        <v>-1.8099588379489953E-3</v>
      </c>
      <c r="AH188" s="101">
        <f t="shared" si="185"/>
        <v>-2.7095621359878766E-2</v>
      </c>
      <c r="AI188" s="101">
        <f t="shared" si="186"/>
        <v>2.8924334196857047E-2</v>
      </c>
      <c r="AJ188" s="101">
        <f t="shared" si="187"/>
        <v>1.8193358374636384E-3</v>
      </c>
      <c r="AK188" s="101">
        <f t="shared" si="188"/>
        <v>3.3099828894795186E-6</v>
      </c>
      <c r="AL188">
        <f t="shared" si="189"/>
        <v>2.8924334196857047E-2</v>
      </c>
      <c r="AM188" s="195">
        <f t="shared" si="173"/>
        <v>3.3099828894795186E-6</v>
      </c>
      <c r="AN188">
        <f t="shared" si="190"/>
        <v>2.7104998359393409E-2</v>
      </c>
      <c r="AO188">
        <f t="shared" si="191"/>
        <v>1.0003708700475011</v>
      </c>
      <c r="AP188">
        <f t="shared" si="192"/>
        <v>0.92620204719773624</v>
      </c>
      <c r="AQ188">
        <f t="shared" si="193"/>
        <v>1.7007841058711351E-3</v>
      </c>
      <c r="AR188">
        <f t="shared" si="194"/>
        <v>1.3560988592153287</v>
      </c>
      <c r="AS188">
        <f t="shared" si="195"/>
        <v>0.80544033859338182</v>
      </c>
      <c r="AT188" s="101">
        <f t="shared" si="196"/>
        <v>7.6375836967373107</v>
      </c>
      <c r="AU188" s="101">
        <f t="shared" si="196"/>
        <v>7.6375836967373107</v>
      </c>
      <c r="AV188" s="101">
        <f t="shared" si="196"/>
        <v>7.6375836967373107</v>
      </c>
      <c r="AW188" s="101">
        <f t="shared" si="196"/>
        <v>7.6375836967373107</v>
      </c>
      <c r="AX188" s="101">
        <f t="shared" si="196"/>
        <v>7.6375836967372219</v>
      </c>
      <c r="AY188" s="101">
        <f t="shared" si="196"/>
        <v>7.6375836964988846</v>
      </c>
      <c r="AZ188" s="101">
        <f t="shared" si="196"/>
        <v>7.6375830588292359</v>
      </c>
      <c r="BA188" s="101">
        <f t="shared" si="197"/>
        <v>7.6358835457433889</v>
      </c>
    </row>
    <row r="189" spans="1:54">
      <c r="A189" s="154" t="s">
        <v>753</v>
      </c>
      <c r="B189" s="155" t="s">
        <v>86</v>
      </c>
      <c r="C189" s="156">
        <v>57657.623970000001</v>
      </c>
      <c r="D189" s="156">
        <v>2.9999999999999997E-4</v>
      </c>
      <c r="E189" s="101">
        <f t="shared" si="177"/>
        <v>39701.501453082557</v>
      </c>
      <c r="F189" s="101">
        <f t="shared" si="178"/>
        <v>39701.5</v>
      </c>
      <c r="G189" s="101">
        <f t="shared" si="171"/>
        <v>4.7937699855538085E-4</v>
      </c>
      <c r="H189" s="101"/>
      <c r="I189" s="101"/>
      <c r="J189" s="101"/>
      <c r="K189" s="101">
        <f t="shared" si="179"/>
        <v>4.7937699855538085E-4</v>
      </c>
      <c r="M189" s="101"/>
      <c r="N189" s="101"/>
      <c r="O189" s="101">
        <f t="shared" ca="1" si="198"/>
        <v>-1.5224230388617699E-3</v>
      </c>
      <c r="P189" s="103">
        <f t="shared" si="180"/>
        <v>-2.8914957197342404E-2</v>
      </c>
      <c r="Q189" s="104">
        <f t="shared" si="181"/>
        <v>42639.123970000001</v>
      </c>
      <c r="R189" s="101">
        <f t="shared" si="182"/>
        <v>8.6402688282012587E-4</v>
      </c>
      <c r="S189" s="101">
        <v>1</v>
      </c>
      <c r="T189" s="221"/>
      <c r="AF189">
        <f t="shared" si="183"/>
        <v>39701.5</v>
      </c>
      <c r="AG189" s="101">
        <f t="shared" si="184"/>
        <v>-1.8099588379489953E-3</v>
      </c>
      <c r="AH189" s="101">
        <f t="shared" si="185"/>
        <v>-2.6625621360838028E-2</v>
      </c>
      <c r="AI189" s="101">
        <f t="shared" si="186"/>
        <v>2.9394334195897785E-2</v>
      </c>
      <c r="AJ189" s="101">
        <f t="shared" si="187"/>
        <v>2.2893358365043762E-3</v>
      </c>
      <c r="AK189" s="101">
        <f t="shared" si="188"/>
        <v>5.2410585723031918E-6</v>
      </c>
      <c r="AL189">
        <f t="shared" si="189"/>
        <v>2.9394334195897785E-2</v>
      </c>
      <c r="AM189" s="195">
        <f t="shared" si="173"/>
        <v>5.2410585723031918E-6</v>
      </c>
      <c r="AN189">
        <f t="shared" si="190"/>
        <v>2.7104998359393409E-2</v>
      </c>
      <c r="AO189">
        <f t="shared" si="191"/>
        <v>1.0003708700475011</v>
      </c>
      <c r="AP189">
        <f t="shared" si="192"/>
        <v>0.92620204719773624</v>
      </c>
      <c r="AQ189">
        <f t="shared" si="193"/>
        <v>1.7007841058711351E-3</v>
      </c>
      <c r="AR189">
        <f t="shared" si="194"/>
        <v>1.3560988592153287</v>
      </c>
      <c r="AS189">
        <f t="shared" si="195"/>
        <v>0.80544033859338182</v>
      </c>
      <c r="AT189" s="101">
        <f t="shared" si="196"/>
        <v>7.6375836967373107</v>
      </c>
      <c r="AU189" s="101">
        <f t="shared" si="196"/>
        <v>7.6375836967373107</v>
      </c>
      <c r="AV189" s="101">
        <f t="shared" si="196"/>
        <v>7.6375836967373107</v>
      </c>
      <c r="AW189" s="101">
        <f t="shared" si="196"/>
        <v>7.6375836967373107</v>
      </c>
      <c r="AX189" s="101">
        <f t="shared" si="196"/>
        <v>7.6375836967372219</v>
      </c>
      <c r="AY189" s="101">
        <f t="shared" si="196"/>
        <v>7.6375836964988846</v>
      </c>
      <c r="AZ189" s="101">
        <f t="shared" si="196"/>
        <v>7.6375830588292359</v>
      </c>
      <c r="BA189" s="101">
        <f t="shared" si="197"/>
        <v>7.6358835457433889</v>
      </c>
      <c r="BB189" s="101"/>
    </row>
    <row r="190" spans="1:54">
      <c r="A190" s="114" t="s">
        <v>752</v>
      </c>
      <c r="B190" s="5"/>
      <c r="C190" s="26">
        <v>57672.798000000003</v>
      </c>
      <c r="D190" s="26">
        <v>2.0000000000000001E-4</v>
      </c>
      <c r="E190" s="101">
        <f t="shared" si="177"/>
        <v>39747.496814841128</v>
      </c>
      <c r="F190" s="101">
        <f t="shared" si="178"/>
        <v>39747.5</v>
      </c>
      <c r="G190" s="101">
        <f t="shared" si="171"/>
        <v>-1.0507949991733767E-3</v>
      </c>
      <c r="H190" s="101"/>
      <c r="I190" s="101"/>
      <c r="J190" s="101"/>
      <c r="K190" s="101">
        <f t="shared" si="179"/>
        <v>-1.0507949991733767E-3</v>
      </c>
      <c r="M190" s="101"/>
      <c r="N190" s="101"/>
      <c r="O190" s="101">
        <f t="shared" ca="1" si="198"/>
        <v>-1.6687115382428841E-3</v>
      </c>
      <c r="P190" s="103">
        <f t="shared" si="180"/>
        <v>-2.9053162353172492E-2</v>
      </c>
      <c r="Q190" s="104">
        <f t="shared" si="181"/>
        <v>42654.298000000003</v>
      </c>
      <c r="R190" s="101">
        <f t="shared" si="182"/>
        <v>7.8413257742831544E-4</v>
      </c>
      <c r="S190" s="101">
        <v>1</v>
      </c>
      <c r="T190" s="221"/>
      <c r="U190" s="101"/>
      <c r="V190" s="101"/>
      <c r="W190" s="101"/>
      <c r="X190" s="101"/>
      <c r="Y190" s="101"/>
      <c r="Z190" s="101"/>
      <c r="AA190" s="101"/>
      <c r="AF190">
        <f t="shared" si="183"/>
        <v>39747.5</v>
      </c>
      <c r="AG190" s="101">
        <f t="shared" si="184"/>
        <v>-1.9858937714888301E-3</v>
      </c>
      <c r="AH190" s="101">
        <f t="shared" si="185"/>
        <v>-2.8118063580857038E-2</v>
      </c>
      <c r="AI190" s="101">
        <f t="shared" si="186"/>
        <v>2.8002367353999115E-2</v>
      </c>
      <c r="AJ190" s="101">
        <f t="shared" si="187"/>
        <v>9.3509877231545344E-4</v>
      </c>
      <c r="AK190" s="101">
        <f t="shared" si="188"/>
        <v>8.7440971398586824E-7</v>
      </c>
      <c r="AL190">
        <f t="shared" si="189"/>
        <v>2.8002367353999115E-2</v>
      </c>
      <c r="AM190" s="195">
        <f t="shared" si="173"/>
        <v>8.7440971398586824E-7</v>
      </c>
      <c r="AN190">
        <f t="shared" si="190"/>
        <v>2.7067268581683662E-2</v>
      </c>
      <c r="AO190">
        <f t="shared" si="191"/>
        <v>1.0003650459794793</v>
      </c>
      <c r="AP190">
        <f t="shared" si="192"/>
        <v>0.92490603092220058</v>
      </c>
      <c r="AQ190">
        <f t="shared" si="193"/>
        <v>1.7020436539006553E-3</v>
      </c>
      <c r="AR190">
        <f t="shared" si="194"/>
        <v>1.3595219312872875</v>
      </c>
      <c r="AS190">
        <f t="shared" si="195"/>
        <v>0.80826610467735394</v>
      </c>
      <c r="AT190" s="101">
        <f t="shared" si="196"/>
        <v>7.6410055045401286</v>
      </c>
      <c r="AU190" s="101">
        <f t="shared" si="196"/>
        <v>7.6410055045401286</v>
      </c>
      <c r="AV190" s="101">
        <f t="shared" si="196"/>
        <v>7.6410055045401286</v>
      </c>
      <c r="AW190" s="101">
        <f t="shared" si="196"/>
        <v>7.6410055045401286</v>
      </c>
      <c r="AX190" s="101">
        <f t="shared" si="196"/>
        <v>7.6410055045400433</v>
      </c>
      <c r="AY190" s="101">
        <f t="shared" si="196"/>
        <v>7.6410055043088825</v>
      </c>
      <c r="AZ190" s="101">
        <f t="shared" si="196"/>
        <v>7.6410048760541134</v>
      </c>
      <c r="BA190" s="101">
        <f t="shared" si="197"/>
        <v>7.6393040845615285</v>
      </c>
    </row>
    <row r="191" spans="1:54">
      <c r="A191" s="157" t="s">
        <v>54</v>
      </c>
      <c r="B191" s="158" t="s">
        <v>87</v>
      </c>
      <c r="C191" s="157">
        <v>57705.292699999998</v>
      </c>
      <c r="D191" s="157" t="s">
        <v>755</v>
      </c>
      <c r="E191" s="101">
        <f t="shared" si="177"/>
        <v>39845.994411177489</v>
      </c>
      <c r="F191" s="101">
        <f t="shared" si="178"/>
        <v>39846</v>
      </c>
      <c r="G191" s="101">
        <f t="shared" si="171"/>
        <v>-1.8437720063957386E-3</v>
      </c>
      <c r="H191" s="101"/>
      <c r="I191" s="101"/>
      <c r="J191" s="101"/>
      <c r="K191" s="101">
        <f t="shared" si="179"/>
        <v>-1.8437720063957386E-3</v>
      </c>
      <c r="M191" s="101"/>
      <c r="N191" s="101"/>
      <c r="O191" s="101">
        <f t="shared" ca="1" si="198"/>
        <v>-1.9819597380045795E-3</v>
      </c>
      <c r="P191" s="103">
        <f t="shared" si="180"/>
        <v>-2.9349697381747357E-2</v>
      </c>
      <c r="Q191" s="104">
        <f t="shared" si="181"/>
        <v>42686.792699999998</v>
      </c>
      <c r="R191" s="101">
        <f t="shared" si="182"/>
        <v>7.5657593075441202E-4</v>
      </c>
      <c r="S191" s="101">
        <v>1</v>
      </c>
      <c r="T191" s="221"/>
      <c r="U191">
        <v>6.64083743434987E-12</v>
      </c>
      <c r="V191">
        <v>1.2423795794229146E-19</v>
      </c>
      <c r="W191">
        <v>2.618879509649447E-29</v>
      </c>
      <c r="X191">
        <v>3.873272633101533E-11</v>
      </c>
      <c r="Y191">
        <v>1.3180233523399549E-5</v>
      </c>
      <c r="Z191">
        <v>5.2644317555190876E-5</v>
      </c>
      <c r="AA191">
        <v>9.1133767800533706E-6</v>
      </c>
      <c r="AB191">
        <v>167.47565696983153</v>
      </c>
      <c r="AC191">
        <v>1.162746054886088E-6</v>
      </c>
      <c r="AD191">
        <v>5.1658962988539948E-10</v>
      </c>
      <c r="AE191">
        <v>1.2839803534028203E-22</v>
      </c>
      <c r="AF191">
        <f t="shared" si="183"/>
        <v>39846</v>
      </c>
      <c r="AG191" s="101">
        <f t="shared" si="184"/>
        <v>-2.3642843044401618E-3</v>
      </c>
      <c r="AH191" s="101">
        <f t="shared" si="185"/>
        <v>-2.8829185083702934E-2</v>
      </c>
      <c r="AI191" s="101">
        <f t="shared" si="186"/>
        <v>2.7505925375351618E-2</v>
      </c>
      <c r="AJ191" s="101">
        <f t="shared" si="187"/>
        <v>5.2051229804442323E-4</v>
      </c>
      <c r="AK191" s="101">
        <f t="shared" si="188"/>
        <v>2.7093305241548645E-7</v>
      </c>
      <c r="AL191">
        <f t="shared" si="189"/>
        <v>2.7505925375351618E-2</v>
      </c>
      <c r="AM191" s="195">
        <f t="shared" si="173"/>
        <v>2.7093305241548645E-7</v>
      </c>
      <c r="AN191">
        <f t="shared" si="190"/>
        <v>2.6985413077307195E-2</v>
      </c>
      <c r="AO191">
        <f t="shared" si="191"/>
        <v>1.000352560807422</v>
      </c>
      <c r="AP191">
        <f t="shared" si="192"/>
        <v>0.92209448796682658</v>
      </c>
      <c r="AQ191">
        <f t="shared" si="193"/>
        <v>1.7046735886929796E-3</v>
      </c>
      <c r="AR191">
        <f t="shared" si="194"/>
        <v>1.3668516362621419</v>
      </c>
      <c r="AS191">
        <f t="shared" si="195"/>
        <v>0.81434321232764584</v>
      </c>
      <c r="AT191" s="101">
        <f t="shared" ref="AT191:AZ193" si="199">$BA191+$AH$7*SIN(AU191)</f>
        <v>7.648332569422279</v>
      </c>
      <c r="AU191" s="101">
        <f t="shared" si="199"/>
        <v>7.648332569422279</v>
      </c>
      <c r="AV191" s="101">
        <f t="shared" si="199"/>
        <v>7.648332569422279</v>
      </c>
      <c r="AW191" s="101">
        <f t="shared" si="199"/>
        <v>7.648332569422279</v>
      </c>
      <c r="AX191" s="101">
        <f t="shared" si="199"/>
        <v>7.6483325694222017</v>
      </c>
      <c r="AY191" s="101">
        <f t="shared" si="199"/>
        <v>7.6483325692060795</v>
      </c>
      <c r="AZ191" s="101">
        <f t="shared" si="199"/>
        <v>7.6483319612098812</v>
      </c>
      <c r="BA191" s="101">
        <f t="shared" si="197"/>
        <v>7.64662849920472</v>
      </c>
    </row>
    <row r="192" spans="1:54">
      <c r="A192" s="114" t="s">
        <v>754</v>
      </c>
      <c r="B192" s="5"/>
      <c r="C192" s="26">
        <v>58002.86</v>
      </c>
      <c r="D192" s="26">
        <v>4.0000000000000002E-4</v>
      </c>
      <c r="E192" s="101">
        <f t="shared" si="177"/>
        <v>40747.977312952389</v>
      </c>
      <c r="F192" s="101">
        <f t="shared" si="178"/>
        <v>40748</v>
      </c>
      <c r="G192" s="101">
        <f t="shared" si="171"/>
        <v>-7.4845360068138689E-3</v>
      </c>
      <c r="H192" s="101"/>
      <c r="I192" s="101"/>
      <c r="J192" s="101"/>
      <c r="K192" s="101">
        <f t="shared" si="179"/>
        <v>-7.4845360068138689E-3</v>
      </c>
      <c r="M192" s="101"/>
      <c r="N192" s="101"/>
      <c r="O192" s="101">
        <f t="shared" ca="1" si="198"/>
        <v>-4.8504863997818337E-3</v>
      </c>
      <c r="P192" s="103">
        <f t="shared" si="180"/>
        <v>-3.2102947269935012E-2</v>
      </c>
      <c r="Q192" s="104">
        <f t="shared" si="181"/>
        <v>42984.36</v>
      </c>
      <c r="R192" s="101">
        <f t="shared" si="182"/>
        <v>6.0606617312016994E-4</v>
      </c>
      <c r="S192" s="101">
        <v>1</v>
      </c>
      <c r="T192" s="221"/>
      <c r="U192" s="101"/>
      <c r="V192" s="101"/>
      <c r="W192" s="101"/>
      <c r="X192" s="101"/>
      <c r="Y192" s="101"/>
      <c r="Z192" s="101"/>
      <c r="AA192" s="101"/>
      <c r="AF192">
        <f t="shared" si="183"/>
        <v>40748</v>
      </c>
      <c r="AG192" s="101">
        <f t="shared" si="184"/>
        <v>-5.9338522376281497E-3</v>
      </c>
      <c r="AH192" s="101">
        <f t="shared" si="185"/>
        <v>-3.3653631039120731E-2</v>
      </c>
      <c r="AI192" s="101">
        <f t="shared" si="186"/>
        <v>2.4618411263121143E-2</v>
      </c>
      <c r="AJ192" s="101">
        <f t="shared" si="187"/>
        <v>-1.5506837691857192E-3</v>
      </c>
      <c r="AK192" s="101">
        <f t="shared" si="188"/>
        <v>2.4046201520160289E-6</v>
      </c>
      <c r="AL192">
        <f t="shared" si="189"/>
        <v>2.4618411263121143E-2</v>
      </c>
      <c r="AM192" s="195">
        <f t="shared" si="173"/>
        <v>2.4046201520160289E-6</v>
      </c>
      <c r="AN192">
        <f t="shared" si="190"/>
        <v>2.6169095032306862E-2</v>
      </c>
      <c r="AO192">
        <f t="shared" si="191"/>
        <v>1.0002374485904273</v>
      </c>
      <c r="AP192">
        <f t="shared" si="192"/>
        <v>0.89406811880334502</v>
      </c>
      <c r="AQ192">
        <f t="shared" si="193"/>
        <v>1.724479438503573E-3</v>
      </c>
      <c r="AR192">
        <f t="shared" si="194"/>
        <v>1.4339638397289105</v>
      </c>
      <c r="AS192">
        <f t="shared" si="195"/>
        <v>0.87174224848146287</v>
      </c>
      <c r="AT192" s="101">
        <f t="shared" si="199"/>
        <v>7.7154248713044264</v>
      </c>
      <c r="AU192" s="101">
        <f t="shared" si="199"/>
        <v>7.7154248713044264</v>
      </c>
      <c r="AV192" s="101">
        <f t="shared" si="199"/>
        <v>7.7154248713044264</v>
      </c>
      <c r="AW192" s="101">
        <f t="shared" si="199"/>
        <v>7.7154248713044264</v>
      </c>
      <c r="AX192" s="101">
        <f t="shared" si="199"/>
        <v>7.7154248713044025</v>
      </c>
      <c r="AY192" s="101">
        <f t="shared" si="199"/>
        <v>7.7154248712041547</v>
      </c>
      <c r="AZ192" s="101">
        <f t="shared" si="199"/>
        <v>7.7154244542390655</v>
      </c>
      <c r="BA192" s="101">
        <f t="shared" si="197"/>
        <v>7.7137008038560788</v>
      </c>
    </row>
    <row r="193" spans="1:54">
      <c r="A193" s="7" t="s">
        <v>756</v>
      </c>
      <c r="B193" s="5"/>
      <c r="C193" s="26">
        <v>58767.894999999997</v>
      </c>
      <c r="D193" s="26">
        <v>1E-4</v>
      </c>
      <c r="E193" s="101">
        <f t="shared" si="177"/>
        <v>43066.94344014227</v>
      </c>
      <c r="F193" s="101">
        <f t="shared" si="178"/>
        <v>43067</v>
      </c>
      <c r="G193" s="101">
        <f t="shared" si="171"/>
        <v>-1.8659294008102734E-2</v>
      </c>
      <c r="H193" s="101"/>
      <c r="I193" s="101"/>
      <c r="J193" s="101"/>
      <c r="K193" s="101">
        <f t="shared" si="179"/>
        <v>-1.8659294008102734E-2</v>
      </c>
      <c r="M193" s="101"/>
      <c r="N193" s="101"/>
      <c r="O193" s="101">
        <f t="shared" ca="1" si="198"/>
        <v>-1.2225334879450905E-2</v>
      </c>
      <c r="P193" s="103">
        <f t="shared" si="180"/>
        <v>-3.9494057697287317E-2</v>
      </c>
      <c r="Q193" s="104">
        <f t="shared" si="181"/>
        <v>43749.394999999997</v>
      </c>
      <c r="R193" s="101">
        <f t="shared" si="182"/>
        <v>4.3408737798416441E-4</v>
      </c>
      <c r="S193" s="101">
        <v>1</v>
      </c>
      <c r="T193" s="221"/>
      <c r="U193">
        <v>2.5655277054866718E-11</v>
      </c>
      <c r="V193">
        <v>2.1577659506163218E-19</v>
      </c>
      <c r="W193">
        <v>8.1625600342729321E-29</v>
      </c>
      <c r="X193">
        <v>4.0262387965209941E-11</v>
      </c>
      <c r="Y193">
        <v>6.8005501966706059E-5</v>
      </c>
      <c r="Z193">
        <v>1.2082968496311168E-4</v>
      </c>
      <c r="AA193">
        <v>2.6617087522911881E-5</v>
      </c>
      <c r="AB193">
        <v>737.42865357282722</v>
      </c>
      <c r="AC193">
        <v>1.2086660868316425E-6</v>
      </c>
      <c r="AD193">
        <v>6.730420489424951E-10</v>
      </c>
      <c r="AE193">
        <v>4.0019278011256354E-22</v>
      </c>
      <c r="AF193">
        <f t="shared" si="183"/>
        <v>43067</v>
      </c>
      <c r="AG193" s="101">
        <f t="shared" si="184"/>
        <v>-1.5953309123981414E-2</v>
      </c>
      <c r="AH193" s="101">
        <f t="shared" si="185"/>
        <v>-4.2200042581408637E-2</v>
      </c>
      <c r="AI193" s="101">
        <f t="shared" si="186"/>
        <v>2.0834763689184584E-2</v>
      </c>
      <c r="AJ193" s="101">
        <f t="shared" si="187"/>
        <v>-2.7059848841213194E-3</v>
      </c>
      <c r="AK193" s="101">
        <f t="shared" si="188"/>
        <v>7.32235419309307E-6</v>
      </c>
      <c r="AL193">
        <f t="shared" si="189"/>
        <v>2.0834763689184584E-2</v>
      </c>
      <c r="AM193" s="195">
        <f t="shared" si="173"/>
        <v>7.32235419309307E-6</v>
      </c>
      <c r="AN193">
        <f t="shared" si="190"/>
        <v>2.3540748573305903E-2</v>
      </c>
      <c r="AO193">
        <f t="shared" si="191"/>
        <v>0.99993797559470488</v>
      </c>
      <c r="AP193">
        <f t="shared" si="192"/>
        <v>0.80393086391784108</v>
      </c>
      <c r="AQ193">
        <f t="shared" si="193"/>
        <v>1.7396448315863903E-3</v>
      </c>
      <c r="AR193">
        <f t="shared" si="194"/>
        <v>1.6064347185999388</v>
      </c>
      <c r="AS193">
        <f t="shared" si="195"/>
        <v>1.0362888712516687</v>
      </c>
      <c r="AT193" s="101">
        <f t="shared" si="199"/>
        <v>7.887880326116866</v>
      </c>
      <c r="AU193" s="101">
        <f t="shared" si="199"/>
        <v>7.887880326116866</v>
      </c>
      <c r="AV193" s="101">
        <f t="shared" si="199"/>
        <v>7.887880326116866</v>
      </c>
      <c r="AW193" s="101">
        <f t="shared" si="199"/>
        <v>7.887880326116866</v>
      </c>
      <c r="AX193" s="101">
        <f t="shared" si="199"/>
        <v>7.887880326116866</v>
      </c>
      <c r="AY193" s="101">
        <f t="shared" si="199"/>
        <v>7.8878803261109658</v>
      </c>
      <c r="AZ193" s="101">
        <f t="shared" si="199"/>
        <v>7.8878804261254594</v>
      </c>
      <c r="BA193" s="101">
        <f t="shared" si="197"/>
        <v>7.8861405760140615</v>
      </c>
    </row>
    <row r="194" spans="1:54">
      <c r="C194" s="26"/>
      <c r="D194" s="26"/>
      <c r="P194" s="37"/>
      <c r="AG194" s="101"/>
      <c r="AH194" s="101"/>
      <c r="AI194" s="101"/>
      <c r="AJ194" s="101"/>
      <c r="AK194" s="101"/>
      <c r="AM194" s="195"/>
      <c r="AT194" s="101"/>
      <c r="AU194" s="101"/>
      <c r="AV194" s="101"/>
      <c r="AW194" s="101"/>
      <c r="AX194" s="101"/>
      <c r="AY194" s="101"/>
      <c r="AZ194" s="101"/>
      <c r="BA194" s="101"/>
    </row>
    <row r="195" spans="1:54">
      <c r="C195" s="26"/>
      <c r="D195" s="26"/>
      <c r="P195" s="37"/>
      <c r="AG195" s="101"/>
      <c r="AH195" s="101"/>
      <c r="AI195" s="101"/>
      <c r="AJ195" s="101"/>
      <c r="AK195" s="101"/>
      <c r="AM195" s="195"/>
      <c r="AT195" s="101"/>
      <c r="AU195" s="101"/>
      <c r="AV195" s="101"/>
      <c r="AW195" s="101"/>
      <c r="AX195" s="101"/>
      <c r="AY195" s="101"/>
      <c r="AZ195" s="101"/>
      <c r="BA195" s="101"/>
    </row>
    <row r="196" spans="1:54">
      <c r="C196" s="26"/>
      <c r="D196" s="26"/>
      <c r="P196" s="37"/>
      <c r="AG196" s="101"/>
      <c r="AH196" s="101"/>
      <c r="AI196" s="101"/>
      <c r="AJ196" s="101"/>
      <c r="AK196" s="101"/>
      <c r="AM196" s="195"/>
      <c r="AT196" s="101"/>
      <c r="AU196" s="101"/>
      <c r="AV196" s="101"/>
      <c r="AW196" s="101"/>
      <c r="AX196" s="101"/>
      <c r="AY196" s="101"/>
      <c r="AZ196" s="101"/>
      <c r="BA196" s="101"/>
    </row>
    <row r="197" spans="1:54">
      <c r="C197" s="26"/>
      <c r="D197" s="26"/>
      <c r="P197" s="37"/>
      <c r="AG197" s="101"/>
      <c r="AH197" s="101"/>
      <c r="AI197" s="101"/>
      <c r="AJ197" s="101"/>
      <c r="AK197" s="101"/>
      <c r="AM197" s="195"/>
      <c r="AT197" s="101"/>
      <c r="AU197" s="101"/>
      <c r="AV197" s="101"/>
      <c r="AW197" s="101"/>
      <c r="AX197" s="101"/>
      <c r="AY197" s="101"/>
      <c r="AZ197" s="101"/>
      <c r="BA197" s="101"/>
    </row>
    <row r="198" spans="1:54">
      <c r="C198" s="26"/>
      <c r="D198" s="26"/>
      <c r="P198" s="37"/>
      <c r="AG198" s="101"/>
      <c r="AH198" s="101"/>
      <c r="AI198" s="101"/>
      <c r="AJ198" s="101"/>
      <c r="AK198" s="101"/>
      <c r="AM198" s="195"/>
      <c r="AT198" s="101"/>
      <c r="AU198" s="101"/>
      <c r="AV198" s="101"/>
      <c r="AW198" s="101"/>
      <c r="AX198" s="101"/>
      <c r="AY198" s="101"/>
      <c r="AZ198" s="101"/>
      <c r="BA198" s="101"/>
    </row>
    <row r="199" spans="1:54">
      <c r="C199" s="26"/>
      <c r="D199" s="26"/>
      <c r="P199" s="37"/>
      <c r="AG199" s="101"/>
      <c r="AH199" s="101"/>
      <c r="AI199" s="101"/>
      <c r="AJ199" s="101"/>
      <c r="AK199" s="101"/>
      <c r="AM199" s="195"/>
      <c r="AT199" s="101"/>
      <c r="AU199" s="101"/>
      <c r="AV199" s="101"/>
      <c r="AW199" s="101"/>
      <c r="AX199" s="101"/>
      <c r="AY199" s="101"/>
      <c r="AZ199" s="101"/>
      <c r="BA199" s="101"/>
    </row>
    <row r="200" spans="1:54">
      <c r="C200" s="26"/>
      <c r="D200" s="26"/>
      <c r="P200" s="37"/>
      <c r="AG200" s="101"/>
      <c r="AH200" s="101"/>
      <c r="AI200" s="101"/>
      <c r="AJ200" s="101"/>
      <c r="AK200" s="101"/>
      <c r="AM200" s="195"/>
      <c r="AT200" s="101"/>
      <c r="AU200" s="101"/>
      <c r="AV200" s="101"/>
      <c r="AW200" s="101"/>
      <c r="AX200" s="101"/>
      <c r="AY200" s="101"/>
      <c r="AZ200" s="101"/>
      <c r="BA200" s="101"/>
    </row>
    <row r="201" spans="1:54">
      <c r="C201" s="26"/>
      <c r="D201" s="26"/>
      <c r="P201" s="37"/>
      <c r="AG201" s="101"/>
      <c r="AH201" s="101"/>
      <c r="AI201" s="101"/>
      <c r="AJ201" s="101"/>
      <c r="AK201" s="101"/>
      <c r="AM201" s="195"/>
      <c r="AT201" s="101"/>
      <c r="AU201" s="101"/>
      <c r="AV201" s="101"/>
      <c r="AW201" s="101"/>
      <c r="AX201" s="101"/>
      <c r="AY201" s="101"/>
      <c r="AZ201" s="101"/>
      <c r="BA201" s="101"/>
    </row>
    <row r="202" spans="1:54">
      <c r="C202" s="26"/>
      <c r="D202" s="26"/>
      <c r="P202" s="37"/>
      <c r="AG202" s="101"/>
      <c r="AH202" s="101"/>
      <c r="AI202" s="101"/>
      <c r="AJ202" s="101"/>
      <c r="AK202" s="101"/>
      <c r="AM202" s="195"/>
      <c r="AT202" s="101"/>
      <c r="AU202" s="101"/>
      <c r="AV202" s="101"/>
      <c r="AW202" s="101"/>
      <c r="AX202" s="101"/>
      <c r="AY202" s="101"/>
      <c r="AZ202" s="101"/>
      <c r="BA202" s="101"/>
    </row>
    <row r="203" spans="1:54">
      <c r="C203" s="26"/>
      <c r="D203" s="26"/>
      <c r="P203" s="37"/>
      <c r="AG203" s="101"/>
      <c r="AH203" s="101"/>
      <c r="AI203" s="101"/>
      <c r="AJ203" s="101"/>
      <c r="AK203" s="101"/>
      <c r="AM203" s="195"/>
      <c r="AT203" s="101"/>
      <c r="AU203" s="101"/>
      <c r="AV203" s="101"/>
      <c r="AW203" s="101"/>
      <c r="AX203" s="101"/>
      <c r="AY203" s="101"/>
      <c r="AZ203" s="101"/>
      <c r="BA203" s="101"/>
      <c r="BB203" s="101"/>
    </row>
    <row r="204" spans="1:54">
      <c r="C204" s="26"/>
      <c r="D204" s="26"/>
      <c r="P204" s="37"/>
      <c r="AG204" s="101"/>
      <c r="AH204" s="101"/>
      <c r="AI204" s="101"/>
      <c r="AJ204" s="101"/>
      <c r="AK204" s="101"/>
      <c r="AM204" s="195"/>
      <c r="AT204" s="101"/>
      <c r="AU204" s="101"/>
      <c r="AV204" s="101"/>
      <c r="AW204" s="101"/>
      <c r="AX204" s="101"/>
      <c r="AY204" s="101"/>
      <c r="AZ204" s="101"/>
      <c r="BA204" s="101"/>
      <c r="BB204" s="101"/>
    </row>
    <row r="205" spans="1:54">
      <c r="C205" s="26"/>
      <c r="D205" s="26"/>
      <c r="P205" s="37"/>
      <c r="AG205" s="101"/>
      <c r="AH205" s="101"/>
      <c r="AI205" s="101"/>
      <c r="AJ205" s="101"/>
      <c r="AK205" s="101"/>
      <c r="AM205" s="195"/>
      <c r="AT205" s="101"/>
      <c r="AU205" s="101"/>
      <c r="AV205" s="101"/>
      <c r="AW205" s="101"/>
      <c r="AX205" s="101"/>
      <c r="AY205" s="101"/>
      <c r="AZ205" s="101"/>
      <c r="BA205" s="101"/>
      <c r="BB205" s="101"/>
    </row>
    <row r="206" spans="1:54">
      <c r="C206" s="26"/>
      <c r="D206" s="26"/>
      <c r="P206" s="37"/>
      <c r="AG206" s="101"/>
      <c r="AH206" s="101"/>
      <c r="AI206" s="101"/>
      <c r="AJ206" s="101"/>
      <c r="AK206" s="101"/>
      <c r="AM206" s="195"/>
      <c r="AT206" s="101"/>
      <c r="AU206" s="101"/>
      <c r="AV206" s="101"/>
      <c r="AW206" s="101"/>
      <c r="AX206" s="101"/>
      <c r="AY206" s="101"/>
      <c r="AZ206" s="101"/>
      <c r="BA206" s="101"/>
    </row>
    <row r="207" spans="1:54">
      <c r="C207" s="26"/>
      <c r="D207" s="26"/>
      <c r="P207" s="37"/>
      <c r="AG207" s="101"/>
      <c r="AH207" s="101"/>
      <c r="AI207" s="101"/>
      <c r="AJ207" s="101"/>
      <c r="AK207" s="101"/>
      <c r="AM207" s="195"/>
      <c r="AT207" s="101"/>
      <c r="AU207" s="101"/>
      <c r="AV207" s="101"/>
      <c r="AW207" s="101"/>
      <c r="AX207" s="101"/>
      <c r="AY207" s="101"/>
      <c r="AZ207" s="101"/>
      <c r="BA207" s="101"/>
    </row>
    <row r="208" spans="1:54">
      <c r="C208" s="26"/>
      <c r="D208" s="26"/>
      <c r="P208" s="37"/>
      <c r="AG208" s="101"/>
      <c r="AH208" s="101"/>
      <c r="AI208" s="101"/>
      <c r="AJ208" s="101"/>
      <c r="AK208" s="101"/>
      <c r="AM208" s="195"/>
      <c r="AT208" s="101"/>
      <c r="AU208" s="101"/>
      <c r="AV208" s="101"/>
      <c r="AW208" s="101"/>
      <c r="AX208" s="101"/>
      <c r="AY208" s="101"/>
      <c r="AZ208" s="101"/>
      <c r="BA208" s="101"/>
    </row>
    <row r="209" spans="3:53">
      <c r="C209" s="26"/>
      <c r="D209" s="26"/>
      <c r="P209" s="37"/>
      <c r="AG209" s="101"/>
      <c r="AH209" s="101"/>
      <c r="AI209" s="101"/>
      <c r="AJ209" s="101"/>
      <c r="AK209" s="101"/>
      <c r="AM209" s="195"/>
      <c r="AT209" s="101"/>
      <c r="AU209" s="101"/>
      <c r="AV209" s="101"/>
      <c r="AW209" s="101"/>
      <c r="AX209" s="101"/>
      <c r="AY209" s="101"/>
      <c r="AZ209" s="101"/>
      <c r="BA209" s="101"/>
    </row>
    <row r="210" spans="3:53">
      <c r="C210" s="26"/>
      <c r="D210" s="26"/>
      <c r="P210" s="37"/>
      <c r="AG210" s="101"/>
      <c r="AH210" s="101"/>
      <c r="AI210" s="101"/>
      <c r="AJ210" s="101"/>
      <c r="AK210" s="101"/>
      <c r="AM210" s="195"/>
      <c r="AT210" s="101"/>
      <c r="AU210" s="101"/>
      <c r="AV210" s="101"/>
      <c r="AW210" s="101"/>
      <c r="AX210" s="101"/>
      <c r="AY210" s="101"/>
      <c r="AZ210" s="101"/>
      <c r="BA210" s="101"/>
    </row>
    <row r="211" spans="3:53">
      <c r="C211" s="26"/>
      <c r="D211" s="26"/>
      <c r="P211" s="37"/>
      <c r="AG211" s="101"/>
      <c r="AH211" s="101"/>
      <c r="AI211" s="101"/>
      <c r="AJ211" s="101"/>
      <c r="AK211" s="101"/>
      <c r="AM211" s="195"/>
      <c r="AT211" s="101"/>
      <c r="AU211" s="101"/>
      <c r="AV211" s="101"/>
      <c r="AW211" s="101"/>
      <c r="AX211" s="101"/>
      <c r="AY211" s="101"/>
      <c r="AZ211" s="101"/>
      <c r="BA211" s="101"/>
    </row>
    <row r="212" spans="3:53">
      <c r="C212" s="26"/>
      <c r="D212" s="26"/>
      <c r="P212" s="37"/>
      <c r="AG212" s="101"/>
      <c r="AH212" s="101"/>
      <c r="AI212" s="101"/>
      <c r="AJ212" s="101"/>
      <c r="AK212" s="101"/>
      <c r="AM212" s="195"/>
      <c r="AT212" s="101"/>
      <c r="AU212" s="101"/>
      <c r="AV212" s="101"/>
      <c r="AW212" s="101"/>
      <c r="AX212" s="101"/>
      <c r="AY212" s="101"/>
      <c r="AZ212" s="101"/>
      <c r="BA212" s="101"/>
    </row>
    <row r="213" spans="3:53">
      <c r="C213" s="26"/>
      <c r="D213" s="26"/>
      <c r="P213" s="37"/>
      <c r="AG213" s="101"/>
      <c r="AH213" s="101"/>
      <c r="AI213" s="101"/>
      <c r="AJ213" s="101"/>
      <c r="AK213" s="101"/>
      <c r="AM213" s="195"/>
      <c r="AT213" s="101"/>
      <c r="AU213" s="101"/>
      <c r="AV213" s="101"/>
      <c r="AW213" s="101"/>
      <c r="AX213" s="101"/>
      <c r="AY213" s="101"/>
      <c r="AZ213" s="101"/>
      <c r="BA213" s="101"/>
    </row>
    <row r="214" spans="3:53">
      <c r="C214" s="26"/>
      <c r="D214" s="26"/>
      <c r="P214" s="37"/>
      <c r="AG214" s="101"/>
      <c r="AH214" s="101"/>
      <c r="AI214" s="101"/>
      <c r="AJ214" s="101"/>
      <c r="AK214" s="101"/>
      <c r="AM214" s="195"/>
      <c r="AT214" s="101"/>
      <c r="AU214" s="101"/>
      <c r="AV214" s="101"/>
      <c r="AW214" s="101"/>
      <c r="AX214" s="101"/>
      <c r="AY214" s="101"/>
      <c r="AZ214" s="101"/>
      <c r="BA214" s="101"/>
    </row>
    <row r="215" spans="3:53">
      <c r="C215" s="26"/>
      <c r="D215" s="26"/>
      <c r="P215" s="37"/>
      <c r="AG215" s="101"/>
      <c r="AH215" s="101"/>
      <c r="AI215" s="101"/>
      <c r="AJ215" s="101"/>
      <c r="AK215" s="101"/>
      <c r="AM215" s="195"/>
      <c r="AT215" s="101"/>
      <c r="AU215" s="101"/>
      <c r="AV215" s="101"/>
      <c r="AW215" s="101"/>
      <c r="AX215" s="101"/>
      <c r="AY215" s="101"/>
      <c r="AZ215" s="101"/>
      <c r="BA215" s="101"/>
    </row>
    <row r="216" spans="3:53">
      <c r="C216" s="26"/>
      <c r="D216" s="26"/>
      <c r="P216" s="37"/>
      <c r="AG216" s="101"/>
      <c r="AH216" s="101"/>
      <c r="AI216" s="101"/>
      <c r="AJ216" s="101"/>
      <c r="AK216" s="101"/>
      <c r="AM216" s="195"/>
      <c r="AT216" s="101"/>
      <c r="AU216" s="101"/>
      <c r="AV216" s="101"/>
      <c r="AW216" s="101"/>
      <c r="AX216" s="101"/>
      <c r="AY216" s="101"/>
      <c r="AZ216" s="101"/>
      <c r="BA216" s="101"/>
    </row>
    <row r="217" spans="3:53">
      <c r="C217" s="26"/>
      <c r="D217" s="26"/>
      <c r="P217" s="37"/>
      <c r="AG217" s="101"/>
      <c r="AH217" s="101"/>
      <c r="AI217" s="101"/>
      <c r="AJ217" s="101"/>
      <c r="AK217" s="101"/>
      <c r="AM217" s="195"/>
      <c r="AT217" s="101"/>
      <c r="AU217" s="101"/>
      <c r="AV217" s="101"/>
      <c r="AW217" s="101"/>
      <c r="AX217" s="101"/>
      <c r="AY217" s="101"/>
      <c r="AZ217" s="101"/>
      <c r="BA217" s="101"/>
    </row>
    <row r="218" spans="3:53">
      <c r="C218" s="26"/>
      <c r="D218" s="26"/>
      <c r="P218" s="37"/>
      <c r="AG218" s="101"/>
      <c r="AH218" s="101"/>
      <c r="AI218" s="101"/>
      <c r="AJ218" s="101"/>
      <c r="AK218" s="101"/>
      <c r="AM218" s="195"/>
      <c r="AT218" s="101"/>
      <c r="AU218" s="101"/>
      <c r="AV218" s="101"/>
      <c r="AW218" s="101"/>
      <c r="AX218" s="101"/>
      <c r="AY218" s="101"/>
      <c r="AZ218" s="101"/>
      <c r="BA218" s="101"/>
    </row>
    <row r="219" spans="3:53">
      <c r="C219" s="26"/>
      <c r="D219" s="26"/>
      <c r="P219" s="37"/>
      <c r="AG219" s="101"/>
      <c r="AH219" s="101"/>
      <c r="AI219" s="101"/>
      <c r="AJ219" s="101"/>
      <c r="AK219" s="101"/>
      <c r="AM219" s="195"/>
      <c r="AT219" s="101"/>
      <c r="AU219" s="101"/>
      <c r="AV219" s="101"/>
      <c r="AW219" s="101"/>
      <c r="AX219" s="101"/>
      <c r="AY219" s="101"/>
      <c r="AZ219" s="101"/>
      <c r="BA219" s="101"/>
    </row>
    <row r="220" spans="3:53">
      <c r="C220" s="26"/>
      <c r="D220" s="26"/>
      <c r="P220" s="37"/>
      <c r="AG220" s="101"/>
      <c r="AH220" s="101"/>
      <c r="AI220" s="101"/>
      <c r="AJ220" s="101"/>
      <c r="AK220" s="101"/>
      <c r="AM220" s="195"/>
      <c r="AT220" s="101"/>
      <c r="AU220" s="101"/>
      <c r="AV220" s="101"/>
      <c r="AW220" s="101"/>
      <c r="AX220" s="101"/>
      <c r="AY220" s="101"/>
      <c r="AZ220" s="101"/>
      <c r="BA220" s="101"/>
    </row>
    <row r="221" spans="3:53">
      <c r="C221" s="26"/>
      <c r="D221" s="26"/>
      <c r="P221" s="37"/>
      <c r="AG221" s="101"/>
      <c r="AH221" s="101"/>
      <c r="AI221" s="101"/>
      <c r="AJ221" s="101"/>
      <c r="AK221" s="101"/>
      <c r="AM221" s="195"/>
      <c r="AT221" s="101"/>
      <c r="AU221" s="101"/>
      <c r="AV221" s="101"/>
      <c r="AW221" s="101"/>
      <c r="AX221" s="101"/>
      <c r="AY221" s="101"/>
      <c r="AZ221" s="101"/>
      <c r="BA221" s="101"/>
    </row>
    <row r="222" spans="3:53">
      <c r="C222" s="26"/>
      <c r="D222" s="26"/>
      <c r="P222" s="37"/>
      <c r="AG222" s="101"/>
      <c r="AH222" s="101"/>
      <c r="AI222" s="101"/>
      <c r="AJ222" s="101"/>
      <c r="AK222" s="101"/>
      <c r="AM222" s="195"/>
      <c r="AT222" s="101"/>
      <c r="AU222" s="101"/>
      <c r="AV222" s="101"/>
      <c r="AW222" s="101"/>
      <c r="AX222" s="101"/>
      <c r="AY222" s="101"/>
      <c r="AZ222" s="101"/>
      <c r="BA222" s="101"/>
    </row>
    <row r="223" spans="3:53">
      <c r="C223" s="26"/>
      <c r="D223" s="26"/>
      <c r="P223" s="37"/>
      <c r="AG223" s="101"/>
      <c r="AH223" s="101"/>
      <c r="AI223" s="101"/>
      <c r="AJ223" s="101"/>
      <c r="AK223" s="101"/>
      <c r="AM223" s="195"/>
      <c r="AT223" s="101"/>
      <c r="AU223" s="101"/>
      <c r="AV223" s="101"/>
      <c r="AW223" s="101"/>
      <c r="AX223" s="101"/>
      <c r="AY223" s="101"/>
      <c r="AZ223" s="101"/>
      <c r="BA223" s="101"/>
    </row>
    <row r="224" spans="3:53">
      <c r="C224" s="26"/>
      <c r="D224" s="26"/>
      <c r="P224" s="37"/>
      <c r="AG224" s="101"/>
      <c r="AH224" s="101"/>
      <c r="AI224" s="101"/>
      <c r="AJ224" s="101"/>
      <c r="AK224" s="101"/>
      <c r="AM224" s="195"/>
      <c r="AT224" s="101"/>
      <c r="AU224" s="101"/>
      <c r="AV224" s="101"/>
      <c r="AW224" s="101"/>
      <c r="AX224" s="101"/>
      <c r="AY224" s="101"/>
      <c r="AZ224" s="101"/>
      <c r="BA224" s="101"/>
    </row>
    <row r="225" spans="3:54">
      <c r="C225" s="26"/>
      <c r="D225" s="26"/>
      <c r="P225" s="37"/>
      <c r="AG225" s="101"/>
      <c r="AH225" s="101"/>
      <c r="AI225" s="101"/>
      <c r="AJ225" s="101"/>
      <c r="AK225" s="101"/>
      <c r="AM225" s="195"/>
      <c r="AT225" s="101"/>
      <c r="AU225" s="101"/>
      <c r="AV225" s="101"/>
      <c r="AW225" s="101"/>
      <c r="AX225" s="101"/>
      <c r="AY225" s="101"/>
      <c r="AZ225" s="101"/>
      <c r="BA225" s="101"/>
    </row>
    <row r="226" spans="3:54">
      <c r="C226" s="26"/>
      <c r="D226" s="26"/>
      <c r="P226" s="37"/>
      <c r="AG226" s="101"/>
      <c r="AH226" s="101"/>
      <c r="AI226" s="101"/>
      <c r="AJ226" s="101"/>
      <c r="AK226" s="101"/>
      <c r="AM226" s="195"/>
      <c r="AT226" s="101"/>
      <c r="AU226" s="101"/>
      <c r="AV226" s="101"/>
      <c r="AW226" s="101"/>
      <c r="AX226" s="101"/>
      <c r="AY226" s="101"/>
      <c r="AZ226" s="101"/>
      <c r="BA226" s="101"/>
    </row>
    <row r="227" spans="3:54">
      <c r="C227" s="26"/>
      <c r="D227" s="26"/>
      <c r="P227" s="37"/>
      <c r="AG227" s="101"/>
      <c r="AH227" s="101"/>
      <c r="AI227" s="101"/>
      <c r="AJ227" s="101"/>
      <c r="AK227" s="101"/>
      <c r="AM227" s="195"/>
      <c r="AT227" s="101"/>
      <c r="AU227" s="101"/>
      <c r="AV227" s="101"/>
      <c r="AW227" s="101"/>
      <c r="AX227" s="101"/>
      <c r="AY227" s="101"/>
      <c r="AZ227" s="101"/>
      <c r="BA227" s="101"/>
      <c r="BB227" s="101"/>
    </row>
    <row r="228" spans="3:54">
      <c r="C228" s="26"/>
      <c r="D228" s="26"/>
      <c r="P228" s="37"/>
      <c r="AG228" s="101"/>
      <c r="AH228" s="101"/>
      <c r="AI228" s="101"/>
      <c r="AJ228" s="101"/>
      <c r="AK228" s="101"/>
      <c r="AM228" s="195"/>
      <c r="AT228" s="101"/>
      <c r="AU228" s="101"/>
      <c r="AV228" s="101"/>
      <c r="AW228" s="101"/>
      <c r="AX228" s="101"/>
      <c r="AY228" s="101"/>
      <c r="AZ228" s="101"/>
      <c r="BA228" s="101"/>
    </row>
    <row r="229" spans="3:54">
      <c r="C229" s="26"/>
      <c r="D229" s="26"/>
      <c r="P229" s="37"/>
      <c r="AG229" s="101"/>
      <c r="AH229" s="101"/>
      <c r="AI229" s="101"/>
      <c r="AJ229" s="101"/>
      <c r="AK229" s="101"/>
      <c r="AM229" s="195"/>
      <c r="AT229" s="101"/>
      <c r="AU229" s="101"/>
      <c r="AV229" s="101"/>
      <c r="AW229" s="101"/>
      <c r="AX229" s="101"/>
      <c r="AY229" s="101"/>
      <c r="AZ229" s="101"/>
      <c r="BA229" s="101"/>
    </row>
    <row r="230" spans="3:54">
      <c r="C230" s="26"/>
      <c r="D230" s="26"/>
      <c r="P230" s="37"/>
      <c r="AG230" s="101"/>
      <c r="AH230" s="101"/>
      <c r="AI230" s="101"/>
      <c r="AJ230" s="101"/>
      <c r="AK230" s="101"/>
      <c r="AM230" s="195"/>
      <c r="AT230" s="101"/>
      <c r="AU230" s="101"/>
      <c r="AV230" s="101"/>
      <c r="AW230" s="101"/>
      <c r="AX230" s="101"/>
      <c r="AY230" s="101"/>
      <c r="AZ230" s="101"/>
      <c r="BA230" s="101"/>
    </row>
    <row r="231" spans="3:54">
      <c r="C231" s="26"/>
      <c r="D231" s="26"/>
      <c r="P231" s="37"/>
      <c r="AG231" s="101"/>
      <c r="AH231" s="101"/>
      <c r="AI231" s="101"/>
      <c r="AJ231" s="101"/>
      <c r="AK231" s="101"/>
      <c r="AM231" s="195"/>
      <c r="AT231" s="101"/>
      <c r="AU231" s="101"/>
      <c r="AV231" s="101"/>
      <c r="AW231" s="101"/>
      <c r="AX231" s="101"/>
      <c r="AY231" s="101"/>
      <c r="AZ231" s="101"/>
      <c r="BA231" s="101"/>
    </row>
    <row r="232" spans="3:54">
      <c r="C232" s="26"/>
      <c r="D232" s="26"/>
      <c r="P232" s="37"/>
      <c r="AG232" s="101"/>
      <c r="AH232" s="101"/>
      <c r="AI232" s="101"/>
      <c r="AJ232" s="101"/>
      <c r="AK232" s="101"/>
      <c r="AM232" s="195"/>
      <c r="AT232" s="101"/>
      <c r="AU232" s="101"/>
      <c r="AV232" s="101"/>
      <c r="AW232" s="101"/>
      <c r="AX232" s="101"/>
      <c r="AY232" s="101"/>
      <c r="AZ232" s="101"/>
      <c r="BA232" s="101"/>
    </row>
    <row r="233" spans="3:54">
      <c r="C233" s="26"/>
      <c r="D233" s="26"/>
      <c r="P233" s="37"/>
      <c r="AG233" s="101"/>
      <c r="AH233" s="101"/>
      <c r="AI233" s="101"/>
      <c r="AJ233" s="101"/>
      <c r="AK233" s="101"/>
      <c r="AM233" s="195"/>
      <c r="AT233" s="101"/>
      <c r="AU233" s="101"/>
      <c r="AV233" s="101"/>
      <c r="AW233" s="101"/>
      <c r="AX233" s="101"/>
      <c r="AY233" s="101"/>
      <c r="AZ233" s="101"/>
      <c r="BA233" s="101"/>
    </row>
    <row r="234" spans="3:54">
      <c r="C234" s="26"/>
      <c r="D234" s="26"/>
      <c r="P234" s="37"/>
      <c r="AG234" s="101"/>
      <c r="AH234" s="101"/>
      <c r="AI234" s="101"/>
      <c r="AJ234" s="101"/>
      <c r="AK234" s="101"/>
      <c r="AM234" s="195"/>
      <c r="AT234" s="101"/>
      <c r="AU234" s="101"/>
      <c r="AV234" s="101"/>
      <c r="AW234" s="101"/>
      <c r="AX234" s="101"/>
      <c r="AY234" s="101"/>
      <c r="AZ234" s="101"/>
      <c r="BA234" s="101"/>
    </row>
    <row r="235" spans="3:54">
      <c r="C235" s="26"/>
      <c r="D235" s="26"/>
      <c r="P235" s="37"/>
      <c r="AG235" s="101"/>
      <c r="AH235" s="101"/>
      <c r="AI235" s="101"/>
      <c r="AJ235" s="101"/>
      <c r="AK235" s="101"/>
      <c r="AM235" s="195"/>
      <c r="AT235" s="101"/>
      <c r="AU235" s="101"/>
      <c r="AV235" s="101"/>
      <c r="AW235" s="101"/>
      <c r="AX235" s="101"/>
      <c r="AY235" s="101"/>
      <c r="AZ235" s="101"/>
      <c r="BA235" s="101"/>
    </row>
    <row r="236" spans="3:54">
      <c r="C236" s="26"/>
      <c r="D236" s="26"/>
      <c r="P236" s="37"/>
      <c r="AG236" s="101"/>
      <c r="AH236" s="101"/>
      <c r="AI236" s="101"/>
      <c r="AJ236" s="101"/>
      <c r="AK236" s="101"/>
      <c r="AM236" s="195"/>
      <c r="AT236" s="101"/>
      <c r="AU236" s="101"/>
      <c r="AV236" s="101"/>
      <c r="AW236" s="101"/>
      <c r="AX236" s="101"/>
      <c r="AY236" s="101"/>
      <c r="AZ236" s="101"/>
      <c r="BA236" s="101"/>
    </row>
    <row r="237" spans="3:54">
      <c r="C237" s="26"/>
      <c r="D237" s="26"/>
      <c r="P237" s="37"/>
      <c r="AG237" s="101"/>
      <c r="AH237" s="101"/>
      <c r="AI237" s="101"/>
      <c r="AJ237" s="101"/>
      <c r="AK237" s="101"/>
      <c r="AM237" s="195"/>
      <c r="AT237" s="101"/>
      <c r="AU237" s="101"/>
      <c r="AV237" s="101"/>
      <c r="AW237" s="101"/>
      <c r="AX237" s="101"/>
      <c r="AY237" s="101"/>
      <c r="AZ237" s="101"/>
      <c r="BA237" s="101"/>
    </row>
    <row r="238" spans="3:54">
      <c r="C238" s="26"/>
      <c r="D238" s="26"/>
      <c r="P238" s="37"/>
      <c r="AG238" s="101"/>
      <c r="AH238" s="101"/>
      <c r="AI238" s="101"/>
      <c r="AJ238" s="101"/>
      <c r="AK238" s="101"/>
      <c r="AM238" s="195"/>
      <c r="AT238" s="101"/>
      <c r="AU238" s="101"/>
      <c r="AV238" s="101"/>
      <c r="AW238" s="101"/>
      <c r="AX238" s="101"/>
      <c r="AY238" s="101"/>
      <c r="AZ238" s="101"/>
      <c r="BA238" s="101"/>
    </row>
    <row r="239" spans="3:54">
      <c r="C239" s="26"/>
      <c r="D239" s="26"/>
      <c r="P239" s="37"/>
      <c r="AG239" s="101"/>
      <c r="AH239" s="101"/>
      <c r="AI239" s="101"/>
      <c r="AJ239" s="101"/>
      <c r="AK239" s="101"/>
      <c r="AM239" s="195"/>
      <c r="AT239" s="101"/>
      <c r="AU239" s="101"/>
      <c r="AV239" s="101"/>
      <c r="AW239" s="101"/>
      <c r="AX239" s="101"/>
      <c r="AY239" s="101"/>
      <c r="AZ239" s="101"/>
      <c r="BA239" s="101"/>
    </row>
    <row r="240" spans="3:54">
      <c r="C240" s="26"/>
      <c r="D240" s="26"/>
      <c r="P240" s="37"/>
      <c r="AG240" s="101"/>
      <c r="AH240" s="101"/>
      <c r="AI240" s="101"/>
      <c r="AJ240" s="101"/>
      <c r="AK240" s="101"/>
      <c r="AM240" s="195"/>
      <c r="AT240" s="101"/>
      <c r="AU240" s="101"/>
      <c r="AV240" s="101"/>
      <c r="AW240" s="101"/>
      <c r="AX240" s="101"/>
      <c r="AY240" s="101"/>
      <c r="AZ240" s="101"/>
      <c r="BA240" s="101"/>
    </row>
    <row r="241" spans="3:54">
      <c r="C241" s="26"/>
      <c r="D241" s="26"/>
      <c r="P241" s="37"/>
      <c r="AG241" s="101"/>
      <c r="AH241" s="101"/>
      <c r="AI241" s="101"/>
      <c r="AJ241" s="101"/>
      <c r="AK241" s="101"/>
      <c r="AM241" s="195"/>
      <c r="AT241" s="101"/>
      <c r="AU241" s="101"/>
      <c r="AV241" s="101"/>
      <c r="AW241" s="101"/>
      <c r="AX241" s="101"/>
      <c r="AY241" s="101"/>
      <c r="AZ241" s="101"/>
      <c r="BA241" s="101"/>
    </row>
    <row r="242" spans="3:54">
      <c r="C242" s="26"/>
      <c r="D242" s="26"/>
      <c r="P242" s="37"/>
      <c r="AG242" s="101"/>
      <c r="AH242" s="101"/>
      <c r="AI242" s="101"/>
      <c r="AJ242" s="101"/>
      <c r="AK242" s="101"/>
      <c r="AM242" s="195"/>
      <c r="AT242" s="101"/>
      <c r="AU242" s="101"/>
      <c r="AV242" s="101"/>
      <c r="AW242" s="101"/>
      <c r="AX242" s="101"/>
      <c r="AY242" s="101"/>
      <c r="AZ242" s="101"/>
      <c r="BA242" s="101"/>
    </row>
    <row r="243" spans="3:54">
      <c r="C243" s="26"/>
      <c r="D243" s="26"/>
      <c r="P243" s="37"/>
      <c r="AG243" s="101"/>
      <c r="AH243" s="101"/>
      <c r="AI243" s="101"/>
      <c r="AJ243" s="101"/>
      <c r="AK243" s="101"/>
      <c r="AM243" s="195"/>
      <c r="AT243" s="101"/>
      <c r="AU243" s="101"/>
      <c r="AV243" s="101"/>
      <c r="AW243" s="101"/>
      <c r="AX243" s="101"/>
      <c r="AY243" s="101"/>
      <c r="AZ243" s="101"/>
      <c r="BA243" s="101"/>
    </row>
    <row r="244" spans="3:54">
      <c r="C244" s="26"/>
      <c r="D244" s="26"/>
      <c r="P244" s="37"/>
      <c r="AG244" s="101"/>
      <c r="AH244" s="101"/>
      <c r="AI244" s="101"/>
      <c r="AJ244" s="101"/>
      <c r="AK244" s="101"/>
      <c r="AM244" s="195"/>
      <c r="AT244" s="101"/>
      <c r="AU244" s="101"/>
      <c r="AV244" s="101"/>
      <c r="AW244" s="101"/>
      <c r="AX244" s="101"/>
      <c r="AY244" s="101"/>
      <c r="AZ244" s="101"/>
      <c r="BA244" s="101"/>
    </row>
    <row r="245" spans="3:54">
      <c r="C245" s="26"/>
      <c r="D245" s="26"/>
      <c r="P245" s="37"/>
      <c r="AG245" s="101"/>
      <c r="AH245" s="101"/>
      <c r="AI245" s="101"/>
      <c r="AJ245" s="101"/>
      <c r="AK245" s="101"/>
      <c r="AM245" s="195"/>
      <c r="AT245" s="101"/>
      <c r="AU245" s="101"/>
      <c r="AV245" s="101"/>
      <c r="AW245" s="101"/>
      <c r="AX245" s="101"/>
      <c r="AY245" s="101"/>
      <c r="AZ245" s="101"/>
      <c r="BA245" s="101"/>
    </row>
    <row r="246" spans="3:54">
      <c r="C246" s="26"/>
      <c r="D246" s="26"/>
      <c r="P246" s="37"/>
      <c r="AG246" s="101"/>
      <c r="AH246" s="101"/>
      <c r="AI246" s="101"/>
      <c r="AJ246" s="101"/>
      <c r="AK246" s="101"/>
      <c r="AM246" s="195"/>
      <c r="AT246" s="101"/>
      <c r="AU246" s="101"/>
      <c r="AV246" s="101"/>
      <c r="AW246" s="101"/>
      <c r="AX246" s="101"/>
      <c r="AY246" s="101"/>
      <c r="AZ246" s="101"/>
      <c r="BA246" s="101"/>
    </row>
    <row r="247" spans="3:54">
      <c r="C247" s="26"/>
      <c r="D247" s="26"/>
      <c r="P247" s="37"/>
      <c r="AG247" s="101"/>
      <c r="AH247" s="101"/>
      <c r="AI247" s="101"/>
      <c r="AJ247" s="101"/>
      <c r="AK247" s="101"/>
      <c r="AM247" s="195"/>
      <c r="AT247" s="101"/>
      <c r="AU247" s="101"/>
      <c r="AV247" s="101"/>
      <c r="AW247" s="101"/>
      <c r="AX247" s="101"/>
      <c r="AY247" s="101"/>
      <c r="AZ247" s="101"/>
      <c r="BA247" s="101"/>
    </row>
    <row r="248" spans="3:54">
      <c r="C248" s="26"/>
      <c r="D248" s="26"/>
      <c r="P248" s="37"/>
      <c r="AG248" s="101"/>
      <c r="AH248" s="101"/>
      <c r="AI248" s="101"/>
      <c r="AJ248" s="101"/>
      <c r="AK248" s="101"/>
      <c r="AM248" s="195"/>
      <c r="AT248" s="101"/>
      <c r="AU248" s="101"/>
      <c r="AV248" s="101"/>
      <c r="AW248" s="101"/>
      <c r="AX248" s="101"/>
      <c r="AY248" s="101"/>
      <c r="AZ248" s="101"/>
      <c r="BA248" s="101"/>
      <c r="BB248" s="101"/>
    </row>
    <row r="249" spans="3:54">
      <c r="C249" s="26"/>
      <c r="D249" s="26"/>
      <c r="P249" s="37"/>
      <c r="AG249" s="101"/>
      <c r="AH249" s="101"/>
      <c r="AI249" s="101"/>
      <c r="AJ249" s="101"/>
      <c r="AK249" s="101"/>
      <c r="AM249" s="195"/>
      <c r="AT249" s="101"/>
      <c r="AU249" s="101"/>
      <c r="AV249" s="101"/>
      <c r="AW249" s="101"/>
      <c r="AX249" s="101"/>
      <c r="AY249" s="101"/>
      <c r="AZ249" s="101"/>
      <c r="BA249" s="101"/>
    </row>
    <row r="250" spans="3:54">
      <c r="C250" s="26"/>
      <c r="D250" s="26"/>
      <c r="P250" s="37"/>
      <c r="AG250" s="101"/>
      <c r="AH250" s="101"/>
      <c r="AI250" s="101"/>
      <c r="AJ250" s="101"/>
      <c r="AK250" s="101"/>
      <c r="AM250" s="195"/>
      <c r="AT250" s="101"/>
      <c r="AU250" s="101"/>
      <c r="AV250" s="101"/>
      <c r="AW250" s="101"/>
      <c r="AX250" s="101"/>
      <c r="AY250" s="101"/>
      <c r="AZ250" s="101"/>
      <c r="BA250" s="101"/>
      <c r="BB250" s="101"/>
    </row>
    <row r="251" spans="3:54">
      <c r="C251" s="26"/>
      <c r="D251" s="26"/>
      <c r="P251" s="37"/>
      <c r="AG251" s="101"/>
      <c r="AH251" s="101"/>
      <c r="AI251" s="101"/>
      <c r="AJ251" s="101"/>
      <c r="AK251" s="101"/>
      <c r="AM251" s="195"/>
      <c r="AT251" s="101"/>
      <c r="AU251" s="101"/>
      <c r="AV251" s="101"/>
      <c r="AW251" s="101"/>
      <c r="AX251" s="101"/>
      <c r="AY251" s="101"/>
      <c r="AZ251" s="101"/>
      <c r="BA251" s="101"/>
    </row>
    <row r="252" spans="3:54">
      <c r="C252" s="26"/>
      <c r="D252" s="26"/>
      <c r="P252" s="37"/>
      <c r="AG252" s="101"/>
      <c r="AH252" s="101"/>
      <c r="AI252" s="101"/>
      <c r="AJ252" s="101"/>
      <c r="AK252" s="101"/>
      <c r="AM252" s="195"/>
      <c r="AT252" s="101"/>
      <c r="AU252" s="101"/>
      <c r="AV252" s="101"/>
      <c r="AW252" s="101"/>
      <c r="AX252" s="101"/>
      <c r="AY252" s="101"/>
      <c r="AZ252" s="101"/>
      <c r="BA252" s="101"/>
      <c r="BB252" s="101"/>
    </row>
    <row r="253" spans="3:54">
      <c r="C253" s="26"/>
      <c r="D253" s="26"/>
      <c r="P253" s="37"/>
      <c r="AG253" s="101"/>
      <c r="AH253" s="101"/>
      <c r="AI253" s="101"/>
      <c r="AJ253" s="101"/>
      <c r="AK253" s="101"/>
      <c r="AM253" s="195"/>
      <c r="AT253" s="101"/>
      <c r="AU253" s="101"/>
      <c r="AV253" s="101"/>
      <c r="AW253" s="101"/>
      <c r="AX253" s="101"/>
      <c r="AY253" s="101"/>
      <c r="AZ253" s="101"/>
      <c r="BA253" s="101"/>
      <c r="BB253" s="101"/>
    </row>
    <row r="254" spans="3:54">
      <c r="C254" s="26"/>
      <c r="D254" s="26"/>
      <c r="P254" s="37"/>
      <c r="AG254" s="101"/>
      <c r="AH254" s="101"/>
      <c r="AI254" s="101"/>
      <c r="AJ254" s="101"/>
      <c r="AK254" s="101"/>
      <c r="AM254" s="195"/>
      <c r="AT254" s="101"/>
      <c r="AU254" s="101"/>
      <c r="AV254" s="101"/>
      <c r="AW254" s="101"/>
      <c r="AX254" s="101"/>
      <c r="AY254" s="101"/>
      <c r="AZ254" s="101"/>
      <c r="BA254" s="101"/>
    </row>
    <row r="255" spans="3:54">
      <c r="C255" s="26"/>
      <c r="D255" s="26"/>
      <c r="P255" s="37"/>
      <c r="AG255" s="101"/>
      <c r="AH255" s="101"/>
      <c r="AI255" s="101"/>
      <c r="AJ255" s="101"/>
      <c r="AK255" s="101"/>
      <c r="AM255" s="195"/>
      <c r="AT255" s="101"/>
      <c r="AU255" s="101"/>
      <c r="AV255" s="101"/>
      <c r="AW255" s="101"/>
      <c r="AX255" s="101"/>
      <c r="AY255" s="101"/>
      <c r="AZ255" s="101"/>
      <c r="BA255" s="101"/>
      <c r="BB255" s="101"/>
    </row>
    <row r="256" spans="3:54">
      <c r="C256" s="26"/>
      <c r="D256" s="26"/>
      <c r="P256" s="37"/>
      <c r="AG256" s="101"/>
      <c r="AH256" s="101"/>
      <c r="AI256" s="101"/>
      <c r="AJ256" s="101"/>
      <c r="AK256" s="101"/>
      <c r="AM256" s="195"/>
      <c r="AT256" s="101"/>
      <c r="AU256" s="101"/>
      <c r="AV256" s="101"/>
      <c r="AW256" s="101"/>
      <c r="AX256" s="101"/>
      <c r="AY256" s="101"/>
      <c r="AZ256" s="101"/>
      <c r="BA256" s="101"/>
      <c r="BB256" s="101"/>
    </row>
    <row r="257" spans="3:54">
      <c r="C257" s="26"/>
      <c r="D257" s="26"/>
      <c r="P257" s="37"/>
      <c r="AG257" s="101"/>
      <c r="AH257" s="101"/>
      <c r="AI257" s="101"/>
      <c r="AJ257" s="101"/>
      <c r="AK257" s="101"/>
      <c r="AM257" s="195"/>
      <c r="AT257" s="101"/>
      <c r="AU257" s="101"/>
      <c r="AV257" s="101"/>
      <c r="AW257" s="101"/>
      <c r="AX257" s="101"/>
      <c r="AY257" s="101"/>
      <c r="AZ257" s="101"/>
      <c r="BA257" s="101"/>
    </row>
    <row r="258" spans="3:54">
      <c r="C258" s="26"/>
      <c r="D258" s="26"/>
      <c r="P258" s="37"/>
      <c r="AG258" s="101"/>
      <c r="AH258" s="101"/>
      <c r="AI258" s="101"/>
      <c r="AJ258" s="101"/>
      <c r="AK258" s="101"/>
      <c r="AM258" s="195"/>
      <c r="AT258" s="101"/>
      <c r="AU258" s="101"/>
      <c r="AV258" s="101"/>
      <c r="AW258" s="101"/>
      <c r="AX258" s="101"/>
      <c r="AY258" s="101"/>
      <c r="AZ258" s="101"/>
      <c r="BA258" s="101"/>
      <c r="BB258" s="101"/>
    </row>
    <row r="259" spans="3:54">
      <c r="C259" s="26"/>
      <c r="D259" s="26"/>
      <c r="P259" s="37"/>
      <c r="AG259" s="101"/>
      <c r="AH259" s="101"/>
      <c r="AI259" s="101"/>
      <c r="AJ259" s="101"/>
      <c r="AK259" s="101"/>
      <c r="AM259" s="195"/>
      <c r="AT259" s="101"/>
      <c r="AU259" s="101"/>
      <c r="AV259" s="101"/>
      <c r="AW259" s="101"/>
      <c r="AX259" s="101"/>
      <c r="AY259" s="101"/>
      <c r="AZ259" s="101"/>
      <c r="BA259" s="101"/>
      <c r="BB259" s="101"/>
    </row>
    <row r="260" spans="3:54">
      <c r="C260" s="26"/>
      <c r="D260" s="26"/>
      <c r="P260" s="37"/>
      <c r="AG260" s="101"/>
      <c r="AH260" s="101"/>
      <c r="AI260" s="101"/>
      <c r="AJ260" s="101"/>
      <c r="AK260" s="101"/>
      <c r="AM260" s="195"/>
      <c r="AT260" s="101"/>
      <c r="AU260" s="101"/>
      <c r="AV260" s="101"/>
      <c r="AW260" s="101"/>
      <c r="AX260" s="101"/>
      <c r="AY260" s="101"/>
      <c r="AZ260" s="101"/>
      <c r="BA260" s="101"/>
      <c r="BB260" s="101"/>
    </row>
    <row r="261" spans="3:54">
      <c r="C261" s="26"/>
      <c r="D261" s="26"/>
      <c r="P261" s="37"/>
      <c r="AG261" s="101"/>
      <c r="AH261" s="101"/>
      <c r="AI261" s="101"/>
      <c r="AJ261" s="101"/>
      <c r="AK261" s="101"/>
      <c r="AM261" s="195"/>
      <c r="AT261" s="101"/>
      <c r="AU261" s="101"/>
      <c r="AV261" s="101"/>
      <c r="AW261" s="101"/>
      <c r="AX261" s="101"/>
      <c r="AY261" s="101"/>
      <c r="AZ261" s="101"/>
      <c r="BA261" s="101"/>
      <c r="BB261" s="101"/>
    </row>
    <row r="262" spans="3:54">
      <c r="C262" s="26"/>
      <c r="D262" s="26"/>
      <c r="P262" s="37"/>
      <c r="AG262" s="101"/>
      <c r="AH262" s="101"/>
      <c r="AI262" s="101"/>
      <c r="AJ262" s="101"/>
      <c r="AK262" s="101"/>
      <c r="AM262" s="195"/>
      <c r="AT262" s="101"/>
      <c r="AU262" s="101"/>
      <c r="AV262" s="101"/>
      <c r="AW262" s="101"/>
      <c r="AX262" s="101"/>
      <c r="AY262" s="101"/>
      <c r="AZ262" s="101"/>
      <c r="BA262" s="101"/>
    </row>
    <row r="263" spans="3:54">
      <c r="C263" s="26"/>
      <c r="D263" s="26"/>
      <c r="P263" s="37"/>
      <c r="AG263" s="101"/>
      <c r="AH263" s="101"/>
      <c r="AI263" s="101"/>
      <c r="AJ263" s="101"/>
      <c r="AK263" s="101"/>
      <c r="AM263" s="195"/>
      <c r="AT263" s="101"/>
      <c r="AU263" s="101"/>
      <c r="AV263" s="101"/>
      <c r="AW263" s="101"/>
      <c r="AX263" s="101"/>
      <c r="AY263" s="101"/>
      <c r="AZ263" s="101"/>
      <c r="BA263" s="101"/>
      <c r="BB263" s="101"/>
    </row>
    <row r="264" spans="3:54">
      <c r="C264" s="26"/>
      <c r="D264" s="26"/>
      <c r="P264" s="37"/>
      <c r="AG264" s="101"/>
      <c r="AH264" s="101"/>
      <c r="AI264" s="101"/>
      <c r="AJ264" s="101"/>
      <c r="AK264" s="101"/>
      <c r="AM264" s="195"/>
      <c r="AT264" s="101"/>
      <c r="AU264" s="101"/>
      <c r="AV264" s="101"/>
      <c r="AW264" s="101"/>
      <c r="AX264" s="101"/>
      <c r="AY264" s="101"/>
      <c r="AZ264" s="101"/>
      <c r="BA264" s="101"/>
    </row>
    <row r="265" spans="3:54">
      <c r="P265" s="37"/>
      <c r="AG265" s="101"/>
      <c r="AH265" s="101"/>
      <c r="AI265" s="101"/>
      <c r="AJ265" s="101"/>
      <c r="AK265" s="101"/>
      <c r="AM265" s="195"/>
      <c r="AT265" s="101"/>
      <c r="AU265" s="101"/>
      <c r="AV265" s="101"/>
      <c r="AW265" s="101"/>
      <c r="AX265" s="101"/>
      <c r="AY265" s="101"/>
      <c r="AZ265" s="101"/>
      <c r="BA265" s="101"/>
    </row>
    <row r="266" spans="3:54">
      <c r="P266" s="37"/>
      <c r="AG266" s="101"/>
      <c r="AH266" s="101"/>
      <c r="AI266" s="101"/>
      <c r="AJ266" s="101"/>
      <c r="AK266" s="101"/>
      <c r="AM266" s="195"/>
      <c r="AT266" s="101"/>
      <c r="AU266" s="101"/>
      <c r="AV266" s="101"/>
      <c r="AW266" s="101"/>
      <c r="AX266" s="101"/>
      <c r="AY266" s="101"/>
      <c r="AZ266" s="101"/>
      <c r="BA266" s="101"/>
    </row>
    <row r="267" spans="3:54">
      <c r="P267" s="37"/>
      <c r="AG267" s="101"/>
      <c r="AH267" s="101"/>
      <c r="AI267" s="101"/>
      <c r="AJ267" s="101"/>
      <c r="AK267" s="101"/>
      <c r="AM267" s="195"/>
      <c r="AT267" s="101"/>
      <c r="AU267" s="101"/>
      <c r="AV267" s="101"/>
      <c r="AW267" s="101"/>
      <c r="AX267" s="101"/>
      <c r="AY267" s="101"/>
      <c r="AZ267" s="101"/>
      <c r="BA267" s="101"/>
    </row>
    <row r="268" spans="3:54">
      <c r="P268" s="37"/>
      <c r="AG268" s="101"/>
      <c r="AH268" s="101"/>
      <c r="AI268" s="101"/>
      <c r="AJ268" s="101"/>
      <c r="AK268" s="101"/>
      <c r="AM268" s="195"/>
      <c r="AT268" s="101"/>
      <c r="AU268" s="101"/>
      <c r="AV268" s="101"/>
      <c r="AW268" s="101"/>
      <c r="AX268" s="101"/>
      <c r="AY268" s="101"/>
      <c r="AZ268" s="101"/>
      <c r="BA268" s="101"/>
    </row>
    <row r="269" spans="3:54">
      <c r="P269" s="37"/>
      <c r="AG269" s="101"/>
      <c r="AH269" s="101"/>
      <c r="AI269" s="101"/>
      <c r="AJ269" s="101"/>
      <c r="AK269" s="101"/>
      <c r="AM269" s="195"/>
      <c r="AT269" s="101"/>
      <c r="AU269" s="101"/>
      <c r="AV269" s="101"/>
      <c r="AW269" s="101"/>
      <c r="AX269" s="101"/>
      <c r="AY269" s="101"/>
      <c r="AZ269" s="101"/>
      <c r="BA269" s="101"/>
    </row>
    <row r="270" spans="3:54">
      <c r="P270" s="37"/>
      <c r="AG270" s="101"/>
      <c r="AH270" s="101"/>
      <c r="AI270" s="101"/>
      <c r="AJ270" s="101"/>
      <c r="AK270" s="101"/>
      <c r="AM270" s="195"/>
      <c r="AT270" s="101"/>
      <c r="AU270" s="101"/>
      <c r="AV270" s="101"/>
      <c r="AW270" s="101"/>
      <c r="AX270" s="101"/>
      <c r="AY270" s="101"/>
      <c r="AZ270" s="101"/>
      <c r="BA270" s="101"/>
    </row>
    <row r="271" spans="3:54">
      <c r="P271" s="37"/>
      <c r="AG271" s="101"/>
      <c r="AH271" s="101"/>
      <c r="AI271" s="101"/>
      <c r="AJ271" s="101"/>
      <c r="AK271" s="101"/>
      <c r="AM271" s="195"/>
      <c r="AT271" s="101"/>
      <c r="AU271" s="101"/>
      <c r="AV271" s="101"/>
      <c r="AW271" s="101"/>
      <c r="AX271" s="101"/>
      <c r="AY271" s="101"/>
      <c r="AZ271" s="101"/>
      <c r="BA271" s="101"/>
      <c r="BB271" s="101"/>
    </row>
    <row r="272" spans="3:54">
      <c r="P272" s="37"/>
      <c r="AG272" s="101"/>
      <c r="AH272" s="101"/>
      <c r="AI272" s="101"/>
      <c r="AJ272" s="101"/>
      <c r="AK272" s="101"/>
      <c r="AM272" s="195"/>
      <c r="AT272" s="101"/>
      <c r="AU272" s="101"/>
      <c r="AV272" s="101"/>
      <c r="AW272" s="101"/>
      <c r="AX272" s="101"/>
      <c r="AY272" s="101"/>
      <c r="AZ272" s="101"/>
      <c r="BA272" s="101"/>
    </row>
    <row r="273" spans="16:54">
      <c r="P273" s="37"/>
      <c r="AG273" s="101"/>
      <c r="AH273" s="101"/>
      <c r="AI273" s="101"/>
      <c r="AJ273" s="101"/>
      <c r="AK273" s="101"/>
      <c r="AM273" s="195"/>
      <c r="AT273" s="101"/>
      <c r="AU273" s="101"/>
      <c r="AV273" s="101"/>
      <c r="AW273" s="101"/>
      <c r="AX273" s="101"/>
      <c r="AY273" s="101"/>
      <c r="AZ273" s="101"/>
      <c r="BA273" s="101"/>
    </row>
    <row r="274" spans="16:54">
      <c r="P274" s="37"/>
      <c r="AG274" s="101"/>
      <c r="AH274" s="101"/>
      <c r="AI274" s="101"/>
      <c r="AJ274" s="101"/>
      <c r="AK274" s="101"/>
      <c r="AM274" s="195"/>
      <c r="AT274" s="101"/>
      <c r="AU274" s="101"/>
      <c r="AV274" s="101"/>
      <c r="AW274" s="101"/>
      <c r="AX274" s="101"/>
      <c r="AY274" s="101"/>
      <c r="AZ274" s="101"/>
      <c r="BA274" s="101"/>
    </row>
    <row r="275" spans="16:54">
      <c r="P275" s="37"/>
      <c r="AG275" s="101"/>
      <c r="AH275" s="101"/>
      <c r="AI275" s="101"/>
      <c r="AJ275" s="101"/>
      <c r="AK275" s="101"/>
      <c r="AM275" s="195"/>
      <c r="AT275" s="101"/>
      <c r="AU275" s="101"/>
      <c r="AV275" s="101"/>
      <c r="AW275" s="101"/>
      <c r="AX275" s="101"/>
      <c r="AY275" s="101"/>
      <c r="AZ275" s="101"/>
      <c r="BA275" s="101"/>
    </row>
    <row r="276" spans="16:54">
      <c r="P276" s="37"/>
      <c r="AG276" s="101"/>
      <c r="AH276" s="101"/>
      <c r="AI276" s="101"/>
      <c r="AJ276" s="101"/>
      <c r="AK276" s="101"/>
      <c r="AM276" s="195"/>
      <c r="AT276" s="101"/>
      <c r="AU276" s="101"/>
      <c r="AV276" s="101"/>
      <c r="AW276" s="101"/>
      <c r="AX276" s="101"/>
      <c r="AY276" s="101"/>
      <c r="AZ276" s="101"/>
      <c r="BA276" s="101"/>
      <c r="BB276" s="101"/>
    </row>
    <row r="277" spans="16:54">
      <c r="P277" s="37"/>
      <c r="AG277" s="101"/>
      <c r="AH277" s="101"/>
      <c r="AI277" s="101"/>
      <c r="AJ277" s="101"/>
      <c r="AK277" s="101"/>
      <c r="AM277" s="195"/>
      <c r="AT277" s="101"/>
      <c r="AU277" s="101"/>
      <c r="AV277" s="101"/>
      <c r="AW277" s="101"/>
      <c r="AX277" s="101"/>
      <c r="AY277" s="101"/>
      <c r="AZ277" s="101"/>
      <c r="BA277" s="101"/>
      <c r="BB277" s="101"/>
    </row>
    <row r="278" spans="16:54">
      <c r="P278" s="37"/>
      <c r="AG278" s="101"/>
      <c r="AH278" s="101"/>
      <c r="AI278" s="101"/>
      <c r="AJ278" s="101"/>
      <c r="AK278" s="101"/>
      <c r="AM278" s="195"/>
      <c r="AT278" s="101"/>
      <c r="AU278" s="101"/>
      <c r="AV278" s="101"/>
      <c r="AW278" s="101"/>
      <c r="AX278" s="101"/>
      <c r="AY278" s="101"/>
      <c r="AZ278" s="101"/>
      <c r="BA278" s="101"/>
    </row>
    <row r="279" spans="16:54">
      <c r="P279" s="37"/>
      <c r="AG279" s="101"/>
      <c r="AH279" s="101"/>
      <c r="AI279" s="101"/>
      <c r="AJ279" s="101"/>
      <c r="AK279" s="101"/>
      <c r="AM279" s="195"/>
      <c r="AT279" s="101"/>
      <c r="AU279" s="101"/>
      <c r="AV279" s="101"/>
      <c r="AW279" s="101"/>
      <c r="AX279" s="101"/>
      <c r="AY279" s="101"/>
      <c r="AZ279" s="101"/>
      <c r="BA279" s="101"/>
    </row>
    <row r="280" spans="16:54">
      <c r="P280" s="37"/>
      <c r="AG280" s="101"/>
      <c r="AH280" s="101"/>
      <c r="AI280" s="101"/>
      <c r="AJ280" s="101"/>
      <c r="AK280" s="101"/>
      <c r="AM280" s="195"/>
      <c r="AT280" s="101"/>
      <c r="AU280" s="101"/>
      <c r="AV280" s="101"/>
      <c r="AW280" s="101"/>
      <c r="AX280" s="101"/>
      <c r="AY280" s="101"/>
      <c r="AZ280" s="101"/>
      <c r="BA280" s="101"/>
    </row>
    <row r="281" spans="16:54">
      <c r="P281" s="37"/>
      <c r="AG281" s="101"/>
      <c r="AH281" s="101"/>
      <c r="AI281" s="101"/>
      <c r="AJ281" s="101"/>
      <c r="AK281" s="101"/>
      <c r="AM281" s="195"/>
      <c r="AT281" s="101"/>
      <c r="AU281" s="101"/>
      <c r="AV281" s="101"/>
      <c r="AW281" s="101"/>
      <c r="AX281" s="101"/>
      <c r="AY281" s="101"/>
      <c r="AZ281" s="101"/>
      <c r="BA281" s="101"/>
    </row>
    <row r="282" spans="16:54">
      <c r="P282" s="37"/>
      <c r="AG282" s="101"/>
      <c r="AH282" s="101"/>
      <c r="AI282" s="101"/>
      <c r="AJ282" s="101"/>
      <c r="AK282" s="101"/>
      <c r="AM282" s="195"/>
      <c r="AT282" s="101"/>
      <c r="AU282" s="101"/>
      <c r="AV282" s="101"/>
      <c r="AW282" s="101"/>
      <c r="AX282" s="101"/>
      <c r="AY282" s="101"/>
      <c r="AZ282" s="101"/>
      <c r="BA282" s="101"/>
      <c r="BB282" s="101"/>
    </row>
    <row r="283" spans="16:54">
      <c r="P283" s="37"/>
      <c r="AG283" s="101"/>
      <c r="AH283" s="101"/>
      <c r="AI283" s="101"/>
      <c r="AJ283" s="101"/>
      <c r="AK283" s="101"/>
      <c r="AM283" s="195"/>
      <c r="AT283" s="101"/>
      <c r="AU283" s="101"/>
      <c r="AV283" s="101"/>
      <c r="AW283" s="101"/>
      <c r="AX283" s="101"/>
      <c r="AY283" s="101"/>
      <c r="AZ283" s="101"/>
      <c r="BA283" s="101"/>
      <c r="BB283" s="101"/>
    </row>
    <row r="284" spans="16:54">
      <c r="P284" s="37"/>
      <c r="AG284" s="101"/>
      <c r="AH284" s="101"/>
      <c r="AI284" s="101"/>
      <c r="AJ284" s="101"/>
      <c r="AK284" s="101"/>
      <c r="AM284" s="195"/>
      <c r="AT284" s="101"/>
      <c r="AU284" s="101"/>
      <c r="AV284" s="101"/>
      <c r="AW284" s="101"/>
      <c r="AX284" s="101"/>
      <c r="AY284" s="101"/>
      <c r="AZ284" s="101"/>
      <c r="BA284" s="101"/>
    </row>
    <row r="285" spans="16:54">
      <c r="P285" s="37"/>
      <c r="AG285" s="101"/>
      <c r="AH285" s="101"/>
      <c r="AI285" s="101"/>
      <c r="AJ285" s="101"/>
      <c r="AK285" s="101"/>
      <c r="AM285" s="195"/>
      <c r="AT285" s="101"/>
      <c r="AU285" s="101"/>
      <c r="AV285" s="101"/>
      <c r="AW285" s="101"/>
      <c r="AX285" s="101"/>
      <c r="AY285" s="101"/>
      <c r="AZ285" s="101"/>
      <c r="BA285" s="101"/>
    </row>
    <row r="286" spans="16:54">
      <c r="P286" s="37"/>
      <c r="AG286" s="101"/>
      <c r="AH286" s="101"/>
      <c r="AI286" s="101"/>
      <c r="AJ286" s="101"/>
      <c r="AK286" s="101"/>
      <c r="AM286" s="195"/>
      <c r="AT286" s="101"/>
      <c r="AU286" s="101"/>
      <c r="AV286" s="101"/>
      <c r="AW286" s="101"/>
      <c r="AX286" s="101"/>
      <c r="AY286" s="101"/>
      <c r="AZ286" s="101"/>
      <c r="BA286" s="101"/>
    </row>
    <row r="287" spans="16:54">
      <c r="P287" s="37"/>
      <c r="AG287" s="101"/>
      <c r="AH287" s="101"/>
      <c r="AI287" s="101"/>
      <c r="AJ287" s="101"/>
      <c r="AK287" s="101"/>
      <c r="AM287" s="195"/>
      <c r="AT287" s="101"/>
      <c r="AU287" s="101"/>
      <c r="AV287" s="101"/>
      <c r="AW287" s="101"/>
      <c r="AX287" s="101"/>
      <c r="AY287" s="101"/>
      <c r="AZ287" s="101"/>
      <c r="BA287" s="101"/>
    </row>
    <row r="288" spans="16:54">
      <c r="P288" s="37"/>
      <c r="AG288" s="101"/>
      <c r="AH288" s="101"/>
      <c r="AI288" s="101"/>
      <c r="AJ288" s="101"/>
      <c r="AK288" s="101"/>
      <c r="AM288" s="195"/>
      <c r="AT288" s="101"/>
      <c r="AU288" s="101"/>
      <c r="AV288" s="101"/>
      <c r="AW288" s="101"/>
      <c r="AX288" s="101"/>
      <c r="AY288" s="101"/>
      <c r="AZ288" s="101"/>
      <c r="BA288" s="101"/>
    </row>
    <row r="289" spans="16:54">
      <c r="P289" s="37"/>
      <c r="AG289" s="101"/>
      <c r="AH289" s="101"/>
      <c r="AI289" s="101"/>
      <c r="AJ289" s="101"/>
      <c r="AK289" s="101"/>
      <c r="AM289" s="195"/>
      <c r="AT289" s="101"/>
      <c r="AU289" s="101"/>
      <c r="AV289" s="101"/>
      <c r="AW289" s="101"/>
      <c r="AX289" s="101"/>
      <c r="AY289" s="101"/>
      <c r="AZ289" s="101"/>
      <c r="BA289" s="101"/>
    </row>
    <row r="290" spans="16:54">
      <c r="P290" s="37"/>
      <c r="AG290" s="101"/>
      <c r="AH290" s="101"/>
      <c r="AI290" s="101"/>
      <c r="AJ290" s="101"/>
      <c r="AK290" s="101"/>
      <c r="AM290" s="195"/>
      <c r="AT290" s="101"/>
      <c r="AU290" s="101"/>
      <c r="AV290" s="101"/>
      <c r="AW290" s="101"/>
      <c r="AX290" s="101"/>
      <c r="AY290" s="101"/>
      <c r="AZ290" s="101"/>
      <c r="BA290" s="101"/>
      <c r="BB290" s="101"/>
    </row>
    <row r="291" spans="16:54">
      <c r="P291" s="37"/>
      <c r="AG291" s="101"/>
      <c r="AH291" s="101"/>
      <c r="AI291" s="101"/>
      <c r="AJ291" s="101"/>
      <c r="AK291" s="101"/>
      <c r="AM291" s="195"/>
      <c r="AT291" s="101"/>
      <c r="AU291" s="101"/>
      <c r="AV291" s="101"/>
      <c r="AW291" s="101"/>
      <c r="AX291" s="101"/>
      <c r="AY291" s="101"/>
      <c r="AZ291" s="101"/>
      <c r="BA291" s="101"/>
      <c r="BB291" s="101"/>
    </row>
    <row r="292" spans="16:54">
      <c r="P292" s="37"/>
      <c r="AG292" s="101"/>
      <c r="AH292" s="101"/>
      <c r="AI292" s="101"/>
      <c r="AJ292" s="101"/>
      <c r="AK292" s="101"/>
      <c r="AM292" s="195"/>
      <c r="AT292" s="101"/>
      <c r="AU292" s="101"/>
      <c r="AV292" s="101"/>
      <c r="AW292" s="101"/>
      <c r="AX292" s="101"/>
      <c r="AY292" s="101"/>
      <c r="AZ292" s="101"/>
      <c r="BA292" s="101"/>
      <c r="BB292" s="101"/>
    </row>
    <row r="293" spans="16:54">
      <c r="P293" s="37"/>
      <c r="AG293" s="101"/>
      <c r="AH293" s="101"/>
      <c r="AI293" s="101"/>
      <c r="AJ293" s="101"/>
      <c r="AK293" s="101"/>
      <c r="AM293" s="195"/>
      <c r="AT293" s="101"/>
      <c r="AU293" s="101"/>
      <c r="AV293" s="101"/>
      <c r="AW293" s="101"/>
      <c r="AX293" s="101"/>
      <c r="AY293" s="101"/>
      <c r="AZ293" s="101"/>
      <c r="BA293" s="101"/>
    </row>
    <row r="294" spans="16:54">
      <c r="P294" s="37"/>
      <c r="AG294" s="101"/>
      <c r="AH294" s="101"/>
      <c r="AI294" s="101"/>
      <c r="AJ294" s="101"/>
      <c r="AK294" s="101"/>
      <c r="AM294" s="195"/>
      <c r="AT294" s="101"/>
      <c r="AU294" s="101"/>
      <c r="AV294" s="101"/>
      <c r="AW294" s="101"/>
      <c r="AX294" s="101"/>
      <c r="AY294" s="101"/>
      <c r="AZ294" s="101"/>
      <c r="BA294" s="101"/>
    </row>
    <row r="295" spans="16:54">
      <c r="P295" s="37"/>
      <c r="AG295" s="101"/>
      <c r="AH295" s="101"/>
      <c r="AI295" s="101"/>
      <c r="AJ295" s="101"/>
      <c r="AK295" s="101"/>
      <c r="AM295" s="195"/>
      <c r="AT295" s="101"/>
      <c r="AU295" s="101"/>
      <c r="AV295" s="101"/>
      <c r="AW295" s="101"/>
      <c r="AX295" s="101"/>
      <c r="AY295" s="101"/>
      <c r="AZ295" s="101"/>
      <c r="BA295" s="101"/>
    </row>
    <row r="296" spans="16:54">
      <c r="P296" s="37"/>
      <c r="AG296" s="101"/>
      <c r="AH296" s="101"/>
      <c r="AI296" s="101"/>
      <c r="AJ296" s="101"/>
      <c r="AK296" s="101"/>
      <c r="AM296" s="195"/>
      <c r="AT296" s="101"/>
      <c r="AU296" s="101"/>
      <c r="AV296" s="101"/>
      <c r="AW296" s="101"/>
      <c r="AX296" s="101"/>
      <c r="AY296" s="101"/>
      <c r="AZ296" s="101"/>
      <c r="BA296" s="101"/>
    </row>
    <row r="297" spans="16:54">
      <c r="P297" s="37"/>
      <c r="AG297" s="101"/>
      <c r="AH297" s="101"/>
      <c r="AI297" s="101"/>
      <c r="AJ297" s="101"/>
      <c r="AK297" s="101"/>
      <c r="AM297" s="195"/>
      <c r="AT297" s="101"/>
      <c r="AU297" s="101"/>
      <c r="AV297" s="101"/>
      <c r="AW297" s="101"/>
      <c r="AX297" s="101"/>
      <c r="AY297" s="101"/>
      <c r="AZ297" s="101"/>
      <c r="BA297" s="101"/>
    </row>
    <row r="298" spans="16:54">
      <c r="P298" s="37"/>
      <c r="AG298" s="101"/>
      <c r="AH298" s="101"/>
      <c r="AI298" s="101"/>
      <c r="AJ298" s="101"/>
      <c r="AK298" s="101"/>
      <c r="AM298" s="195"/>
      <c r="AT298" s="101"/>
      <c r="AU298" s="101"/>
      <c r="AV298" s="101"/>
      <c r="AW298" s="101"/>
      <c r="AX298" s="101"/>
      <c r="AY298" s="101"/>
      <c r="AZ298" s="101"/>
      <c r="BA298" s="101"/>
    </row>
    <row r="299" spans="16:54">
      <c r="P299" s="37"/>
      <c r="AG299" s="101"/>
      <c r="AH299" s="101"/>
      <c r="AI299" s="101"/>
      <c r="AJ299" s="101"/>
      <c r="AK299" s="101"/>
      <c r="AM299" s="195"/>
      <c r="AT299" s="101"/>
      <c r="AU299" s="101"/>
      <c r="AV299" s="101"/>
      <c r="AW299" s="101"/>
      <c r="AX299" s="101"/>
      <c r="AY299" s="101"/>
      <c r="AZ299" s="101"/>
      <c r="BA299" s="101"/>
    </row>
    <row r="300" spans="16:54">
      <c r="P300" s="37"/>
      <c r="AG300" s="101"/>
      <c r="AH300" s="101"/>
      <c r="AI300" s="101"/>
      <c r="AJ300" s="101"/>
      <c r="AK300" s="101"/>
      <c r="AM300" s="195"/>
      <c r="AT300" s="101"/>
      <c r="AU300" s="101"/>
      <c r="AV300" s="101"/>
      <c r="AW300" s="101"/>
      <c r="AX300" s="101"/>
      <c r="AY300" s="101"/>
      <c r="AZ300" s="101"/>
      <c r="BA300" s="101"/>
      <c r="BB300" s="101"/>
    </row>
    <row r="301" spans="16:54">
      <c r="P301" s="37"/>
      <c r="AG301" s="101"/>
      <c r="AH301" s="101"/>
      <c r="AI301" s="101"/>
      <c r="AJ301" s="101"/>
      <c r="AK301" s="101"/>
      <c r="AM301" s="195"/>
      <c r="AT301" s="101"/>
      <c r="AU301" s="101"/>
      <c r="AV301" s="101"/>
      <c r="AW301" s="101"/>
      <c r="AX301" s="101"/>
      <c r="AY301" s="101"/>
      <c r="AZ301" s="101"/>
      <c r="BA301" s="101"/>
      <c r="BB301" s="101"/>
    </row>
    <row r="302" spans="16:54">
      <c r="P302" s="37"/>
      <c r="AG302" s="101"/>
      <c r="AH302" s="101"/>
      <c r="AI302" s="101"/>
      <c r="AJ302" s="101"/>
      <c r="AK302" s="101"/>
      <c r="AM302" s="195"/>
      <c r="AT302" s="101"/>
      <c r="AU302" s="101"/>
      <c r="AV302" s="101"/>
      <c r="AW302" s="101"/>
      <c r="AX302" s="101"/>
      <c r="AY302" s="101"/>
      <c r="AZ302" s="101"/>
      <c r="BA302" s="101"/>
      <c r="BB302" s="101"/>
    </row>
    <row r="303" spans="16:54">
      <c r="P303" s="37"/>
      <c r="AG303" s="101"/>
      <c r="AH303" s="101"/>
      <c r="AI303" s="101"/>
      <c r="AJ303" s="101"/>
      <c r="AK303" s="101"/>
      <c r="AM303" s="195"/>
      <c r="AT303" s="101"/>
      <c r="AU303" s="101"/>
      <c r="AV303" s="101"/>
      <c r="AW303" s="101"/>
      <c r="AX303" s="101"/>
      <c r="AY303" s="101"/>
      <c r="AZ303" s="101"/>
      <c r="BA303" s="101"/>
    </row>
    <row r="304" spans="16:54">
      <c r="P304" s="37"/>
      <c r="AG304" s="101"/>
      <c r="AH304" s="101"/>
      <c r="AI304" s="101"/>
      <c r="AJ304" s="101"/>
      <c r="AK304" s="101"/>
      <c r="AM304" s="195"/>
      <c r="AT304" s="101"/>
      <c r="AU304" s="101"/>
      <c r="AV304" s="101"/>
      <c r="AW304" s="101"/>
      <c r="AX304" s="101"/>
      <c r="AY304" s="101"/>
      <c r="AZ304" s="101"/>
      <c r="BA304" s="101"/>
    </row>
    <row r="305" spans="16:54">
      <c r="P305" s="37"/>
      <c r="AG305" s="101"/>
      <c r="AH305" s="101"/>
      <c r="AI305" s="101"/>
      <c r="AJ305" s="101"/>
      <c r="AK305" s="101"/>
      <c r="AM305" s="195"/>
      <c r="AT305" s="101"/>
      <c r="AU305" s="101"/>
      <c r="AV305" s="101"/>
      <c r="AW305" s="101"/>
      <c r="AX305" s="101"/>
      <c r="AY305" s="101"/>
      <c r="AZ305" s="101"/>
      <c r="BA305" s="101"/>
    </row>
    <row r="306" spans="16:54">
      <c r="P306" s="37"/>
      <c r="AG306" s="101"/>
      <c r="AH306" s="101"/>
      <c r="AI306" s="101"/>
      <c r="AJ306" s="101"/>
      <c r="AK306" s="101"/>
      <c r="AM306" s="195"/>
      <c r="AT306" s="101"/>
      <c r="AU306" s="101"/>
      <c r="AV306" s="101"/>
      <c r="AW306" s="101"/>
      <c r="AX306" s="101"/>
      <c r="AY306" s="101"/>
      <c r="AZ306" s="101"/>
      <c r="BA306" s="101"/>
    </row>
    <row r="307" spans="16:54">
      <c r="P307" s="37"/>
      <c r="AG307" s="101"/>
      <c r="AH307" s="101"/>
      <c r="AI307" s="101"/>
      <c r="AJ307" s="101"/>
      <c r="AK307" s="101"/>
      <c r="AM307" s="195"/>
      <c r="AT307" s="101"/>
      <c r="AU307" s="101"/>
      <c r="AV307" s="101"/>
      <c r="AW307" s="101"/>
      <c r="AX307" s="101"/>
      <c r="AY307" s="101"/>
      <c r="AZ307" s="101"/>
      <c r="BA307" s="101"/>
    </row>
    <row r="308" spans="16:54">
      <c r="AG308" s="101"/>
      <c r="AH308" s="101"/>
      <c r="AI308" s="101"/>
      <c r="AJ308" s="101"/>
      <c r="AK308" s="101"/>
      <c r="AM308" s="195"/>
      <c r="AT308" s="101"/>
      <c r="AU308" s="101"/>
      <c r="AV308" s="101"/>
      <c r="AW308" s="101"/>
      <c r="AX308" s="101"/>
      <c r="AY308" s="101"/>
      <c r="AZ308" s="101"/>
      <c r="BA308" s="101"/>
    </row>
    <row r="309" spans="16:54">
      <c r="AG309" s="101"/>
      <c r="AH309" s="101"/>
      <c r="AI309" s="101"/>
      <c r="AJ309" s="101"/>
      <c r="AK309" s="101"/>
      <c r="AM309" s="195"/>
      <c r="AT309" s="101"/>
      <c r="AU309" s="101"/>
      <c r="AV309" s="101"/>
      <c r="AW309" s="101"/>
      <c r="AX309" s="101"/>
      <c r="AY309" s="101"/>
      <c r="AZ309" s="101"/>
      <c r="BA309" s="101"/>
    </row>
    <row r="310" spans="16:54">
      <c r="AG310" s="101"/>
      <c r="AH310" s="101"/>
      <c r="AI310" s="101"/>
      <c r="AJ310" s="101"/>
      <c r="AK310" s="101"/>
      <c r="AM310" s="195"/>
      <c r="AT310" s="101"/>
      <c r="AU310" s="101"/>
      <c r="AV310" s="101"/>
      <c r="AW310" s="101"/>
      <c r="AX310" s="101"/>
      <c r="AY310" s="101"/>
      <c r="AZ310" s="101"/>
      <c r="BA310" s="101"/>
    </row>
    <row r="311" spans="16:54">
      <c r="AG311" s="101"/>
      <c r="AH311" s="101"/>
      <c r="AI311" s="101"/>
      <c r="AJ311" s="101"/>
      <c r="AK311" s="101"/>
      <c r="AM311" s="195"/>
      <c r="AT311" s="101"/>
      <c r="AU311" s="101"/>
      <c r="AV311" s="101"/>
      <c r="AW311" s="101"/>
      <c r="AX311" s="101"/>
      <c r="AY311" s="101"/>
      <c r="AZ311" s="101"/>
      <c r="BA311" s="101"/>
    </row>
    <row r="312" spans="16:54">
      <c r="AG312" s="101"/>
      <c r="AH312" s="101"/>
      <c r="AI312" s="101"/>
      <c r="AJ312" s="101"/>
      <c r="AK312" s="101"/>
      <c r="AM312" s="195"/>
      <c r="AT312" s="101"/>
      <c r="AU312" s="101"/>
      <c r="AV312" s="101"/>
      <c r="AW312" s="101"/>
      <c r="AX312" s="101"/>
      <c r="AY312" s="101"/>
      <c r="AZ312" s="101"/>
      <c r="BA312" s="101"/>
    </row>
    <row r="313" spans="16:54">
      <c r="AG313" s="101"/>
      <c r="AH313" s="101"/>
      <c r="AI313" s="101"/>
      <c r="AJ313" s="101"/>
      <c r="AK313" s="101"/>
      <c r="AM313" s="195"/>
      <c r="AT313" s="101"/>
      <c r="AU313" s="101"/>
      <c r="AV313" s="101"/>
      <c r="AW313" s="101"/>
      <c r="AX313" s="101"/>
      <c r="AY313" s="101"/>
      <c r="AZ313" s="101"/>
      <c r="BA313" s="101"/>
    </row>
    <row r="314" spans="16:54">
      <c r="AG314" s="101"/>
      <c r="AH314" s="101"/>
      <c r="AI314" s="101"/>
      <c r="AJ314" s="101"/>
      <c r="AK314" s="101"/>
      <c r="AM314" s="195"/>
      <c r="AT314" s="101"/>
      <c r="AU314" s="101"/>
      <c r="AV314" s="101"/>
      <c r="AW314" s="101"/>
      <c r="AX314" s="101"/>
      <c r="AY314" s="101"/>
      <c r="AZ314" s="101"/>
      <c r="BA314" s="101"/>
    </row>
    <row r="315" spans="16:54">
      <c r="AG315" s="101"/>
      <c r="AH315" s="101"/>
      <c r="AI315" s="101"/>
      <c r="AJ315" s="101"/>
      <c r="AK315" s="101"/>
      <c r="AM315" s="195"/>
      <c r="AT315" s="101"/>
      <c r="AU315" s="101"/>
      <c r="AV315" s="101"/>
      <c r="AW315" s="101"/>
      <c r="AX315" s="101"/>
      <c r="AY315" s="101"/>
      <c r="AZ315" s="101"/>
      <c r="BA315" s="101"/>
    </row>
    <row r="316" spans="16:54">
      <c r="AG316" s="101"/>
      <c r="AH316" s="101"/>
      <c r="AI316" s="101"/>
      <c r="AJ316" s="101"/>
      <c r="AK316" s="101"/>
      <c r="AM316" s="195"/>
      <c r="AT316" s="101"/>
      <c r="AU316" s="101"/>
      <c r="AV316" s="101"/>
      <c r="AW316" s="101"/>
      <c r="AX316" s="101"/>
      <c r="AY316" s="101"/>
      <c r="AZ316" s="101"/>
      <c r="BA316" s="101"/>
    </row>
    <row r="317" spans="16:54">
      <c r="AG317" s="101"/>
      <c r="AH317" s="101"/>
      <c r="AI317" s="101"/>
      <c r="AJ317" s="101"/>
      <c r="AK317" s="101"/>
      <c r="AM317" s="195"/>
      <c r="AT317" s="101"/>
      <c r="AU317" s="101"/>
      <c r="AV317" s="101"/>
      <c r="AW317" s="101"/>
      <c r="AX317" s="101"/>
      <c r="AY317" s="101"/>
      <c r="AZ317" s="101"/>
      <c r="BA317" s="101"/>
    </row>
    <row r="318" spans="16:54">
      <c r="AG318" s="101"/>
      <c r="AH318" s="101"/>
      <c r="AI318" s="101"/>
      <c r="AJ318" s="101"/>
      <c r="AK318" s="101"/>
      <c r="AM318" s="195"/>
      <c r="AT318" s="101"/>
      <c r="AU318" s="101"/>
      <c r="AV318" s="101"/>
      <c r="AW318" s="101"/>
      <c r="AX318" s="101"/>
      <c r="AY318" s="101"/>
      <c r="AZ318" s="101"/>
      <c r="BA318" s="101"/>
      <c r="BB318" s="101"/>
    </row>
    <row r="319" spans="16:54">
      <c r="AG319" s="101"/>
      <c r="AH319" s="101"/>
      <c r="AI319" s="101"/>
      <c r="AJ319" s="101"/>
      <c r="AK319" s="101"/>
      <c r="AM319" s="195"/>
      <c r="AT319" s="101"/>
      <c r="AU319" s="101"/>
      <c r="AV319" s="101"/>
      <c r="AW319" s="101"/>
      <c r="AX319" s="101"/>
      <c r="AY319" s="101"/>
      <c r="AZ319" s="101"/>
      <c r="BA319" s="101"/>
    </row>
    <row r="320" spans="16:54">
      <c r="AG320" s="101"/>
      <c r="AH320" s="101"/>
      <c r="AI320" s="101"/>
      <c r="AJ320" s="101"/>
      <c r="AK320" s="101"/>
      <c r="AM320" s="195"/>
      <c r="AT320" s="101"/>
      <c r="AU320" s="101"/>
      <c r="AV320" s="101"/>
      <c r="AW320" s="101"/>
      <c r="AX320" s="101"/>
      <c r="AY320" s="101"/>
      <c r="AZ320" s="101"/>
      <c r="BA320" s="101"/>
    </row>
    <row r="321" spans="33:54">
      <c r="AG321" s="101"/>
      <c r="AH321" s="101"/>
      <c r="AI321" s="101"/>
      <c r="AJ321" s="101"/>
      <c r="AK321" s="101"/>
      <c r="AM321" s="195"/>
      <c r="AT321" s="101"/>
      <c r="AU321" s="101"/>
      <c r="AV321" s="101"/>
      <c r="AW321" s="101"/>
      <c r="AX321" s="101"/>
      <c r="AY321" s="101"/>
      <c r="AZ321" s="101"/>
      <c r="BA321" s="101"/>
    </row>
    <row r="322" spans="33:54">
      <c r="AG322" s="101"/>
      <c r="AH322" s="101"/>
      <c r="AI322" s="101"/>
      <c r="AJ322" s="101"/>
      <c r="AK322" s="101"/>
      <c r="AM322" s="195"/>
      <c r="AT322" s="101"/>
      <c r="AU322" s="101"/>
      <c r="AV322" s="101"/>
      <c r="AW322" s="101"/>
      <c r="AX322" s="101"/>
      <c r="AY322" s="101"/>
      <c r="AZ322" s="101"/>
      <c r="BA322" s="101"/>
    </row>
    <row r="323" spans="33:54">
      <c r="AG323" s="101"/>
      <c r="AH323" s="101"/>
      <c r="AI323" s="101"/>
      <c r="AJ323" s="101"/>
      <c r="AK323" s="101"/>
      <c r="AM323" s="195"/>
      <c r="AT323" s="101"/>
      <c r="AU323" s="101"/>
      <c r="AV323" s="101"/>
      <c r="AW323" s="101"/>
      <c r="AX323" s="101"/>
      <c r="AY323" s="101"/>
      <c r="AZ323" s="101"/>
      <c r="BA323" s="101"/>
    </row>
    <row r="324" spans="33:54">
      <c r="AG324" s="101"/>
      <c r="AH324" s="101"/>
      <c r="AI324" s="101"/>
      <c r="AJ324" s="101"/>
      <c r="AK324" s="101"/>
      <c r="AM324" s="195"/>
      <c r="AT324" s="101"/>
      <c r="AU324" s="101"/>
      <c r="AV324" s="101"/>
      <c r="AW324" s="101"/>
      <c r="AX324" s="101"/>
      <c r="AY324" s="101"/>
      <c r="AZ324" s="101"/>
      <c r="BA324" s="101"/>
    </row>
    <row r="325" spans="33:54">
      <c r="AG325" s="101"/>
      <c r="AH325" s="101"/>
      <c r="AI325" s="101"/>
      <c r="AJ325" s="101"/>
      <c r="AK325" s="101"/>
      <c r="AM325" s="195"/>
      <c r="AT325" s="101"/>
      <c r="AU325" s="101"/>
      <c r="AV325" s="101"/>
      <c r="AW325" s="101"/>
      <c r="AX325" s="101"/>
      <c r="AY325" s="101"/>
      <c r="AZ325" s="101"/>
      <c r="BA325" s="101"/>
    </row>
    <row r="326" spans="33:54">
      <c r="AG326" s="101"/>
      <c r="AH326" s="101"/>
      <c r="AI326" s="101"/>
      <c r="AJ326" s="101"/>
      <c r="AK326" s="101"/>
      <c r="AM326" s="195"/>
      <c r="AT326" s="101"/>
      <c r="AU326" s="101"/>
      <c r="AV326" s="101"/>
      <c r="AW326" s="101"/>
      <c r="AX326" s="101"/>
      <c r="AY326" s="101"/>
      <c r="AZ326" s="101"/>
      <c r="BA326" s="101"/>
    </row>
    <row r="327" spans="33:54">
      <c r="AG327" s="101"/>
      <c r="AH327" s="101"/>
      <c r="AI327" s="101"/>
      <c r="AJ327" s="101"/>
      <c r="AK327" s="101"/>
      <c r="AM327" s="195"/>
      <c r="AT327" s="101"/>
      <c r="AU327" s="101"/>
      <c r="AV327" s="101"/>
      <c r="AW327" s="101"/>
      <c r="AX327" s="101"/>
      <c r="AY327" s="101"/>
      <c r="AZ327" s="101"/>
      <c r="BA327" s="101"/>
    </row>
    <row r="328" spans="33:54">
      <c r="AG328" s="101"/>
      <c r="AH328" s="101"/>
      <c r="AI328" s="101"/>
      <c r="AJ328" s="101"/>
      <c r="AK328" s="101"/>
      <c r="AM328" s="195"/>
      <c r="AT328" s="101"/>
      <c r="AU328" s="101"/>
      <c r="AV328" s="101"/>
      <c r="AW328" s="101"/>
      <c r="AX328" s="101"/>
      <c r="AY328" s="101"/>
      <c r="AZ328" s="101"/>
      <c r="BA328" s="101"/>
    </row>
    <row r="329" spans="33:54">
      <c r="AG329" s="101"/>
      <c r="AH329" s="101"/>
      <c r="AI329" s="101"/>
      <c r="AJ329" s="101"/>
      <c r="AK329" s="101"/>
      <c r="AM329" s="195"/>
      <c r="AT329" s="101"/>
      <c r="AU329" s="101"/>
      <c r="AV329" s="101"/>
      <c r="AW329" s="101"/>
      <c r="AX329" s="101"/>
      <c r="AY329" s="101"/>
      <c r="AZ329" s="101"/>
      <c r="BA329" s="101"/>
    </row>
    <row r="330" spans="33:54">
      <c r="AG330" s="101"/>
      <c r="AH330" s="101"/>
      <c r="AI330" s="101"/>
      <c r="AJ330" s="101"/>
      <c r="AK330" s="101"/>
      <c r="AM330" s="195"/>
      <c r="AT330" s="101"/>
      <c r="AU330" s="101"/>
      <c r="AV330" s="101"/>
      <c r="AW330" s="101"/>
      <c r="AX330" s="101"/>
      <c r="AY330" s="101"/>
      <c r="AZ330" s="101"/>
      <c r="BA330" s="101"/>
    </row>
    <row r="331" spans="33:54">
      <c r="AG331" s="101"/>
      <c r="AH331" s="101"/>
      <c r="AI331" s="101"/>
      <c r="AJ331" s="101"/>
      <c r="AK331" s="101"/>
      <c r="AM331" s="195"/>
      <c r="AT331" s="101"/>
      <c r="AU331" s="101"/>
      <c r="AV331" s="101"/>
      <c r="AW331" s="101"/>
      <c r="AX331" s="101"/>
      <c r="AY331" s="101"/>
      <c r="AZ331" s="101"/>
      <c r="BA331" s="101"/>
    </row>
    <row r="332" spans="33:54">
      <c r="AG332" s="101"/>
      <c r="AH332" s="101"/>
      <c r="AI332" s="101"/>
      <c r="AJ332" s="101"/>
      <c r="AK332" s="101"/>
      <c r="AM332" s="195"/>
      <c r="AT332" s="101"/>
      <c r="AU332" s="101"/>
      <c r="AV332" s="101"/>
      <c r="AW332" s="101"/>
      <c r="AX332" s="101"/>
      <c r="AY332" s="101"/>
      <c r="AZ332" s="101"/>
      <c r="BA332" s="101"/>
      <c r="BB332" s="101"/>
    </row>
    <row r="333" spans="33:54">
      <c r="AG333" s="101"/>
      <c r="AH333" s="101"/>
      <c r="AI333" s="101"/>
      <c r="AJ333" s="101"/>
      <c r="AK333" s="101"/>
      <c r="AM333" s="195"/>
      <c r="AT333" s="101"/>
      <c r="AU333" s="101"/>
      <c r="AV333" s="101"/>
      <c r="AW333" s="101"/>
      <c r="AX333" s="101"/>
      <c r="AY333" s="101"/>
      <c r="AZ333" s="101"/>
      <c r="BA333" s="101"/>
    </row>
    <row r="334" spans="33:54">
      <c r="AG334" s="101"/>
      <c r="AH334" s="101"/>
      <c r="AI334" s="101"/>
      <c r="AJ334" s="101"/>
      <c r="AK334" s="101"/>
      <c r="AM334" s="195"/>
      <c r="AT334" s="101"/>
      <c r="AU334" s="101"/>
      <c r="AV334" s="101"/>
      <c r="AW334" s="101"/>
      <c r="AX334" s="101"/>
      <c r="AY334" s="101"/>
      <c r="AZ334" s="101"/>
      <c r="BA334" s="101"/>
    </row>
    <row r="335" spans="33:54">
      <c r="AG335" s="101"/>
      <c r="AH335" s="101"/>
      <c r="AI335" s="101"/>
      <c r="AJ335" s="101"/>
      <c r="AK335" s="101"/>
      <c r="AM335" s="195"/>
      <c r="AT335" s="101"/>
      <c r="AU335" s="101"/>
      <c r="AV335" s="101"/>
      <c r="AW335" s="101"/>
      <c r="AX335" s="101"/>
      <c r="AY335" s="101"/>
      <c r="AZ335" s="101"/>
      <c r="BA335" s="101"/>
    </row>
    <row r="336" spans="33:54">
      <c r="AG336" s="101"/>
      <c r="AH336" s="101"/>
      <c r="AI336" s="101"/>
      <c r="AJ336" s="101"/>
      <c r="AK336" s="101"/>
      <c r="AM336" s="195"/>
      <c r="AT336" s="101"/>
      <c r="AU336" s="101"/>
      <c r="AV336" s="101"/>
      <c r="AW336" s="101"/>
      <c r="AX336" s="101"/>
      <c r="AY336" s="101"/>
      <c r="AZ336" s="101"/>
      <c r="BA336" s="101"/>
    </row>
    <row r="337" spans="33:54">
      <c r="AG337" s="101"/>
      <c r="AH337" s="101"/>
      <c r="AI337" s="101"/>
      <c r="AJ337" s="101"/>
      <c r="AK337" s="101"/>
      <c r="AM337" s="195"/>
      <c r="AT337" s="101"/>
      <c r="AU337" s="101"/>
      <c r="AV337" s="101"/>
      <c r="AW337" s="101"/>
      <c r="AX337" s="101"/>
      <c r="AY337" s="101"/>
      <c r="AZ337" s="101"/>
      <c r="BA337" s="101"/>
    </row>
    <row r="338" spans="33:54">
      <c r="AG338" s="101"/>
      <c r="AH338" s="101"/>
      <c r="AI338" s="101"/>
      <c r="AJ338" s="101"/>
      <c r="AK338" s="101"/>
      <c r="AM338" s="195"/>
      <c r="AT338" s="101"/>
      <c r="AU338" s="101"/>
      <c r="AV338" s="101"/>
      <c r="AW338" s="101"/>
      <c r="AX338" s="101"/>
      <c r="AY338" s="101"/>
      <c r="AZ338" s="101"/>
      <c r="BA338" s="101"/>
    </row>
    <row r="339" spans="33:54">
      <c r="AG339" s="101"/>
      <c r="AH339" s="101"/>
      <c r="AI339" s="101"/>
      <c r="AJ339" s="101"/>
      <c r="AK339" s="101"/>
      <c r="AM339" s="195"/>
      <c r="AT339" s="101"/>
      <c r="AU339" s="101"/>
      <c r="AV339" s="101"/>
      <c r="AW339" s="101"/>
      <c r="AX339" s="101"/>
      <c r="AY339" s="101"/>
      <c r="AZ339" s="101"/>
      <c r="BA339" s="101"/>
    </row>
    <row r="340" spans="33:54">
      <c r="AG340" s="101"/>
      <c r="AH340" s="101"/>
      <c r="AI340" s="101"/>
      <c r="AJ340" s="101"/>
      <c r="AK340" s="101"/>
      <c r="AM340" s="195"/>
      <c r="AT340" s="101"/>
      <c r="AU340" s="101"/>
      <c r="AV340" s="101"/>
      <c r="AW340" s="101"/>
      <c r="AX340" s="101"/>
      <c r="AY340" s="101"/>
      <c r="AZ340" s="101"/>
      <c r="BA340" s="101"/>
    </row>
    <row r="341" spans="33:54">
      <c r="AG341" s="101"/>
      <c r="AH341" s="101"/>
      <c r="AI341" s="101"/>
      <c r="AJ341" s="101"/>
      <c r="AK341" s="101"/>
      <c r="AM341" s="195"/>
      <c r="AT341" s="101"/>
      <c r="AU341" s="101"/>
      <c r="AV341" s="101"/>
      <c r="AW341" s="101"/>
      <c r="AX341" s="101"/>
      <c r="AY341" s="101"/>
      <c r="AZ341" s="101"/>
      <c r="BA341" s="101"/>
    </row>
    <row r="342" spans="33:54">
      <c r="AG342" s="101"/>
      <c r="AH342" s="101"/>
      <c r="AI342" s="101"/>
      <c r="AJ342" s="101"/>
      <c r="AK342" s="101"/>
      <c r="AM342" s="195"/>
      <c r="AT342" s="101"/>
      <c r="AU342" s="101"/>
      <c r="AV342" s="101"/>
      <c r="AW342" s="101"/>
      <c r="AX342" s="101"/>
      <c r="AY342" s="101"/>
      <c r="AZ342" s="101"/>
      <c r="BA342" s="101"/>
    </row>
    <row r="343" spans="33:54">
      <c r="AG343" s="101"/>
      <c r="AH343" s="101"/>
      <c r="AI343" s="101"/>
      <c r="AJ343" s="101"/>
      <c r="AK343" s="101"/>
      <c r="AM343" s="195"/>
      <c r="AT343" s="101"/>
      <c r="AU343" s="101"/>
      <c r="AV343" s="101"/>
      <c r="AW343" s="101"/>
      <c r="AX343" s="101"/>
      <c r="AY343" s="101"/>
      <c r="AZ343" s="101"/>
      <c r="BA343" s="101"/>
    </row>
    <row r="344" spans="33:54">
      <c r="AG344" s="101"/>
      <c r="AH344" s="101"/>
      <c r="AI344" s="101"/>
      <c r="AJ344" s="101"/>
      <c r="AK344" s="101"/>
      <c r="AM344" s="195"/>
      <c r="AT344" s="101"/>
      <c r="AU344" s="101"/>
      <c r="AV344" s="101"/>
      <c r="AW344" s="101"/>
      <c r="AX344" s="101"/>
      <c r="AY344" s="101"/>
      <c r="AZ344" s="101"/>
      <c r="BA344" s="101"/>
    </row>
    <row r="345" spans="33:54">
      <c r="AG345" s="101"/>
      <c r="AH345" s="101"/>
      <c r="AI345" s="101"/>
      <c r="AJ345" s="101"/>
      <c r="AK345" s="101"/>
      <c r="AM345" s="195"/>
      <c r="AT345" s="101"/>
      <c r="AU345" s="101"/>
      <c r="AV345" s="101"/>
      <c r="AW345" s="101"/>
      <c r="AX345" s="101"/>
      <c r="AY345" s="101"/>
      <c r="AZ345" s="101"/>
      <c r="BA345" s="101"/>
    </row>
    <row r="346" spans="33:54">
      <c r="AG346" s="101"/>
      <c r="AH346" s="101"/>
      <c r="AI346" s="101"/>
      <c r="AJ346" s="101"/>
      <c r="AK346" s="101"/>
      <c r="AM346" s="195"/>
      <c r="AT346" s="101"/>
      <c r="AU346" s="101"/>
      <c r="AV346" s="101"/>
      <c r="AW346" s="101"/>
      <c r="AX346" s="101"/>
      <c r="AY346" s="101"/>
      <c r="AZ346" s="101"/>
      <c r="BA346" s="101"/>
    </row>
    <row r="347" spans="33:54">
      <c r="AG347" s="101"/>
      <c r="AH347" s="101"/>
      <c r="AI347" s="101"/>
      <c r="AJ347" s="101"/>
      <c r="AK347" s="101"/>
      <c r="AM347" s="195"/>
      <c r="AT347" s="101"/>
      <c r="AU347" s="101"/>
      <c r="AV347" s="101"/>
      <c r="AW347" s="101"/>
      <c r="AX347" s="101"/>
      <c r="AY347" s="101"/>
      <c r="AZ347" s="101"/>
      <c r="BA347" s="101"/>
    </row>
    <row r="348" spans="33:54">
      <c r="AG348" s="101"/>
      <c r="AH348" s="101"/>
      <c r="AI348" s="101"/>
      <c r="AJ348" s="101"/>
      <c r="AK348" s="101"/>
      <c r="AM348" s="195"/>
      <c r="AT348" s="101"/>
      <c r="AU348" s="101"/>
      <c r="AV348" s="101"/>
      <c r="AW348" s="101"/>
      <c r="AX348" s="101"/>
      <c r="AY348" s="101"/>
      <c r="AZ348" s="101"/>
      <c r="BA348" s="101"/>
    </row>
    <row r="349" spans="33:54">
      <c r="AG349" s="101"/>
      <c r="AH349" s="101"/>
      <c r="AI349" s="101"/>
      <c r="AJ349" s="101"/>
      <c r="AK349" s="101"/>
      <c r="AM349" s="195"/>
      <c r="AT349" s="101"/>
      <c r="AU349" s="101"/>
      <c r="AV349" s="101"/>
      <c r="AW349" s="101"/>
      <c r="AX349" s="101"/>
      <c r="AY349" s="101"/>
      <c r="AZ349" s="101"/>
      <c r="BA349" s="101"/>
    </row>
    <row r="350" spans="33:54">
      <c r="AG350" s="101"/>
      <c r="AH350" s="101"/>
      <c r="AI350" s="101"/>
      <c r="AJ350" s="101"/>
      <c r="AK350" s="101"/>
      <c r="AM350" s="195"/>
      <c r="AT350" s="101"/>
      <c r="AU350" s="101"/>
      <c r="AV350" s="101"/>
      <c r="AW350" s="101"/>
      <c r="AX350" s="101"/>
      <c r="AY350" s="101"/>
      <c r="AZ350" s="101"/>
      <c r="BA350" s="101"/>
      <c r="BB350" s="101"/>
    </row>
    <row r="351" spans="33:54">
      <c r="AG351" s="101"/>
      <c r="AH351" s="101"/>
      <c r="AI351" s="101"/>
      <c r="AJ351" s="101"/>
      <c r="AK351" s="101"/>
      <c r="AM351" s="195"/>
      <c r="AT351" s="101"/>
      <c r="AU351" s="101"/>
      <c r="AV351" s="101"/>
      <c r="AW351" s="101"/>
      <c r="AX351" s="101"/>
      <c r="AY351" s="101"/>
      <c r="AZ351" s="101"/>
      <c r="BA351" s="101"/>
    </row>
    <row r="352" spans="33:54">
      <c r="AG352" s="101"/>
      <c r="AH352" s="101"/>
      <c r="AI352" s="101"/>
      <c r="AJ352" s="101"/>
      <c r="AK352" s="101"/>
      <c r="AM352" s="195"/>
      <c r="AT352" s="101"/>
      <c r="AU352" s="101"/>
      <c r="AV352" s="101"/>
      <c r="AW352" s="101"/>
      <c r="AX352" s="101"/>
      <c r="AY352" s="101"/>
      <c r="AZ352" s="101"/>
      <c r="BA352" s="101"/>
    </row>
    <row r="353" spans="33:70">
      <c r="AG353" s="101"/>
      <c r="AH353" s="101"/>
      <c r="AI353" s="101"/>
      <c r="AJ353" s="101"/>
      <c r="AK353" s="101"/>
      <c r="AM353" s="195"/>
      <c r="AT353" s="101"/>
      <c r="AU353" s="101"/>
      <c r="AV353" s="101"/>
      <c r="AW353" s="101"/>
      <c r="AX353" s="101"/>
      <c r="AY353" s="101"/>
      <c r="AZ353" s="101"/>
      <c r="BA353" s="101"/>
    </row>
    <row r="354" spans="33:70">
      <c r="AG354" s="101"/>
      <c r="AH354" s="101"/>
      <c r="AI354" s="101"/>
      <c r="AJ354" s="101"/>
      <c r="AK354" s="101"/>
      <c r="AM354" s="195"/>
      <c r="AT354" s="101"/>
      <c r="AU354" s="101"/>
      <c r="AV354" s="101"/>
      <c r="AW354" s="101"/>
      <c r="AX354" s="101"/>
      <c r="AY354" s="101"/>
      <c r="AZ354" s="101"/>
      <c r="BA354" s="101"/>
    </row>
    <row r="355" spans="33:70">
      <c r="AG355" s="101"/>
      <c r="AH355" s="101"/>
      <c r="AI355" s="101"/>
      <c r="AJ355" s="101"/>
      <c r="AK355" s="101"/>
      <c r="AM355" s="195"/>
      <c r="AT355" s="101"/>
      <c r="AU355" s="101"/>
      <c r="AV355" s="101"/>
      <c r="AW355" s="101"/>
      <c r="AX355" s="101"/>
      <c r="AY355" s="101"/>
      <c r="AZ355" s="101"/>
      <c r="BA355" s="101"/>
    </row>
    <row r="356" spans="33:70">
      <c r="AG356" s="101"/>
      <c r="AH356" s="101"/>
      <c r="AI356" s="101"/>
      <c r="AJ356" s="101"/>
      <c r="AK356" s="101"/>
      <c r="AM356" s="195"/>
      <c r="AT356" s="101"/>
      <c r="AU356" s="101"/>
      <c r="AV356" s="101"/>
      <c r="AW356" s="101"/>
      <c r="AX356" s="101"/>
      <c r="AY356" s="101"/>
      <c r="AZ356" s="101"/>
      <c r="BA356" s="101"/>
    </row>
    <row r="357" spans="33:70">
      <c r="AG357" s="101"/>
      <c r="AH357" s="101"/>
      <c r="AI357" s="101"/>
      <c r="AJ357" s="101"/>
      <c r="AK357" s="101"/>
      <c r="AM357" s="195"/>
      <c r="AT357" s="101"/>
      <c r="AU357" s="101"/>
      <c r="AV357" s="101"/>
      <c r="AW357" s="101"/>
      <c r="AX357" s="101"/>
      <c r="AY357" s="101"/>
      <c r="AZ357" s="101"/>
      <c r="BA357" s="101"/>
    </row>
    <row r="358" spans="33:70">
      <c r="AG358" s="101"/>
      <c r="AH358" s="101"/>
      <c r="AI358" s="101"/>
      <c r="AJ358" s="101"/>
      <c r="AK358" s="101"/>
      <c r="AM358" s="195"/>
      <c r="AT358" s="101"/>
      <c r="AU358" s="101"/>
      <c r="AV358" s="101"/>
      <c r="AW358" s="101"/>
      <c r="AX358" s="101"/>
      <c r="AY358" s="101"/>
      <c r="AZ358" s="101"/>
      <c r="BA358" s="101"/>
    </row>
    <row r="359" spans="33:70">
      <c r="AG359" s="101"/>
      <c r="AH359" s="101"/>
      <c r="AI359" s="101"/>
      <c r="AJ359" s="101"/>
      <c r="AK359" s="101"/>
      <c r="AM359" s="195"/>
      <c r="AT359" s="101"/>
      <c r="AU359" s="101"/>
      <c r="AV359" s="101"/>
      <c r="AW359" s="101"/>
      <c r="AX359" s="101"/>
      <c r="AY359" s="101"/>
      <c r="AZ359" s="101"/>
      <c r="BA359" s="101"/>
    </row>
    <row r="360" spans="33:70">
      <c r="AG360" s="101"/>
      <c r="AH360" s="101"/>
      <c r="AI360" s="101"/>
      <c r="AJ360" s="101"/>
      <c r="AK360" s="101"/>
      <c r="AM360" s="195"/>
      <c r="AT360" s="101"/>
      <c r="AU360" s="101"/>
      <c r="AV360" s="101"/>
      <c r="AW360" s="101"/>
      <c r="AX360" s="101"/>
      <c r="AY360" s="101"/>
      <c r="AZ360" s="101"/>
      <c r="BA360" s="101"/>
    </row>
    <row r="361" spans="33:70">
      <c r="AG361" s="101"/>
      <c r="AH361" s="101"/>
      <c r="AI361" s="101"/>
      <c r="AJ361" s="101"/>
      <c r="AK361" s="101"/>
      <c r="AM361" s="195"/>
      <c r="AT361" s="101"/>
      <c r="AU361" s="101"/>
      <c r="AV361" s="101"/>
      <c r="AW361" s="101"/>
      <c r="AX361" s="101"/>
      <c r="AY361" s="101"/>
      <c r="AZ361" s="101"/>
      <c r="BA361" s="101"/>
    </row>
    <row r="362" spans="33:70">
      <c r="AG362" s="101"/>
      <c r="AH362" s="101"/>
      <c r="AI362" s="101"/>
      <c r="AJ362" s="101"/>
      <c r="AK362" s="101"/>
      <c r="AM362" s="195"/>
      <c r="AT362" s="101"/>
      <c r="AU362" s="101"/>
      <c r="AV362" s="101"/>
      <c r="AW362" s="101"/>
      <c r="AX362" s="101"/>
      <c r="AY362" s="101"/>
      <c r="AZ362" s="101"/>
      <c r="BA362" s="101"/>
    </row>
    <row r="363" spans="33:70">
      <c r="AG363" s="101"/>
      <c r="AH363" s="101"/>
      <c r="AI363" s="101"/>
      <c r="AJ363" s="101"/>
      <c r="AK363" s="101"/>
      <c r="AM363" s="195"/>
      <c r="AT363" s="101"/>
      <c r="AU363" s="101"/>
      <c r="AV363" s="101"/>
      <c r="AW363" s="101"/>
      <c r="AX363" s="101"/>
      <c r="AY363" s="101"/>
      <c r="AZ363" s="101"/>
      <c r="BA363" s="101"/>
    </row>
    <row r="364" spans="33:70">
      <c r="AG364" s="101"/>
      <c r="AH364" s="101"/>
      <c r="AI364" s="101"/>
      <c r="AJ364" s="101"/>
      <c r="AK364" s="101"/>
      <c r="AM364" s="195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</row>
    <row r="365" spans="33:70">
      <c r="AG365" s="101"/>
      <c r="AH365" s="101"/>
      <c r="AI365" s="101"/>
      <c r="AJ365" s="101"/>
      <c r="AK365" s="101"/>
      <c r="AM365" s="195"/>
      <c r="AT365" s="101"/>
      <c r="AU365" s="101"/>
      <c r="AV365" s="101"/>
      <c r="AW365" s="101"/>
      <c r="AX365" s="101"/>
      <c r="AY365" s="101"/>
      <c r="AZ365" s="101"/>
      <c r="BA365" s="101"/>
    </row>
    <row r="366" spans="33:70">
      <c r="AG366" s="101"/>
      <c r="AH366" s="101"/>
      <c r="AI366" s="101"/>
      <c r="AJ366" s="101"/>
      <c r="AK366" s="101"/>
      <c r="AM366" s="195"/>
      <c r="AT366" s="101"/>
      <c r="AU366" s="101"/>
      <c r="AV366" s="101"/>
      <c r="AW366" s="101"/>
      <c r="AX366" s="101"/>
      <c r="AY366" s="101"/>
      <c r="AZ366" s="101"/>
      <c r="BA366" s="101"/>
    </row>
    <row r="367" spans="33:70">
      <c r="AG367" s="101"/>
      <c r="AH367" s="101"/>
      <c r="AI367" s="101"/>
      <c r="AJ367" s="101"/>
      <c r="AK367" s="101"/>
      <c r="AM367" s="195"/>
      <c r="AT367" s="101"/>
      <c r="AU367" s="101"/>
      <c r="AV367" s="101"/>
      <c r="AW367" s="101"/>
      <c r="AX367" s="101"/>
      <c r="AY367" s="101"/>
      <c r="AZ367" s="101"/>
      <c r="BA367" s="101"/>
    </row>
    <row r="368" spans="33:70">
      <c r="AG368" s="101"/>
      <c r="AH368" s="101"/>
      <c r="AI368" s="101"/>
      <c r="AJ368" s="101"/>
      <c r="AK368" s="101"/>
      <c r="AM368" s="195"/>
      <c r="AT368" s="101"/>
      <c r="AU368" s="101"/>
      <c r="AV368" s="101"/>
      <c r="AW368" s="101"/>
      <c r="AX368" s="101"/>
      <c r="AY368" s="101"/>
      <c r="AZ368" s="101"/>
      <c r="BA368" s="101"/>
    </row>
    <row r="369" spans="33:53">
      <c r="AG369" s="101"/>
      <c r="AH369" s="101"/>
      <c r="AI369" s="101"/>
      <c r="AJ369" s="101"/>
      <c r="AK369" s="101"/>
      <c r="AM369" s="195"/>
      <c r="AT369" s="101"/>
      <c r="AU369" s="101"/>
      <c r="AV369" s="101"/>
      <c r="AW369" s="101"/>
      <c r="AX369" s="101"/>
      <c r="AY369" s="101"/>
      <c r="AZ369" s="101"/>
      <c r="BA369" s="101"/>
    </row>
    <row r="370" spans="33:53">
      <c r="AG370" s="101"/>
      <c r="AH370" s="101"/>
      <c r="AI370" s="101"/>
      <c r="AJ370" s="101"/>
      <c r="AK370" s="101"/>
      <c r="AM370" s="195"/>
      <c r="AT370" s="101"/>
      <c r="AU370" s="101"/>
      <c r="AV370" s="101"/>
      <c r="AW370" s="101"/>
      <c r="AX370" s="101"/>
      <c r="AY370" s="101"/>
      <c r="AZ370" s="101"/>
      <c r="BA370" s="101"/>
    </row>
    <row r="371" spans="33:53">
      <c r="AG371" s="101"/>
      <c r="AH371" s="101"/>
      <c r="AI371" s="101"/>
      <c r="AJ371" s="101"/>
      <c r="AK371" s="101"/>
      <c r="AM371" s="195"/>
      <c r="AT371" s="101"/>
      <c r="AU371" s="101"/>
      <c r="AV371" s="101"/>
      <c r="AW371" s="101"/>
      <c r="AX371" s="101"/>
      <c r="AY371" s="101"/>
      <c r="AZ371" s="101"/>
      <c r="BA371" s="101"/>
    </row>
    <row r="372" spans="33:53">
      <c r="AG372" s="101"/>
      <c r="AH372" s="101"/>
      <c r="AI372" s="101"/>
      <c r="AJ372" s="101"/>
      <c r="AK372" s="101"/>
      <c r="AM372" s="195"/>
      <c r="AT372" s="101"/>
      <c r="AU372" s="101"/>
      <c r="AV372" s="101"/>
      <c r="AW372" s="101"/>
      <c r="AX372" s="101"/>
      <c r="AY372" s="101"/>
      <c r="AZ372" s="101"/>
      <c r="BA372" s="101"/>
    </row>
    <row r="373" spans="33:53">
      <c r="AG373" s="101"/>
      <c r="AH373" s="101"/>
      <c r="AI373" s="101"/>
      <c r="AJ373" s="101"/>
      <c r="AK373" s="101"/>
      <c r="AM373" s="195"/>
      <c r="AT373" s="101"/>
      <c r="AU373" s="101"/>
      <c r="AV373" s="101"/>
      <c r="AW373" s="101"/>
      <c r="AX373" s="101"/>
      <c r="AY373" s="101"/>
      <c r="AZ373" s="101"/>
      <c r="BA373" s="101"/>
    </row>
    <row r="374" spans="33:53">
      <c r="AG374" s="101"/>
      <c r="AH374" s="101"/>
      <c r="AI374" s="101"/>
      <c r="AJ374" s="101"/>
      <c r="AK374" s="101"/>
      <c r="AM374" s="195"/>
      <c r="AT374" s="101"/>
      <c r="AU374" s="101"/>
      <c r="AV374" s="101"/>
      <c r="AW374" s="101"/>
      <c r="AX374" s="101"/>
      <c r="AY374" s="101"/>
      <c r="AZ374" s="101"/>
      <c r="BA374" s="101"/>
    </row>
    <row r="375" spans="33:53">
      <c r="AG375" s="101"/>
      <c r="AH375" s="101"/>
      <c r="AI375" s="101"/>
      <c r="AJ375" s="101"/>
      <c r="AK375" s="101"/>
      <c r="AM375" s="195"/>
      <c r="AT375" s="101"/>
      <c r="AU375" s="101"/>
      <c r="AV375" s="101"/>
      <c r="AW375" s="101"/>
      <c r="AX375" s="101"/>
      <c r="AY375" s="101"/>
      <c r="AZ375" s="101"/>
      <c r="BA375" s="101"/>
    </row>
    <row r="376" spans="33:53">
      <c r="AG376" s="101"/>
      <c r="AH376" s="101"/>
      <c r="AI376" s="101"/>
      <c r="AJ376" s="101"/>
      <c r="AK376" s="101"/>
      <c r="AM376" s="195"/>
      <c r="AT376" s="101"/>
      <c r="AU376" s="101"/>
      <c r="AV376" s="101"/>
      <c r="AW376" s="101"/>
      <c r="AX376" s="101"/>
      <c r="AY376" s="101"/>
      <c r="AZ376" s="101"/>
      <c r="BA376" s="101"/>
    </row>
    <row r="377" spans="33:53">
      <c r="AG377" s="101"/>
      <c r="AH377" s="101"/>
      <c r="AI377" s="101"/>
      <c r="AJ377" s="101"/>
      <c r="AK377" s="101"/>
      <c r="AM377" s="195"/>
      <c r="AT377" s="101"/>
      <c r="AU377" s="101"/>
      <c r="AV377" s="101"/>
      <c r="AW377" s="101"/>
      <c r="AX377" s="101"/>
      <c r="AY377" s="101"/>
      <c r="AZ377" s="101"/>
      <c r="BA377" s="101"/>
    </row>
    <row r="378" spans="33:53">
      <c r="AG378" s="101"/>
      <c r="AH378" s="101"/>
      <c r="AI378" s="101"/>
      <c r="AJ378" s="101"/>
      <c r="AK378" s="101"/>
      <c r="AM378" s="195"/>
      <c r="AT378" s="101"/>
      <c r="AU378" s="101"/>
      <c r="AV378" s="101"/>
      <c r="AW378" s="101"/>
      <c r="AX378" s="101"/>
      <c r="AY378" s="101"/>
      <c r="AZ378" s="101"/>
      <c r="BA378" s="101"/>
    </row>
    <row r="379" spans="33:53">
      <c r="AG379" s="101"/>
      <c r="AH379" s="101"/>
      <c r="AI379" s="101"/>
      <c r="AJ379" s="101"/>
      <c r="AK379" s="101"/>
      <c r="AM379" s="195"/>
      <c r="AT379" s="101"/>
      <c r="AU379" s="101"/>
      <c r="AV379" s="101"/>
      <c r="AW379" s="101"/>
      <c r="AX379" s="101"/>
      <c r="AY379" s="101"/>
      <c r="AZ379" s="101"/>
      <c r="BA379" s="101"/>
    </row>
    <row r="380" spans="33:53">
      <c r="AG380" s="101"/>
      <c r="AH380" s="101"/>
      <c r="AI380" s="101"/>
      <c r="AJ380" s="101"/>
      <c r="AK380" s="101"/>
      <c r="AM380" s="195"/>
      <c r="AT380" s="101"/>
      <c r="AU380" s="101"/>
      <c r="AV380" s="101"/>
      <c r="AW380" s="101"/>
      <c r="AX380" s="101"/>
      <c r="AY380" s="101"/>
      <c r="AZ380" s="101"/>
      <c r="BA380" s="101"/>
    </row>
    <row r="381" spans="33:53">
      <c r="AG381" s="101"/>
      <c r="AH381" s="101"/>
      <c r="AI381" s="101"/>
      <c r="AJ381" s="101"/>
      <c r="AK381" s="101"/>
      <c r="AM381" s="195"/>
      <c r="AT381" s="101"/>
      <c r="AU381" s="101"/>
      <c r="AV381" s="101"/>
      <c r="AW381" s="101"/>
      <c r="AX381" s="101"/>
      <c r="AY381" s="101"/>
      <c r="AZ381" s="101"/>
      <c r="BA381" s="101"/>
    </row>
    <row r="382" spans="33:53">
      <c r="AG382" s="101"/>
      <c r="AH382" s="101"/>
      <c r="AI382" s="101"/>
      <c r="AJ382" s="101"/>
      <c r="AK382" s="101"/>
      <c r="AM382" s="195"/>
      <c r="AT382" s="101"/>
      <c r="AU382" s="101"/>
      <c r="AV382" s="101"/>
      <c r="AW382" s="101"/>
      <c r="AX382" s="101"/>
      <c r="AY382" s="101"/>
      <c r="AZ382" s="101"/>
      <c r="BA382" s="101"/>
    </row>
    <row r="383" spans="33:53">
      <c r="AG383" s="101"/>
      <c r="AH383" s="101"/>
      <c r="AI383" s="101"/>
      <c r="AJ383" s="101"/>
      <c r="AK383" s="101"/>
      <c r="AM383" s="195"/>
      <c r="AT383" s="101"/>
      <c r="AU383" s="101"/>
      <c r="AV383" s="101"/>
      <c r="AW383" s="101"/>
      <c r="AX383" s="101"/>
      <c r="AY383" s="101"/>
      <c r="AZ383" s="101"/>
      <c r="BA383" s="101"/>
    </row>
    <row r="384" spans="33:53">
      <c r="AG384" s="101"/>
      <c r="AH384" s="101"/>
      <c r="AI384" s="101"/>
      <c r="AJ384" s="101"/>
      <c r="AK384" s="101"/>
      <c r="AM384" s="195"/>
      <c r="AT384" s="101"/>
      <c r="AU384" s="101"/>
      <c r="AV384" s="101"/>
      <c r="AW384" s="101"/>
      <c r="AX384" s="101"/>
      <c r="AY384" s="101"/>
      <c r="AZ384" s="101"/>
      <c r="BA384" s="101"/>
    </row>
    <row r="385" spans="33:70">
      <c r="AG385" s="101"/>
      <c r="AH385" s="101"/>
      <c r="AI385" s="101"/>
      <c r="AJ385" s="101"/>
      <c r="AK385" s="101"/>
      <c r="AM385" s="195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</row>
    <row r="386" spans="33:70">
      <c r="AG386" s="101"/>
      <c r="AH386" s="101"/>
      <c r="AI386" s="101"/>
      <c r="AJ386" s="101"/>
      <c r="AK386" s="101"/>
      <c r="AM386" s="195"/>
      <c r="AT386" s="101"/>
      <c r="AU386" s="101"/>
      <c r="AV386" s="101"/>
      <c r="AW386" s="101"/>
      <c r="AX386" s="101"/>
      <c r="AY386" s="101"/>
      <c r="AZ386" s="101"/>
      <c r="BA386" s="101"/>
    </row>
    <row r="387" spans="33:70">
      <c r="AG387" s="101"/>
      <c r="AH387" s="101"/>
      <c r="AI387" s="101"/>
      <c r="AJ387" s="101"/>
      <c r="AK387" s="101"/>
      <c r="AM387" s="195"/>
      <c r="AT387" s="101"/>
      <c r="AU387" s="101"/>
      <c r="AV387" s="101"/>
      <c r="AW387" s="101"/>
      <c r="AX387" s="101"/>
      <c r="AY387" s="101"/>
      <c r="AZ387" s="101"/>
      <c r="BA387" s="101"/>
      <c r="BB387" s="101"/>
    </row>
    <row r="388" spans="33:70">
      <c r="AG388" s="101"/>
      <c r="AH388" s="101"/>
      <c r="AI388" s="101"/>
      <c r="AJ388" s="101"/>
      <c r="AK388" s="101"/>
      <c r="AM388" s="195"/>
      <c r="AT388" s="101"/>
      <c r="AU388" s="101"/>
      <c r="AV388" s="101"/>
      <c r="AW388" s="101"/>
      <c r="AX388" s="101"/>
      <c r="AY388" s="101"/>
      <c r="AZ388" s="101"/>
      <c r="BA388" s="101"/>
    </row>
    <row r="389" spans="33:70">
      <c r="AG389" s="101"/>
      <c r="AH389" s="101"/>
      <c r="AI389" s="101"/>
      <c r="AJ389" s="101"/>
      <c r="AK389" s="101"/>
      <c r="AM389" s="195"/>
      <c r="AT389" s="101"/>
      <c r="AU389" s="101"/>
      <c r="AV389" s="101"/>
      <c r="AW389" s="101"/>
      <c r="AX389" s="101"/>
      <c r="AY389" s="101"/>
      <c r="AZ389" s="101"/>
      <c r="BA389" s="101"/>
    </row>
    <row r="390" spans="33:70">
      <c r="AG390" s="101"/>
      <c r="AH390" s="101"/>
      <c r="AI390" s="101"/>
      <c r="AJ390" s="101"/>
      <c r="AK390" s="101"/>
      <c r="AM390" s="195"/>
      <c r="AT390" s="101"/>
      <c r="AU390" s="101"/>
      <c r="AV390" s="101"/>
      <c r="AW390" s="101"/>
      <c r="AX390" s="101"/>
      <c r="AY390" s="101"/>
      <c r="AZ390" s="101"/>
      <c r="BA390" s="101"/>
    </row>
    <row r="391" spans="33:70">
      <c r="AG391" s="101"/>
      <c r="AH391" s="101"/>
      <c r="AI391" s="101"/>
      <c r="AJ391" s="101"/>
      <c r="AK391" s="101"/>
      <c r="AM391" s="195"/>
      <c r="AT391" s="101"/>
      <c r="AU391" s="101"/>
      <c r="AV391" s="101"/>
      <c r="AW391" s="101"/>
      <c r="AX391" s="101"/>
      <c r="AY391" s="101"/>
      <c r="AZ391" s="101"/>
      <c r="BA391" s="101"/>
    </row>
    <row r="392" spans="33:70">
      <c r="AG392" s="101"/>
      <c r="AH392" s="101"/>
      <c r="AI392" s="101"/>
      <c r="AJ392" s="101"/>
      <c r="AK392" s="101"/>
      <c r="AM392" s="195"/>
      <c r="AT392" s="101"/>
      <c r="AU392" s="101"/>
      <c r="AV392" s="101"/>
      <c r="AW392" s="101"/>
      <c r="AX392" s="101"/>
      <c r="AY392" s="101"/>
      <c r="AZ392" s="101"/>
      <c r="BA392" s="101"/>
    </row>
    <row r="393" spans="33:70">
      <c r="AG393" s="101"/>
      <c r="AH393" s="101"/>
      <c r="AI393" s="101"/>
      <c r="AJ393" s="101"/>
      <c r="AK393" s="101"/>
      <c r="AM393" s="195"/>
      <c r="AT393" s="101"/>
      <c r="AU393" s="101"/>
      <c r="AV393" s="101"/>
      <c r="AW393" s="101"/>
      <c r="AX393" s="101"/>
      <c r="AY393" s="101"/>
      <c r="AZ393" s="101"/>
      <c r="BA393" s="101"/>
    </row>
    <row r="394" spans="33:70">
      <c r="AG394" s="101"/>
      <c r="AH394" s="101"/>
      <c r="AI394" s="101"/>
      <c r="AJ394" s="101"/>
      <c r="AK394" s="101"/>
      <c r="AM394" s="195"/>
      <c r="AT394" s="101"/>
      <c r="AU394" s="101"/>
      <c r="AV394" s="101"/>
      <c r="AW394" s="101"/>
      <c r="AX394" s="101"/>
      <c r="AY394" s="101"/>
      <c r="AZ394" s="101"/>
      <c r="BA394" s="101"/>
    </row>
    <row r="395" spans="33:70">
      <c r="AG395" s="101"/>
      <c r="AH395" s="101"/>
      <c r="AI395" s="101"/>
      <c r="AJ395" s="101"/>
      <c r="AK395" s="101"/>
      <c r="AM395" s="195"/>
      <c r="AT395" s="101"/>
      <c r="AU395" s="101"/>
      <c r="AV395" s="101"/>
      <c r="AW395" s="101"/>
      <c r="AX395" s="101"/>
      <c r="AY395" s="101"/>
      <c r="AZ395" s="101"/>
      <c r="BA395" s="101"/>
    </row>
    <row r="396" spans="33:70">
      <c r="AG396" s="101"/>
      <c r="AH396" s="101"/>
      <c r="AI396" s="101"/>
      <c r="AJ396" s="101"/>
      <c r="AK396" s="101"/>
      <c r="AM396" s="195"/>
      <c r="AT396" s="101"/>
      <c r="AU396" s="101"/>
      <c r="AV396" s="101"/>
      <c r="AW396" s="101"/>
      <c r="AX396" s="101"/>
      <c r="AY396" s="101"/>
      <c r="AZ396" s="101"/>
      <c r="BA396" s="101"/>
    </row>
    <row r="397" spans="33:70">
      <c r="AG397" s="101"/>
      <c r="AH397" s="101"/>
      <c r="AI397" s="101"/>
      <c r="AJ397" s="101"/>
      <c r="AK397" s="101"/>
      <c r="AM397" s="195"/>
      <c r="AT397" s="101"/>
      <c r="AU397" s="101"/>
      <c r="AV397" s="101"/>
      <c r="AW397" s="101"/>
      <c r="AX397" s="101"/>
      <c r="AY397" s="101"/>
      <c r="AZ397" s="101"/>
      <c r="BA397" s="101"/>
    </row>
    <row r="398" spans="33:70">
      <c r="AG398" s="101"/>
      <c r="AH398" s="101"/>
      <c r="AI398" s="101"/>
      <c r="AJ398" s="101"/>
      <c r="AK398" s="101"/>
      <c r="AM398" s="195"/>
      <c r="AT398" s="101"/>
      <c r="AU398" s="101"/>
      <c r="AV398" s="101"/>
      <c r="AW398" s="101"/>
      <c r="AX398" s="101"/>
      <c r="AY398" s="101"/>
      <c r="AZ398" s="101"/>
      <c r="BA398" s="101"/>
    </row>
    <row r="399" spans="33:70">
      <c r="AG399" s="101"/>
      <c r="AH399" s="101"/>
      <c r="AI399" s="101"/>
      <c r="AJ399" s="101"/>
      <c r="AK399" s="101"/>
      <c r="AM399" s="195"/>
      <c r="AT399" s="101"/>
      <c r="AU399" s="101"/>
      <c r="AV399" s="101"/>
      <c r="AW399" s="101"/>
      <c r="AX399" s="101"/>
      <c r="AY399" s="101"/>
      <c r="AZ399" s="101"/>
      <c r="BA399" s="101"/>
    </row>
    <row r="400" spans="33:70">
      <c r="AG400" s="101"/>
      <c r="AH400" s="101"/>
      <c r="AI400" s="101"/>
      <c r="AJ400" s="101"/>
      <c r="AK400" s="101"/>
      <c r="AM400" s="195"/>
      <c r="AT400" s="101"/>
      <c r="AU400" s="101"/>
      <c r="AV400" s="101"/>
      <c r="AW400" s="101"/>
      <c r="AX400" s="101"/>
      <c r="AY400" s="101"/>
      <c r="AZ400" s="101"/>
      <c r="BA400" s="101"/>
    </row>
    <row r="401" spans="33:70">
      <c r="AG401" s="101"/>
      <c r="AH401" s="101"/>
      <c r="AI401" s="101"/>
      <c r="AJ401" s="101"/>
      <c r="AK401" s="101"/>
      <c r="AM401" s="195"/>
      <c r="AT401" s="101"/>
      <c r="AU401" s="101"/>
      <c r="AV401" s="101"/>
      <c r="AW401" s="101"/>
      <c r="AX401" s="101"/>
      <c r="AY401" s="101"/>
      <c r="AZ401" s="101"/>
      <c r="BA401" s="101"/>
    </row>
    <row r="402" spans="33:70">
      <c r="AG402" s="101"/>
      <c r="AH402" s="101"/>
      <c r="AI402" s="101"/>
      <c r="AJ402" s="101"/>
      <c r="AK402" s="101"/>
      <c r="AM402" s="195"/>
      <c r="AT402" s="101"/>
      <c r="AU402" s="101"/>
      <c r="AV402" s="101"/>
      <c r="AW402" s="101"/>
      <c r="AX402" s="101"/>
      <c r="AY402" s="101"/>
      <c r="AZ402" s="101"/>
      <c r="BA402" s="101"/>
    </row>
    <row r="403" spans="33:70">
      <c r="AG403" s="101"/>
      <c r="AH403" s="101"/>
      <c r="AI403" s="101"/>
      <c r="AJ403" s="101"/>
      <c r="AK403" s="101"/>
      <c r="AM403" s="195"/>
      <c r="AT403" s="101"/>
      <c r="AU403" s="101"/>
      <c r="AV403" s="101"/>
      <c r="AW403" s="101"/>
      <c r="AX403" s="101"/>
      <c r="AY403" s="101"/>
      <c r="AZ403" s="101"/>
      <c r="BA403" s="101"/>
    </row>
    <row r="404" spans="33:70">
      <c r="AG404" s="101"/>
      <c r="AH404" s="101"/>
      <c r="AI404" s="101"/>
      <c r="AJ404" s="101"/>
      <c r="AK404" s="101"/>
      <c r="AM404" s="195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</row>
    <row r="405" spans="33:70">
      <c r="AG405" s="101"/>
      <c r="AH405" s="101"/>
      <c r="AI405" s="101"/>
      <c r="AJ405" s="101"/>
      <c r="AK405" s="101"/>
      <c r="AM405" s="195"/>
      <c r="AT405" s="101"/>
      <c r="AU405" s="101"/>
      <c r="AV405" s="101"/>
      <c r="AW405" s="101"/>
      <c r="AX405" s="101"/>
      <c r="AY405" s="101"/>
      <c r="AZ405" s="101"/>
      <c r="BA405" s="101"/>
      <c r="BB405" s="101"/>
    </row>
    <row r="406" spans="33:70">
      <c r="AG406" s="101"/>
      <c r="AH406" s="101"/>
      <c r="AI406" s="101"/>
      <c r="AJ406" s="101"/>
      <c r="AK406" s="101"/>
      <c r="AM406" s="195"/>
      <c r="AT406" s="101"/>
      <c r="AU406" s="101"/>
      <c r="AV406" s="101"/>
      <c r="AW406" s="101"/>
      <c r="AX406" s="101"/>
      <c r="AY406" s="101"/>
      <c r="AZ406" s="101"/>
      <c r="BA406" s="101"/>
      <c r="BB406" s="101"/>
      <c r="BD406" s="101"/>
    </row>
    <row r="407" spans="33:70">
      <c r="AG407" s="101"/>
      <c r="AH407" s="101"/>
      <c r="AI407" s="101"/>
      <c r="AJ407" s="101"/>
      <c r="AK407" s="101"/>
      <c r="AM407" s="195"/>
      <c r="AT407" s="101"/>
      <c r="AU407" s="101"/>
      <c r="AV407" s="101"/>
      <c r="AW407" s="101"/>
      <c r="AX407" s="101"/>
      <c r="AY407" s="101"/>
      <c r="AZ407" s="101"/>
      <c r="BA407" s="101"/>
    </row>
    <row r="408" spans="33:70">
      <c r="AG408" s="101"/>
      <c r="AH408" s="101"/>
      <c r="AI408" s="101"/>
      <c r="AJ408" s="101"/>
      <c r="AK408" s="101"/>
      <c r="AM408" s="195"/>
      <c r="AT408" s="101"/>
      <c r="AU408" s="101"/>
      <c r="AV408" s="101"/>
      <c r="AW408" s="101"/>
      <c r="AX408" s="101"/>
      <c r="AY408" s="101"/>
      <c r="AZ408" s="101"/>
      <c r="BA408" s="101"/>
    </row>
    <row r="409" spans="33:70">
      <c r="AG409" s="101"/>
      <c r="AH409" s="101"/>
      <c r="AI409" s="101"/>
      <c r="AJ409" s="101"/>
      <c r="AK409" s="101"/>
      <c r="AM409" s="195"/>
      <c r="AT409" s="101"/>
      <c r="AU409" s="101"/>
      <c r="AV409" s="101"/>
      <c r="AW409" s="101"/>
      <c r="AX409" s="101"/>
      <c r="AY409" s="101"/>
      <c r="AZ409" s="101"/>
      <c r="BA409" s="101"/>
    </row>
    <row r="410" spans="33:70">
      <c r="AG410" s="101"/>
      <c r="AH410" s="101"/>
      <c r="AI410" s="101"/>
      <c r="AJ410" s="101"/>
      <c r="AK410" s="101"/>
      <c r="AM410" s="195"/>
      <c r="AT410" s="101"/>
      <c r="AU410" s="101"/>
      <c r="AV410" s="101"/>
      <c r="AW410" s="101"/>
      <c r="AX410" s="101"/>
      <c r="AY410" s="101"/>
      <c r="AZ410" s="101"/>
      <c r="BA410" s="101"/>
      <c r="BB410" s="101"/>
    </row>
    <row r="411" spans="33:70">
      <c r="AG411" s="101"/>
      <c r="AH411" s="101"/>
      <c r="AI411" s="101"/>
      <c r="AJ411" s="101"/>
      <c r="AK411" s="101"/>
      <c r="AM411" s="195"/>
      <c r="AT411" s="101"/>
      <c r="AU411" s="101"/>
      <c r="AV411" s="101"/>
      <c r="AW411" s="101"/>
      <c r="AX411" s="101"/>
      <c r="AY411" s="101"/>
      <c r="AZ411" s="101"/>
      <c r="BA411" s="101"/>
    </row>
    <row r="412" spans="33:70">
      <c r="AG412" s="101"/>
      <c r="AH412" s="101"/>
      <c r="AI412" s="101"/>
      <c r="AJ412" s="101"/>
      <c r="AK412" s="101"/>
      <c r="AM412" s="195"/>
      <c r="AT412" s="101"/>
      <c r="AU412" s="101"/>
      <c r="AV412" s="101"/>
      <c r="AW412" s="101"/>
      <c r="AX412" s="101"/>
      <c r="AY412" s="101"/>
      <c r="AZ412" s="101"/>
      <c r="BA412" s="101"/>
    </row>
    <row r="413" spans="33:70">
      <c r="AG413" s="101"/>
      <c r="AH413" s="101"/>
      <c r="AI413" s="101"/>
      <c r="AJ413" s="101"/>
      <c r="AK413" s="101"/>
      <c r="AM413" s="195"/>
      <c r="AT413" s="101"/>
      <c r="AU413" s="101"/>
      <c r="AV413" s="101"/>
      <c r="AW413" s="101"/>
      <c r="AX413" s="101"/>
      <c r="AY413" s="101"/>
      <c r="AZ413" s="101"/>
      <c r="BA413" s="101"/>
    </row>
    <row r="414" spans="33:70">
      <c r="AG414" s="101"/>
      <c r="AH414" s="101"/>
      <c r="AI414" s="101"/>
      <c r="AJ414" s="101"/>
      <c r="AK414" s="101"/>
      <c r="AM414" s="195"/>
      <c r="AT414" s="101"/>
      <c r="AU414" s="101"/>
      <c r="AV414" s="101"/>
      <c r="AW414" s="101"/>
      <c r="AX414" s="101"/>
      <c r="AY414" s="101"/>
      <c r="AZ414" s="101"/>
      <c r="BA414" s="101"/>
    </row>
    <row r="415" spans="33:70">
      <c r="AG415" s="101"/>
      <c r="AH415" s="101"/>
      <c r="AI415" s="101"/>
      <c r="AJ415" s="101"/>
      <c r="AK415" s="101"/>
      <c r="AM415" s="195"/>
      <c r="AT415" s="101"/>
      <c r="AU415" s="101"/>
      <c r="AV415" s="101"/>
      <c r="AW415" s="101"/>
      <c r="AX415" s="101"/>
      <c r="AY415" s="101"/>
      <c r="AZ415" s="101"/>
      <c r="BA415" s="101"/>
    </row>
    <row r="416" spans="33:70">
      <c r="AG416" s="101"/>
      <c r="AH416" s="101"/>
      <c r="AI416" s="101"/>
      <c r="AJ416" s="101"/>
      <c r="AK416" s="101"/>
      <c r="AM416" s="195"/>
      <c r="AT416" s="101"/>
      <c r="AU416" s="101"/>
      <c r="AV416" s="101"/>
      <c r="AW416" s="101"/>
      <c r="AX416" s="101"/>
      <c r="AY416" s="101"/>
      <c r="AZ416" s="101"/>
      <c r="BA416" s="101"/>
    </row>
    <row r="417" spans="33:53">
      <c r="AG417" s="101"/>
      <c r="AH417" s="101"/>
      <c r="AI417" s="101"/>
      <c r="AJ417" s="101"/>
      <c r="AK417" s="101"/>
      <c r="AM417" s="195"/>
      <c r="AT417" s="101"/>
      <c r="AU417" s="101"/>
      <c r="AV417" s="101"/>
      <c r="AW417" s="101"/>
      <c r="AX417" s="101"/>
      <c r="AY417" s="101"/>
      <c r="AZ417" s="101"/>
      <c r="BA417" s="101"/>
    </row>
    <row r="418" spans="33:53">
      <c r="AG418" s="101"/>
      <c r="AH418" s="101"/>
      <c r="AI418" s="101"/>
      <c r="AJ418" s="101"/>
      <c r="AK418" s="101"/>
      <c r="AM418" s="195"/>
      <c r="AT418" s="101"/>
      <c r="AU418" s="101"/>
      <c r="AV418" s="101"/>
      <c r="AW418" s="101"/>
      <c r="AX418" s="101"/>
      <c r="AY418" s="101"/>
      <c r="AZ418" s="101"/>
      <c r="BA418" s="101"/>
    </row>
    <row r="419" spans="33:53">
      <c r="AG419" s="101"/>
      <c r="AH419" s="101"/>
      <c r="AI419" s="101"/>
      <c r="AJ419" s="101"/>
      <c r="AK419" s="101"/>
      <c r="AM419" s="195"/>
      <c r="AT419" s="101"/>
      <c r="AU419" s="101"/>
      <c r="AV419" s="101"/>
      <c r="AW419" s="101"/>
      <c r="AX419" s="101"/>
      <c r="AY419" s="101"/>
      <c r="AZ419" s="101"/>
      <c r="BA419" s="101"/>
    </row>
    <row r="420" spans="33:53">
      <c r="AG420" s="101"/>
      <c r="AH420" s="101"/>
      <c r="AI420" s="101"/>
      <c r="AJ420" s="101"/>
      <c r="AK420" s="101"/>
      <c r="AM420" s="195"/>
      <c r="AT420" s="101"/>
      <c r="AU420" s="101"/>
      <c r="AV420" s="101"/>
      <c r="AW420" s="101"/>
      <c r="AX420" s="101"/>
      <c r="AY420" s="101"/>
      <c r="AZ420" s="101"/>
      <c r="BA420" s="101"/>
    </row>
    <row r="421" spans="33:53">
      <c r="AG421" s="101"/>
      <c r="AH421" s="101"/>
      <c r="AI421" s="101"/>
      <c r="AJ421" s="101"/>
      <c r="AK421" s="101"/>
      <c r="AM421" s="195"/>
      <c r="AT421" s="101"/>
      <c r="AU421" s="101"/>
      <c r="AV421" s="101"/>
      <c r="AW421" s="101"/>
      <c r="AX421" s="101"/>
      <c r="AY421" s="101"/>
      <c r="AZ421" s="101"/>
      <c r="BA421" s="101"/>
    </row>
    <row r="422" spans="33:53">
      <c r="AG422" s="101"/>
      <c r="AH422" s="101"/>
      <c r="AI422" s="101"/>
      <c r="AJ422" s="101"/>
      <c r="AK422" s="101"/>
      <c r="AM422" s="195"/>
      <c r="AT422" s="101"/>
      <c r="AU422" s="101"/>
      <c r="AV422" s="101"/>
      <c r="AW422" s="101"/>
      <c r="AX422" s="101"/>
      <c r="AY422" s="101"/>
      <c r="AZ422" s="101"/>
      <c r="BA422" s="101"/>
    </row>
    <row r="423" spans="33:53">
      <c r="AG423" s="101"/>
      <c r="AH423" s="101"/>
      <c r="AI423" s="101"/>
      <c r="AJ423" s="101"/>
      <c r="AK423" s="101"/>
      <c r="AM423" s="195"/>
      <c r="AT423" s="101"/>
      <c r="AU423" s="101"/>
      <c r="AV423" s="101"/>
      <c r="AW423" s="101"/>
      <c r="AX423" s="101"/>
      <c r="AY423" s="101"/>
      <c r="AZ423" s="101"/>
      <c r="BA423" s="101"/>
    </row>
    <row r="424" spans="33:53">
      <c r="AG424" s="101"/>
      <c r="AH424" s="101"/>
      <c r="AI424" s="101"/>
      <c r="AJ424" s="101"/>
      <c r="AK424" s="101"/>
      <c r="AM424" s="195"/>
      <c r="AT424" s="101"/>
      <c r="AU424" s="101"/>
      <c r="AV424" s="101"/>
      <c r="AW424" s="101"/>
      <c r="AX424" s="101"/>
      <c r="AY424" s="101"/>
      <c r="AZ424" s="101"/>
      <c r="BA424" s="101"/>
    </row>
    <row r="425" spans="33:53">
      <c r="AG425" s="101"/>
      <c r="AH425" s="101"/>
      <c r="AI425" s="101"/>
      <c r="AJ425" s="101"/>
      <c r="AK425" s="101"/>
      <c r="AM425" s="195"/>
      <c r="AT425" s="101"/>
      <c r="AU425" s="101"/>
      <c r="AV425" s="101"/>
      <c r="AW425" s="101"/>
      <c r="AX425" s="101"/>
      <c r="AY425" s="101"/>
      <c r="AZ425" s="101"/>
      <c r="BA425" s="101"/>
    </row>
    <row r="426" spans="33:53">
      <c r="AG426" s="101"/>
      <c r="AH426" s="101"/>
      <c r="AI426" s="101"/>
      <c r="AJ426" s="101"/>
      <c r="AK426" s="101"/>
      <c r="AM426" s="195"/>
      <c r="AT426" s="101"/>
      <c r="AU426" s="101"/>
      <c r="AV426" s="101"/>
      <c r="AW426" s="101"/>
      <c r="AX426" s="101"/>
      <c r="AY426" s="101"/>
      <c r="AZ426" s="101"/>
      <c r="BA426" s="101"/>
    </row>
    <row r="427" spans="33:53">
      <c r="AG427" s="101"/>
      <c r="AH427" s="101"/>
      <c r="AI427" s="101"/>
      <c r="AJ427" s="101"/>
      <c r="AK427" s="101"/>
      <c r="AM427" s="195"/>
      <c r="AT427" s="101"/>
      <c r="AU427" s="101"/>
      <c r="AV427" s="101"/>
      <c r="AW427" s="101"/>
      <c r="AX427" s="101"/>
      <c r="AY427" s="101"/>
      <c r="AZ427" s="101"/>
      <c r="BA427" s="101"/>
    </row>
    <row r="428" spans="33:53">
      <c r="AG428" s="101"/>
      <c r="AH428" s="101"/>
      <c r="AI428" s="101"/>
      <c r="AJ428" s="101"/>
      <c r="AK428" s="101"/>
      <c r="AM428" s="195"/>
      <c r="AT428" s="101"/>
      <c r="AU428" s="101"/>
      <c r="AV428" s="101"/>
      <c r="AW428" s="101"/>
      <c r="AX428" s="101"/>
      <c r="AY428" s="101"/>
      <c r="AZ428" s="101"/>
      <c r="BA428" s="101"/>
    </row>
    <row r="429" spans="33:53">
      <c r="AG429" s="101"/>
      <c r="AH429" s="101"/>
      <c r="AI429" s="101"/>
      <c r="AJ429" s="101"/>
      <c r="AK429" s="101"/>
      <c r="AM429" s="195"/>
      <c r="AT429" s="101"/>
      <c r="AU429" s="101"/>
      <c r="AV429" s="101"/>
      <c r="AW429" s="101"/>
      <c r="AX429" s="101"/>
      <c r="AY429" s="101"/>
      <c r="AZ429" s="101"/>
      <c r="BA429" s="101"/>
    </row>
    <row r="430" spans="33:53">
      <c r="AG430" s="101"/>
      <c r="AH430" s="101"/>
      <c r="AI430" s="101"/>
      <c r="AJ430" s="101"/>
      <c r="AK430" s="101"/>
      <c r="AM430" s="195"/>
      <c r="AT430" s="101"/>
      <c r="AU430" s="101"/>
      <c r="AV430" s="101"/>
      <c r="AW430" s="101"/>
      <c r="AX430" s="101"/>
      <c r="AY430" s="101"/>
      <c r="AZ430" s="101"/>
      <c r="BA430" s="101"/>
    </row>
    <row r="431" spans="33:53">
      <c r="AG431" s="101"/>
      <c r="AH431" s="101"/>
      <c r="AI431" s="101"/>
      <c r="AJ431" s="101"/>
      <c r="AK431" s="101"/>
      <c r="AM431" s="195"/>
      <c r="AT431" s="101"/>
      <c r="AU431" s="101"/>
      <c r="AV431" s="101"/>
      <c r="AW431" s="101"/>
      <c r="AX431" s="101"/>
      <c r="AY431" s="101"/>
      <c r="AZ431" s="101"/>
      <c r="BA431" s="101"/>
    </row>
    <row r="432" spans="33:53">
      <c r="AG432" s="101"/>
      <c r="AH432" s="101"/>
      <c r="AI432" s="101"/>
      <c r="AJ432" s="101"/>
      <c r="AK432" s="101"/>
      <c r="AM432" s="195"/>
      <c r="AT432" s="101"/>
      <c r="AU432" s="101"/>
      <c r="AV432" s="101"/>
      <c r="AW432" s="101"/>
      <c r="AX432" s="101"/>
      <c r="AY432" s="101"/>
      <c r="AZ432" s="101"/>
      <c r="BA432" s="101"/>
    </row>
    <row r="433" spans="33:53">
      <c r="AG433" s="101"/>
      <c r="AH433" s="101"/>
      <c r="AI433" s="101"/>
      <c r="AJ433" s="101"/>
      <c r="AK433" s="101"/>
      <c r="AM433" s="195"/>
      <c r="AT433" s="101"/>
      <c r="AU433" s="101"/>
      <c r="AV433" s="101"/>
      <c r="AW433" s="101"/>
      <c r="AX433" s="101"/>
      <c r="AY433" s="101"/>
      <c r="AZ433" s="101"/>
      <c r="BA433" s="101"/>
    </row>
    <row r="434" spans="33:53">
      <c r="AG434" s="101"/>
      <c r="AH434" s="101"/>
      <c r="AI434" s="101"/>
      <c r="AJ434" s="101"/>
      <c r="AK434" s="101"/>
      <c r="AM434" s="195"/>
      <c r="AT434" s="101"/>
      <c r="AU434" s="101"/>
      <c r="AV434" s="101"/>
      <c r="AW434" s="101"/>
      <c r="AX434" s="101"/>
      <c r="AY434" s="101"/>
      <c r="AZ434" s="101"/>
      <c r="BA434" s="101"/>
    </row>
    <row r="435" spans="33:53">
      <c r="AG435" s="101"/>
      <c r="AH435" s="101"/>
      <c r="AI435" s="101"/>
      <c r="AJ435" s="101"/>
      <c r="AK435" s="101"/>
      <c r="AM435" s="195"/>
      <c r="AT435" s="101"/>
      <c r="AU435" s="101"/>
      <c r="AV435" s="101"/>
      <c r="AW435" s="101"/>
      <c r="AX435" s="101"/>
      <c r="AY435" s="101"/>
      <c r="AZ435" s="101"/>
      <c r="BA435" s="101"/>
    </row>
    <row r="436" spans="33:53">
      <c r="AG436" s="101"/>
      <c r="AH436" s="101"/>
      <c r="AI436" s="101"/>
      <c r="AJ436" s="101"/>
      <c r="AK436" s="101"/>
      <c r="AM436" s="195"/>
      <c r="AT436" s="101"/>
      <c r="AU436" s="101"/>
      <c r="AV436" s="101"/>
      <c r="AW436" s="101"/>
      <c r="AX436" s="101"/>
      <c r="AY436" s="101"/>
      <c r="AZ436" s="101"/>
      <c r="BA436" s="101"/>
    </row>
    <row r="437" spans="33:53">
      <c r="AG437" s="101"/>
      <c r="AH437" s="101"/>
      <c r="AI437" s="101"/>
      <c r="AJ437" s="101"/>
      <c r="AK437" s="101"/>
      <c r="AM437" s="195"/>
      <c r="AT437" s="101"/>
      <c r="AU437" s="101"/>
      <c r="AV437" s="101"/>
      <c r="AW437" s="101"/>
      <c r="AX437" s="101"/>
      <c r="AY437" s="101"/>
      <c r="AZ437" s="101"/>
      <c r="BA437" s="101"/>
    </row>
    <row r="438" spans="33:53">
      <c r="AG438" s="101"/>
      <c r="AH438" s="101"/>
      <c r="AI438" s="101"/>
      <c r="AJ438" s="101"/>
      <c r="AK438" s="101"/>
      <c r="AM438" s="195"/>
      <c r="AT438" s="101"/>
      <c r="AU438" s="101"/>
      <c r="AV438" s="101"/>
      <c r="AW438" s="101"/>
      <c r="AX438" s="101"/>
      <c r="AY438" s="101"/>
      <c r="AZ438" s="101"/>
      <c r="BA438" s="101"/>
    </row>
    <row r="439" spans="33:53">
      <c r="AG439" s="101"/>
      <c r="AH439" s="101"/>
      <c r="AI439" s="101"/>
      <c r="AJ439" s="101"/>
      <c r="AK439" s="101"/>
      <c r="AM439" s="195"/>
      <c r="AT439" s="101"/>
      <c r="AU439" s="101"/>
      <c r="AV439" s="101"/>
      <c r="AW439" s="101"/>
      <c r="AX439" s="101"/>
      <c r="AY439" s="101"/>
      <c r="AZ439" s="101"/>
      <c r="BA439" s="101"/>
    </row>
    <row r="440" spans="33:53">
      <c r="AG440" s="101"/>
      <c r="AH440" s="101"/>
      <c r="AI440" s="101"/>
      <c r="AJ440" s="101"/>
      <c r="AK440" s="101"/>
      <c r="AM440" s="195"/>
      <c r="AT440" s="101"/>
      <c r="AU440" s="101"/>
      <c r="AV440" s="101"/>
      <c r="AW440" s="101"/>
      <c r="AX440" s="101"/>
      <c r="AY440" s="101"/>
      <c r="AZ440" s="101"/>
      <c r="BA440" s="101"/>
    </row>
    <row r="441" spans="33:53">
      <c r="AG441" s="101"/>
      <c r="AH441" s="101"/>
      <c r="AI441" s="101"/>
      <c r="AJ441" s="101"/>
      <c r="AK441" s="101"/>
      <c r="AM441" s="195"/>
      <c r="AT441" s="101"/>
      <c r="AU441" s="101"/>
      <c r="AV441" s="101"/>
      <c r="AW441" s="101"/>
      <c r="AX441" s="101"/>
      <c r="AY441" s="101"/>
      <c r="AZ441" s="101"/>
      <c r="BA441" s="101"/>
    </row>
    <row r="442" spans="33:53">
      <c r="AG442" s="101"/>
      <c r="AH442" s="101"/>
      <c r="AI442" s="101"/>
      <c r="AJ442" s="101"/>
      <c r="AK442" s="101"/>
      <c r="AM442" s="195"/>
      <c r="AT442" s="101"/>
      <c r="AU442" s="101"/>
      <c r="AV442" s="101"/>
      <c r="AW442" s="101"/>
      <c r="AX442" s="101"/>
      <c r="AY442" s="101"/>
      <c r="AZ442" s="101"/>
      <c r="BA442" s="101"/>
    </row>
    <row r="443" spans="33:53">
      <c r="AG443" s="101"/>
      <c r="AH443" s="101"/>
      <c r="AI443" s="101"/>
      <c r="AJ443" s="101"/>
      <c r="AK443" s="101"/>
      <c r="AM443" s="195"/>
      <c r="AT443" s="101"/>
      <c r="AU443" s="101"/>
      <c r="AV443" s="101"/>
      <c r="AW443" s="101"/>
      <c r="AX443" s="101"/>
      <c r="AY443" s="101"/>
      <c r="AZ443" s="101"/>
      <c r="BA443" s="101"/>
    </row>
    <row r="444" spans="33:53">
      <c r="AG444" s="101"/>
      <c r="AH444" s="101"/>
      <c r="AI444" s="101"/>
      <c r="AJ444" s="101"/>
      <c r="AK444" s="101"/>
      <c r="AM444" s="195"/>
      <c r="AT444" s="101"/>
      <c r="AU444" s="101"/>
      <c r="AV444" s="101"/>
      <c r="AW444" s="101"/>
      <c r="AX444" s="101"/>
      <c r="AY444" s="101"/>
      <c r="AZ444" s="101"/>
      <c r="BA444" s="101"/>
    </row>
    <row r="445" spans="33:53">
      <c r="AG445" s="101"/>
      <c r="AH445" s="101"/>
      <c r="AI445" s="101"/>
      <c r="AJ445" s="101"/>
      <c r="AK445" s="101"/>
      <c r="AM445" s="195"/>
      <c r="AT445" s="101"/>
      <c r="AU445" s="101"/>
      <c r="AV445" s="101"/>
      <c r="AW445" s="101"/>
      <c r="AX445" s="101"/>
      <c r="AY445" s="101"/>
      <c r="AZ445" s="101"/>
      <c r="BA445" s="101"/>
    </row>
    <row r="446" spans="33:53">
      <c r="AG446" s="101"/>
      <c r="AH446" s="101"/>
      <c r="AI446" s="101"/>
      <c r="AJ446" s="101"/>
      <c r="AK446" s="101"/>
      <c r="AM446" s="195"/>
      <c r="AT446" s="101"/>
      <c r="AU446" s="101"/>
      <c r="AV446" s="101"/>
      <c r="AW446" s="101"/>
      <c r="AX446" s="101"/>
      <c r="AY446" s="101"/>
      <c r="AZ446" s="101"/>
      <c r="BA446" s="101"/>
    </row>
    <row r="447" spans="33:53">
      <c r="AG447" s="101"/>
      <c r="AH447" s="101"/>
      <c r="AI447" s="101"/>
      <c r="AJ447" s="101"/>
      <c r="AK447" s="101"/>
      <c r="AM447" s="195"/>
      <c r="AT447" s="101"/>
      <c r="AU447" s="101"/>
      <c r="AV447" s="101"/>
      <c r="AW447" s="101"/>
      <c r="AX447" s="101"/>
      <c r="AY447" s="101"/>
      <c r="AZ447" s="101"/>
      <c r="BA447" s="101"/>
    </row>
    <row r="448" spans="33:53">
      <c r="AG448" s="101"/>
      <c r="AH448" s="101"/>
      <c r="AI448" s="101"/>
      <c r="AJ448" s="101"/>
      <c r="AK448" s="101"/>
      <c r="AM448" s="195"/>
      <c r="AT448" s="101"/>
      <c r="AU448" s="101"/>
      <c r="AV448" s="101"/>
      <c r="AW448" s="101"/>
      <c r="AX448" s="101"/>
      <c r="AY448" s="101"/>
      <c r="AZ448" s="101"/>
      <c r="BA448" s="101"/>
    </row>
    <row r="449" spans="33:53">
      <c r="AG449" s="101"/>
      <c r="AH449" s="101"/>
      <c r="AI449" s="101"/>
      <c r="AJ449" s="101"/>
      <c r="AK449" s="101"/>
      <c r="AM449" s="195"/>
      <c r="AT449" s="101"/>
      <c r="AU449" s="101"/>
      <c r="AV449" s="101"/>
      <c r="AW449" s="101"/>
      <c r="AX449" s="101"/>
      <c r="AY449" s="101"/>
      <c r="AZ449" s="101"/>
      <c r="BA449" s="101"/>
    </row>
    <row r="450" spans="33:53">
      <c r="AG450" s="101"/>
      <c r="AH450" s="101"/>
      <c r="AI450" s="101"/>
      <c r="AJ450" s="101"/>
      <c r="AK450" s="101"/>
      <c r="AM450" s="195"/>
      <c r="AT450" s="101"/>
      <c r="AU450" s="101"/>
      <c r="AV450" s="101"/>
      <c r="AW450" s="101"/>
      <c r="AX450" s="101"/>
      <c r="AY450" s="101"/>
      <c r="AZ450" s="101"/>
      <c r="BA450" s="101"/>
    </row>
    <row r="451" spans="33:53">
      <c r="AG451" s="101"/>
      <c r="AH451" s="101"/>
      <c r="AI451" s="101"/>
      <c r="AJ451" s="101"/>
      <c r="AK451" s="101"/>
      <c r="AM451" s="195"/>
      <c r="AT451" s="101"/>
      <c r="AU451" s="101"/>
      <c r="AV451" s="101"/>
      <c r="AW451" s="101"/>
      <c r="AX451" s="101"/>
      <c r="AY451" s="101"/>
      <c r="AZ451" s="101"/>
      <c r="BA451" s="101"/>
    </row>
    <row r="452" spans="33:53">
      <c r="AG452" s="101"/>
      <c r="AH452" s="101"/>
      <c r="AI452" s="101"/>
      <c r="AJ452" s="101"/>
      <c r="AK452" s="101"/>
      <c r="AM452" s="195"/>
      <c r="AT452" s="101"/>
      <c r="AU452" s="101"/>
      <c r="AV452" s="101"/>
      <c r="AW452" s="101"/>
      <c r="AX452" s="101"/>
      <c r="AY452" s="101"/>
      <c r="AZ452" s="101"/>
      <c r="BA452" s="101"/>
    </row>
    <row r="453" spans="33:53">
      <c r="AG453" s="101"/>
      <c r="AH453" s="101"/>
      <c r="AI453" s="101"/>
      <c r="AJ453" s="101"/>
      <c r="AK453" s="101"/>
      <c r="AM453" s="195"/>
      <c r="AT453" s="101"/>
      <c r="AU453" s="101"/>
      <c r="AV453" s="101"/>
      <c r="AW453" s="101"/>
      <c r="AX453" s="101"/>
      <c r="AY453" s="101"/>
      <c r="AZ453" s="101"/>
      <c r="BA453" s="101"/>
    </row>
    <row r="454" spans="33:53">
      <c r="AG454" s="101"/>
      <c r="AH454" s="101"/>
      <c r="AI454" s="101"/>
      <c r="AJ454" s="101"/>
      <c r="AK454" s="101"/>
      <c r="AM454" s="195"/>
      <c r="AT454" s="101"/>
      <c r="AU454" s="101"/>
      <c r="AV454" s="101"/>
      <c r="AW454" s="101"/>
      <c r="AX454" s="101"/>
      <c r="AY454" s="101"/>
      <c r="AZ454" s="101"/>
      <c r="BA454" s="101"/>
    </row>
    <row r="455" spans="33:53">
      <c r="AG455" s="101"/>
      <c r="AH455" s="101"/>
      <c r="AI455" s="101"/>
      <c r="AJ455" s="101"/>
      <c r="AK455" s="101"/>
      <c r="AM455" s="195"/>
      <c r="AT455" s="101"/>
      <c r="AU455" s="101"/>
      <c r="AV455" s="101"/>
      <c r="AW455" s="101"/>
      <c r="AX455" s="101"/>
      <c r="AY455" s="101"/>
      <c r="AZ455" s="101"/>
      <c r="BA455" s="101"/>
    </row>
    <row r="456" spans="33:53">
      <c r="AG456" s="101"/>
      <c r="AH456" s="101"/>
      <c r="AI456" s="101"/>
      <c r="AJ456" s="101"/>
      <c r="AK456" s="101"/>
      <c r="AM456" s="195"/>
      <c r="AT456" s="101"/>
      <c r="AU456" s="101"/>
      <c r="AV456" s="101"/>
      <c r="AW456" s="101"/>
      <c r="AX456" s="101"/>
      <c r="AY456" s="101"/>
      <c r="AZ456" s="101"/>
      <c r="BA456" s="101"/>
    </row>
    <row r="457" spans="33:53">
      <c r="AG457" s="101"/>
      <c r="AH457" s="101"/>
      <c r="AI457" s="101"/>
      <c r="AJ457" s="101"/>
      <c r="AK457" s="101"/>
      <c r="AM457" s="195"/>
      <c r="AT457" s="101"/>
      <c r="AU457" s="101"/>
      <c r="AV457" s="101"/>
      <c r="AW457" s="101"/>
      <c r="AX457" s="101"/>
      <c r="AY457" s="101"/>
      <c r="AZ457" s="101"/>
      <c r="BA457" s="101"/>
    </row>
    <row r="458" spans="33:53">
      <c r="AG458" s="101"/>
      <c r="AH458" s="101"/>
      <c r="AI458" s="101"/>
      <c r="AJ458" s="101"/>
      <c r="AK458" s="101"/>
      <c r="AM458" s="195"/>
      <c r="AT458" s="101"/>
      <c r="AU458" s="101"/>
      <c r="AV458" s="101"/>
      <c r="AW458" s="101"/>
      <c r="AX458" s="101"/>
      <c r="AY458" s="101"/>
      <c r="AZ458" s="101"/>
      <c r="BA458" s="101"/>
    </row>
    <row r="459" spans="33:53">
      <c r="AG459" s="101"/>
      <c r="AH459" s="101"/>
      <c r="AI459" s="101"/>
      <c r="AJ459" s="101"/>
      <c r="AK459" s="101"/>
      <c r="AM459" s="195"/>
      <c r="AT459" s="101"/>
      <c r="AU459" s="101"/>
      <c r="AV459" s="101"/>
      <c r="AW459" s="101"/>
      <c r="AX459" s="101"/>
      <c r="AY459" s="101"/>
      <c r="AZ459" s="101"/>
      <c r="BA459" s="101"/>
    </row>
    <row r="460" spans="33:53">
      <c r="AG460" s="101"/>
      <c r="AH460" s="101"/>
      <c r="AI460" s="101"/>
      <c r="AJ460" s="101"/>
      <c r="AK460" s="101"/>
      <c r="AM460" s="195"/>
      <c r="AT460" s="101"/>
      <c r="AU460" s="101"/>
      <c r="AV460" s="101"/>
      <c r="AW460" s="101"/>
      <c r="AX460" s="101"/>
      <c r="AY460" s="101"/>
      <c r="AZ460" s="101"/>
      <c r="BA460" s="101"/>
    </row>
    <row r="461" spans="33:53">
      <c r="AG461" s="101"/>
      <c r="AH461" s="101"/>
      <c r="AI461" s="101"/>
      <c r="AJ461" s="101"/>
      <c r="AK461" s="101"/>
      <c r="AM461" s="195"/>
      <c r="AT461" s="101"/>
      <c r="AU461" s="101"/>
      <c r="AV461" s="101"/>
      <c r="AW461" s="101"/>
      <c r="AX461" s="101"/>
      <c r="AY461" s="101"/>
      <c r="AZ461" s="101"/>
      <c r="BA461" s="101"/>
    </row>
    <row r="462" spans="33:53">
      <c r="AG462" s="101"/>
      <c r="AH462" s="101"/>
      <c r="AI462" s="101"/>
      <c r="AJ462" s="101"/>
      <c r="AK462" s="101"/>
      <c r="AM462" s="195"/>
      <c r="AT462" s="101"/>
      <c r="AU462" s="101"/>
      <c r="AV462" s="101"/>
      <c r="AW462" s="101"/>
      <c r="AX462" s="101"/>
      <c r="AY462" s="101"/>
      <c r="AZ462" s="101"/>
      <c r="BA462" s="101"/>
    </row>
    <row r="463" spans="33:53">
      <c r="AG463" s="101"/>
      <c r="AH463" s="101"/>
      <c r="AI463" s="101"/>
      <c r="AJ463" s="101"/>
      <c r="AK463" s="101"/>
      <c r="AM463" s="195"/>
      <c r="AT463" s="101"/>
      <c r="AU463" s="101"/>
      <c r="AV463" s="101"/>
      <c r="AW463" s="101"/>
      <c r="AX463" s="101"/>
      <c r="AY463" s="101"/>
      <c r="AZ463" s="101"/>
      <c r="BA463" s="101"/>
    </row>
    <row r="464" spans="33:53">
      <c r="AG464" s="101"/>
      <c r="AH464" s="101"/>
      <c r="AI464" s="101"/>
      <c r="AJ464" s="101"/>
      <c r="AK464" s="101"/>
      <c r="AM464" s="195"/>
      <c r="AT464" s="101"/>
      <c r="AU464" s="101"/>
      <c r="AV464" s="101"/>
      <c r="AW464" s="101"/>
      <c r="AX464" s="101"/>
      <c r="AY464" s="101"/>
      <c r="AZ464" s="101"/>
      <c r="BA464" s="101"/>
    </row>
    <row r="465" spans="33:56">
      <c r="AG465" s="101"/>
      <c r="AH465" s="101"/>
      <c r="AI465" s="101"/>
      <c r="AJ465" s="101"/>
      <c r="AK465" s="101"/>
      <c r="AM465" s="195"/>
      <c r="AT465" s="101"/>
      <c r="AU465" s="101"/>
      <c r="AV465" s="101"/>
      <c r="AW465" s="101"/>
      <c r="AX465" s="101"/>
      <c r="AY465" s="101"/>
      <c r="AZ465" s="101"/>
      <c r="BA465" s="101"/>
    </row>
    <row r="466" spans="33:56">
      <c r="AG466" s="101"/>
      <c r="AH466" s="101"/>
      <c r="AI466" s="101"/>
      <c r="AJ466" s="101"/>
      <c r="AK466" s="101"/>
      <c r="AM466" s="195"/>
      <c r="AT466" s="101"/>
      <c r="AU466" s="101"/>
      <c r="AV466" s="101"/>
      <c r="AW466" s="101"/>
      <c r="AX466" s="101"/>
      <c r="AY466" s="101"/>
      <c r="AZ466" s="101"/>
      <c r="BA466" s="101"/>
    </row>
    <row r="467" spans="33:56">
      <c r="AG467" s="101"/>
      <c r="AH467" s="101"/>
      <c r="AI467" s="101"/>
      <c r="AJ467" s="101"/>
      <c r="AK467" s="101"/>
      <c r="AM467" s="195"/>
      <c r="AT467" s="101"/>
      <c r="AU467" s="101"/>
      <c r="AV467" s="101"/>
      <c r="AW467" s="101"/>
      <c r="AX467" s="101"/>
      <c r="AY467" s="101"/>
      <c r="AZ467" s="101"/>
      <c r="BA467" s="101"/>
    </row>
    <row r="468" spans="33:56">
      <c r="AG468" s="101"/>
      <c r="AH468" s="101"/>
      <c r="AI468" s="101"/>
      <c r="AJ468" s="101"/>
      <c r="AK468" s="101"/>
      <c r="AM468" s="195"/>
      <c r="AT468" s="101"/>
      <c r="AU468" s="101"/>
      <c r="AV468" s="101"/>
      <c r="AW468" s="101"/>
      <c r="AX468" s="101"/>
      <c r="AY468" s="101"/>
      <c r="AZ468" s="101"/>
      <c r="BA468" s="101"/>
      <c r="BB468" s="101"/>
      <c r="BD468" s="101"/>
    </row>
    <row r="469" spans="33:56">
      <c r="AG469" s="101"/>
      <c r="AH469" s="101"/>
      <c r="AI469" s="101"/>
      <c r="AJ469" s="101"/>
      <c r="AK469" s="101"/>
      <c r="AM469" s="195"/>
      <c r="AT469" s="101"/>
      <c r="AU469" s="101"/>
      <c r="AV469" s="101"/>
      <c r="AW469" s="101"/>
      <c r="AX469" s="101"/>
      <c r="AY469" s="101"/>
      <c r="AZ469" s="101"/>
      <c r="BA469" s="101"/>
    </row>
    <row r="470" spans="33:56">
      <c r="AG470" s="101"/>
      <c r="AH470" s="101"/>
      <c r="AI470" s="101"/>
      <c r="AJ470" s="101"/>
      <c r="AK470" s="101"/>
      <c r="AM470" s="195"/>
      <c r="AT470" s="101"/>
      <c r="AU470" s="101"/>
      <c r="AV470" s="101"/>
      <c r="AW470" s="101"/>
      <c r="AX470" s="101"/>
      <c r="AY470" s="101"/>
      <c r="AZ470" s="101"/>
      <c r="BA470" s="101"/>
    </row>
    <row r="471" spans="33:56">
      <c r="AG471" s="101"/>
      <c r="AH471" s="101"/>
      <c r="AI471" s="101"/>
      <c r="AJ471" s="101"/>
      <c r="AK471" s="101"/>
      <c r="AM471" s="195"/>
      <c r="AT471" s="101"/>
      <c r="AU471" s="101"/>
      <c r="AV471" s="101"/>
      <c r="AW471" s="101"/>
      <c r="AX471" s="101"/>
      <c r="AY471" s="101"/>
      <c r="AZ471" s="101"/>
      <c r="BA471" s="101"/>
    </row>
    <row r="472" spans="33:56">
      <c r="AG472" s="101"/>
      <c r="AH472" s="101"/>
      <c r="AI472" s="101"/>
      <c r="AJ472" s="101"/>
      <c r="AK472" s="101"/>
      <c r="AM472" s="195"/>
      <c r="AT472" s="101"/>
      <c r="AU472" s="101"/>
      <c r="AV472" s="101"/>
      <c r="AW472" s="101"/>
      <c r="AX472" s="101"/>
      <c r="AY472" s="101"/>
      <c r="AZ472" s="101"/>
      <c r="BA472" s="101"/>
    </row>
    <row r="473" spans="33:56">
      <c r="AG473" s="101"/>
      <c r="AH473" s="101"/>
      <c r="AI473" s="101"/>
      <c r="AJ473" s="101"/>
      <c r="AK473" s="101"/>
      <c r="AM473" s="195"/>
      <c r="AT473" s="101"/>
      <c r="AU473" s="101"/>
      <c r="AV473" s="101"/>
      <c r="AW473" s="101"/>
      <c r="AX473" s="101"/>
      <c r="AY473" s="101"/>
      <c r="AZ473" s="101"/>
      <c r="BA473" s="101"/>
    </row>
    <row r="474" spans="33:56">
      <c r="AG474" s="101"/>
      <c r="AH474" s="101"/>
      <c r="AI474" s="101"/>
      <c r="AJ474" s="101"/>
      <c r="AK474" s="101"/>
      <c r="AM474" s="195"/>
      <c r="AT474" s="101"/>
      <c r="AU474" s="101"/>
      <c r="AV474" s="101"/>
      <c r="AW474" s="101"/>
      <c r="AX474" s="101"/>
      <c r="AY474" s="101"/>
      <c r="AZ474" s="101"/>
      <c r="BA474" s="101"/>
    </row>
    <row r="475" spans="33:56">
      <c r="AG475" s="101"/>
      <c r="AH475" s="101"/>
      <c r="AI475" s="101"/>
      <c r="AJ475" s="101"/>
      <c r="AK475" s="101"/>
      <c r="AM475" s="195"/>
      <c r="AT475" s="101"/>
      <c r="AU475" s="101"/>
      <c r="AV475" s="101"/>
      <c r="AW475" s="101"/>
      <c r="AX475" s="101"/>
      <c r="AY475" s="101"/>
      <c r="AZ475" s="101"/>
      <c r="BA475" s="101"/>
    </row>
    <row r="476" spans="33:56">
      <c r="AG476" s="101"/>
      <c r="AH476" s="101"/>
      <c r="AI476" s="101"/>
      <c r="AJ476" s="101"/>
      <c r="AK476" s="101"/>
      <c r="AM476" s="195"/>
      <c r="AT476" s="101"/>
      <c r="AU476" s="101"/>
      <c r="AV476" s="101"/>
      <c r="AW476" s="101"/>
      <c r="AX476" s="101"/>
      <c r="AY476" s="101"/>
      <c r="AZ476" s="101"/>
      <c r="BA476" s="101"/>
    </row>
    <row r="477" spans="33:56">
      <c r="AG477" s="101"/>
      <c r="AH477" s="101"/>
      <c r="AI477" s="101"/>
      <c r="AJ477" s="101"/>
      <c r="AK477" s="101"/>
      <c r="AM477" s="195"/>
      <c r="AT477" s="101"/>
      <c r="AU477" s="101"/>
      <c r="AV477" s="101"/>
      <c r="AW477" s="101"/>
      <c r="AX477" s="101"/>
      <c r="AY477" s="101"/>
      <c r="AZ477" s="101"/>
      <c r="BA477" s="101"/>
    </row>
    <row r="478" spans="33:56">
      <c r="AG478" s="101"/>
      <c r="AH478" s="101"/>
      <c r="AI478" s="101"/>
      <c r="AJ478" s="101"/>
      <c r="AK478" s="101"/>
      <c r="AM478" s="195"/>
      <c r="AT478" s="101"/>
      <c r="AU478" s="101"/>
      <c r="AV478" s="101"/>
      <c r="AW478" s="101"/>
      <c r="AX478" s="101"/>
      <c r="AY478" s="101"/>
      <c r="AZ478" s="101"/>
      <c r="BA478" s="101"/>
    </row>
    <row r="479" spans="33:56">
      <c r="AG479" s="101"/>
      <c r="AH479" s="101"/>
      <c r="AI479" s="101"/>
      <c r="AJ479" s="101"/>
      <c r="AK479" s="101"/>
      <c r="AM479" s="195"/>
      <c r="AT479" s="101"/>
      <c r="AU479" s="101"/>
      <c r="AV479" s="101"/>
      <c r="AW479" s="101"/>
      <c r="AX479" s="101"/>
      <c r="AY479" s="101"/>
      <c r="AZ479" s="101"/>
      <c r="BA479" s="101"/>
    </row>
    <row r="480" spans="33:56">
      <c r="AG480" s="101"/>
      <c r="AH480" s="101"/>
      <c r="AI480" s="101"/>
      <c r="AJ480" s="101"/>
      <c r="AK480" s="101"/>
      <c r="AM480" s="195"/>
      <c r="AT480" s="101"/>
      <c r="AU480" s="101"/>
      <c r="AV480" s="101"/>
      <c r="AW480" s="101"/>
      <c r="AX480" s="101"/>
      <c r="AY480" s="101"/>
      <c r="AZ480" s="101"/>
      <c r="BA480" s="101"/>
    </row>
    <row r="481" spans="33:70">
      <c r="AG481" s="101"/>
      <c r="AH481" s="101"/>
      <c r="AI481" s="101"/>
      <c r="AJ481" s="101"/>
      <c r="AK481" s="101"/>
      <c r="AM481" s="195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</row>
    <row r="482" spans="33:70">
      <c r="AG482" s="101"/>
      <c r="AH482" s="101"/>
      <c r="AI482" s="101"/>
      <c r="AJ482" s="101"/>
      <c r="AK482" s="101"/>
      <c r="AM482" s="195"/>
      <c r="AT482" s="101"/>
      <c r="AU482" s="101"/>
      <c r="AV482" s="101"/>
      <c r="AW482" s="101"/>
      <c r="AX482" s="101"/>
      <c r="AY482" s="101"/>
      <c r="AZ482" s="101"/>
      <c r="BA482" s="101"/>
    </row>
    <row r="483" spans="33:70">
      <c r="AG483" s="101"/>
      <c r="AH483" s="101"/>
      <c r="AI483" s="101"/>
      <c r="AJ483" s="101"/>
      <c r="AK483" s="101"/>
      <c r="AM483" s="195"/>
      <c r="AT483" s="101"/>
      <c r="AU483" s="101"/>
      <c r="AV483" s="101"/>
      <c r="AW483" s="101"/>
      <c r="AX483" s="101"/>
      <c r="AY483" s="101"/>
      <c r="AZ483" s="101"/>
      <c r="BA483" s="101"/>
    </row>
    <row r="484" spans="33:70">
      <c r="AG484" s="101"/>
      <c r="AH484" s="101"/>
      <c r="AI484" s="101"/>
      <c r="AJ484" s="101"/>
      <c r="AK484" s="101"/>
      <c r="AM484" s="195"/>
      <c r="AT484" s="101"/>
      <c r="AU484" s="101"/>
      <c r="AV484" s="101"/>
      <c r="AW484" s="101"/>
      <c r="AX484" s="101"/>
      <c r="AY484" s="101"/>
      <c r="AZ484" s="101"/>
      <c r="BA484" s="101"/>
    </row>
    <row r="485" spans="33:70">
      <c r="AG485" s="101"/>
      <c r="AH485" s="101"/>
      <c r="AI485" s="101"/>
      <c r="AJ485" s="101"/>
      <c r="AK485" s="101"/>
      <c r="AM485" s="195"/>
      <c r="AT485" s="101"/>
      <c r="AU485" s="101"/>
      <c r="AV485" s="101"/>
      <c r="AW485" s="101"/>
      <c r="AX485" s="101"/>
      <c r="AY485" s="101"/>
      <c r="AZ485" s="101"/>
      <c r="BA485" s="101"/>
    </row>
    <row r="486" spans="33:70">
      <c r="AG486" s="101"/>
      <c r="AH486" s="101"/>
      <c r="AI486" s="101"/>
      <c r="AJ486" s="101"/>
      <c r="AK486" s="101"/>
      <c r="AM486" s="195"/>
      <c r="AT486" s="101"/>
      <c r="AU486" s="101"/>
      <c r="AV486" s="101"/>
      <c r="AW486" s="101"/>
      <c r="AX486" s="101"/>
      <c r="AY486" s="101"/>
      <c r="AZ486" s="101"/>
      <c r="BA486" s="101"/>
    </row>
    <row r="487" spans="33:70">
      <c r="AG487" s="101"/>
      <c r="AH487" s="101"/>
      <c r="AI487" s="101"/>
      <c r="AJ487" s="101"/>
      <c r="AK487" s="101"/>
      <c r="AM487" s="195"/>
      <c r="AT487" s="101"/>
      <c r="AU487" s="101"/>
      <c r="AV487" s="101"/>
      <c r="AW487" s="101"/>
      <c r="AX487" s="101"/>
      <c r="AY487" s="101"/>
      <c r="AZ487" s="101"/>
      <c r="BA487" s="101"/>
    </row>
    <row r="488" spans="33:70">
      <c r="AG488" s="101"/>
      <c r="AH488" s="101"/>
      <c r="AI488" s="101"/>
      <c r="AJ488" s="101"/>
      <c r="AK488" s="101"/>
      <c r="AM488" s="195"/>
      <c r="AT488" s="101"/>
      <c r="AU488" s="101"/>
      <c r="AV488" s="101"/>
      <c r="AW488" s="101"/>
      <c r="AX488" s="101"/>
      <c r="AY488" s="101"/>
      <c r="AZ488" s="101"/>
      <c r="BA488" s="101"/>
    </row>
    <row r="489" spans="33:70">
      <c r="AG489" s="101"/>
      <c r="AH489" s="101"/>
      <c r="AI489" s="101"/>
      <c r="AJ489" s="101"/>
      <c r="AK489" s="101"/>
      <c r="AM489" s="195"/>
      <c r="AT489" s="101"/>
      <c r="AU489" s="101"/>
      <c r="AV489" s="101"/>
      <c r="AW489" s="101"/>
      <c r="AX489" s="101"/>
      <c r="AY489" s="101"/>
      <c r="AZ489" s="101"/>
      <c r="BA489" s="101"/>
    </row>
    <row r="490" spans="33:70">
      <c r="AG490" s="101"/>
      <c r="AH490" s="101"/>
      <c r="AI490" s="101"/>
      <c r="AJ490" s="101"/>
      <c r="AK490" s="101"/>
      <c r="AM490" s="195"/>
      <c r="AT490" s="101"/>
      <c r="AU490" s="101"/>
      <c r="AV490" s="101"/>
      <c r="AW490" s="101"/>
      <c r="AX490" s="101"/>
      <c r="AY490" s="101"/>
      <c r="AZ490" s="101"/>
      <c r="BA490" s="101"/>
    </row>
    <row r="491" spans="33:70">
      <c r="AG491" s="101"/>
      <c r="AH491" s="101"/>
      <c r="AI491" s="101"/>
      <c r="AJ491" s="101"/>
      <c r="AK491" s="101"/>
      <c r="AM491" s="195"/>
      <c r="AT491" s="101"/>
      <c r="AU491" s="101"/>
      <c r="AV491" s="101"/>
      <c r="AW491" s="101"/>
      <c r="AX491" s="101"/>
      <c r="AY491" s="101"/>
      <c r="AZ491" s="101"/>
      <c r="BA491" s="101"/>
    </row>
    <row r="492" spans="33:70">
      <c r="AG492" s="101"/>
      <c r="AH492" s="101"/>
      <c r="AI492" s="101"/>
      <c r="AJ492" s="101"/>
      <c r="AK492" s="101"/>
      <c r="AM492" s="195"/>
      <c r="AT492" s="101"/>
      <c r="AU492" s="101"/>
      <c r="AV492" s="101"/>
      <c r="AW492" s="101"/>
      <c r="AX492" s="101"/>
      <c r="AY492" s="101"/>
      <c r="AZ492" s="101"/>
      <c r="BA492" s="101"/>
    </row>
    <row r="493" spans="33:70">
      <c r="AG493" s="101"/>
      <c r="AH493" s="101"/>
      <c r="AI493" s="101"/>
      <c r="AJ493" s="101"/>
      <c r="AK493" s="101"/>
      <c r="AM493" s="195"/>
      <c r="AT493" s="101"/>
      <c r="AU493" s="101"/>
      <c r="AV493" s="101"/>
      <c r="AW493" s="101"/>
      <c r="AX493" s="101"/>
      <c r="AY493" s="101"/>
      <c r="AZ493" s="101"/>
      <c r="BA493" s="101"/>
    </row>
    <row r="494" spans="33:70">
      <c r="AG494" s="101"/>
      <c r="AH494" s="101"/>
      <c r="AI494" s="101"/>
      <c r="AJ494" s="101"/>
      <c r="AK494" s="101"/>
      <c r="AM494" s="195"/>
      <c r="AT494" s="101"/>
      <c r="AU494" s="101"/>
      <c r="AV494" s="101"/>
      <c r="AW494" s="101"/>
      <c r="AX494" s="101"/>
      <c r="AY494" s="101"/>
      <c r="AZ494" s="101"/>
      <c r="BA494" s="101"/>
    </row>
    <row r="495" spans="33:70">
      <c r="AG495" s="101"/>
      <c r="AH495" s="101"/>
      <c r="AI495" s="101"/>
      <c r="AJ495" s="101"/>
      <c r="AK495" s="101"/>
      <c r="AM495" s="195"/>
      <c r="AT495" s="101"/>
      <c r="AU495" s="101"/>
      <c r="AV495" s="101"/>
      <c r="AW495" s="101"/>
      <c r="AX495" s="101"/>
      <c r="AY495" s="101"/>
      <c r="AZ495" s="101"/>
      <c r="BA495" s="101"/>
    </row>
    <row r="496" spans="33:70">
      <c r="AG496" s="101"/>
      <c r="AH496" s="101"/>
      <c r="AI496" s="101"/>
      <c r="AJ496" s="101"/>
      <c r="AK496" s="101"/>
      <c r="AM496" s="195"/>
      <c r="AT496" s="101"/>
      <c r="AU496" s="101"/>
      <c r="AV496" s="101"/>
      <c r="AW496" s="101"/>
      <c r="AX496" s="101"/>
      <c r="AY496" s="101"/>
      <c r="AZ496" s="101"/>
      <c r="BA496" s="101"/>
    </row>
    <row r="497" spans="33:54">
      <c r="AG497" s="101"/>
      <c r="AH497" s="101"/>
      <c r="AI497" s="101"/>
      <c r="AJ497" s="101"/>
      <c r="AK497" s="101"/>
      <c r="AM497" s="195"/>
      <c r="AT497" s="101"/>
      <c r="AU497" s="101"/>
      <c r="AV497" s="101"/>
      <c r="AW497" s="101"/>
      <c r="AX497" s="101"/>
      <c r="AY497" s="101"/>
      <c r="AZ497" s="101"/>
      <c r="BA497" s="101"/>
    </row>
    <row r="498" spans="33:54">
      <c r="AG498" s="101"/>
      <c r="AH498" s="101"/>
      <c r="AI498" s="101"/>
      <c r="AJ498" s="101"/>
      <c r="AK498" s="101"/>
      <c r="AM498" s="195"/>
      <c r="AT498" s="101"/>
      <c r="AU498" s="101"/>
      <c r="AV498" s="101"/>
      <c r="AW498" s="101"/>
      <c r="AX498" s="101"/>
      <c r="AY498" s="101"/>
      <c r="AZ498" s="101"/>
      <c r="BA498" s="101"/>
    </row>
    <row r="499" spans="33:54">
      <c r="AG499" s="101"/>
      <c r="AH499" s="101"/>
      <c r="AI499" s="101"/>
      <c r="AJ499" s="101"/>
      <c r="AK499" s="101"/>
      <c r="AM499" s="195"/>
      <c r="AT499" s="101"/>
      <c r="AU499" s="101"/>
      <c r="AV499" s="101"/>
      <c r="AW499" s="101"/>
      <c r="AX499" s="101"/>
      <c r="AY499" s="101"/>
      <c r="AZ499" s="101"/>
      <c r="BA499" s="101"/>
    </row>
    <row r="500" spans="33:54">
      <c r="AG500" s="101"/>
      <c r="AH500" s="101"/>
      <c r="AI500" s="101"/>
      <c r="AJ500" s="101"/>
      <c r="AK500" s="101"/>
      <c r="AM500" s="195"/>
      <c r="AT500" s="101"/>
      <c r="AU500" s="101"/>
      <c r="AV500" s="101"/>
      <c r="AW500" s="101"/>
      <c r="AX500" s="101"/>
      <c r="AY500" s="101"/>
      <c r="AZ500" s="101"/>
      <c r="BA500" s="101"/>
    </row>
    <row r="501" spans="33:54">
      <c r="AG501" s="101"/>
      <c r="AH501" s="101"/>
      <c r="AI501" s="101"/>
      <c r="AJ501" s="101"/>
      <c r="AK501" s="101"/>
      <c r="AM501" s="195"/>
      <c r="AT501" s="101"/>
      <c r="AU501" s="101"/>
      <c r="AV501" s="101"/>
      <c r="AW501" s="101"/>
      <c r="AX501" s="101"/>
      <c r="AY501" s="101"/>
      <c r="AZ501" s="101"/>
      <c r="BA501" s="101"/>
    </row>
    <row r="502" spans="33:54">
      <c r="AG502" s="101"/>
      <c r="AH502" s="101"/>
      <c r="AI502" s="101"/>
      <c r="AJ502" s="101"/>
      <c r="AK502" s="101"/>
      <c r="AM502" s="195"/>
      <c r="AT502" s="101"/>
      <c r="AU502" s="101"/>
      <c r="AV502" s="101"/>
      <c r="AW502" s="101"/>
      <c r="AX502" s="101"/>
      <c r="AY502" s="101"/>
      <c r="AZ502" s="101"/>
      <c r="BA502" s="101"/>
    </row>
    <row r="503" spans="33:54">
      <c r="AG503" s="101"/>
      <c r="AH503" s="101"/>
      <c r="AI503" s="101"/>
      <c r="AJ503" s="101"/>
      <c r="AK503" s="101"/>
      <c r="AM503" s="195"/>
      <c r="AT503" s="101"/>
      <c r="AU503" s="101"/>
      <c r="AV503" s="101"/>
      <c r="AW503" s="101"/>
      <c r="AX503" s="101"/>
      <c r="AY503" s="101"/>
      <c r="AZ503" s="101"/>
      <c r="BA503" s="101"/>
    </row>
    <row r="504" spans="33:54">
      <c r="AG504" s="101"/>
      <c r="AH504" s="101"/>
      <c r="AI504" s="101"/>
      <c r="AJ504" s="101"/>
      <c r="AK504" s="101"/>
      <c r="AM504" s="195"/>
      <c r="AT504" s="101"/>
      <c r="AU504" s="101"/>
      <c r="AV504" s="101"/>
      <c r="AW504" s="101"/>
      <c r="AX504" s="101"/>
      <c r="AY504" s="101"/>
      <c r="AZ504" s="101"/>
      <c r="BA504" s="101"/>
    </row>
    <row r="505" spans="33:54">
      <c r="AG505" s="101"/>
      <c r="AH505" s="101"/>
      <c r="AI505" s="101"/>
      <c r="AJ505" s="101"/>
      <c r="AK505" s="101"/>
      <c r="AM505" s="195"/>
      <c r="AT505" s="101"/>
      <c r="AU505" s="101"/>
      <c r="AV505" s="101"/>
      <c r="AW505" s="101"/>
      <c r="AX505" s="101"/>
      <c r="AY505" s="101"/>
      <c r="AZ505" s="101"/>
      <c r="BA505" s="101"/>
    </row>
    <row r="506" spans="33:54">
      <c r="AG506" s="101"/>
      <c r="AH506" s="101"/>
      <c r="AI506" s="101"/>
      <c r="AJ506" s="101"/>
      <c r="AK506" s="101"/>
      <c r="AM506" s="195"/>
      <c r="AT506" s="101"/>
      <c r="AU506" s="101"/>
      <c r="AV506" s="101"/>
      <c r="AW506" s="101"/>
      <c r="AX506" s="101"/>
      <c r="AY506" s="101"/>
      <c r="AZ506" s="101"/>
      <c r="BA506" s="101"/>
    </row>
    <row r="507" spans="33:54">
      <c r="AG507" s="101"/>
      <c r="AH507" s="101"/>
      <c r="AI507" s="101"/>
      <c r="AJ507" s="101"/>
      <c r="AK507" s="101"/>
      <c r="AM507" s="195"/>
      <c r="AT507" s="101"/>
      <c r="AU507" s="101"/>
      <c r="AV507" s="101"/>
      <c r="AW507" s="101"/>
      <c r="AX507" s="101"/>
      <c r="AY507" s="101"/>
      <c r="AZ507" s="101"/>
      <c r="BA507" s="101"/>
    </row>
    <row r="508" spans="33:54">
      <c r="AG508" s="101"/>
      <c r="AH508" s="101"/>
      <c r="AI508" s="101"/>
      <c r="AJ508" s="101"/>
      <c r="AK508" s="101"/>
      <c r="AM508" s="195"/>
      <c r="AT508" s="101"/>
      <c r="AU508" s="101"/>
      <c r="AV508" s="101"/>
      <c r="AW508" s="101"/>
      <c r="AX508" s="101"/>
      <c r="AY508" s="101"/>
      <c r="AZ508" s="101"/>
      <c r="BA508" s="101"/>
    </row>
    <row r="509" spans="33:54">
      <c r="AG509" s="101"/>
      <c r="AH509" s="101"/>
      <c r="AI509" s="101"/>
      <c r="AJ509" s="101"/>
      <c r="AK509" s="101"/>
      <c r="AM509" s="195"/>
      <c r="AT509" s="101"/>
      <c r="AU509" s="101"/>
      <c r="AV509" s="101"/>
      <c r="AW509" s="101"/>
      <c r="AX509" s="101"/>
      <c r="AY509" s="101"/>
      <c r="AZ509" s="101"/>
      <c r="BA509" s="101"/>
    </row>
    <row r="510" spans="33:54">
      <c r="AG510" s="101"/>
      <c r="AH510" s="101"/>
      <c r="AI510" s="101"/>
      <c r="AJ510" s="101"/>
      <c r="AK510" s="101"/>
      <c r="AM510" s="195"/>
      <c r="AT510" s="101"/>
      <c r="AU510" s="101"/>
      <c r="AV510" s="101"/>
      <c r="AW510" s="101"/>
      <c r="AX510" s="101"/>
      <c r="AY510" s="101"/>
      <c r="AZ510" s="101"/>
      <c r="BA510" s="101"/>
    </row>
    <row r="511" spans="33:54">
      <c r="AG511" s="101"/>
      <c r="AH511" s="101"/>
      <c r="AI511" s="101"/>
      <c r="AJ511" s="101"/>
      <c r="AK511" s="101"/>
      <c r="AM511" s="195"/>
      <c r="AT511" s="101"/>
      <c r="AU511" s="101"/>
      <c r="AV511" s="101"/>
      <c r="AW511" s="101"/>
      <c r="AX511" s="101"/>
      <c r="AY511" s="101"/>
      <c r="AZ511" s="101"/>
      <c r="BA511" s="101"/>
      <c r="BB511" s="101"/>
    </row>
    <row r="512" spans="33:54">
      <c r="AG512" s="101"/>
      <c r="AH512" s="101"/>
      <c r="AI512" s="101"/>
      <c r="AJ512" s="101"/>
      <c r="AK512" s="101"/>
      <c r="AM512" s="195"/>
      <c r="AT512" s="101"/>
      <c r="AU512" s="101"/>
      <c r="AV512" s="101"/>
      <c r="AW512" s="101"/>
      <c r="AX512" s="101"/>
      <c r="AY512" s="101"/>
      <c r="AZ512" s="101"/>
      <c r="BA512" s="101"/>
    </row>
    <row r="513" spans="33:70">
      <c r="AG513" s="101"/>
      <c r="AH513" s="101"/>
      <c r="AI513" s="101"/>
      <c r="AJ513" s="101"/>
      <c r="AK513" s="101"/>
      <c r="AM513" s="195"/>
      <c r="AT513" s="101"/>
      <c r="AU513" s="101"/>
      <c r="AV513" s="101"/>
      <c r="AW513" s="101"/>
      <c r="AX513" s="101"/>
      <c r="AY513" s="101"/>
      <c r="AZ513" s="101"/>
      <c r="BA513" s="101"/>
    </row>
    <row r="514" spans="33:70">
      <c r="AG514" s="101"/>
      <c r="AH514" s="101"/>
      <c r="AI514" s="101"/>
      <c r="AJ514" s="101"/>
      <c r="AK514" s="101"/>
      <c r="AM514" s="195"/>
      <c r="AT514" s="101"/>
      <c r="AU514" s="101"/>
      <c r="AV514" s="101"/>
      <c r="AW514" s="101"/>
      <c r="AX514" s="101"/>
      <c r="AY514" s="101"/>
      <c r="AZ514" s="101"/>
      <c r="BA514" s="101"/>
      <c r="BB514" s="101"/>
    </row>
    <row r="515" spans="33:70">
      <c r="AG515" s="101"/>
      <c r="AH515" s="101"/>
      <c r="AI515" s="101"/>
      <c r="AJ515" s="101"/>
      <c r="AK515" s="101"/>
      <c r="AM515" s="195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  <c r="BP515" s="101"/>
      <c r="BQ515" s="101"/>
      <c r="BR515" s="101"/>
    </row>
    <row r="516" spans="33:70">
      <c r="AG516" s="101"/>
      <c r="AH516" s="101"/>
      <c r="AI516" s="101"/>
      <c r="AJ516" s="101"/>
      <c r="AK516" s="101"/>
      <c r="AM516" s="195"/>
      <c r="AT516" s="101"/>
      <c r="AU516" s="101"/>
      <c r="AV516" s="101"/>
      <c r="AW516" s="101"/>
      <c r="AX516" s="101"/>
      <c r="AY516" s="101"/>
      <c r="AZ516" s="101"/>
      <c r="BA516" s="101"/>
    </row>
    <row r="517" spans="33:70">
      <c r="AG517" s="101"/>
      <c r="AH517" s="101"/>
      <c r="AI517" s="101"/>
      <c r="AJ517" s="101"/>
      <c r="AK517" s="101"/>
      <c r="AM517" s="195"/>
      <c r="AT517" s="101"/>
      <c r="AU517" s="101"/>
      <c r="AV517" s="101"/>
      <c r="AW517" s="101"/>
      <c r="AX517" s="101"/>
      <c r="AY517" s="101"/>
      <c r="AZ517" s="101"/>
      <c r="BA517" s="101"/>
    </row>
    <row r="518" spans="33:70">
      <c r="AG518" s="101"/>
      <c r="AH518" s="101"/>
      <c r="AI518" s="101"/>
      <c r="AJ518" s="101"/>
      <c r="AK518" s="101"/>
      <c r="AM518" s="195"/>
      <c r="AT518" s="101"/>
      <c r="AU518" s="101"/>
      <c r="AV518" s="101"/>
      <c r="AW518" s="101"/>
      <c r="AX518" s="101"/>
      <c r="AY518" s="101"/>
      <c r="AZ518" s="101"/>
      <c r="BA518" s="101"/>
    </row>
    <row r="519" spans="33:70">
      <c r="AG519" s="101"/>
      <c r="AH519" s="101"/>
      <c r="AI519" s="101"/>
      <c r="AJ519" s="101"/>
      <c r="AK519" s="101"/>
      <c r="AM519" s="195"/>
      <c r="AT519" s="101"/>
      <c r="AU519" s="101"/>
      <c r="AV519" s="101"/>
      <c r="AW519" s="101"/>
      <c r="AX519" s="101"/>
      <c r="AY519" s="101"/>
      <c r="AZ519" s="101"/>
      <c r="BA519" s="101"/>
    </row>
    <row r="520" spans="33:70">
      <c r="AG520" s="101"/>
      <c r="AH520" s="101"/>
      <c r="AI520" s="101"/>
      <c r="AJ520" s="101"/>
      <c r="AK520" s="101"/>
      <c r="AM520" s="195"/>
      <c r="AT520" s="101"/>
      <c r="AU520" s="101"/>
      <c r="AV520" s="101"/>
      <c r="AW520" s="101"/>
      <c r="AX520" s="101"/>
      <c r="AY520" s="101"/>
      <c r="AZ520" s="101"/>
      <c r="BA520" s="101"/>
    </row>
    <row r="521" spans="33:70">
      <c r="AG521" s="101"/>
      <c r="AH521" s="101"/>
      <c r="AI521" s="101"/>
      <c r="AJ521" s="101"/>
      <c r="AK521" s="101"/>
      <c r="AM521" s="195"/>
      <c r="AT521" s="101"/>
      <c r="AU521" s="101"/>
      <c r="AV521" s="101"/>
      <c r="AW521" s="101"/>
      <c r="AX521" s="101"/>
      <c r="AY521" s="101"/>
      <c r="AZ521" s="101"/>
      <c r="BA521" s="101"/>
    </row>
    <row r="522" spans="33:70">
      <c r="AG522" s="101"/>
      <c r="AH522" s="101"/>
      <c r="AI522" s="101"/>
      <c r="AJ522" s="101"/>
      <c r="AK522" s="101"/>
      <c r="AM522" s="195"/>
      <c r="AT522" s="101"/>
      <c r="AU522" s="101"/>
      <c r="AV522" s="101"/>
      <c r="AW522" s="101"/>
      <c r="AX522" s="101"/>
      <c r="AY522" s="101"/>
      <c r="AZ522" s="101"/>
      <c r="BA522" s="101"/>
    </row>
    <row r="523" spans="33:70">
      <c r="AG523" s="101"/>
      <c r="AH523" s="101"/>
      <c r="AI523" s="101"/>
      <c r="AJ523" s="101"/>
      <c r="AK523" s="101"/>
      <c r="AM523" s="195"/>
      <c r="AT523" s="101"/>
      <c r="AU523" s="101"/>
      <c r="AV523" s="101"/>
      <c r="AW523" s="101"/>
      <c r="AX523" s="101"/>
      <c r="AY523" s="101"/>
      <c r="AZ523" s="101"/>
      <c r="BA523" s="101"/>
    </row>
    <row r="524" spans="33:70">
      <c r="AG524" s="101"/>
      <c r="AH524" s="101"/>
      <c r="AI524" s="101"/>
      <c r="AJ524" s="101"/>
      <c r="AK524" s="101"/>
      <c r="AM524" s="195"/>
      <c r="AT524" s="101"/>
      <c r="AU524" s="101"/>
      <c r="AV524" s="101"/>
      <c r="AW524" s="101"/>
      <c r="AX524" s="101"/>
      <c r="AY524" s="101"/>
      <c r="AZ524" s="101"/>
      <c r="BA524" s="101"/>
      <c r="BB524" s="101"/>
      <c r="BD524" s="101"/>
    </row>
    <row r="525" spans="33:70">
      <c r="AG525" s="101"/>
      <c r="AH525" s="101"/>
      <c r="AI525" s="101"/>
      <c r="AJ525" s="101"/>
      <c r="AK525" s="101"/>
      <c r="AM525" s="195"/>
      <c r="AT525" s="101"/>
      <c r="AU525" s="101"/>
      <c r="AV525" s="101"/>
      <c r="AW525" s="101"/>
      <c r="AX525" s="101"/>
      <c r="AY525" s="101"/>
      <c r="AZ525" s="101"/>
      <c r="BA525" s="101"/>
    </row>
    <row r="526" spans="33:70">
      <c r="AG526" s="101"/>
      <c r="AH526" s="101"/>
      <c r="AI526" s="101"/>
      <c r="AJ526" s="101"/>
      <c r="AK526" s="101"/>
      <c r="AM526" s="195"/>
      <c r="AT526" s="101"/>
      <c r="AU526" s="101"/>
      <c r="AV526" s="101"/>
      <c r="AW526" s="101"/>
      <c r="AX526" s="101"/>
      <c r="AY526" s="101"/>
      <c r="AZ526" s="101"/>
      <c r="BA526" s="101"/>
    </row>
    <row r="527" spans="33:70">
      <c r="AG527" s="101"/>
      <c r="AH527" s="101"/>
      <c r="AI527" s="101"/>
      <c r="AJ527" s="101"/>
      <c r="AK527" s="101"/>
      <c r="AM527" s="195"/>
      <c r="AT527" s="101"/>
      <c r="AU527" s="101"/>
      <c r="AV527" s="101"/>
      <c r="AW527" s="101"/>
      <c r="AX527" s="101"/>
      <c r="AY527" s="101"/>
      <c r="AZ527" s="101"/>
      <c r="BA527" s="101"/>
    </row>
    <row r="528" spans="33:70">
      <c r="AG528" s="101"/>
      <c r="AH528" s="101"/>
      <c r="AI528" s="101"/>
      <c r="AJ528" s="101"/>
      <c r="AK528" s="101"/>
      <c r="AM528" s="195"/>
      <c r="AT528" s="101"/>
      <c r="AU528" s="101"/>
      <c r="AV528" s="101"/>
      <c r="AW528" s="101"/>
      <c r="AX528" s="101"/>
      <c r="AY528" s="101"/>
      <c r="AZ528" s="101"/>
      <c r="BA528" s="101"/>
    </row>
    <row r="529" spans="33:70">
      <c r="AG529" s="101"/>
      <c r="AH529" s="101"/>
      <c r="AI529" s="101"/>
      <c r="AJ529" s="101"/>
      <c r="AK529" s="101"/>
      <c r="AM529" s="195"/>
      <c r="AT529" s="101"/>
      <c r="AU529" s="101"/>
      <c r="AV529" s="101"/>
      <c r="AW529" s="101"/>
      <c r="AX529" s="101"/>
      <c r="AY529" s="101"/>
      <c r="AZ529" s="101"/>
      <c r="BA529" s="101"/>
    </row>
    <row r="530" spans="33:70">
      <c r="AG530" s="101"/>
      <c r="AH530" s="101"/>
      <c r="AI530" s="101"/>
      <c r="AJ530" s="101"/>
      <c r="AK530" s="101"/>
      <c r="AM530" s="195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</row>
    <row r="531" spans="33:70">
      <c r="AG531" s="101"/>
      <c r="AH531" s="101"/>
      <c r="AI531" s="101"/>
      <c r="AJ531" s="101"/>
      <c r="AK531" s="101"/>
      <c r="AM531" s="195"/>
      <c r="AT531" s="101"/>
      <c r="AU531" s="101"/>
      <c r="AV531" s="101"/>
      <c r="AW531" s="101"/>
      <c r="AX531" s="101"/>
      <c r="AY531" s="101"/>
      <c r="AZ531" s="101"/>
      <c r="BA531" s="101"/>
    </row>
    <row r="532" spans="33:70">
      <c r="AG532" s="101"/>
      <c r="AH532" s="101"/>
      <c r="AI532" s="101"/>
      <c r="AJ532" s="101"/>
      <c r="AK532" s="101"/>
      <c r="AM532" s="195"/>
      <c r="AT532" s="101"/>
      <c r="AU532" s="101"/>
      <c r="AV532" s="101"/>
      <c r="AW532" s="101"/>
      <c r="AX532" s="101"/>
      <c r="AY532" s="101"/>
      <c r="AZ532" s="101"/>
      <c r="BA532" s="101"/>
    </row>
    <row r="533" spans="33:70">
      <c r="AG533" s="101"/>
      <c r="AH533" s="101"/>
      <c r="AI533" s="101"/>
      <c r="AJ533" s="101"/>
      <c r="AK533" s="101"/>
      <c r="AM533" s="195"/>
      <c r="AT533" s="101"/>
      <c r="AU533" s="101"/>
      <c r="AV533" s="101"/>
      <c r="AW533" s="101"/>
      <c r="AX533" s="101"/>
      <c r="AY533" s="101"/>
      <c r="AZ533" s="101"/>
      <c r="BA533" s="101"/>
    </row>
    <row r="534" spans="33:70">
      <c r="AG534" s="101"/>
      <c r="AH534" s="101"/>
      <c r="AI534" s="101"/>
      <c r="AJ534" s="101"/>
      <c r="AK534" s="101"/>
      <c r="AM534" s="195"/>
      <c r="AT534" s="101"/>
      <c r="AU534" s="101"/>
      <c r="AV534" s="101"/>
      <c r="AW534" s="101"/>
      <c r="AX534" s="101"/>
      <c r="AY534" s="101"/>
      <c r="AZ534" s="101"/>
      <c r="BA534" s="101"/>
    </row>
    <row r="535" spans="33:70">
      <c r="AG535" s="101"/>
      <c r="AH535" s="101"/>
      <c r="AI535" s="101"/>
      <c r="AJ535" s="101"/>
      <c r="AK535" s="101"/>
      <c r="AM535" s="195"/>
      <c r="AT535" s="101"/>
      <c r="AU535" s="101"/>
      <c r="AV535" s="101"/>
      <c r="AW535" s="101"/>
      <c r="AX535" s="101"/>
      <c r="AY535" s="101"/>
      <c r="AZ535" s="101"/>
      <c r="BA535" s="101"/>
    </row>
    <row r="536" spans="33:70">
      <c r="AG536" s="101"/>
      <c r="AH536" s="101"/>
      <c r="AI536" s="101"/>
      <c r="AJ536" s="101"/>
      <c r="AK536" s="101"/>
      <c r="AM536" s="195"/>
      <c r="AT536" s="101"/>
      <c r="AU536" s="101"/>
      <c r="AV536" s="101"/>
      <c r="AW536" s="101"/>
      <c r="AX536" s="101"/>
      <c r="AY536" s="101"/>
      <c r="AZ536" s="101"/>
      <c r="BA536" s="101"/>
    </row>
    <row r="537" spans="33:70">
      <c r="AG537" s="101"/>
      <c r="AH537" s="101"/>
      <c r="AI537" s="101"/>
      <c r="AJ537" s="101"/>
      <c r="AK537" s="101"/>
      <c r="AM537" s="195"/>
      <c r="AT537" s="101"/>
      <c r="AU537" s="101"/>
      <c r="AV537" s="101"/>
      <c r="AW537" s="101"/>
      <c r="AX537" s="101"/>
      <c r="AY537" s="101"/>
      <c r="AZ537" s="101"/>
      <c r="BA537" s="101"/>
    </row>
    <row r="538" spans="33:70">
      <c r="AG538" s="101"/>
      <c r="AH538" s="101"/>
      <c r="AI538" s="101"/>
      <c r="AJ538" s="101"/>
      <c r="AK538" s="101"/>
      <c r="AM538" s="195"/>
      <c r="AT538" s="101"/>
      <c r="AU538" s="101"/>
      <c r="AV538" s="101"/>
      <c r="AW538" s="101"/>
      <c r="AX538" s="101"/>
      <c r="AY538" s="101"/>
      <c r="AZ538" s="101"/>
      <c r="BA538" s="101"/>
    </row>
    <row r="539" spans="33:70">
      <c r="AG539" s="101"/>
      <c r="AH539" s="101"/>
      <c r="AI539" s="101"/>
      <c r="AJ539" s="101"/>
      <c r="AK539" s="101"/>
      <c r="AM539" s="195"/>
      <c r="AT539" s="101"/>
      <c r="AU539" s="101"/>
      <c r="AV539" s="101"/>
      <c r="AW539" s="101"/>
      <c r="AX539" s="101"/>
      <c r="AY539" s="101"/>
      <c r="AZ539" s="101"/>
      <c r="BA539" s="101"/>
    </row>
    <row r="540" spans="33:70">
      <c r="AG540" s="101"/>
      <c r="AH540" s="101"/>
      <c r="AI540" s="101"/>
      <c r="AJ540" s="101"/>
      <c r="AK540" s="101"/>
      <c r="AM540" s="195"/>
      <c r="AT540" s="101"/>
      <c r="AU540" s="101"/>
      <c r="AV540" s="101"/>
      <c r="AW540" s="101"/>
      <c r="AX540" s="101"/>
      <c r="AY540" s="101"/>
      <c r="AZ540" s="101"/>
      <c r="BA540" s="101"/>
    </row>
    <row r="541" spans="33:70">
      <c r="AG541" s="101"/>
      <c r="AH541" s="101"/>
      <c r="AI541" s="101"/>
      <c r="AJ541" s="101"/>
      <c r="AK541" s="101"/>
      <c r="AM541" s="195"/>
      <c r="AT541" s="101"/>
      <c r="AU541" s="101"/>
      <c r="AV541" s="101"/>
      <c r="AW541" s="101"/>
      <c r="AX541" s="101"/>
      <c r="AY541" s="101"/>
      <c r="AZ541" s="101"/>
      <c r="BA541" s="101"/>
    </row>
    <row r="542" spans="33:70">
      <c r="AG542" s="101"/>
      <c r="AH542" s="101"/>
      <c r="AI542" s="101"/>
      <c r="AJ542" s="101"/>
      <c r="AK542" s="101"/>
      <c r="AM542" s="195"/>
      <c r="AT542" s="101"/>
      <c r="AU542" s="101"/>
      <c r="AV542" s="101"/>
      <c r="AW542" s="101"/>
      <c r="AX542" s="101"/>
      <c r="AY542" s="101"/>
      <c r="AZ542" s="101"/>
      <c r="BA542" s="101"/>
    </row>
    <row r="543" spans="33:70">
      <c r="AG543" s="101"/>
      <c r="AH543" s="101"/>
      <c r="AI543" s="101"/>
      <c r="AJ543" s="101"/>
      <c r="AK543" s="101"/>
      <c r="AM543" s="195"/>
      <c r="AT543" s="101"/>
      <c r="AU543" s="101"/>
      <c r="AV543" s="101"/>
      <c r="AW543" s="101"/>
      <c r="AX543" s="101"/>
      <c r="AY543" s="101"/>
      <c r="AZ543" s="101"/>
      <c r="BA543" s="101"/>
    </row>
    <row r="544" spans="33:70">
      <c r="AG544" s="101"/>
      <c r="AH544" s="101"/>
      <c r="AI544" s="101"/>
      <c r="AJ544" s="101"/>
      <c r="AK544" s="101"/>
      <c r="AM544" s="195"/>
      <c r="AT544" s="101"/>
      <c r="AU544" s="101"/>
      <c r="AV544" s="101"/>
      <c r="AW544" s="101"/>
      <c r="AX544" s="101"/>
      <c r="AY544" s="101"/>
      <c r="AZ544" s="101"/>
      <c r="BA544" s="101"/>
    </row>
    <row r="545" spans="33:54">
      <c r="AG545" s="101"/>
      <c r="AH545" s="101"/>
      <c r="AI545" s="101"/>
      <c r="AJ545" s="101"/>
      <c r="AK545" s="101"/>
      <c r="AM545" s="195"/>
      <c r="AT545" s="101"/>
      <c r="AU545" s="101"/>
      <c r="AV545" s="101"/>
      <c r="AW545" s="101"/>
      <c r="AX545" s="101"/>
      <c r="AY545" s="101"/>
      <c r="AZ545" s="101"/>
      <c r="BA545" s="101"/>
    </row>
    <row r="546" spans="33:54">
      <c r="AG546" s="101"/>
      <c r="AH546" s="101"/>
      <c r="AI546" s="101"/>
      <c r="AJ546" s="101"/>
      <c r="AK546" s="101"/>
      <c r="AM546" s="195"/>
      <c r="AT546" s="101"/>
      <c r="AU546" s="101"/>
      <c r="AV546" s="101"/>
      <c r="AW546" s="101"/>
      <c r="AX546" s="101"/>
      <c r="AY546" s="101"/>
      <c r="AZ546" s="101"/>
      <c r="BA546" s="101"/>
    </row>
    <row r="547" spans="33:54">
      <c r="AG547" s="101"/>
      <c r="AH547" s="101"/>
      <c r="AI547" s="101"/>
      <c r="AJ547" s="101"/>
      <c r="AK547" s="101"/>
      <c r="AM547" s="195"/>
      <c r="AT547" s="101"/>
      <c r="AU547" s="101"/>
      <c r="AV547" s="101"/>
      <c r="AW547" s="101"/>
      <c r="AX547" s="101"/>
      <c r="AY547" s="101"/>
      <c r="AZ547" s="101"/>
      <c r="BA547" s="101"/>
    </row>
    <row r="548" spans="33:54">
      <c r="AG548" s="101"/>
      <c r="AH548" s="101"/>
      <c r="AI548" s="101"/>
      <c r="AJ548" s="101"/>
      <c r="AK548" s="101"/>
      <c r="AM548" s="195"/>
      <c r="AT548" s="101"/>
      <c r="AU548" s="101"/>
      <c r="AV548" s="101"/>
      <c r="AW548" s="101"/>
      <c r="AX548" s="101"/>
      <c r="AY548" s="101"/>
      <c r="AZ548" s="101"/>
      <c r="BA548" s="101"/>
    </row>
    <row r="549" spans="33:54">
      <c r="AG549" s="101"/>
      <c r="AH549" s="101"/>
      <c r="AI549" s="101"/>
      <c r="AJ549" s="101"/>
      <c r="AK549" s="101"/>
      <c r="AM549" s="195"/>
      <c r="AT549" s="101"/>
      <c r="AU549" s="101"/>
      <c r="AV549" s="101"/>
      <c r="AW549" s="101"/>
      <c r="AX549" s="101"/>
      <c r="AY549" s="101"/>
      <c r="AZ549" s="101"/>
      <c r="BA549" s="101"/>
    </row>
    <row r="550" spans="33:54">
      <c r="AG550" s="101"/>
      <c r="AH550" s="101"/>
      <c r="AI550" s="101"/>
      <c r="AJ550" s="101"/>
      <c r="AK550" s="101"/>
      <c r="AM550" s="195"/>
      <c r="AT550" s="101"/>
      <c r="AU550" s="101"/>
      <c r="AV550" s="101"/>
      <c r="AW550" s="101"/>
      <c r="AX550" s="101"/>
      <c r="AY550" s="101"/>
      <c r="AZ550" s="101"/>
      <c r="BA550" s="101"/>
    </row>
    <row r="551" spans="33:54">
      <c r="AG551" s="101"/>
      <c r="AH551" s="101"/>
      <c r="AI551" s="101"/>
      <c r="AJ551" s="101"/>
      <c r="AK551" s="101"/>
      <c r="AM551" s="195"/>
      <c r="AT551" s="101"/>
      <c r="AU551" s="101"/>
      <c r="AV551" s="101"/>
      <c r="AW551" s="101"/>
      <c r="AX551" s="101"/>
      <c r="AY551" s="101"/>
      <c r="AZ551" s="101"/>
      <c r="BA551" s="101"/>
    </row>
    <row r="552" spans="33:54">
      <c r="AG552" s="101"/>
      <c r="AH552" s="101"/>
      <c r="AI552" s="101"/>
      <c r="AJ552" s="101"/>
      <c r="AK552" s="101"/>
      <c r="AM552" s="195"/>
      <c r="AT552" s="101"/>
      <c r="AU552" s="101"/>
      <c r="AV552" s="101"/>
      <c r="AW552" s="101"/>
      <c r="AX552" s="101"/>
      <c r="AY552" s="101"/>
      <c r="AZ552" s="101"/>
      <c r="BA552" s="101"/>
    </row>
    <row r="553" spans="33:54">
      <c r="AG553" s="101"/>
      <c r="AH553" s="101"/>
      <c r="AI553" s="101"/>
      <c r="AJ553" s="101"/>
      <c r="AK553" s="101"/>
      <c r="AM553" s="195"/>
      <c r="AT553" s="101"/>
      <c r="AU553" s="101"/>
      <c r="AV553" s="101"/>
      <c r="AW553" s="101"/>
      <c r="AX553" s="101"/>
      <c r="AY553" s="101"/>
      <c r="AZ553" s="101"/>
      <c r="BA553" s="101"/>
    </row>
    <row r="554" spans="33:54">
      <c r="AG554" s="101"/>
      <c r="AH554" s="101"/>
      <c r="AI554" s="101"/>
      <c r="AJ554" s="101"/>
      <c r="AK554" s="101"/>
      <c r="AM554" s="195"/>
      <c r="AT554" s="101"/>
      <c r="AU554" s="101"/>
      <c r="AV554" s="101"/>
      <c r="AW554" s="101"/>
      <c r="AX554" s="101"/>
      <c r="AY554" s="101"/>
      <c r="AZ554" s="101"/>
      <c r="BA554" s="101"/>
    </row>
    <row r="555" spans="33:54">
      <c r="AG555" s="101"/>
      <c r="AH555" s="101"/>
      <c r="AI555" s="101"/>
      <c r="AJ555" s="101"/>
      <c r="AK555" s="101"/>
      <c r="AM555" s="195"/>
      <c r="AT555" s="101"/>
      <c r="AU555" s="101"/>
      <c r="AV555" s="101"/>
      <c r="AW555" s="101"/>
      <c r="AX555" s="101"/>
      <c r="AY555" s="101"/>
      <c r="AZ555" s="101"/>
      <c r="BA555" s="101"/>
      <c r="BB555" s="101"/>
    </row>
    <row r="556" spans="33:54">
      <c r="AG556" s="101"/>
      <c r="AH556" s="101"/>
      <c r="AI556" s="101"/>
      <c r="AJ556" s="101"/>
      <c r="AK556" s="101"/>
      <c r="AM556" s="195"/>
      <c r="AT556" s="101"/>
      <c r="AU556" s="101"/>
      <c r="AV556" s="101"/>
      <c r="AW556" s="101"/>
      <c r="AX556" s="101"/>
      <c r="AY556" s="101"/>
      <c r="AZ556" s="101"/>
      <c r="BA556" s="101"/>
    </row>
    <row r="557" spans="33:54">
      <c r="AG557" s="101"/>
      <c r="AH557" s="101"/>
      <c r="AI557" s="101"/>
      <c r="AJ557" s="101"/>
      <c r="AK557" s="101"/>
      <c r="AM557" s="195"/>
      <c r="AT557" s="101"/>
      <c r="AU557" s="101"/>
      <c r="AV557" s="101"/>
      <c r="AW557" s="101"/>
      <c r="AX557" s="101"/>
      <c r="AY557" s="101"/>
      <c r="AZ557" s="101"/>
      <c r="BA557" s="101"/>
    </row>
    <row r="558" spans="33:54">
      <c r="AG558" s="101"/>
      <c r="AH558" s="101"/>
      <c r="AI558" s="101"/>
      <c r="AJ558" s="101"/>
      <c r="AK558" s="101"/>
      <c r="AM558" s="195"/>
      <c r="AT558" s="101"/>
      <c r="AU558" s="101"/>
      <c r="AV558" s="101"/>
      <c r="AW558" s="101"/>
      <c r="AX558" s="101"/>
      <c r="AY558" s="101"/>
      <c r="AZ558" s="101"/>
      <c r="BA558" s="101"/>
    </row>
    <row r="559" spans="33:54">
      <c r="AG559" s="101"/>
      <c r="AH559" s="101"/>
      <c r="AI559" s="101"/>
      <c r="AJ559" s="101"/>
      <c r="AK559" s="101"/>
      <c r="AM559" s="195"/>
      <c r="AT559" s="101"/>
      <c r="AU559" s="101"/>
      <c r="AV559" s="101"/>
      <c r="AW559" s="101"/>
      <c r="AX559" s="101"/>
      <c r="AY559" s="101"/>
      <c r="AZ559" s="101"/>
      <c r="BA559" s="101"/>
    </row>
    <row r="560" spans="33:54">
      <c r="AG560" s="101"/>
      <c r="AH560" s="101"/>
      <c r="AI560" s="101"/>
      <c r="AJ560" s="101"/>
      <c r="AK560" s="101"/>
      <c r="AM560" s="195"/>
      <c r="AT560" s="101"/>
      <c r="AU560" s="101"/>
      <c r="AV560" s="101"/>
      <c r="AW560" s="101"/>
      <c r="AX560" s="101"/>
      <c r="AY560" s="101"/>
      <c r="AZ560" s="101"/>
      <c r="BA560" s="101"/>
    </row>
    <row r="561" spans="33:54">
      <c r="AG561" s="101"/>
      <c r="AH561" s="101"/>
      <c r="AI561" s="101"/>
      <c r="AJ561" s="101"/>
      <c r="AK561" s="101"/>
      <c r="AM561" s="195"/>
      <c r="AT561" s="101"/>
      <c r="AU561" s="101"/>
      <c r="AV561" s="101"/>
      <c r="AW561" s="101"/>
      <c r="AX561" s="101"/>
      <c r="AY561" s="101"/>
      <c r="AZ561" s="101"/>
      <c r="BA561" s="101"/>
    </row>
    <row r="562" spans="33:54">
      <c r="AG562" s="101"/>
      <c r="AH562" s="101"/>
      <c r="AI562" s="101"/>
      <c r="AJ562" s="101"/>
      <c r="AK562" s="101"/>
      <c r="AM562" s="195"/>
      <c r="AT562" s="101"/>
      <c r="AU562" s="101"/>
      <c r="AV562" s="101"/>
      <c r="AW562" s="101"/>
      <c r="AX562" s="101"/>
      <c r="AY562" s="101"/>
      <c r="AZ562" s="101"/>
      <c r="BA562" s="101"/>
    </row>
    <row r="563" spans="33:54">
      <c r="AG563" s="101"/>
      <c r="AH563" s="101"/>
      <c r="AI563" s="101"/>
      <c r="AJ563" s="101"/>
      <c r="AK563" s="101"/>
      <c r="AM563" s="195"/>
      <c r="AT563" s="101"/>
      <c r="AU563" s="101"/>
      <c r="AV563" s="101"/>
      <c r="AW563" s="101"/>
      <c r="AX563" s="101"/>
      <c r="AY563" s="101"/>
      <c r="AZ563" s="101"/>
      <c r="BA563" s="101"/>
    </row>
    <row r="564" spans="33:54">
      <c r="AG564" s="101"/>
      <c r="AH564" s="101"/>
      <c r="AI564" s="101"/>
      <c r="AJ564" s="101"/>
      <c r="AK564" s="101"/>
      <c r="AM564" s="195"/>
      <c r="AT564" s="101"/>
      <c r="AU564" s="101"/>
      <c r="AV564" s="101"/>
      <c r="AW564" s="101"/>
      <c r="AX564" s="101"/>
      <c r="AY564" s="101"/>
      <c r="AZ564" s="101"/>
      <c r="BA564" s="101"/>
    </row>
    <row r="565" spans="33:54">
      <c r="AG565" s="101"/>
      <c r="AH565" s="101"/>
      <c r="AI565" s="101"/>
      <c r="AJ565" s="101"/>
      <c r="AK565" s="101"/>
      <c r="AM565" s="195"/>
      <c r="AT565" s="101"/>
      <c r="AU565" s="101"/>
      <c r="AV565" s="101"/>
      <c r="AW565" s="101"/>
      <c r="AX565" s="101"/>
      <c r="AY565" s="101"/>
      <c r="AZ565" s="101"/>
      <c r="BA565" s="101"/>
    </row>
    <row r="566" spans="33:54">
      <c r="AG566" s="101"/>
      <c r="AH566" s="101"/>
      <c r="AI566" s="101"/>
      <c r="AJ566" s="101"/>
      <c r="AK566" s="101"/>
      <c r="AM566" s="195"/>
      <c r="AT566" s="101"/>
      <c r="AU566" s="101"/>
      <c r="AV566" s="101"/>
      <c r="AW566" s="101"/>
      <c r="AX566" s="101"/>
      <c r="AY566" s="101"/>
      <c r="AZ566" s="101"/>
      <c r="BA566" s="101"/>
    </row>
    <row r="567" spans="33:54">
      <c r="AG567" s="101"/>
      <c r="AH567" s="101"/>
      <c r="AI567" s="101"/>
      <c r="AJ567" s="101"/>
      <c r="AK567" s="101"/>
      <c r="AM567" s="195"/>
      <c r="AT567" s="101"/>
      <c r="AU567" s="101"/>
      <c r="AV567" s="101"/>
      <c r="AW567" s="101"/>
      <c r="AX567" s="101"/>
      <c r="AY567" s="101"/>
      <c r="AZ567" s="101"/>
      <c r="BA567" s="101"/>
    </row>
    <row r="568" spans="33:54">
      <c r="AG568" s="101"/>
      <c r="AH568" s="101"/>
      <c r="AI568" s="101"/>
      <c r="AJ568" s="101"/>
      <c r="AK568" s="101"/>
      <c r="AM568" s="195"/>
      <c r="AT568" s="101"/>
      <c r="AU568" s="101"/>
      <c r="AV568" s="101"/>
      <c r="AW568" s="101"/>
      <c r="AX568" s="101"/>
      <c r="AY568" s="101"/>
      <c r="AZ568" s="101"/>
      <c r="BA568" s="101"/>
    </row>
    <row r="569" spans="33:54">
      <c r="AG569" s="101"/>
      <c r="AH569" s="101"/>
      <c r="AI569" s="101"/>
      <c r="AJ569" s="101"/>
      <c r="AK569" s="101"/>
      <c r="AM569" s="195"/>
      <c r="AT569" s="101"/>
      <c r="AU569" s="101"/>
      <c r="AV569" s="101"/>
      <c r="AW569" s="101"/>
      <c r="AX569" s="101"/>
      <c r="AY569" s="101"/>
      <c r="AZ569" s="101"/>
      <c r="BA569" s="101"/>
    </row>
    <row r="570" spans="33:54">
      <c r="AG570" s="101"/>
      <c r="AH570" s="101"/>
      <c r="AI570" s="101"/>
      <c r="AJ570" s="101"/>
      <c r="AK570" s="101"/>
      <c r="AM570" s="195"/>
      <c r="AT570" s="101"/>
      <c r="AU570" s="101"/>
      <c r="AV570" s="101"/>
      <c r="AW570" s="101"/>
      <c r="AX570" s="101"/>
      <c r="AY570" s="101"/>
      <c r="AZ570" s="101"/>
      <c r="BA570" s="101"/>
    </row>
    <row r="571" spans="33:54">
      <c r="AG571" s="101"/>
      <c r="AH571" s="101"/>
      <c r="AI571" s="101"/>
      <c r="AJ571" s="101"/>
      <c r="AK571" s="101"/>
      <c r="AM571" s="195"/>
      <c r="AT571" s="101"/>
      <c r="AU571" s="101"/>
      <c r="AV571" s="101"/>
      <c r="AW571" s="101"/>
      <c r="AX571" s="101"/>
      <c r="AY571" s="101"/>
      <c r="AZ571" s="101"/>
      <c r="BA571" s="101"/>
    </row>
    <row r="572" spans="33:54">
      <c r="AG572" s="101"/>
      <c r="AH572" s="101"/>
      <c r="AI572" s="101"/>
      <c r="AJ572" s="101"/>
      <c r="AK572" s="101"/>
      <c r="AM572" s="195"/>
      <c r="AT572" s="101"/>
      <c r="AU572" s="101"/>
      <c r="AV572" s="101"/>
      <c r="AW572" s="101"/>
      <c r="AX572" s="101"/>
      <c r="AY572" s="101"/>
      <c r="AZ572" s="101"/>
      <c r="BA572" s="101"/>
    </row>
    <row r="573" spans="33:54">
      <c r="AG573" s="101"/>
      <c r="AH573" s="101"/>
      <c r="AI573" s="101"/>
      <c r="AJ573" s="101"/>
      <c r="AK573" s="101"/>
      <c r="AM573" s="195"/>
      <c r="AT573" s="101"/>
      <c r="AU573" s="101"/>
      <c r="AV573" s="101"/>
      <c r="AW573" s="101"/>
      <c r="AX573" s="101"/>
      <c r="AY573" s="101"/>
      <c r="AZ573" s="101"/>
      <c r="BA573" s="101"/>
    </row>
    <row r="574" spans="33:54">
      <c r="AG574" s="101"/>
      <c r="AH574" s="101"/>
      <c r="AI574" s="101"/>
      <c r="AJ574" s="101"/>
      <c r="AK574" s="101"/>
      <c r="AM574" s="195"/>
      <c r="AT574" s="101"/>
      <c r="AU574" s="101"/>
      <c r="AV574" s="101"/>
      <c r="AW574" s="101"/>
      <c r="AX574" s="101"/>
      <c r="AY574" s="101"/>
      <c r="AZ574" s="101"/>
      <c r="BA574" s="101"/>
    </row>
    <row r="575" spans="33:54">
      <c r="AG575" s="101"/>
      <c r="AH575" s="101"/>
      <c r="AI575" s="101"/>
      <c r="AJ575" s="101"/>
      <c r="AK575" s="101"/>
      <c r="AM575" s="195"/>
      <c r="AT575" s="101"/>
      <c r="AU575" s="101"/>
      <c r="AV575" s="101"/>
      <c r="AW575" s="101"/>
      <c r="AX575" s="101"/>
      <c r="AY575" s="101"/>
      <c r="AZ575" s="101"/>
      <c r="BA575" s="101"/>
      <c r="BB575" s="101"/>
    </row>
    <row r="576" spans="33:54">
      <c r="AG576" s="101"/>
      <c r="AH576" s="101"/>
      <c r="AI576" s="101"/>
      <c r="AJ576" s="101"/>
      <c r="AK576" s="101"/>
      <c r="AM576" s="195"/>
      <c r="AT576" s="101"/>
      <c r="AU576" s="101"/>
      <c r="AV576" s="101"/>
      <c r="AW576" s="101"/>
      <c r="AX576" s="101"/>
      <c r="AY576" s="101"/>
      <c r="AZ576" s="101"/>
      <c r="BA576" s="101"/>
    </row>
    <row r="577" spans="33:56">
      <c r="AG577" s="101"/>
      <c r="AH577" s="101"/>
      <c r="AI577" s="101"/>
      <c r="AJ577" s="101"/>
      <c r="AK577" s="101"/>
      <c r="AM577" s="195"/>
      <c r="AT577" s="101"/>
      <c r="AU577" s="101"/>
      <c r="AV577" s="101"/>
      <c r="AW577" s="101"/>
      <c r="AX577" s="101"/>
      <c r="AY577" s="101"/>
      <c r="AZ577" s="101"/>
      <c r="BA577" s="101"/>
    </row>
    <row r="578" spans="33:56">
      <c r="AG578" s="101"/>
      <c r="AH578" s="101"/>
      <c r="AI578" s="101"/>
      <c r="AJ578" s="101"/>
      <c r="AK578" s="101"/>
      <c r="AM578" s="195"/>
      <c r="AT578" s="101"/>
      <c r="AU578" s="101"/>
      <c r="AV578" s="101"/>
      <c r="AW578" s="101"/>
      <c r="AX578" s="101"/>
      <c r="AY578" s="101"/>
      <c r="AZ578" s="101"/>
      <c r="BA578" s="101"/>
    </row>
    <row r="579" spans="33:56">
      <c r="AG579" s="101"/>
      <c r="AH579" s="101"/>
      <c r="AI579" s="101"/>
      <c r="AJ579" s="101"/>
      <c r="AK579" s="101"/>
      <c r="AM579" s="195"/>
      <c r="AT579" s="101"/>
      <c r="AU579" s="101"/>
      <c r="AV579" s="101"/>
      <c r="AW579" s="101"/>
      <c r="AX579" s="101"/>
      <c r="AY579" s="101"/>
      <c r="AZ579" s="101"/>
      <c r="BA579" s="101"/>
    </row>
    <row r="580" spans="33:56">
      <c r="AG580" s="101"/>
      <c r="AH580" s="101"/>
      <c r="AI580" s="101"/>
      <c r="AJ580" s="101"/>
      <c r="AK580" s="101"/>
      <c r="AM580" s="195"/>
      <c r="AT580" s="101"/>
      <c r="AU580" s="101"/>
      <c r="AV580" s="101"/>
      <c r="AW580" s="101"/>
      <c r="AX580" s="101"/>
      <c r="AY580" s="101"/>
      <c r="AZ580" s="101"/>
      <c r="BA580" s="101"/>
    </row>
    <row r="581" spans="33:56">
      <c r="AG581" s="101"/>
      <c r="AH581" s="101"/>
      <c r="AI581" s="101"/>
      <c r="AJ581" s="101"/>
      <c r="AK581" s="101"/>
      <c r="AM581" s="195"/>
      <c r="AT581" s="101"/>
      <c r="AU581" s="101"/>
      <c r="AV581" s="101"/>
      <c r="AW581" s="101"/>
      <c r="AX581" s="101"/>
      <c r="AY581" s="101"/>
      <c r="AZ581" s="101"/>
      <c r="BA581" s="101"/>
    </row>
    <row r="582" spans="33:56">
      <c r="AG582" s="101"/>
      <c r="AH582" s="101"/>
      <c r="AI582" s="101"/>
      <c r="AJ582" s="101"/>
      <c r="AK582" s="101"/>
      <c r="AM582" s="195"/>
      <c r="AT582" s="101"/>
      <c r="AU582" s="101"/>
      <c r="AV582" s="101"/>
      <c r="AW582" s="101"/>
      <c r="AX582" s="101"/>
      <c r="AY582" s="101"/>
      <c r="AZ582" s="101"/>
      <c r="BA582" s="101"/>
    </row>
    <row r="583" spans="33:56">
      <c r="AG583" s="101"/>
      <c r="AH583" s="101"/>
      <c r="AI583" s="101"/>
      <c r="AJ583" s="101"/>
      <c r="AK583" s="101"/>
      <c r="AM583" s="195"/>
      <c r="AT583" s="101"/>
      <c r="AU583" s="101"/>
      <c r="AV583" s="101"/>
      <c r="AW583" s="101"/>
      <c r="AX583" s="101"/>
      <c r="AY583" s="101"/>
      <c r="AZ583" s="101"/>
      <c r="BA583" s="101"/>
    </row>
    <row r="584" spans="33:56">
      <c r="AG584" s="101"/>
      <c r="AH584" s="101"/>
      <c r="AI584" s="101"/>
      <c r="AJ584" s="101"/>
      <c r="AK584" s="101"/>
      <c r="AM584" s="195"/>
      <c r="AT584" s="101"/>
      <c r="AU584" s="101"/>
      <c r="AV584" s="101"/>
      <c r="AW584" s="101"/>
      <c r="AX584" s="101"/>
      <c r="AY584" s="101"/>
      <c r="AZ584" s="101"/>
      <c r="BA584" s="101"/>
    </row>
    <row r="585" spans="33:56">
      <c r="AG585" s="101"/>
      <c r="AH585" s="101"/>
      <c r="AI585" s="101"/>
      <c r="AJ585" s="101"/>
      <c r="AK585" s="101"/>
      <c r="AM585" s="195"/>
      <c r="AT585" s="101"/>
      <c r="AU585" s="101"/>
      <c r="AV585" s="101"/>
      <c r="AW585" s="101"/>
      <c r="AX585" s="101"/>
      <c r="AY585" s="101"/>
      <c r="AZ585" s="101"/>
      <c r="BA585" s="101"/>
    </row>
    <row r="586" spans="33:56">
      <c r="AG586" s="101"/>
      <c r="AH586" s="101"/>
      <c r="AI586" s="101"/>
      <c r="AJ586" s="101"/>
      <c r="AK586" s="101"/>
      <c r="AM586" s="195"/>
      <c r="AT586" s="101"/>
      <c r="AU586" s="101"/>
      <c r="AV586" s="101"/>
      <c r="AW586" s="101"/>
      <c r="AX586" s="101"/>
      <c r="AY586" s="101"/>
      <c r="AZ586" s="101"/>
      <c r="BA586" s="101"/>
    </row>
    <row r="587" spans="33:56">
      <c r="AG587" s="101"/>
      <c r="AH587" s="101"/>
      <c r="AI587" s="101"/>
      <c r="AJ587" s="101"/>
      <c r="AK587" s="101"/>
      <c r="AM587" s="195"/>
      <c r="AT587" s="101"/>
      <c r="AU587" s="101"/>
      <c r="AV587" s="101"/>
      <c r="AW587" s="101"/>
      <c r="AX587" s="101"/>
      <c r="AY587" s="101"/>
      <c r="AZ587" s="101"/>
      <c r="BA587" s="101"/>
      <c r="BB587" s="101"/>
    </row>
    <row r="588" spans="33:56">
      <c r="AG588" s="101"/>
      <c r="AH588" s="101"/>
      <c r="AI588" s="101"/>
      <c r="AJ588" s="101"/>
      <c r="AK588" s="101"/>
      <c r="AM588" s="195"/>
      <c r="AT588" s="101"/>
      <c r="AU588" s="101"/>
      <c r="AV588" s="101"/>
      <c r="AW588" s="101"/>
      <c r="AX588" s="101"/>
      <c r="AY588" s="101"/>
      <c r="AZ588" s="101"/>
      <c r="BA588" s="101"/>
      <c r="BB588" s="101"/>
    </row>
    <row r="589" spans="33:56">
      <c r="AG589" s="101"/>
      <c r="AH589" s="101"/>
      <c r="AI589" s="101"/>
      <c r="AJ589" s="101"/>
      <c r="AK589" s="101"/>
      <c r="AM589" s="195"/>
      <c r="AT589" s="101"/>
      <c r="AU589" s="101"/>
      <c r="AV589" s="101"/>
      <c r="AW589" s="101"/>
      <c r="AX589" s="101"/>
      <c r="AY589" s="101"/>
      <c r="AZ589" s="101"/>
      <c r="BA589" s="101"/>
      <c r="BB589" s="101"/>
      <c r="BD589" s="101"/>
    </row>
    <row r="590" spans="33:56">
      <c r="AG590" s="101"/>
      <c r="AH590" s="101"/>
      <c r="AI590" s="101"/>
      <c r="AJ590" s="101"/>
      <c r="AK590" s="101"/>
      <c r="AM590" s="195"/>
      <c r="AT590" s="101"/>
      <c r="AU590" s="101"/>
      <c r="AV590" s="101"/>
      <c r="AW590" s="101"/>
      <c r="AX590" s="101"/>
      <c r="AY590" s="101"/>
      <c r="AZ590" s="101"/>
      <c r="BA590" s="101"/>
      <c r="BB590" s="101"/>
    </row>
    <row r="591" spans="33:56">
      <c r="AG591" s="101"/>
      <c r="AH591" s="101"/>
      <c r="AI591" s="101"/>
      <c r="AJ591" s="101"/>
      <c r="AK591" s="101"/>
      <c r="AM591" s="195"/>
      <c r="AT591" s="101"/>
      <c r="AU591" s="101"/>
      <c r="AV591" s="101"/>
      <c r="AW591" s="101"/>
      <c r="AX591" s="101"/>
      <c r="AY591" s="101"/>
      <c r="AZ591" s="101"/>
      <c r="BA591" s="101"/>
    </row>
    <row r="592" spans="33:56">
      <c r="AG592" s="101"/>
      <c r="AH592" s="101"/>
      <c r="AI592" s="101"/>
      <c r="AJ592" s="101"/>
      <c r="AK592" s="101"/>
      <c r="AM592" s="195"/>
      <c r="AT592" s="101"/>
      <c r="AU592" s="101"/>
      <c r="AV592" s="101"/>
      <c r="AW592" s="101"/>
      <c r="AX592" s="101"/>
      <c r="AY592" s="101"/>
      <c r="AZ592" s="101"/>
      <c r="BA592" s="101"/>
    </row>
    <row r="593" spans="33:70">
      <c r="AG593" s="101"/>
      <c r="AH593" s="101"/>
      <c r="AI593" s="101"/>
      <c r="AJ593" s="101"/>
      <c r="AK593" s="101"/>
      <c r="AM593" s="195"/>
      <c r="AT593" s="101"/>
      <c r="AU593" s="101"/>
      <c r="AV593" s="101"/>
      <c r="AW593" s="101"/>
      <c r="AX593" s="101"/>
      <c r="AY593" s="101"/>
      <c r="AZ593" s="101"/>
      <c r="BA593" s="101"/>
    </row>
    <row r="594" spans="33:70">
      <c r="AG594" s="101"/>
      <c r="AH594" s="101"/>
      <c r="AI594" s="101"/>
      <c r="AJ594" s="101"/>
      <c r="AK594" s="101"/>
      <c r="AM594" s="195"/>
      <c r="AT594" s="101"/>
      <c r="AU594" s="101"/>
      <c r="AV594" s="101"/>
      <c r="AW594" s="101"/>
      <c r="AX594" s="101"/>
      <c r="AY594" s="101"/>
      <c r="AZ594" s="101"/>
      <c r="BA594" s="101"/>
    </row>
    <row r="595" spans="33:70">
      <c r="AG595" s="101"/>
      <c r="AH595" s="101"/>
      <c r="AI595" s="101"/>
      <c r="AJ595" s="101"/>
      <c r="AK595" s="101"/>
      <c r="AM595" s="195"/>
      <c r="AT595" s="101"/>
      <c r="AU595" s="101"/>
      <c r="AV595" s="101"/>
      <c r="AW595" s="101"/>
      <c r="AX595" s="101"/>
      <c r="AY595" s="101"/>
      <c r="AZ595" s="101"/>
      <c r="BA595" s="101"/>
    </row>
    <row r="596" spans="33:70">
      <c r="AG596" s="101"/>
      <c r="AH596" s="101"/>
      <c r="AI596" s="101"/>
      <c r="AJ596" s="101"/>
      <c r="AK596" s="101"/>
      <c r="AM596" s="195"/>
      <c r="AT596" s="101"/>
      <c r="AU596" s="101"/>
      <c r="AV596" s="101"/>
      <c r="AW596" s="101"/>
      <c r="AX596" s="101"/>
      <c r="AY596" s="101"/>
      <c r="AZ596" s="101"/>
      <c r="BA596" s="101"/>
    </row>
    <row r="597" spans="33:70">
      <c r="AG597" s="101"/>
      <c r="AH597" s="101"/>
      <c r="AI597" s="101"/>
      <c r="AJ597" s="101"/>
      <c r="AK597" s="101"/>
      <c r="AM597" s="195"/>
      <c r="AT597" s="101"/>
      <c r="AU597" s="101"/>
      <c r="AV597" s="101"/>
      <c r="AW597" s="101"/>
      <c r="AX597" s="101"/>
      <c r="AY597" s="101"/>
      <c r="AZ597" s="101"/>
      <c r="BA597" s="101"/>
    </row>
    <row r="598" spans="33:70">
      <c r="AG598" s="101"/>
      <c r="AH598" s="101"/>
      <c r="AI598" s="101"/>
      <c r="AJ598" s="101"/>
      <c r="AK598" s="101"/>
      <c r="AM598" s="195"/>
      <c r="AT598" s="101"/>
      <c r="AU598" s="101"/>
      <c r="AV598" s="101"/>
      <c r="AW598" s="101"/>
      <c r="AX598" s="101"/>
      <c r="AY598" s="101"/>
      <c r="AZ598" s="101"/>
      <c r="BA598" s="101"/>
    </row>
    <row r="599" spans="33:70">
      <c r="AG599" s="101"/>
      <c r="AH599" s="101"/>
      <c r="AI599" s="101"/>
      <c r="AJ599" s="101"/>
      <c r="AK599" s="101"/>
      <c r="AM599" s="195"/>
      <c r="AT599" s="101"/>
      <c r="AU599" s="101"/>
      <c r="AV599" s="101"/>
      <c r="AW599" s="101"/>
      <c r="AX599" s="101"/>
      <c r="AY599" s="101"/>
      <c r="AZ599" s="101"/>
      <c r="BA599" s="101"/>
    </row>
    <row r="600" spans="33:70">
      <c r="AG600" s="101"/>
      <c r="AH600" s="101"/>
      <c r="AI600" s="101"/>
      <c r="AJ600" s="101"/>
      <c r="AK600" s="101"/>
      <c r="AM600" s="195"/>
      <c r="AT600" s="101"/>
      <c r="AU600" s="101"/>
      <c r="AV600" s="101"/>
      <c r="AW600" s="101"/>
      <c r="AX600" s="101"/>
      <c r="AY600" s="101"/>
      <c r="AZ600" s="101"/>
      <c r="BA600" s="101"/>
    </row>
    <row r="601" spans="33:70">
      <c r="AG601" s="101"/>
      <c r="AH601" s="101"/>
      <c r="AI601" s="101"/>
      <c r="AJ601" s="101"/>
      <c r="AK601" s="101"/>
      <c r="AM601" s="195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  <c r="BE601" s="101"/>
      <c r="BF601" s="101"/>
      <c r="BG601" s="101"/>
      <c r="BH601" s="101"/>
      <c r="BI601" s="101"/>
      <c r="BJ601" s="101"/>
      <c r="BK601" s="101"/>
      <c r="BL601" s="101"/>
      <c r="BM601" s="101"/>
      <c r="BN601" s="101"/>
      <c r="BO601" s="101"/>
      <c r="BP601" s="101"/>
      <c r="BQ601" s="101"/>
      <c r="BR601" s="101"/>
    </row>
    <row r="602" spans="33:70">
      <c r="AG602" s="101"/>
      <c r="AH602" s="101"/>
      <c r="AI602" s="101"/>
      <c r="AJ602" s="101"/>
      <c r="AK602" s="101"/>
      <c r="AM602" s="195"/>
      <c r="AT602" s="101"/>
      <c r="AU602" s="101"/>
      <c r="AV602" s="101"/>
      <c r="AW602" s="101"/>
      <c r="AX602" s="101"/>
      <c r="AY602" s="101"/>
      <c r="AZ602" s="101"/>
      <c r="BA602" s="101"/>
    </row>
    <row r="603" spans="33:70">
      <c r="AG603" s="101"/>
      <c r="AH603" s="101"/>
      <c r="AI603" s="101"/>
      <c r="AJ603" s="101"/>
      <c r="AK603" s="101"/>
      <c r="AM603" s="195"/>
      <c r="AT603" s="101"/>
      <c r="AU603" s="101"/>
      <c r="AV603" s="101"/>
      <c r="AW603" s="101"/>
      <c r="AX603" s="101"/>
      <c r="AY603" s="101"/>
      <c r="AZ603" s="101"/>
      <c r="BA603" s="101"/>
    </row>
    <row r="604" spans="33:70">
      <c r="AG604" s="101"/>
      <c r="AH604" s="101"/>
      <c r="AI604" s="101"/>
      <c r="AJ604" s="101"/>
      <c r="AK604" s="101"/>
      <c r="AM604" s="195"/>
      <c r="AT604" s="101"/>
      <c r="AU604" s="101"/>
      <c r="AV604" s="101"/>
      <c r="AW604" s="101"/>
      <c r="AX604" s="101"/>
      <c r="AY604" s="101"/>
      <c r="AZ604" s="101"/>
      <c r="BA604" s="101"/>
    </row>
    <row r="605" spans="33:70">
      <c r="AG605" s="101"/>
      <c r="AH605" s="101"/>
      <c r="AI605" s="101"/>
      <c r="AJ605" s="101"/>
      <c r="AK605" s="101"/>
      <c r="AM605" s="195"/>
      <c r="AT605" s="101"/>
      <c r="AU605" s="101"/>
      <c r="AV605" s="101"/>
      <c r="AW605" s="101"/>
      <c r="AX605" s="101"/>
      <c r="AY605" s="101"/>
      <c r="AZ605" s="101"/>
      <c r="BA605" s="101"/>
    </row>
    <row r="606" spans="33:70">
      <c r="AG606" s="101"/>
      <c r="AH606" s="101"/>
      <c r="AI606" s="101"/>
      <c r="AJ606" s="101"/>
      <c r="AK606" s="101"/>
      <c r="AM606" s="195"/>
      <c r="AT606" s="101"/>
      <c r="AU606" s="101"/>
      <c r="AV606" s="101"/>
      <c r="AW606" s="101"/>
      <c r="AX606" s="101"/>
      <c r="AY606" s="101"/>
      <c r="AZ606" s="101"/>
      <c r="BA606" s="101"/>
    </row>
    <row r="607" spans="33:70">
      <c r="AG607" s="101"/>
      <c r="AH607" s="101"/>
      <c r="AI607" s="101"/>
      <c r="AJ607" s="101"/>
      <c r="AK607" s="101"/>
      <c r="AM607" s="195"/>
      <c r="AT607" s="101"/>
      <c r="AU607" s="101"/>
      <c r="AV607" s="101"/>
      <c r="AW607" s="101"/>
      <c r="AX607" s="101"/>
      <c r="AY607" s="101"/>
      <c r="AZ607" s="101"/>
      <c r="BA607" s="101"/>
    </row>
    <row r="608" spans="33:70">
      <c r="AG608" s="101"/>
      <c r="AH608" s="101"/>
      <c r="AI608" s="101"/>
      <c r="AJ608" s="101"/>
      <c r="AK608" s="101"/>
      <c r="AM608" s="195"/>
      <c r="AT608" s="101"/>
      <c r="AU608" s="101"/>
      <c r="AV608" s="101"/>
      <c r="AW608" s="101"/>
      <c r="AX608" s="101"/>
      <c r="AY608" s="101"/>
      <c r="AZ608" s="101"/>
      <c r="BA608" s="101"/>
    </row>
    <row r="609" spans="33:70">
      <c r="AG609" s="101"/>
      <c r="AH609" s="101"/>
      <c r="AI609" s="101"/>
      <c r="AJ609" s="101"/>
      <c r="AK609" s="101"/>
      <c r="AM609" s="195"/>
      <c r="AT609" s="101"/>
      <c r="AU609" s="101"/>
      <c r="AV609" s="101"/>
      <c r="AW609" s="101"/>
      <c r="AX609" s="101"/>
      <c r="AY609" s="101"/>
      <c r="AZ609" s="101"/>
      <c r="BA609" s="101"/>
    </row>
    <row r="610" spans="33:70">
      <c r="AG610" s="101"/>
      <c r="AH610" s="101"/>
      <c r="AI610" s="101"/>
      <c r="AJ610" s="101"/>
      <c r="AK610" s="101"/>
      <c r="AM610" s="195"/>
      <c r="AT610" s="101"/>
      <c r="AU610" s="101"/>
      <c r="AV610" s="101"/>
      <c r="AW610" s="101"/>
      <c r="AX610" s="101"/>
      <c r="AY610" s="101"/>
      <c r="AZ610" s="101"/>
      <c r="BA610" s="101"/>
      <c r="BB610" s="101"/>
    </row>
    <row r="611" spans="33:70">
      <c r="AG611" s="101"/>
      <c r="AH611" s="101"/>
      <c r="AI611" s="101"/>
      <c r="AJ611" s="101"/>
      <c r="AK611" s="101"/>
      <c r="AM611" s="195"/>
      <c r="AT611" s="101"/>
      <c r="AU611" s="101"/>
      <c r="AV611" s="101"/>
      <c r="AW611" s="101"/>
      <c r="AX611" s="101"/>
      <c r="AY611" s="101"/>
      <c r="AZ611" s="101"/>
      <c r="BA611" s="101"/>
    </row>
    <row r="612" spans="33:70">
      <c r="AG612" s="101"/>
      <c r="AH612" s="101"/>
      <c r="AI612" s="101"/>
      <c r="AJ612" s="101"/>
      <c r="AK612" s="101"/>
      <c r="AM612" s="195"/>
      <c r="AT612" s="101"/>
      <c r="AU612" s="101"/>
      <c r="AV612" s="101"/>
      <c r="AW612" s="101"/>
      <c r="AX612" s="101"/>
      <c r="AY612" s="101"/>
      <c r="AZ612" s="101"/>
      <c r="BA612" s="101"/>
    </row>
    <row r="613" spans="33:70">
      <c r="AG613" s="101"/>
      <c r="AH613" s="101"/>
      <c r="AI613" s="101"/>
      <c r="AJ613" s="101"/>
      <c r="AK613" s="101"/>
      <c r="AM613" s="195"/>
      <c r="AT613" s="101"/>
      <c r="AU613" s="101"/>
      <c r="AV613" s="101"/>
      <c r="AW613" s="101"/>
      <c r="AX613" s="101"/>
      <c r="AY613" s="101"/>
      <c r="AZ613" s="101"/>
      <c r="BA613" s="101"/>
    </row>
    <row r="614" spans="33:70">
      <c r="AG614" s="101"/>
      <c r="AH614" s="101"/>
      <c r="AI614" s="101"/>
      <c r="AJ614" s="101"/>
      <c r="AK614" s="101"/>
      <c r="AM614" s="195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  <c r="BE614" s="101"/>
      <c r="BF614" s="101"/>
      <c r="BG614" s="101"/>
      <c r="BH614" s="101"/>
      <c r="BI614" s="101"/>
      <c r="BJ614" s="101"/>
      <c r="BK614" s="101"/>
      <c r="BL614" s="101"/>
      <c r="BM614" s="101"/>
      <c r="BN614" s="101"/>
      <c r="BO614" s="101"/>
      <c r="BP614" s="101"/>
      <c r="BQ614" s="101"/>
      <c r="BR614" s="101"/>
    </row>
    <row r="615" spans="33:70">
      <c r="AG615" s="101"/>
      <c r="AH615" s="101"/>
      <c r="AI615" s="101"/>
      <c r="AJ615" s="101"/>
      <c r="AK615" s="101"/>
      <c r="AM615" s="195"/>
      <c r="AT615" s="101"/>
      <c r="AU615" s="101"/>
      <c r="AV615" s="101"/>
      <c r="AW615" s="101"/>
      <c r="AX615" s="101"/>
      <c r="AY615" s="101"/>
      <c r="AZ615" s="101"/>
      <c r="BA615" s="101"/>
    </row>
    <row r="616" spans="33:70">
      <c r="AG616" s="101"/>
      <c r="AH616" s="101"/>
      <c r="AI616" s="101"/>
      <c r="AJ616" s="101"/>
      <c r="AK616" s="101"/>
      <c r="AM616" s="195"/>
      <c r="AT616" s="101"/>
      <c r="AU616" s="101"/>
      <c r="AV616" s="101"/>
      <c r="AW616" s="101"/>
      <c r="AX616" s="101"/>
      <c r="AY616" s="101"/>
      <c r="AZ616" s="101"/>
      <c r="BA616" s="101"/>
    </row>
    <row r="617" spans="33:70">
      <c r="AG617" s="101"/>
      <c r="AH617" s="101"/>
      <c r="AI617" s="101"/>
      <c r="AJ617" s="101"/>
      <c r="AK617" s="101"/>
      <c r="AM617" s="195"/>
      <c r="AT617" s="101"/>
      <c r="AU617" s="101"/>
      <c r="AV617" s="101"/>
      <c r="AW617" s="101"/>
      <c r="AX617" s="101"/>
      <c r="AY617" s="101"/>
      <c r="AZ617" s="101"/>
      <c r="BA617" s="101"/>
    </row>
    <row r="618" spans="33:70">
      <c r="AG618" s="101"/>
      <c r="AH618" s="101"/>
      <c r="AI618" s="101"/>
      <c r="AJ618" s="101"/>
      <c r="AK618" s="101"/>
      <c r="AM618" s="195"/>
      <c r="AT618" s="101"/>
      <c r="AU618" s="101"/>
      <c r="AV618" s="101"/>
      <c r="AW618" s="101"/>
      <c r="AX618" s="101"/>
      <c r="AY618" s="101"/>
      <c r="AZ618" s="101"/>
      <c r="BA618" s="101"/>
    </row>
    <row r="619" spans="33:70">
      <c r="AG619" s="101"/>
      <c r="AH619" s="101"/>
      <c r="AI619" s="101"/>
      <c r="AJ619" s="101"/>
      <c r="AK619" s="101"/>
      <c r="AM619" s="195"/>
      <c r="AT619" s="101"/>
      <c r="AU619" s="101"/>
      <c r="AV619" s="101"/>
      <c r="AW619" s="101"/>
      <c r="AX619" s="101"/>
      <c r="AY619" s="101"/>
      <c r="AZ619" s="101"/>
      <c r="BA619" s="101"/>
    </row>
    <row r="620" spans="33:70">
      <c r="AG620" s="101"/>
      <c r="AH620" s="101"/>
      <c r="AI620" s="101"/>
      <c r="AJ620" s="101"/>
      <c r="AK620" s="101"/>
      <c r="AM620" s="195"/>
      <c r="AT620" s="101"/>
      <c r="AU620" s="101"/>
      <c r="AV620" s="101"/>
      <c r="AW620" s="101"/>
      <c r="AX620" s="101"/>
      <c r="AY620" s="101"/>
      <c r="AZ620" s="101"/>
      <c r="BA620" s="101"/>
    </row>
    <row r="621" spans="33:70">
      <c r="AG621" s="101"/>
      <c r="AH621" s="101"/>
      <c r="AI621" s="101"/>
      <c r="AJ621" s="101"/>
      <c r="AK621" s="101"/>
      <c r="AM621" s="195"/>
      <c r="AT621" s="101"/>
      <c r="AU621" s="101"/>
      <c r="AV621" s="101"/>
      <c r="AW621" s="101"/>
      <c r="AX621" s="101"/>
      <c r="AY621" s="101"/>
      <c r="AZ621" s="101"/>
      <c r="BA621" s="101"/>
    </row>
    <row r="622" spans="33:70">
      <c r="AG622" s="101"/>
      <c r="AH622" s="101"/>
      <c r="AI622" s="101"/>
      <c r="AJ622" s="101"/>
      <c r="AK622" s="101"/>
      <c r="AM622" s="195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101"/>
      <c r="BE622" s="101"/>
      <c r="BF622" s="101"/>
      <c r="BG622" s="101"/>
      <c r="BH622" s="101"/>
      <c r="BI622" s="101"/>
      <c r="BJ622" s="101"/>
      <c r="BK622" s="101"/>
      <c r="BL622" s="101"/>
      <c r="BM622" s="101"/>
      <c r="BN622" s="101"/>
      <c r="BO622" s="101"/>
      <c r="BP622" s="101"/>
      <c r="BQ622" s="101"/>
      <c r="BR622" s="101"/>
    </row>
    <row r="623" spans="33:70">
      <c r="AG623" s="101"/>
      <c r="AH623" s="101"/>
      <c r="AI623" s="101"/>
      <c r="AJ623" s="101"/>
      <c r="AK623" s="101"/>
      <c r="AM623" s="195"/>
      <c r="AT623" s="101"/>
      <c r="AU623" s="101"/>
      <c r="AV623" s="101"/>
      <c r="AW623" s="101"/>
      <c r="AX623" s="101"/>
      <c r="AY623" s="101"/>
      <c r="AZ623" s="101"/>
      <c r="BA623" s="101"/>
    </row>
    <row r="624" spans="33:70">
      <c r="AG624" s="101"/>
      <c r="AH624" s="101"/>
      <c r="AI624" s="101"/>
      <c r="AJ624" s="101"/>
      <c r="AK624" s="101"/>
      <c r="AM624" s="195"/>
      <c r="AT624" s="101"/>
      <c r="AU624" s="101"/>
      <c r="AV624" s="101"/>
      <c r="AW624" s="101"/>
      <c r="AX624" s="101"/>
      <c r="AY624" s="101"/>
      <c r="AZ624" s="101"/>
      <c r="BA624" s="101"/>
    </row>
    <row r="625" spans="33:54">
      <c r="AG625" s="101"/>
      <c r="AH625" s="101"/>
      <c r="AI625" s="101"/>
      <c r="AJ625" s="101"/>
      <c r="AK625" s="101"/>
      <c r="AM625" s="195"/>
      <c r="AT625" s="101"/>
      <c r="AU625" s="101"/>
      <c r="AV625" s="101"/>
      <c r="AW625" s="101"/>
      <c r="AX625" s="101"/>
      <c r="AY625" s="101"/>
      <c r="AZ625" s="101"/>
      <c r="BA625" s="101"/>
    </row>
    <row r="626" spans="33:54">
      <c r="AG626" s="101"/>
      <c r="AH626" s="101"/>
      <c r="AI626" s="101"/>
      <c r="AJ626" s="101"/>
      <c r="AK626" s="101"/>
      <c r="AM626" s="195"/>
      <c r="AT626" s="101"/>
      <c r="AU626" s="101"/>
      <c r="AV626" s="101"/>
      <c r="AW626" s="101"/>
      <c r="AX626" s="101"/>
      <c r="AY626" s="101"/>
      <c r="AZ626" s="101"/>
      <c r="BA626" s="101"/>
    </row>
    <row r="627" spans="33:54">
      <c r="AG627" s="101"/>
      <c r="AH627" s="101"/>
      <c r="AI627" s="101"/>
      <c r="AJ627" s="101"/>
      <c r="AK627" s="101"/>
      <c r="AM627" s="195"/>
      <c r="AT627" s="101"/>
      <c r="AU627" s="101"/>
      <c r="AV627" s="101"/>
      <c r="AW627" s="101"/>
      <c r="AX627" s="101"/>
      <c r="AY627" s="101"/>
      <c r="AZ627" s="101"/>
      <c r="BA627" s="101"/>
    </row>
    <row r="628" spans="33:54">
      <c r="AG628" s="101"/>
      <c r="AH628" s="101"/>
      <c r="AI628" s="101"/>
      <c r="AJ628" s="101"/>
      <c r="AK628" s="101"/>
      <c r="AM628" s="195"/>
      <c r="AT628" s="101"/>
      <c r="AU628" s="101"/>
      <c r="AV628" s="101"/>
      <c r="AW628" s="101"/>
      <c r="AX628" s="101"/>
      <c r="AY628" s="101"/>
      <c r="AZ628" s="101"/>
      <c r="BA628" s="101"/>
    </row>
    <row r="629" spans="33:54">
      <c r="AG629" s="101"/>
      <c r="AH629" s="101"/>
      <c r="AI629" s="101"/>
      <c r="AJ629" s="101"/>
      <c r="AK629" s="101"/>
      <c r="AM629" s="195"/>
      <c r="AT629" s="101"/>
      <c r="AU629" s="101"/>
      <c r="AV629" s="101"/>
      <c r="AW629" s="101"/>
      <c r="AX629" s="101"/>
      <c r="AY629" s="101"/>
      <c r="AZ629" s="101"/>
      <c r="BA629" s="101"/>
    </row>
    <row r="630" spans="33:54">
      <c r="AG630" s="101"/>
      <c r="AH630" s="101"/>
      <c r="AI630" s="101"/>
      <c r="AJ630" s="101"/>
      <c r="AK630" s="101"/>
      <c r="AM630" s="195"/>
      <c r="AT630" s="101"/>
      <c r="AU630" s="101"/>
      <c r="AV630" s="101"/>
      <c r="AW630" s="101"/>
      <c r="AX630" s="101"/>
      <c r="AY630" s="101"/>
      <c r="AZ630" s="101"/>
      <c r="BA630" s="101"/>
    </row>
    <row r="631" spans="33:54">
      <c r="AG631" s="101"/>
      <c r="AH631" s="101"/>
      <c r="AI631" s="101"/>
      <c r="AJ631" s="101"/>
      <c r="AK631" s="101"/>
      <c r="AM631" s="195"/>
      <c r="AT631" s="101"/>
      <c r="AU631" s="101"/>
      <c r="AV631" s="101"/>
      <c r="AW631" s="101"/>
      <c r="AX631" s="101"/>
      <c r="AY631" s="101"/>
      <c r="AZ631" s="101"/>
      <c r="BA631" s="101"/>
    </row>
    <row r="632" spans="33:54">
      <c r="AG632" s="101"/>
      <c r="AH632" s="101"/>
      <c r="AI632" s="101"/>
      <c r="AJ632" s="101"/>
      <c r="AK632" s="101"/>
      <c r="AM632" s="195"/>
      <c r="AT632" s="101"/>
      <c r="AU632" s="101"/>
      <c r="AV632" s="101"/>
      <c r="AW632" s="101"/>
      <c r="AX632" s="101"/>
      <c r="AY632" s="101"/>
      <c r="AZ632" s="101"/>
      <c r="BA632" s="101"/>
    </row>
    <row r="633" spans="33:54">
      <c r="AG633" s="101"/>
      <c r="AH633" s="101"/>
      <c r="AI633" s="101"/>
      <c r="AJ633" s="101"/>
      <c r="AK633" s="101"/>
      <c r="AM633" s="195"/>
      <c r="AT633" s="101"/>
      <c r="AU633" s="101"/>
      <c r="AV633" s="101"/>
      <c r="AW633" s="101"/>
      <c r="AX633" s="101"/>
      <c r="AY633" s="101"/>
      <c r="AZ633" s="101"/>
      <c r="BA633" s="101"/>
    </row>
    <row r="634" spans="33:54">
      <c r="AG634" s="101"/>
      <c r="AH634" s="101"/>
      <c r="AI634" s="101"/>
      <c r="AJ634" s="101"/>
      <c r="AK634" s="101"/>
      <c r="AM634" s="195"/>
      <c r="AT634" s="101"/>
      <c r="AU634" s="101"/>
      <c r="AV634" s="101"/>
      <c r="AW634" s="101"/>
      <c r="AX634" s="101"/>
      <c r="AY634" s="101"/>
      <c r="AZ634" s="101"/>
      <c r="BA634" s="101"/>
    </row>
    <row r="635" spans="33:54">
      <c r="AG635" s="101"/>
      <c r="AH635" s="101"/>
      <c r="AI635" s="101"/>
      <c r="AJ635" s="101"/>
      <c r="AK635" s="101"/>
      <c r="AM635" s="195"/>
      <c r="AT635" s="101"/>
      <c r="AU635" s="101"/>
      <c r="AV635" s="101"/>
      <c r="AW635" s="101"/>
      <c r="AX635" s="101"/>
      <c r="AY635" s="101"/>
      <c r="AZ635" s="101"/>
      <c r="BA635" s="101"/>
    </row>
    <row r="636" spans="33:54">
      <c r="AG636" s="101"/>
      <c r="AH636" s="101"/>
      <c r="AI636" s="101"/>
      <c r="AJ636" s="101"/>
      <c r="AK636" s="101"/>
      <c r="AM636" s="195"/>
      <c r="AT636" s="101"/>
      <c r="AU636" s="101"/>
      <c r="AV636" s="101"/>
      <c r="AW636" s="101"/>
      <c r="AX636" s="101"/>
      <c r="AY636" s="101"/>
      <c r="AZ636" s="101"/>
      <c r="BA636" s="101"/>
      <c r="BB636" s="101"/>
    </row>
    <row r="637" spans="33:54">
      <c r="AG637" s="101"/>
      <c r="AH637" s="101"/>
      <c r="AI637" s="101"/>
      <c r="AJ637" s="101"/>
      <c r="AK637" s="101"/>
      <c r="AM637" s="195"/>
      <c r="AT637" s="101"/>
      <c r="AU637" s="101"/>
      <c r="AV637" s="101"/>
      <c r="AW637" s="101"/>
      <c r="AX637" s="101"/>
      <c r="AY637" s="101"/>
      <c r="AZ637" s="101"/>
      <c r="BA637" s="101"/>
    </row>
    <row r="638" spans="33:54">
      <c r="AG638" s="101"/>
      <c r="AH638" s="101"/>
      <c r="AI638" s="101"/>
      <c r="AJ638" s="101"/>
      <c r="AK638" s="101"/>
      <c r="AM638" s="195"/>
      <c r="AT638" s="101"/>
      <c r="AU638" s="101"/>
      <c r="AV638" s="101"/>
      <c r="AW638" s="101"/>
      <c r="AX638" s="101"/>
      <c r="AY638" s="101"/>
      <c r="AZ638" s="101"/>
      <c r="BA638" s="101"/>
    </row>
    <row r="639" spans="33:54">
      <c r="AG639" s="101"/>
      <c r="AH639" s="101"/>
      <c r="AI639" s="101"/>
      <c r="AJ639" s="101"/>
      <c r="AK639" s="101"/>
      <c r="AM639" s="195"/>
      <c r="AT639" s="101"/>
      <c r="AU639" s="101"/>
      <c r="AV639" s="101"/>
      <c r="AW639" s="101"/>
      <c r="AX639" s="101"/>
      <c r="AY639" s="101"/>
      <c r="AZ639" s="101"/>
      <c r="BA639" s="101"/>
    </row>
    <row r="640" spans="33:54">
      <c r="AG640" s="101"/>
      <c r="AH640" s="101"/>
      <c r="AI640" s="101"/>
      <c r="AJ640" s="101"/>
      <c r="AK640" s="101"/>
      <c r="AM640" s="195"/>
      <c r="AT640" s="101"/>
      <c r="AU640" s="101"/>
      <c r="AV640" s="101"/>
      <c r="AW640" s="101"/>
      <c r="AX640" s="101"/>
      <c r="AY640" s="101"/>
      <c r="AZ640" s="101"/>
      <c r="BA640" s="101"/>
    </row>
    <row r="641" spans="33:70">
      <c r="AG641" s="101"/>
      <c r="AH641" s="101"/>
      <c r="AI641" s="101"/>
      <c r="AJ641" s="101"/>
      <c r="AK641" s="101"/>
      <c r="AM641" s="195"/>
      <c r="AT641" s="101"/>
      <c r="AU641" s="101"/>
      <c r="AV641" s="101"/>
      <c r="AW641" s="101"/>
      <c r="AX641" s="101"/>
      <c r="AY641" s="101"/>
      <c r="AZ641" s="101"/>
      <c r="BA641" s="101"/>
    </row>
    <row r="642" spans="33:70">
      <c r="AG642" s="101"/>
      <c r="AH642" s="101"/>
      <c r="AI642" s="101"/>
      <c r="AJ642" s="101"/>
      <c r="AK642" s="101"/>
      <c r="AM642" s="195"/>
      <c r="AT642" s="101"/>
      <c r="AU642" s="101"/>
      <c r="AV642" s="101"/>
      <c r="AW642" s="101"/>
      <c r="AX642" s="101"/>
      <c r="AY642" s="101"/>
      <c r="AZ642" s="101"/>
      <c r="BA642" s="101"/>
    </row>
    <row r="643" spans="33:70">
      <c r="AG643" s="101"/>
      <c r="AH643" s="101"/>
      <c r="AI643" s="101"/>
      <c r="AJ643" s="101"/>
      <c r="AK643" s="101"/>
      <c r="AM643" s="195"/>
      <c r="AT643" s="101"/>
      <c r="AU643" s="101"/>
      <c r="AV643" s="101"/>
      <c r="AW643" s="101"/>
      <c r="AX643" s="101"/>
      <c r="AY643" s="101"/>
      <c r="AZ643" s="101"/>
      <c r="BA643" s="101"/>
    </row>
    <row r="644" spans="33:70">
      <c r="AG644" s="101"/>
      <c r="AH644" s="101"/>
      <c r="AI644" s="101"/>
      <c r="AJ644" s="101"/>
      <c r="AK644" s="101"/>
      <c r="AM644" s="195"/>
      <c r="AT644" s="101"/>
      <c r="AU644" s="101"/>
      <c r="AV644" s="101"/>
      <c r="AW644" s="101"/>
      <c r="AX644" s="101"/>
      <c r="AY644" s="101"/>
      <c r="AZ644" s="101"/>
      <c r="BA644" s="101"/>
    </row>
    <row r="645" spans="33:70">
      <c r="AG645" s="101"/>
      <c r="AH645" s="101"/>
      <c r="AI645" s="101"/>
      <c r="AJ645" s="101"/>
      <c r="AK645" s="101"/>
      <c r="AM645" s="195"/>
      <c r="AT645" s="101"/>
      <c r="AU645" s="101"/>
      <c r="AV645" s="101"/>
      <c r="AW645" s="101"/>
      <c r="AX645" s="101"/>
      <c r="AY645" s="101"/>
      <c r="AZ645" s="101"/>
      <c r="BA645" s="101"/>
    </row>
    <row r="646" spans="33:70">
      <c r="AG646" s="101"/>
      <c r="AH646" s="101"/>
      <c r="AI646" s="101"/>
      <c r="AJ646" s="101"/>
      <c r="AK646" s="101"/>
      <c r="AM646" s="195"/>
      <c r="AT646" s="101"/>
      <c r="AU646" s="101"/>
      <c r="AV646" s="101"/>
      <c r="AW646" s="101"/>
      <c r="AX646" s="101"/>
      <c r="AY646" s="101"/>
      <c r="AZ646" s="101"/>
      <c r="BA646" s="101"/>
    </row>
    <row r="647" spans="33:70">
      <c r="AG647" s="101"/>
      <c r="AH647" s="101"/>
      <c r="AI647" s="101"/>
      <c r="AJ647" s="101"/>
      <c r="AK647" s="101"/>
      <c r="AM647" s="195"/>
      <c r="AT647" s="101"/>
      <c r="AU647" s="101"/>
      <c r="AV647" s="101"/>
      <c r="AW647" s="101"/>
      <c r="AX647" s="101"/>
      <c r="AY647" s="101"/>
      <c r="AZ647" s="101"/>
      <c r="BA647" s="101"/>
    </row>
    <row r="648" spans="33:70">
      <c r="AG648" s="101"/>
      <c r="AH648" s="101"/>
      <c r="AI648" s="101"/>
      <c r="AJ648" s="101"/>
      <c r="AK648" s="101"/>
      <c r="AM648" s="195"/>
      <c r="AT648" s="101"/>
      <c r="AU648" s="101"/>
      <c r="AV648" s="101"/>
      <c r="AW648" s="101"/>
      <c r="AX648" s="101"/>
      <c r="AY648" s="101"/>
      <c r="AZ648" s="101"/>
      <c r="BA648" s="101"/>
    </row>
    <row r="649" spans="33:70">
      <c r="AG649" s="101"/>
      <c r="AH649" s="101"/>
      <c r="AI649" s="101"/>
      <c r="AJ649" s="101"/>
      <c r="AK649" s="101"/>
      <c r="AM649" s="195"/>
      <c r="AT649" s="101"/>
      <c r="AU649" s="101"/>
      <c r="AV649" s="101"/>
      <c r="AW649" s="101"/>
      <c r="AX649" s="101"/>
      <c r="AY649" s="101"/>
      <c r="AZ649" s="101"/>
      <c r="BA649" s="101"/>
    </row>
    <row r="650" spans="33:70">
      <c r="AG650" s="101"/>
      <c r="AH650" s="101"/>
      <c r="AI650" s="101"/>
      <c r="AJ650" s="101"/>
      <c r="AK650" s="101"/>
      <c r="AM650" s="195"/>
      <c r="AT650" s="101"/>
      <c r="AU650" s="101"/>
      <c r="AV650" s="101"/>
      <c r="AW650" s="101"/>
      <c r="AX650" s="101"/>
      <c r="AY650" s="101"/>
      <c r="AZ650" s="101"/>
      <c r="BA650" s="101"/>
    </row>
    <row r="651" spans="33:70">
      <c r="AG651" s="101"/>
      <c r="AH651" s="101"/>
      <c r="AI651" s="101"/>
      <c r="AJ651" s="101"/>
      <c r="AK651" s="101"/>
      <c r="AM651" s="195"/>
      <c r="AT651" s="101"/>
      <c r="AU651" s="101"/>
      <c r="AV651" s="101"/>
      <c r="AW651" s="101"/>
      <c r="AX651" s="101"/>
      <c r="AY651" s="101"/>
      <c r="AZ651" s="101"/>
      <c r="BA651" s="101"/>
    </row>
    <row r="652" spans="33:70">
      <c r="AG652" s="101"/>
      <c r="AH652" s="101"/>
      <c r="AI652" s="101"/>
      <c r="AJ652" s="101"/>
      <c r="AK652" s="101"/>
      <c r="AM652" s="195"/>
      <c r="AT652" s="101"/>
      <c r="AU652" s="101"/>
      <c r="AV652" s="101"/>
      <c r="AW652" s="101"/>
      <c r="AX652" s="101"/>
      <c r="AY652" s="101"/>
      <c r="AZ652" s="101"/>
      <c r="BA652" s="101"/>
    </row>
    <row r="653" spans="33:70">
      <c r="AG653" s="101"/>
      <c r="AH653" s="101"/>
      <c r="AI653" s="101"/>
      <c r="AJ653" s="101"/>
      <c r="AK653" s="101"/>
      <c r="AM653" s="195"/>
      <c r="AT653" s="101"/>
      <c r="AU653" s="101"/>
      <c r="AV653" s="101"/>
      <c r="AW653" s="101"/>
      <c r="AX653" s="101"/>
      <c r="AY653" s="101"/>
      <c r="AZ653" s="101"/>
      <c r="BA653" s="101"/>
    </row>
    <row r="654" spans="33:70">
      <c r="AG654" s="101"/>
      <c r="AH654" s="101"/>
      <c r="AI654" s="101"/>
      <c r="AJ654" s="101"/>
      <c r="AK654" s="101"/>
      <c r="AM654" s="195"/>
      <c r="AT654" s="101"/>
      <c r="AU654" s="101"/>
      <c r="AV654" s="101"/>
      <c r="AW654" s="101"/>
      <c r="AX654" s="101"/>
      <c r="AY654" s="101"/>
      <c r="AZ654" s="101"/>
      <c r="BA654" s="101"/>
    </row>
    <row r="655" spans="33:70">
      <c r="AG655" s="101"/>
      <c r="AH655" s="101"/>
      <c r="AI655" s="101"/>
      <c r="AJ655" s="101"/>
      <c r="AK655" s="101"/>
      <c r="AM655" s="195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101"/>
      <c r="BE655" s="101"/>
      <c r="BF655" s="101"/>
      <c r="BG655" s="101"/>
      <c r="BH655" s="101"/>
      <c r="BI655" s="101"/>
      <c r="BJ655" s="101"/>
      <c r="BK655" s="101"/>
      <c r="BL655" s="101"/>
      <c r="BM655" s="101"/>
      <c r="BN655" s="101"/>
      <c r="BO655" s="101"/>
      <c r="BP655" s="101"/>
      <c r="BQ655" s="101"/>
      <c r="BR655" s="101"/>
    </row>
    <row r="656" spans="33:70">
      <c r="AG656" s="101"/>
      <c r="AH656" s="101"/>
      <c r="AI656" s="101"/>
      <c r="AJ656" s="101"/>
      <c r="AK656" s="101"/>
      <c r="AM656" s="195"/>
      <c r="AT656" s="101"/>
      <c r="AU656" s="101"/>
      <c r="AV656" s="101"/>
      <c r="AW656" s="101"/>
      <c r="AX656" s="101"/>
      <c r="AY656" s="101"/>
      <c r="AZ656" s="101"/>
      <c r="BA656" s="101"/>
    </row>
    <row r="657" spans="33:70">
      <c r="AG657" s="101"/>
      <c r="AH657" s="101"/>
      <c r="AI657" s="101"/>
      <c r="AJ657" s="101"/>
      <c r="AK657" s="101"/>
      <c r="AM657" s="195"/>
      <c r="AT657" s="101"/>
      <c r="AU657" s="101"/>
      <c r="AV657" s="101"/>
      <c r="AW657" s="101"/>
      <c r="AX657" s="101"/>
      <c r="AY657" s="101"/>
      <c r="AZ657" s="101"/>
      <c r="BA657" s="101"/>
    </row>
    <row r="658" spans="33:70">
      <c r="AG658" s="101"/>
      <c r="AH658" s="101"/>
      <c r="AI658" s="101"/>
      <c r="AJ658" s="101"/>
      <c r="AK658" s="101"/>
      <c r="AM658" s="195"/>
      <c r="AT658" s="101"/>
      <c r="AU658" s="101"/>
      <c r="AV658" s="101"/>
      <c r="AW658" s="101"/>
      <c r="AX658" s="101"/>
      <c r="AY658" s="101"/>
      <c r="AZ658" s="101"/>
      <c r="BA658" s="101"/>
    </row>
    <row r="659" spans="33:70">
      <c r="AG659" s="101"/>
      <c r="AH659" s="101"/>
      <c r="AI659" s="101"/>
      <c r="AJ659" s="101"/>
      <c r="AK659" s="101"/>
      <c r="AM659" s="195"/>
      <c r="AT659" s="101"/>
      <c r="AU659" s="101"/>
      <c r="AV659" s="101"/>
      <c r="AW659" s="101"/>
      <c r="AX659" s="101"/>
      <c r="AY659" s="101"/>
      <c r="AZ659" s="101"/>
      <c r="BA659" s="101"/>
    </row>
    <row r="660" spans="33:70">
      <c r="AG660" s="101"/>
      <c r="AH660" s="101"/>
      <c r="AI660" s="101"/>
      <c r="AJ660" s="101"/>
      <c r="AK660" s="101"/>
      <c r="AM660" s="195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101"/>
      <c r="BE660" s="101"/>
      <c r="BF660" s="101"/>
      <c r="BG660" s="101"/>
      <c r="BH660" s="101"/>
      <c r="BI660" s="101"/>
      <c r="BJ660" s="101"/>
      <c r="BK660" s="101"/>
      <c r="BL660" s="101"/>
      <c r="BM660" s="101"/>
      <c r="BN660" s="101"/>
      <c r="BO660" s="101"/>
      <c r="BP660" s="101"/>
      <c r="BQ660" s="101"/>
      <c r="BR660" s="101"/>
    </row>
    <row r="661" spans="33:70">
      <c r="AG661" s="101"/>
      <c r="AH661" s="101"/>
      <c r="AI661" s="101"/>
      <c r="AJ661" s="101"/>
      <c r="AK661" s="101"/>
      <c r="AM661" s="195"/>
      <c r="AT661" s="101"/>
      <c r="AU661" s="101"/>
      <c r="AV661" s="101"/>
      <c r="AW661" s="101"/>
      <c r="AX661" s="101"/>
      <c r="AY661" s="101"/>
      <c r="AZ661" s="101"/>
      <c r="BA661" s="101"/>
    </row>
    <row r="662" spans="33:70">
      <c r="AG662" s="101"/>
      <c r="AH662" s="101"/>
      <c r="AI662" s="101"/>
      <c r="AJ662" s="101"/>
      <c r="AK662" s="101"/>
      <c r="AM662" s="195"/>
      <c r="AT662" s="101"/>
      <c r="AU662" s="101"/>
      <c r="AV662" s="101"/>
      <c r="AW662" s="101"/>
      <c r="AX662" s="101"/>
      <c r="AY662" s="101"/>
      <c r="AZ662" s="101"/>
      <c r="BA662" s="101"/>
    </row>
    <row r="663" spans="33:70">
      <c r="AG663" s="101"/>
      <c r="AH663" s="101"/>
      <c r="AI663" s="101"/>
      <c r="AJ663" s="101"/>
      <c r="AK663" s="101"/>
      <c r="AM663" s="195"/>
      <c r="AT663" s="101"/>
      <c r="AU663" s="101"/>
      <c r="AV663" s="101"/>
      <c r="AW663" s="101"/>
      <c r="AX663" s="101"/>
      <c r="AY663" s="101"/>
      <c r="AZ663" s="101"/>
      <c r="BA663" s="101"/>
    </row>
    <row r="664" spans="33:70">
      <c r="AG664" s="101"/>
      <c r="AH664" s="101"/>
      <c r="AI664" s="101"/>
      <c r="AJ664" s="101"/>
      <c r="AK664" s="101"/>
      <c r="AM664" s="195"/>
      <c r="AT664" s="101"/>
      <c r="AU664" s="101"/>
      <c r="AV664" s="101"/>
      <c r="AW664" s="101"/>
      <c r="AX664" s="101"/>
      <c r="AY664" s="101"/>
      <c r="AZ664" s="101"/>
      <c r="BA664" s="101"/>
    </row>
    <row r="665" spans="33:70">
      <c r="AG665" s="101"/>
      <c r="AH665" s="101"/>
      <c r="AI665" s="101"/>
      <c r="AJ665" s="101"/>
      <c r="AK665" s="101"/>
      <c r="AM665" s="195"/>
      <c r="AT665" s="101"/>
      <c r="AU665" s="101"/>
      <c r="AV665" s="101"/>
      <c r="AW665" s="101"/>
      <c r="AX665" s="101"/>
      <c r="AY665" s="101"/>
      <c r="AZ665" s="101"/>
      <c r="BA665" s="101"/>
      <c r="BB665" s="101"/>
      <c r="BD665" s="101"/>
    </row>
    <row r="666" spans="33:70">
      <c r="AG666" s="101"/>
      <c r="AH666" s="101"/>
      <c r="AI666" s="101"/>
      <c r="AJ666" s="101"/>
      <c r="AK666" s="101"/>
      <c r="AM666" s="195"/>
      <c r="AT666" s="101"/>
      <c r="AU666" s="101"/>
      <c r="AV666" s="101"/>
      <c r="AW666" s="101"/>
      <c r="AX666" s="101"/>
      <c r="AY666" s="101"/>
      <c r="AZ666" s="101"/>
      <c r="BA666" s="101"/>
    </row>
    <row r="667" spans="33:70">
      <c r="AG667" s="101"/>
      <c r="AH667" s="101"/>
      <c r="AI667" s="101"/>
      <c r="AJ667" s="101"/>
      <c r="AK667" s="101"/>
      <c r="AM667" s="195"/>
      <c r="AT667" s="101"/>
      <c r="AU667" s="101"/>
      <c r="AV667" s="101"/>
      <c r="AW667" s="101"/>
      <c r="AX667" s="101"/>
      <c r="AY667" s="101"/>
      <c r="AZ667" s="101"/>
      <c r="BA667" s="101"/>
    </row>
    <row r="668" spans="33:70">
      <c r="AG668" s="101"/>
      <c r="AH668" s="101"/>
      <c r="AI668" s="101"/>
      <c r="AJ668" s="101"/>
      <c r="AK668" s="101"/>
      <c r="AM668" s="195"/>
      <c r="AT668" s="101"/>
      <c r="AU668" s="101"/>
      <c r="AV668" s="101"/>
      <c r="AW668" s="101"/>
      <c r="AX668" s="101"/>
      <c r="AY668" s="101"/>
      <c r="AZ668" s="101"/>
      <c r="BA668" s="101"/>
    </row>
    <row r="669" spans="33:70">
      <c r="AG669" s="101"/>
      <c r="AH669" s="101"/>
      <c r="AI669" s="101"/>
      <c r="AJ669" s="101"/>
      <c r="AK669" s="101"/>
      <c r="AM669" s="195"/>
      <c r="AT669" s="101"/>
      <c r="AU669" s="101"/>
      <c r="AV669" s="101"/>
      <c r="AW669" s="101"/>
      <c r="AX669" s="101"/>
      <c r="AY669" s="101"/>
      <c r="AZ669" s="101"/>
      <c r="BA669" s="101"/>
    </row>
    <row r="670" spans="33:70">
      <c r="AG670" s="101"/>
      <c r="AH670" s="101"/>
      <c r="AI670" s="101"/>
      <c r="AJ670" s="101"/>
      <c r="AK670" s="101"/>
      <c r="AM670" s="195"/>
      <c r="AT670" s="101"/>
      <c r="AU670" s="101"/>
      <c r="AV670" s="101"/>
      <c r="AW670" s="101"/>
      <c r="AX670" s="101"/>
      <c r="AY670" s="101"/>
      <c r="AZ670" s="101"/>
      <c r="BA670" s="101"/>
    </row>
    <row r="671" spans="33:70">
      <c r="AG671" s="101"/>
      <c r="AH671" s="101"/>
      <c r="AI671" s="101"/>
      <c r="AJ671" s="101"/>
      <c r="AK671" s="101"/>
      <c r="AM671" s="195"/>
      <c r="AT671" s="101"/>
      <c r="AU671" s="101"/>
      <c r="AV671" s="101"/>
      <c r="AW671" s="101"/>
      <c r="AX671" s="101"/>
      <c r="AY671" s="101"/>
      <c r="AZ671" s="101"/>
      <c r="BA671" s="101"/>
    </row>
    <row r="672" spans="33:70">
      <c r="AG672" s="101"/>
      <c r="AH672" s="101"/>
      <c r="AI672" s="101"/>
      <c r="AJ672" s="101"/>
      <c r="AK672" s="101"/>
      <c r="AM672" s="195"/>
      <c r="AT672" s="101"/>
      <c r="AU672" s="101"/>
      <c r="AV672" s="101"/>
      <c r="AW672" s="101"/>
      <c r="AX672" s="101"/>
      <c r="AY672" s="101"/>
      <c r="AZ672" s="101"/>
      <c r="BA672" s="101"/>
    </row>
    <row r="673" spans="33:70">
      <c r="AG673" s="101"/>
      <c r="AH673" s="101"/>
      <c r="AI673" s="101"/>
      <c r="AJ673" s="101"/>
      <c r="AK673" s="101"/>
      <c r="AM673" s="195"/>
      <c r="AT673" s="101"/>
      <c r="AU673" s="101"/>
      <c r="AV673" s="101"/>
      <c r="AW673" s="101"/>
      <c r="AX673" s="101"/>
      <c r="AY673" s="101"/>
      <c r="AZ673" s="101"/>
      <c r="BA673" s="101"/>
    </row>
    <row r="674" spans="33:70">
      <c r="AG674" s="101"/>
      <c r="AH674" s="101"/>
      <c r="AI674" s="101"/>
      <c r="AJ674" s="101"/>
      <c r="AK674" s="101"/>
      <c r="AM674" s="195"/>
      <c r="AT674" s="101"/>
      <c r="AU674" s="101"/>
      <c r="AV674" s="101"/>
      <c r="AW674" s="101"/>
      <c r="AX674" s="101"/>
      <c r="AY674" s="101"/>
      <c r="AZ674" s="101"/>
      <c r="BA674" s="101"/>
    </row>
    <row r="675" spans="33:70">
      <c r="AG675" s="101"/>
      <c r="AH675" s="101"/>
      <c r="AI675" s="101"/>
      <c r="AJ675" s="101"/>
      <c r="AK675" s="101"/>
      <c r="AM675" s="195"/>
      <c r="AT675" s="101"/>
      <c r="AU675" s="101"/>
      <c r="AV675" s="101"/>
      <c r="AW675" s="101"/>
      <c r="AX675" s="101"/>
      <c r="AY675" s="101"/>
      <c r="AZ675" s="101"/>
      <c r="BA675" s="101"/>
    </row>
    <row r="676" spans="33:70">
      <c r="AG676" s="101"/>
      <c r="AH676" s="101"/>
      <c r="AI676" s="101"/>
      <c r="AJ676" s="101"/>
      <c r="AK676" s="101"/>
      <c r="AM676" s="195"/>
      <c r="AT676" s="101"/>
      <c r="AU676" s="101"/>
      <c r="AV676" s="101"/>
      <c r="AW676" s="101"/>
      <c r="AX676" s="101"/>
      <c r="AY676" s="101"/>
      <c r="AZ676" s="101"/>
      <c r="BA676" s="101"/>
    </row>
    <row r="677" spans="33:70">
      <c r="AG677" s="101"/>
      <c r="AH677" s="101"/>
      <c r="AI677" s="101"/>
      <c r="AJ677" s="101"/>
      <c r="AK677" s="101"/>
      <c r="AM677" s="195"/>
      <c r="AT677" s="101"/>
      <c r="AU677" s="101"/>
      <c r="AV677" s="101"/>
      <c r="AW677" s="101"/>
      <c r="AX677" s="101"/>
      <c r="AY677" s="101"/>
      <c r="AZ677" s="101"/>
      <c r="BA677" s="101"/>
    </row>
    <row r="678" spans="33:70">
      <c r="AG678" s="101"/>
      <c r="AH678" s="101"/>
      <c r="AI678" s="101"/>
      <c r="AJ678" s="101"/>
      <c r="AK678" s="101"/>
      <c r="AM678" s="195"/>
      <c r="AT678" s="101"/>
      <c r="AU678" s="101"/>
      <c r="AV678" s="101"/>
      <c r="AW678" s="101"/>
      <c r="AX678" s="101"/>
      <c r="AY678" s="101"/>
      <c r="AZ678" s="101"/>
      <c r="BA678" s="101"/>
    </row>
    <row r="679" spans="33:70">
      <c r="AG679" s="101"/>
      <c r="AH679" s="101"/>
      <c r="AI679" s="101"/>
      <c r="AJ679" s="101"/>
      <c r="AK679" s="101"/>
      <c r="AM679" s="195"/>
      <c r="AT679" s="101"/>
      <c r="AU679" s="101"/>
      <c r="AV679" s="101"/>
      <c r="AW679" s="101"/>
      <c r="AX679" s="101"/>
      <c r="AY679" s="101"/>
      <c r="AZ679" s="101"/>
      <c r="BA679" s="101"/>
    </row>
    <row r="680" spans="33:70">
      <c r="AG680" s="101"/>
      <c r="AH680" s="101"/>
      <c r="AI680" s="101"/>
      <c r="AJ680" s="101"/>
      <c r="AK680" s="101"/>
      <c r="AM680" s="195"/>
      <c r="AT680" s="101"/>
      <c r="AU680" s="101"/>
      <c r="AV680" s="101"/>
      <c r="AW680" s="101"/>
      <c r="AX680" s="101"/>
      <c r="AY680" s="101"/>
      <c r="AZ680" s="101"/>
      <c r="BA680" s="101"/>
    </row>
    <row r="681" spans="33:70">
      <c r="AG681" s="101"/>
      <c r="AH681" s="101"/>
      <c r="AI681" s="101"/>
      <c r="AJ681" s="101"/>
      <c r="AK681" s="101"/>
      <c r="AM681" s="195"/>
      <c r="AT681" s="101"/>
      <c r="AU681" s="101"/>
      <c r="AV681" s="101"/>
      <c r="AW681" s="101"/>
      <c r="AX681" s="101"/>
      <c r="AY681" s="101"/>
      <c r="AZ681" s="101"/>
      <c r="BA681" s="101"/>
    </row>
    <row r="682" spans="33:70">
      <c r="AG682" s="101"/>
      <c r="AH682" s="101"/>
      <c r="AI682" s="101"/>
      <c r="AJ682" s="101"/>
      <c r="AK682" s="101"/>
      <c r="AM682" s="195"/>
      <c r="AT682" s="101"/>
      <c r="AU682" s="101"/>
      <c r="AV682" s="101"/>
      <c r="AW682" s="101"/>
      <c r="AX682" s="101"/>
      <c r="AY682" s="101"/>
      <c r="AZ682" s="101"/>
      <c r="BA682" s="101"/>
    </row>
    <row r="683" spans="33:70">
      <c r="AG683" s="101"/>
      <c r="AH683" s="101"/>
      <c r="AI683" s="101"/>
      <c r="AJ683" s="101"/>
      <c r="AK683" s="101"/>
      <c r="AM683" s="195"/>
      <c r="AT683" s="101"/>
      <c r="AU683" s="101"/>
      <c r="AV683" s="101"/>
      <c r="AW683" s="101"/>
      <c r="AX683" s="101"/>
      <c r="AY683" s="101"/>
      <c r="AZ683" s="101"/>
      <c r="BA683" s="101"/>
    </row>
    <row r="684" spans="33:70">
      <c r="AG684" s="101"/>
      <c r="AH684" s="101"/>
      <c r="AI684" s="101"/>
      <c r="AJ684" s="101"/>
      <c r="AK684" s="101"/>
      <c r="AM684" s="195"/>
      <c r="AT684" s="101"/>
      <c r="AU684" s="101"/>
      <c r="AV684" s="101"/>
      <c r="AW684" s="101"/>
      <c r="AX684" s="101"/>
      <c r="AY684" s="101"/>
      <c r="AZ684" s="101"/>
      <c r="BA684" s="101"/>
    </row>
    <row r="685" spans="33:70">
      <c r="AG685" s="101"/>
      <c r="AH685" s="101"/>
      <c r="AI685" s="101"/>
      <c r="AJ685" s="101"/>
      <c r="AK685" s="101"/>
      <c r="AM685" s="195"/>
      <c r="AT685" s="101"/>
      <c r="AU685" s="101"/>
      <c r="AV685" s="101"/>
      <c r="AW685" s="101"/>
      <c r="AX685" s="101"/>
      <c r="AY685" s="101"/>
      <c r="AZ685" s="101"/>
      <c r="BA685" s="101"/>
    </row>
    <row r="686" spans="33:70">
      <c r="AG686" s="101"/>
      <c r="AH686" s="101"/>
      <c r="AI686" s="101"/>
      <c r="AJ686" s="101"/>
      <c r="AK686" s="101"/>
      <c r="AM686" s="195"/>
      <c r="AT686" s="101"/>
      <c r="AU686" s="101"/>
      <c r="AV686" s="101"/>
      <c r="AW686" s="101"/>
      <c r="AX686" s="101"/>
      <c r="AY686" s="101"/>
      <c r="AZ686" s="101"/>
      <c r="BA686" s="101"/>
    </row>
    <row r="687" spans="33:70">
      <c r="AG687" s="101"/>
      <c r="AH687" s="101"/>
      <c r="AI687" s="101"/>
      <c r="AJ687" s="101"/>
      <c r="AK687" s="101"/>
      <c r="AM687" s="195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101"/>
      <c r="BE687" s="101"/>
      <c r="BF687" s="101"/>
      <c r="BG687" s="101"/>
      <c r="BH687" s="101"/>
      <c r="BI687" s="101"/>
      <c r="BJ687" s="101"/>
      <c r="BK687" s="101"/>
      <c r="BL687" s="101"/>
      <c r="BM687" s="101"/>
      <c r="BN687" s="101"/>
      <c r="BO687" s="101"/>
      <c r="BP687" s="101"/>
      <c r="BQ687" s="101"/>
      <c r="BR687" s="101"/>
    </row>
    <row r="688" spans="33:70">
      <c r="AG688" s="101"/>
      <c r="AH688" s="101"/>
      <c r="AI688" s="101"/>
      <c r="AJ688" s="101"/>
      <c r="AK688" s="101"/>
      <c r="AM688" s="195"/>
      <c r="AT688" s="101"/>
      <c r="AU688" s="101"/>
      <c r="AV688" s="101"/>
      <c r="AW688" s="101"/>
      <c r="AX688" s="101"/>
      <c r="AY688" s="101"/>
      <c r="AZ688" s="101"/>
      <c r="BA688" s="101"/>
    </row>
    <row r="689" spans="33:53">
      <c r="AG689" s="101"/>
      <c r="AH689" s="101"/>
      <c r="AI689" s="101"/>
      <c r="AJ689" s="101"/>
      <c r="AK689" s="101"/>
      <c r="AM689" s="195"/>
      <c r="AT689" s="101"/>
      <c r="AU689" s="101"/>
      <c r="AV689" s="101"/>
      <c r="AW689" s="101"/>
      <c r="AX689" s="101"/>
      <c r="AY689" s="101"/>
      <c r="AZ689" s="101"/>
      <c r="BA689" s="101"/>
    </row>
    <row r="690" spans="33:53">
      <c r="AG690" s="101"/>
      <c r="AH690" s="101"/>
      <c r="AI690" s="101"/>
      <c r="AJ690" s="101"/>
      <c r="AK690" s="101"/>
      <c r="AM690" s="195"/>
      <c r="AT690" s="101"/>
      <c r="AU690" s="101"/>
      <c r="AV690" s="101"/>
      <c r="AW690" s="101"/>
      <c r="AX690" s="101"/>
      <c r="AY690" s="101"/>
      <c r="AZ690" s="101"/>
      <c r="BA690" s="101"/>
    </row>
    <row r="691" spans="33:53">
      <c r="AG691" s="101"/>
      <c r="AH691" s="101"/>
      <c r="AI691" s="101"/>
      <c r="AJ691" s="101"/>
      <c r="AK691" s="101"/>
      <c r="AM691" s="195"/>
      <c r="AT691" s="101"/>
      <c r="AU691" s="101"/>
      <c r="AV691" s="101"/>
      <c r="AW691" s="101"/>
      <c r="AX691" s="101"/>
      <c r="AY691" s="101"/>
      <c r="AZ691" s="101"/>
      <c r="BA691" s="101"/>
    </row>
    <row r="692" spans="33:53">
      <c r="AG692" s="101"/>
      <c r="AH692" s="101"/>
      <c r="AI692" s="101"/>
      <c r="AJ692" s="101"/>
      <c r="AK692" s="101"/>
      <c r="AM692" s="195"/>
      <c r="AT692" s="101"/>
      <c r="AU692" s="101"/>
      <c r="AV692" s="101"/>
      <c r="AW692" s="101"/>
      <c r="AX692" s="101"/>
      <c r="AY692" s="101"/>
      <c r="AZ692" s="101"/>
      <c r="BA692" s="101"/>
    </row>
    <row r="693" spans="33:53">
      <c r="AG693" s="101"/>
      <c r="AH693" s="101"/>
      <c r="AI693" s="101"/>
      <c r="AJ693" s="101"/>
      <c r="AK693" s="101"/>
      <c r="AM693" s="195"/>
      <c r="AT693" s="101"/>
      <c r="AU693" s="101"/>
      <c r="AV693" s="101"/>
      <c r="AW693" s="101"/>
      <c r="AX693" s="101"/>
      <c r="AY693" s="101"/>
      <c r="AZ693" s="101"/>
      <c r="BA693" s="101"/>
    </row>
    <row r="694" spans="33:53">
      <c r="AG694" s="101"/>
      <c r="AH694" s="101"/>
      <c r="AI694" s="101"/>
      <c r="AJ694" s="101"/>
      <c r="AK694" s="101"/>
      <c r="AM694" s="195"/>
      <c r="AT694" s="101"/>
      <c r="AU694" s="101"/>
      <c r="AV694" s="101"/>
      <c r="AW694" s="101"/>
      <c r="AX694" s="101"/>
      <c r="AY694" s="101"/>
      <c r="AZ694" s="101"/>
      <c r="BA694" s="101"/>
    </row>
    <row r="695" spans="33:53">
      <c r="AG695" s="101"/>
      <c r="AH695" s="101"/>
      <c r="AI695" s="101"/>
      <c r="AJ695" s="101"/>
      <c r="AK695" s="101"/>
      <c r="AM695" s="195"/>
      <c r="AT695" s="101"/>
      <c r="AU695" s="101"/>
      <c r="AV695" s="101"/>
      <c r="AW695" s="101"/>
      <c r="AX695" s="101"/>
      <c r="AY695" s="101"/>
      <c r="AZ695" s="101"/>
      <c r="BA695" s="101"/>
    </row>
    <row r="696" spans="33:53">
      <c r="AG696" s="101"/>
      <c r="AH696" s="101"/>
      <c r="AI696" s="101"/>
      <c r="AJ696" s="101"/>
      <c r="AK696" s="101"/>
      <c r="AM696" s="195"/>
      <c r="AT696" s="101"/>
      <c r="AU696" s="101"/>
      <c r="AV696" s="101"/>
      <c r="AW696" s="101"/>
      <c r="AX696" s="101"/>
      <c r="AY696" s="101"/>
      <c r="AZ696" s="101"/>
      <c r="BA696" s="101"/>
    </row>
    <row r="697" spans="33:53">
      <c r="AG697" s="101"/>
      <c r="AH697" s="101"/>
      <c r="AI697" s="101"/>
      <c r="AJ697" s="101"/>
      <c r="AK697" s="101"/>
      <c r="AM697" s="195"/>
      <c r="AT697" s="101"/>
      <c r="AU697" s="101"/>
      <c r="AV697" s="101"/>
      <c r="AW697" s="101"/>
      <c r="AX697" s="101"/>
      <c r="AY697" s="101"/>
      <c r="AZ697" s="101"/>
      <c r="BA697" s="101"/>
    </row>
    <row r="698" spans="33:53">
      <c r="AG698" s="101"/>
      <c r="AH698" s="101"/>
      <c r="AI698" s="101"/>
      <c r="AJ698" s="101"/>
      <c r="AK698" s="101"/>
      <c r="AM698" s="195"/>
      <c r="AT698" s="101"/>
      <c r="AU698" s="101"/>
      <c r="AV698" s="101"/>
      <c r="AW698" s="101"/>
      <c r="AX698" s="101"/>
      <c r="AY698" s="101"/>
      <c r="AZ698" s="101"/>
      <c r="BA698" s="101"/>
    </row>
    <row r="699" spans="33:53">
      <c r="AG699" s="101"/>
      <c r="AH699" s="101"/>
      <c r="AI699" s="101"/>
      <c r="AJ699" s="101"/>
      <c r="AK699" s="101"/>
      <c r="AM699" s="195"/>
      <c r="AT699" s="101"/>
      <c r="AU699" s="101"/>
      <c r="AV699" s="101"/>
      <c r="AW699" s="101"/>
      <c r="AX699" s="101"/>
      <c r="AY699" s="101"/>
      <c r="AZ699" s="101"/>
      <c r="BA699" s="101"/>
    </row>
    <row r="700" spans="33:53">
      <c r="AG700" s="101"/>
      <c r="AH700" s="101"/>
      <c r="AI700" s="101"/>
      <c r="AJ700" s="101"/>
      <c r="AK700" s="101"/>
      <c r="AM700" s="195"/>
      <c r="AT700" s="101"/>
      <c r="AU700" s="101"/>
      <c r="AV700" s="101"/>
      <c r="AW700" s="101"/>
      <c r="AX700" s="101"/>
      <c r="AY700" s="101"/>
      <c r="AZ700" s="101"/>
      <c r="BA700" s="101"/>
    </row>
    <row r="701" spans="33:53">
      <c r="AG701" s="101"/>
      <c r="AH701" s="101"/>
      <c r="AI701" s="101"/>
      <c r="AJ701" s="101"/>
      <c r="AK701" s="101"/>
      <c r="AM701" s="195"/>
      <c r="AT701" s="101"/>
      <c r="AU701" s="101"/>
      <c r="AV701" s="101"/>
      <c r="AW701" s="101"/>
      <c r="AX701" s="101"/>
      <c r="AY701" s="101"/>
      <c r="AZ701" s="101"/>
      <c r="BA701" s="101"/>
    </row>
    <row r="702" spans="33:53">
      <c r="AG702" s="101"/>
      <c r="AH702" s="101"/>
      <c r="AI702" s="101"/>
      <c r="AJ702" s="101"/>
      <c r="AK702" s="101"/>
      <c r="AM702" s="195"/>
      <c r="AT702" s="101"/>
      <c r="AU702" s="101"/>
      <c r="AV702" s="101"/>
      <c r="AW702" s="101"/>
      <c r="AX702" s="101"/>
      <c r="AY702" s="101"/>
      <c r="AZ702" s="101"/>
      <c r="BA702" s="101"/>
    </row>
    <row r="703" spans="33:53">
      <c r="AG703" s="101"/>
      <c r="AH703" s="101"/>
      <c r="AI703" s="101"/>
      <c r="AJ703" s="101"/>
      <c r="AK703" s="101"/>
      <c r="AM703" s="195"/>
      <c r="AT703" s="101"/>
      <c r="AU703" s="101"/>
      <c r="AV703" s="101"/>
      <c r="AW703" s="101"/>
      <c r="AX703" s="101"/>
      <c r="AY703" s="101"/>
      <c r="AZ703" s="101"/>
      <c r="BA703" s="101"/>
    </row>
    <row r="704" spans="33:53">
      <c r="AG704" s="101"/>
      <c r="AH704" s="101"/>
      <c r="AI704" s="101"/>
      <c r="AJ704" s="101"/>
      <c r="AK704" s="101"/>
      <c r="AM704" s="195"/>
      <c r="AT704" s="101"/>
      <c r="AU704" s="101"/>
      <c r="AV704" s="101"/>
      <c r="AW704" s="101"/>
      <c r="AX704" s="101"/>
      <c r="AY704" s="101"/>
      <c r="AZ704" s="101"/>
      <c r="BA704" s="101"/>
    </row>
    <row r="705" spans="33:53">
      <c r="AG705" s="101"/>
      <c r="AH705" s="101"/>
      <c r="AI705" s="101"/>
      <c r="AJ705" s="101"/>
      <c r="AK705" s="101"/>
      <c r="AM705" s="195"/>
      <c r="AT705" s="101"/>
      <c r="AU705" s="101"/>
      <c r="AV705" s="101"/>
      <c r="AW705" s="101"/>
      <c r="AX705" s="101"/>
      <c r="AY705" s="101"/>
      <c r="AZ705" s="101"/>
      <c r="BA705" s="101"/>
    </row>
    <row r="706" spans="33:53">
      <c r="AG706" s="101"/>
      <c r="AH706" s="101"/>
      <c r="AI706" s="101"/>
      <c r="AJ706" s="101"/>
      <c r="AK706" s="101"/>
      <c r="AM706" s="195"/>
      <c r="AT706" s="101"/>
      <c r="AU706" s="101"/>
      <c r="AV706" s="101"/>
      <c r="AW706" s="101"/>
      <c r="AX706" s="101"/>
      <c r="AY706" s="101"/>
      <c r="AZ706" s="101"/>
      <c r="BA706" s="101"/>
    </row>
    <row r="707" spans="33:53">
      <c r="AG707" s="101"/>
      <c r="AH707" s="101"/>
      <c r="AI707" s="101"/>
      <c r="AJ707" s="101"/>
      <c r="AK707" s="101"/>
      <c r="AM707" s="195"/>
      <c r="AT707" s="101"/>
      <c r="AU707" s="101"/>
      <c r="AV707" s="101"/>
      <c r="AW707" s="101"/>
      <c r="AX707" s="101"/>
      <c r="AY707" s="101"/>
      <c r="AZ707" s="101"/>
      <c r="BA707" s="101"/>
    </row>
    <row r="708" spans="33:53">
      <c r="AG708" s="101"/>
      <c r="AH708" s="101"/>
      <c r="AI708" s="101"/>
      <c r="AJ708" s="101"/>
      <c r="AK708" s="101"/>
      <c r="AM708" s="195"/>
      <c r="AT708" s="101"/>
      <c r="AU708" s="101"/>
      <c r="AV708" s="101"/>
      <c r="AW708" s="101"/>
      <c r="AX708" s="101"/>
      <c r="AY708" s="101"/>
      <c r="AZ708" s="101"/>
      <c r="BA708" s="101"/>
    </row>
    <row r="709" spans="33:53">
      <c r="AG709" s="101"/>
      <c r="AH709" s="101"/>
      <c r="AI709" s="101"/>
      <c r="AJ709" s="101"/>
      <c r="AK709" s="101"/>
      <c r="AM709" s="195"/>
      <c r="AT709" s="101"/>
      <c r="AU709" s="101"/>
      <c r="AV709" s="101"/>
      <c r="AW709" s="101"/>
      <c r="AX709" s="101"/>
      <c r="AY709" s="101"/>
      <c r="AZ709" s="101"/>
      <c r="BA709" s="101"/>
    </row>
    <row r="710" spans="33:53">
      <c r="AG710" s="101"/>
      <c r="AH710" s="101"/>
      <c r="AI710" s="101"/>
      <c r="AJ710" s="101"/>
      <c r="AK710" s="101"/>
      <c r="AM710" s="195"/>
      <c r="AT710" s="101"/>
      <c r="AU710" s="101"/>
      <c r="AV710" s="101"/>
      <c r="AW710" s="101"/>
      <c r="AX710" s="101"/>
      <c r="AY710" s="101"/>
      <c r="AZ710" s="101"/>
      <c r="BA710" s="101"/>
    </row>
    <row r="711" spans="33:53">
      <c r="AG711" s="101"/>
      <c r="AH711" s="101"/>
      <c r="AI711" s="101"/>
      <c r="AJ711" s="101"/>
      <c r="AK711" s="101"/>
      <c r="AM711" s="195"/>
      <c r="AT711" s="101"/>
      <c r="AU711" s="101"/>
      <c r="AV711" s="101"/>
      <c r="AW711" s="101"/>
      <c r="AX711" s="101"/>
      <c r="AY711" s="101"/>
      <c r="AZ711" s="101"/>
      <c r="BA711" s="101"/>
    </row>
    <row r="712" spans="33:53">
      <c r="AG712" s="101"/>
      <c r="AH712" s="101"/>
      <c r="AI712" s="101"/>
      <c r="AJ712" s="101"/>
      <c r="AK712" s="101"/>
      <c r="AM712" s="195"/>
      <c r="AT712" s="101"/>
      <c r="AU712" s="101"/>
      <c r="AV712" s="101"/>
      <c r="AW712" s="101"/>
      <c r="AX712" s="101"/>
      <c r="AY712" s="101"/>
      <c r="AZ712" s="101"/>
      <c r="BA712" s="101"/>
    </row>
    <row r="713" spans="33:53">
      <c r="AG713" s="101"/>
      <c r="AH713" s="101"/>
      <c r="AI713" s="101"/>
      <c r="AJ713" s="101"/>
      <c r="AK713" s="101"/>
      <c r="AM713" s="195"/>
      <c r="AT713" s="101"/>
      <c r="AU713" s="101"/>
      <c r="AV713" s="101"/>
      <c r="AW713" s="101"/>
      <c r="AX713" s="101"/>
      <c r="AY713" s="101"/>
      <c r="AZ713" s="101"/>
      <c r="BA713" s="101"/>
    </row>
    <row r="714" spans="33:53">
      <c r="AG714" s="101"/>
      <c r="AH714" s="101"/>
      <c r="AI714" s="101"/>
      <c r="AJ714" s="101"/>
      <c r="AK714" s="101"/>
      <c r="AM714" s="195"/>
      <c r="AT714" s="101"/>
      <c r="AU714" s="101"/>
      <c r="AV714" s="101"/>
      <c r="AW714" s="101"/>
      <c r="AX714" s="101"/>
      <c r="AY714" s="101"/>
      <c r="AZ714" s="101"/>
      <c r="BA714" s="101"/>
    </row>
    <row r="715" spans="33:53">
      <c r="AG715" s="101"/>
      <c r="AH715" s="101"/>
      <c r="AI715" s="101"/>
      <c r="AJ715" s="101"/>
      <c r="AK715" s="101"/>
      <c r="AM715" s="195"/>
      <c r="AT715" s="101"/>
      <c r="AU715" s="101"/>
      <c r="AV715" s="101"/>
      <c r="AW715" s="101"/>
      <c r="AX715" s="101"/>
      <c r="AY715" s="101"/>
      <c r="AZ715" s="101"/>
      <c r="BA715" s="101"/>
    </row>
    <row r="716" spans="33:53">
      <c r="AG716" s="101"/>
      <c r="AH716" s="101"/>
      <c r="AI716" s="101"/>
      <c r="AJ716" s="101"/>
      <c r="AK716" s="101"/>
      <c r="AM716" s="195"/>
      <c r="AT716" s="101"/>
      <c r="AU716" s="101"/>
      <c r="AV716" s="101"/>
      <c r="AW716" s="101"/>
      <c r="AX716" s="101"/>
      <c r="AY716" s="101"/>
      <c r="AZ716" s="101"/>
      <c r="BA716" s="101"/>
    </row>
    <row r="717" spans="33:53">
      <c r="AG717" s="101"/>
      <c r="AH717" s="101"/>
      <c r="AI717" s="101"/>
      <c r="AJ717" s="101"/>
      <c r="AK717" s="101"/>
      <c r="AM717" s="195"/>
      <c r="AT717" s="101"/>
      <c r="AU717" s="101"/>
      <c r="AV717" s="101"/>
      <c r="AW717" s="101"/>
      <c r="AX717" s="101"/>
      <c r="AY717" s="101"/>
      <c r="AZ717" s="101"/>
      <c r="BA717" s="101"/>
    </row>
    <row r="718" spans="33:53">
      <c r="AG718" s="101"/>
      <c r="AH718" s="101"/>
      <c r="AI718" s="101"/>
      <c r="AJ718" s="101"/>
      <c r="AK718" s="101"/>
      <c r="AM718" s="195"/>
      <c r="AT718" s="101"/>
      <c r="AU718" s="101"/>
      <c r="AV718" s="101"/>
      <c r="AW718" s="101"/>
      <c r="AX718" s="101"/>
      <c r="AY718" s="101"/>
      <c r="AZ718" s="101"/>
      <c r="BA718" s="101"/>
    </row>
    <row r="719" spans="33:53">
      <c r="AG719" s="101"/>
      <c r="AH719" s="101"/>
      <c r="AI719" s="101"/>
      <c r="AJ719" s="101"/>
      <c r="AK719" s="101"/>
      <c r="AM719" s="195"/>
      <c r="AT719" s="101"/>
      <c r="AU719" s="101"/>
      <c r="AV719" s="101"/>
      <c r="AW719" s="101"/>
      <c r="AX719" s="101"/>
      <c r="AY719" s="101"/>
      <c r="AZ719" s="101"/>
      <c r="BA719" s="101"/>
    </row>
    <row r="720" spans="33:53">
      <c r="AG720" s="101"/>
      <c r="AH720" s="101"/>
      <c r="AI720" s="101"/>
      <c r="AJ720" s="101"/>
      <c r="AK720" s="101"/>
      <c r="AM720" s="195"/>
      <c r="AT720" s="101"/>
      <c r="AU720" s="101"/>
      <c r="AV720" s="101"/>
      <c r="AW720" s="101"/>
      <c r="AX720" s="101"/>
      <c r="AY720" s="101"/>
      <c r="AZ720" s="101"/>
      <c r="BA720" s="101"/>
    </row>
    <row r="721" spans="33:70">
      <c r="AG721" s="101"/>
      <c r="AH721" s="101"/>
      <c r="AI721" s="101"/>
      <c r="AJ721" s="101"/>
      <c r="AK721" s="101"/>
      <c r="AM721" s="195"/>
      <c r="AT721" s="101"/>
      <c r="AU721" s="101"/>
      <c r="AV721" s="101"/>
      <c r="AW721" s="101"/>
      <c r="AX721" s="101"/>
      <c r="AY721" s="101"/>
      <c r="AZ721" s="101"/>
      <c r="BA721" s="101"/>
    </row>
    <row r="722" spans="33:70">
      <c r="AG722" s="101"/>
      <c r="AH722" s="101"/>
      <c r="AI722" s="101"/>
      <c r="AJ722" s="101"/>
      <c r="AK722" s="101"/>
      <c r="AM722" s="195"/>
      <c r="AT722" s="101"/>
      <c r="AU722" s="101"/>
      <c r="AV722" s="101"/>
      <c r="AW722" s="101"/>
      <c r="AX722" s="101"/>
      <c r="AY722" s="101"/>
      <c r="AZ722" s="101"/>
      <c r="BA722" s="101"/>
    </row>
    <row r="723" spans="33:70">
      <c r="AG723" s="101"/>
      <c r="AH723" s="101"/>
      <c r="AI723" s="101"/>
      <c r="AJ723" s="101"/>
      <c r="AK723" s="101"/>
      <c r="AM723" s="195"/>
      <c r="AT723" s="101"/>
      <c r="AU723" s="101"/>
      <c r="AV723" s="101"/>
      <c r="AW723" s="101"/>
      <c r="AX723" s="101"/>
      <c r="AY723" s="101"/>
      <c r="AZ723" s="101"/>
      <c r="BA723" s="101"/>
      <c r="BB723" s="101"/>
    </row>
    <row r="724" spans="33:70">
      <c r="AG724" s="101"/>
      <c r="AH724" s="101"/>
      <c r="AI724" s="101"/>
      <c r="AJ724" s="101"/>
      <c r="AK724" s="101"/>
      <c r="AM724" s="195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101"/>
      <c r="BE724" s="101"/>
      <c r="BF724" s="101"/>
      <c r="BG724" s="101"/>
      <c r="BH724" s="101"/>
      <c r="BI724" s="101"/>
      <c r="BJ724" s="101"/>
      <c r="BK724" s="101"/>
      <c r="BL724" s="101"/>
      <c r="BM724" s="101"/>
      <c r="BN724" s="101"/>
      <c r="BO724" s="101"/>
      <c r="BP724" s="101"/>
      <c r="BQ724" s="101"/>
      <c r="BR724" s="101"/>
    </row>
    <row r="725" spans="33:70">
      <c r="AG725" s="101"/>
      <c r="AH725" s="101"/>
      <c r="AI725" s="101"/>
      <c r="AJ725" s="101"/>
      <c r="AK725" s="101"/>
      <c r="AM725" s="195"/>
      <c r="AT725" s="101"/>
      <c r="AU725" s="101"/>
      <c r="AV725" s="101"/>
      <c r="AW725" s="101"/>
      <c r="AX725" s="101"/>
      <c r="AY725" s="101"/>
      <c r="AZ725" s="101"/>
      <c r="BA725" s="101"/>
    </row>
    <row r="726" spans="33:70">
      <c r="AG726" s="101"/>
      <c r="AH726" s="101"/>
      <c r="AI726" s="101"/>
      <c r="AJ726" s="101"/>
      <c r="AK726" s="101"/>
      <c r="AM726" s="195"/>
      <c r="AT726" s="101"/>
      <c r="AU726" s="101"/>
      <c r="AV726" s="101"/>
      <c r="AW726" s="101"/>
      <c r="AX726" s="101"/>
      <c r="AY726" s="101"/>
      <c r="AZ726" s="101"/>
      <c r="BA726" s="101"/>
    </row>
    <row r="727" spans="33:70">
      <c r="AG727" s="101"/>
      <c r="AH727" s="101"/>
      <c r="AI727" s="101"/>
      <c r="AJ727" s="101"/>
      <c r="AK727" s="101"/>
      <c r="AM727" s="195"/>
      <c r="AT727" s="101"/>
      <c r="AU727" s="101"/>
      <c r="AV727" s="101"/>
      <c r="AW727" s="101"/>
      <c r="AX727" s="101"/>
      <c r="AY727" s="101"/>
      <c r="AZ727" s="101"/>
      <c r="BA727" s="101"/>
    </row>
    <row r="728" spans="33:70">
      <c r="AG728" s="101"/>
      <c r="AH728" s="101"/>
      <c r="AI728" s="101"/>
      <c r="AJ728" s="101"/>
      <c r="AK728" s="101"/>
      <c r="AM728" s="195"/>
      <c r="AT728" s="101"/>
      <c r="AU728" s="101"/>
      <c r="AV728" s="101"/>
      <c r="AW728" s="101"/>
      <c r="AX728" s="101"/>
      <c r="AY728" s="101"/>
      <c r="AZ728" s="101"/>
      <c r="BA728" s="101"/>
    </row>
    <row r="729" spans="33:70">
      <c r="AG729" s="101"/>
      <c r="AH729" s="101"/>
      <c r="AI729" s="101"/>
      <c r="AJ729" s="101"/>
      <c r="AK729" s="101"/>
      <c r="AM729" s="195"/>
      <c r="AT729" s="101"/>
      <c r="AU729" s="101"/>
      <c r="AV729" s="101"/>
      <c r="AW729" s="101"/>
      <c r="AX729" s="101"/>
      <c r="AY729" s="101"/>
      <c r="AZ729" s="101"/>
      <c r="BA729" s="101"/>
    </row>
    <row r="730" spans="33:70">
      <c r="AG730" s="101"/>
      <c r="AH730" s="101"/>
      <c r="AI730" s="101"/>
      <c r="AJ730" s="101"/>
      <c r="AK730" s="101"/>
      <c r="AM730" s="195"/>
      <c r="AT730" s="101"/>
      <c r="AU730" s="101"/>
      <c r="AV730" s="101"/>
      <c r="AW730" s="101"/>
      <c r="AX730" s="101"/>
      <c r="AY730" s="101"/>
      <c r="AZ730" s="101"/>
      <c r="BA730" s="101"/>
    </row>
    <row r="731" spans="33:70">
      <c r="AG731" s="101"/>
      <c r="AH731" s="101"/>
      <c r="AI731" s="101"/>
      <c r="AJ731" s="101"/>
      <c r="AK731" s="101"/>
      <c r="AM731" s="195"/>
      <c r="AT731" s="101"/>
      <c r="AU731" s="101"/>
      <c r="AV731" s="101"/>
      <c r="AW731" s="101"/>
      <c r="AX731" s="101"/>
      <c r="AY731" s="101"/>
      <c r="AZ731" s="101"/>
      <c r="BA731" s="101"/>
    </row>
    <row r="732" spans="33:70">
      <c r="AG732" s="101"/>
      <c r="AH732" s="101"/>
      <c r="AI732" s="101"/>
      <c r="AJ732" s="101"/>
      <c r="AK732" s="101"/>
      <c r="AM732" s="195"/>
      <c r="AT732" s="101"/>
      <c r="AU732" s="101"/>
      <c r="AV732" s="101"/>
      <c r="AW732" s="101"/>
      <c r="AX732" s="101"/>
      <c r="AY732" s="101"/>
      <c r="AZ732" s="101"/>
      <c r="BA732" s="101"/>
    </row>
    <row r="733" spans="33:70">
      <c r="AG733" s="101"/>
      <c r="AH733" s="101"/>
      <c r="AI733" s="101"/>
      <c r="AJ733" s="101"/>
      <c r="AK733" s="101"/>
      <c r="AM733" s="195"/>
      <c r="AT733" s="101"/>
      <c r="AU733" s="101"/>
      <c r="AV733" s="101"/>
      <c r="AW733" s="101"/>
      <c r="AX733" s="101"/>
      <c r="AY733" s="101"/>
      <c r="AZ733" s="101"/>
      <c r="BA733" s="101"/>
    </row>
    <row r="734" spans="33:70">
      <c r="AG734" s="101"/>
      <c r="AH734" s="101"/>
      <c r="AI734" s="101"/>
      <c r="AJ734" s="101"/>
      <c r="AK734" s="101"/>
      <c r="AM734" s="195"/>
      <c r="AT734" s="101"/>
      <c r="AU734" s="101"/>
      <c r="AV734" s="101"/>
      <c r="AW734" s="101"/>
      <c r="AX734" s="101"/>
      <c r="AY734" s="101"/>
      <c r="AZ734" s="101"/>
      <c r="BA734" s="101"/>
    </row>
    <row r="735" spans="33:70">
      <c r="AG735" s="101"/>
      <c r="AH735" s="101"/>
      <c r="AI735" s="101"/>
      <c r="AJ735" s="101"/>
      <c r="AK735" s="101"/>
      <c r="AM735" s="195"/>
      <c r="AT735" s="101"/>
      <c r="AU735" s="101"/>
      <c r="AV735" s="101"/>
      <c r="AW735" s="101"/>
      <c r="AX735" s="101"/>
      <c r="AY735" s="101"/>
      <c r="AZ735" s="101"/>
      <c r="BA735" s="101"/>
    </row>
    <row r="736" spans="33:70">
      <c r="AG736" s="101"/>
      <c r="AH736" s="101"/>
      <c r="AI736" s="101"/>
      <c r="AJ736" s="101"/>
      <c r="AK736" s="101"/>
      <c r="AM736" s="195"/>
      <c r="AT736" s="101"/>
      <c r="AU736" s="101"/>
      <c r="AV736" s="101"/>
      <c r="AW736" s="101"/>
      <c r="AX736" s="101"/>
      <c r="AY736" s="101"/>
      <c r="AZ736" s="101"/>
      <c r="BA736" s="101"/>
    </row>
    <row r="737" spans="33:70">
      <c r="AG737" s="101"/>
      <c r="AH737" s="101"/>
      <c r="AI737" s="101"/>
      <c r="AJ737" s="101"/>
      <c r="AK737" s="101"/>
      <c r="AM737" s="195"/>
      <c r="AT737" s="101"/>
      <c r="AU737" s="101"/>
      <c r="AV737" s="101"/>
      <c r="AW737" s="101"/>
      <c r="AX737" s="101"/>
      <c r="AY737" s="101"/>
      <c r="AZ737" s="101"/>
      <c r="BA737" s="101"/>
    </row>
    <row r="738" spans="33:70">
      <c r="AG738" s="101"/>
      <c r="AH738" s="101"/>
      <c r="AI738" s="101"/>
      <c r="AJ738" s="101"/>
      <c r="AK738" s="101"/>
      <c r="AM738" s="195"/>
      <c r="AT738" s="101"/>
      <c r="AU738" s="101"/>
      <c r="AV738" s="101"/>
      <c r="AW738" s="101"/>
      <c r="AX738" s="101"/>
      <c r="AY738" s="101"/>
      <c r="AZ738" s="101"/>
      <c r="BA738" s="101"/>
    </row>
    <row r="739" spans="33:70">
      <c r="AG739" s="101"/>
      <c r="AH739" s="101"/>
      <c r="AI739" s="101"/>
      <c r="AJ739" s="101"/>
      <c r="AK739" s="101"/>
      <c r="AM739" s="195"/>
      <c r="AT739" s="101"/>
      <c r="AU739" s="101"/>
      <c r="AV739" s="101"/>
      <c r="AW739" s="101"/>
      <c r="AX739" s="101"/>
      <c r="AY739" s="101"/>
      <c r="AZ739" s="101"/>
      <c r="BA739" s="101"/>
    </row>
    <row r="740" spans="33:70">
      <c r="AG740" s="101"/>
      <c r="AH740" s="101"/>
      <c r="AI740" s="101"/>
      <c r="AJ740" s="101"/>
      <c r="AK740" s="101"/>
      <c r="AM740" s="195"/>
      <c r="AT740" s="101"/>
      <c r="AU740" s="101"/>
      <c r="AV740" s="101"/>
      <c r="AW740" s="101"/>
      <c r="AX740" s="101"/>
      <c r="AY740" s="101"/>
      <c r="AZ740" s="101"/>
      <c r="BA740" s="101"/>
    </row>
    <row r="741" spans="33:70">
      <c r="AG741" s="101"/>
      <c r="AH741" s="101"/>
      <c r="AI741" s="101"/>
      <c r="AJ741" s="101"/>
      <c r="AK741" s="101"/>
      <c r="AM741" s="195"/>
      <c r="AT741" s="101"/>
      <c r="AU741" s="101"/>
      <c r="AV741" s="101"/>
      <c r="AW741" s="101"/>
      <c r="AX741" s="101"/>
      <c r="AY741" s="101"/>
      <c r="AZ741" s="101"/>
      <c r="BA741" s="101"/>
    </row>
    <row r="742" spans="33:70">
      <c r="AG742" s="101"/>
      <c r="AH742" s="101"/>
      <c r="AI742" s="101"/>
      <c r="AJ742" s="101"/>
      <c r="AK742" s="101"/>
      <c r="AM742" s="195"/>
      <c r="AT742" s="101"/>
      <c r="AU742" s="101"/>
      <c r="AV742" s="101"/>
      <c r="AW742" s="101"/>
      <c r="AX742" s="101"/>
      <c r="AY742" s="101"/>
      <c r="AZ742" s="101"/>
      <c r="BA742" s="101"/>
    </row>
    <row r="743" spans="33:70">
      <c r="AG743" s="101"/>
      <c r="AH743" s="101"/>
      <c r="AI743" s="101"/>
      <c r="AJ743" s="101"/>
      <c r="AK743" s="101"/>
      <c r="AM743" s="195"/>
      <c r="AT743" s="101"/>
      <c r="AU743" s="101"/>
      <c r="AV743" s="101"/>
      <c r="AW743" s="101"/>
      <c r="AX743" s="101"/>
      <c r="AY743" s="101"/>
      <c r="AZ743" s="101"/>
      <c r="BA743" s="101"/>
    </row>
    <row r="744" spans="33:70">
      <c r="AG744" s="101"/>
      <c r="AH744" s="101"/>
      <c r="AI744" s="101"/>
      <c r="AJ744" s="101"/>
      <c r="AK744" s="101"/>
      <c r="AM744" s="195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101"/>
      <c r="BE744" s="101"/>
      <c r="BF744" s="101"/>
      <c r="BG744" s="101"/>
      <c r="BH744" s="101"/>
      <c r="BI744" s="101"/>
      <c r="BJ744" s="101"/>
      <c r="BK744" s="101"/>
      <c r="BL744" s="101"/>
      <c r="BM744" s="101"/>
      <c r="BN744" s="101"/>
      <c r="BO744" s="101"/>
      <c r="BP744" s="101"/>
      <c r="BQ744" s="101"/>
      <c r="BR744" s="101"/>
    </row>
    <row r="745" spans="33:70">
      <c r="AG745" s="101"/>
      <c r="AH745" s="101"/>
      <c r="AI745" s="101"/>
      <c r="AJ745" s="101"/>
      <c r="AK745" s="101"/>
      <c r="AM745" s="195"/>
      <c r="AT745" s="101"/>
      <c r="AU745" s="101"/>
      <c r="AV745" s="101"/>
      <c r="AW745" s="101"/>
      <c r="AX745" s="101"/>
      <c r="AY745" s="101"/>
      <c r="AZ745" s="101"/>
      <c r="BA745" s="101"/>
    </row>
    <row r="746" spans="33:70">
      <c r="AG746" s="101"/>
      <c r="AH746" s="101"/>
      <c r="AI746" s="101"/>
      <c r="AJ746" s="101"/>
      <c r="AK746" s="101"/>
      <c r="AM746" s="195"/>
      <c r="AT746" s="101"/>
      <c r="AU746" s="101"/>
      <c r="AV746" s="101"/>
      <c r="AW746" s="101"/>
      <c r="AX746" s="101"/>
      <c r="AY746" s="101"/>
      <c r="AZ746" s="101"/>
      <c r="BA746" s="101"/>
    </row>
    <row r="747" spans="33:70">
      <c r="AG747" s="101"/>
      <c r="AH747" s="101"/>
      <c r="AI747" s="101"/>
      <c r="AJ747" s="101"/>
      <c r="AK747" s="101"/>
      <c r="AM747" s="195"/>
      <c r="AT747" s="101"/>
      <c r="AU747" s="101"/>
      <c r="AV747" s="101"/>
      <c r="AW747" s="101"/>
      <c r="AX747" s="101"/>
      <c r="AY747" s="101"/>
      <c r="AZ747" s="101"/>
      <c r="BA747" s="101"/>
    </row>
    <row r="748" spans="33:70">
      <c r="AG748" s="101"/>
      <c r="AH748" s="101"/>
      <c r="AI748" s="101"/>
      <c r="AJ748" s="101"/>
      <c r="AK748" s="101"/>
      <c r="AM748" s="195"/>
      <c r="AT748" s="101"/>
      <c r="AU748" s="101"/>
      <c r="AV748" s="101"/>
      <c r="AW748" s="101"/>
      <c r="AX748" s="101"/>
      <c r="AY748" s="101"/>
      <c r="AZ748" s="101"/>
      <c r="BA748" s="101"/>
    </row>
    <row r="749" spans="33:70">
      <c r="AG749" s="101"/>
      <c r="AH749" s="101"/>
      <c r="AI749" s="101"/>
      <c r="AJ749" s="101"/>
      <c r="AK749" s="101"/>
      <c r="AM749" s="195"/>
      <c r="AT749" s="101"/>
      <c r="AU749" s="101"/>
      <c r="AV749" s="101"/>
      <c r="AW749" s="101"/>
      <c r="AX749" s="101"/>
      <c r="AY749" s="101"/>
      <c r="AZ749" s="101"/>
      <c r="BA749" s="101"/>
    </row>
    <row r="750" spans="33:70">
      <c r="AG750" s="101"/>
      <c r="AH750" s="101"/>
      <c r="AI750" s="101"/>
      <c r="AJ750" s="101"/>
      <c r="AK750" s="101"/>
      <c r="AM750" s="195"/>
      <c r="AT750" s="101"/>
      <c r="AU750" s="101"/>
      <c r="AV750" s="101"/>
      <c r="AW750" s="101"/>
      <c r="AX750" s="101"/>
      <c r="AY750" s="101"/>
      <c r="AZ750" s="101"/>
      <c r="BA750" s="101"/>
    </row>
    <row r="751" spans="33:70">
      <c r="AG751" s="101"/>
      <c r="AH751" s="101"/>
      <c r="AI751" s="101"/>
      <c r="AJ751" s="101"/>
      <c r="AK751" s="101"/>
      <c r="AM751" s="195"/>
      <c r="AT751" s="101"/>
      <c r="AU751" s="101"/>
      <c r="AV751" s="101"/>
      <c r="AW751" s="101"/>
      <c r="AX751" s="101"/>
      <c r="AY751" s="101"/>
      <c r="AZ751" s="101"/>
      <c r="BA751" s="101"/>
    </row>
    <row r="752" spans="33:70">
      <c r="AG752" s="101"/>
      <c r="AH752" s="101"/>
      <c r="AI752" s="101"/>
      <c r="AJ752" s="101"/>
      <c r="AK752" s="101"/>
      <c r="AM752" s="195"/>
      <c r="AT752" s="101"/>
      <c r="AU752" s="101"/>
      <c r="AV752" s="101"/>
      <c r="AW752" s="101"/>
      <c r="AX752" s="101"/>
      <c r="AY752" s="101"/>
      <c r="AZ752" s="101"/>
      <c r="BA752" s="101"/>
    </row>
    <row r="753" spans="33:70">
      <c r="AG753" s="101"/>
      <c r="AH753" s="101"/>
      <c r="AI753" s="101"/>
      <c r="AJ753" s="101"/>
      <c r="AK753" s="101"/>
      <c r="AM753" s="195"/>
      <c r="AT753" s="101"/>
      <c r="AU753" s="101"/>
      <c r="AV753" s="101"/>
      <c r="AW753" s="101"/>
      <c r="AX753" s="101"/>
      <c r="AY753" s="101"/>
      <c r="AZ753" s="101"/>
      <c r="BA753" s="101"/>
    </row>
    <row r="754" spans="33:70">
      <c r="AG754" s="101"/>
      <c r="AH754" s="101"/>
      <c r="AI754" s="101"/>
      <c r="AJ754" s="101"/>
      <c r="AK754" s="101"/>
      <c r="AM754" s="195"/>
      <c r="AT754" s="101"/>
      <c r="AU754" s="101"/>
      <c r="AV754" s="101"/>
      <c r="AW754" s="101"/>
      <c r="AX754" s="101"/>
      <c r="AY754" s="101"/>
      <c r="AZ754" s="101"/>
      <c r="BA754" s="101"/>
    </row>
    <row r="755" spans="33:70">
      <c r="AG755" s="101"/>
      <c r="AH755" s="101"/>
      <c r="AI755" s="101"/>
      <c r="AJ755" s="101"/>
      <c r="AK755" s="101"/>
      <c r="AM755" s="195"/>
      <c r="AT755" s="101"/>
      <c r="AU755" s="101"/>
      <c r="AV755" s="101"/>
      <c r="AW755" s="101"/>
      <c r="AX755" s="101"/>
      <c r="AY755" s="101"/>
      <c r="AZ755" s="101"/>
      <c r="BA755" s="101"/>
      <c r="BB755" s="101"/>
    </row>
    <row r="756" spans="33:70">
      <c r="AG756" s="101"/>
      <c r="AH756" s="101"/>
      <c r="AI756" s="101"/>
      <c r="AJ756" s="101"/>
      <c r="AK756" s="101"/>
      <c r="AM756" s="195"/>
      <c r="AT756" s="101"/>
      <c r="AU756" s="101"/>
      <c r="AV756" s="101"/>
      <c r="AW756" s="101"/>
      <c r="AX756" s="101"/>
      <c r="AY756" s="101"/>
      <c r="AZ756" s="101"/>
      <c r="BA756" s="101"/>
    </row>
    <row r="757" spans="33:70">
      <c r="AG757" s="101"/>
      <c r="AH757" s="101"/>
      <c r="AI757" s="101"/>
      <c r="AJ757" s="101"/>
      <c r="AK757" s="101"/>
      <c r="AM757" s="195"/>
      <c r="AT757" s="101"/>
      <c r="AU757" s="101"/>
      <c r="AV757" s="101"/>
      <c r="AW757" s="101"/>
      <c r="AX757" s="101"/>
      <c r="AY757" s="101"/>
      <c r="AZ757" s="101"/>
      <c r="BA757" s="101"/>
    </row>
    <row r="758" spans="33:70">
      <c r="AG758" s="101"/>
      <c r="AH758" s="101"/>
      <c r="AI758" s="101"/>
      <c r="AJ758" s="101"/>
      <c r="AK758" s="101"/>
      <c r="AM758" s="195"/>
      <c r="AT758" s="101"/>
      <c r="AU758" s="101"/>
      <c r="AV758" s="101"/>
      <c r="AW758" s="101"/>
      <c r="AX758" s="101"/>
      <c r="AY758" s="101"/>
      <c r="AZ758" s="101"/>
      <c r="BA758" s="101"/>
    </row>
    <row r="759" spans="33:70">
      <c r="AG759" s="101"/>
      <c r="AH759" s="101"/>
      <c r="AI759" s="101"/>
      <c r="AJ759" s="101"/>
      <c r="AK759" s="101"/>
      <c r="AM759" s="195"/>
      <c r="AT759" s="101"/>
      <c r="AU759" s="101"/>
      <c r="AV759" s="101"/>
      <c r="AW759" s="101"/>
      <c r="AX759" s="101"/>
      <c r="AY759" s="101"/>
      <c r="AZ759" s="101"/>
      <c r="BA759" s="101"/>
    </row>
    <row r="760" spans="33:70">
      <c r="AG760" s="101"/>
      <c r="AH760" s="101"/>
      <c r="AI760" s="101"/>
      <c r="AJ760" s="101"/>
      <c r="AK760" s="101"/>
      <c r="AM760" s="195"/>
      <c r="AT760" s="101"/>
      <c r="AU760" s="101"/>
      <c r="AV760" s="101"/>
      <c r="AW760" s="101"/>
      <c r="AX760" s="101"/>
      <c r="AY760" s="101"/>
      <c r="AZ760" s="101"/>
      <c r="BA760" s="101"/>
    </row>
    <row r="761" spans="33:70">
      <c r="AG761" s="101"/>
      <c r="AH761" s="101"/>
      <c r="AI761" s="101"/>
      <c r="AJ761" s="101"/>
      <c r="AK761" s="101"/>
      <c r="AM761" s="195"/>
      <c r="AT761" s="101"/>
      <c r="AU761" s="101"/>
      <c r="AV761" s="101"/>
      <c r="AW761" s="101"/>
      <c r="AX761" s="101"/>
      <c r="AY761" s="101"/>
      <c r="AZ761" s="101"/>
      <c r="BA761" s="101"/>
    </row>
    <row r="762" spans="33:70">
      <c r="AG762" s="101"/>
      <c r="AH762" s="101"/>
      <c r="AI762" s="101"/>
      <c r="AJ762" s="101"/>
      <c r="AK762" s="101"/>
      <c r="AM762" s="195"/>
      <c r="AT762" s="101"/>
      <c r="AU762" s="101"/>
      <c r="AV762" s="101"/>
      <c r="AW762" s="101"/>
      <c r="AX762" s="101"/>
      <c r="AY762" s="101"/>
      <c r="AZ762" s="101"/>
      <c r="BA762" s="101"/>
    </row>
    <row r="763" spans="33:70">
      <c r="AG763" s="101"/>
      <c r="AH763" s="101"/>
      <c r="AI763" s="101"/>
      <c r="AJ763" s="101"/>
      <c r="AK763" s="101"/>
      <c r="AM763" s="195"/>
      <c r="AT763" s="101"/>
      <c r="AU763" s="101"/>
      <c r="AV763" s="101"/>
      <c r="AW763" s="101"/>
      <c r="AX763" s="101"/>
      <c r="AY763" s="101"/>
      <c r="AZ763" s="101"/>
      <c r="BA763" s="101"/>
    </row>
    <row r="764" spans="33:70">
      <c r="AG764" s="101"/>
      <c r="AH764" s="101"/>
      <c r="AI764" s="101"/>
      <c r="AJ764" s="101"/>
      <c r="AK764" s="101"/>
      <c r="AM764" s="195"/>
      <c r="AT764" s="101"/>
      <c r="AU764" s="101"/>
      <c r="AV764" s="101"/>
      <c r="AW764" s="101"/>
      <c r="AX764" s="101"/>
      <c r="AY764" s="101"/>
      <c r="AZ764" s="101"/>
      <c r="BA764" s="101"/>
    </row>
    <row r="765" spans="33:70">
      <c r="AG765" s="101"/>
      <c r="AH765" s="101"/>
      <c r="AI765" s="101"/>
      <c r="AJ765" s="101"/>
      <c r="AK765" s="101"/>
      <c r="AM765" s="195"/>
      <c r="AT765" s="101"/>
      <c r="AU765" s="101"/>
      <c r="AV765" s="101"/>
      <c r="AW765" s="101"/>
      <c r="AX765" s="101"/>
      <c r="AY765" s="101"/>
      <c r="AZ765" s="101"/>
      <c r="BA765" s="101"/>
      <c r="BB765" s="101"/>
      <c r="BD765" s="101"/>
      <c r="BE765" s="101"/>
      <c r="BF765" s="101"/>
      <c r="BG765" s="101"/>
      <c r="BH765" s="101"/>
      <c r="BI765" s="101"/>
      <c r="BJ765" s="101"/>
      <c r="BK765" s="101"/>
      <c r="BL765" s="101"/>
      <c r="BM765" s="101"/>
      <c r="BN765" s="101"/>
      <c r="BO765" s="101"/>
      <c r="BP765" s="101"/>
      <c r="BQ765" s="101"/>
      <c r="BR765" s="101"/>
    </row>
    <row r="766" spans="33:70">
      <c r="AG766" s="101"/>
      <c r="AH766" s="101"/>
      <c r="AI766" s="101"/>
      <c r="AJ766" s="101"/>
      <c r="AK766" s="101"/>
      <c r="AM766" s="195"/>
      <c r="AT766" s="101"/>
      <c r="AU766" s="101"/>
      <c r="AV766" s="101"/>
      <c r="AW766" s="101"/>
      <c r="AX766" s="101"/>
      <c r="AY766" s="101"/>
      <c r="AZ766" s="101"/>
      <c r="BA766" s="101"/>
    </row>
    <row r="767" spans="33:70">
      <c r="AG767" s="101"/>
      <c r="AH767" s="101"/>
      <c r="AI767" s="101"/>
      <c r="AJ767" s="101"/>
      <c r="AK767" s="101"/>
      <c r="AM767" s="195"/>
      <c r="AT767" s="101"/>
      <c r="AU767" s="101"/>
      <c r="AV767" s="101"/>
      <c r="AW767" s="101"/>
      <c r="AX767" s="101"/>
      <c r="AY767" s="101"/>
      <c r="AZ767" s="101"/>
      <c r="BA767" s="101"/>
    </row>
    <row r="768" spans="33:70">
      <c r="AG768" s="101"/>
      <c r="AH768" s="101"/>
      <c r="AI768" s="101"/>
      <c r="AJ768" s="101"/>
      <c r="AK768" s="101"/>
      <c r="AM768" s="195"/>
      <c r="AT768" s="101"/>
      <c r="AU768" s="101"/>
      <c r="AV768" s="101"/>
      <c r="AW768" s="101"/>
      <c r="AX768" s="101"/>
      <c r="AY768" s="101"/>
      <c r="AZ768" s="101"/>
      <c r="BA768" s="101"/>
    </row>
    <row r="769" spans="33:70">
      <c r="AG769" s="101"/>
      <c r="AH769" s="101"/>
      <c r="AI769" s="101"/>
      <c r="AJ769" s="101"/>
      <c r="AK769" s="101"/>
      <c r="AM769" s="195"/>
      <c r="AT769" s="101"/>
      <c r="AU769" s="101"/>
      <c r="AV769" s="101"/>
      <c r="AW769" s="101"/>
      <c r="AX769" s="101"/>
      <c r="AY769" s="101"/>
      <c r="AZ769" s="101"/>
      <c r="BA769" s="101"/>
    </row>
    <row r="770" spans="33:70">
      <c r="AG770" s="101"/>
      <c r="AH770" s="101"/>
      <c r="AI770" s="101"/>
      <c r="AJ770" s="101"/>
      <c r="AK770" s="101"/>
      <c r="AM770" s="195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101"/>
      <c r="BE770" s="101"/>
      <c r="BF770" s="101"/>
      <c r="BG770" s="101"/>
      <c r="BH770" s="101"/>
      <c r="BI770" s="101"/>
      <c r="BJ770" s="101"/>
      <c r="BK770" s="101"/>
      <c r="BL770" s="101"/>
      <c r="BM770" s="101"/>
      <c r="BN770" s="101"/>
      <c r="BO770" s="101"/>
      <c r="BP770" s="101"/>
      <c r="BQ770" s="101"/>
      <c r="BR770" s="101"/>
    </row>
    <row r="771" spans="33:70">
      <c r="AG771" s="101"/>
      <c r="AH771" s="101"/>
      <c r="AI771" s="101"/>
      <c r="AJ771" s="101"/>
      <c r="AK771" s="101"/>
      <c r="AM771" s="195"/>
      <c r="AT771" s="101"/>
      <c r="AU771" s="101"/>
      <c r="AV771" s="101"/>
      <c r="AW771" s="101"/>
      <c r="AX771" s="101"/>
      <c r="AY771" s="101"/>
      <c r="AZ771" s="101"/>
      <c r="BA771" s="101"/>
    </row>
    <row r="772" spans="33:70">
      <c r="AG772" s="101"/>
      <c r="AH772" s="101"/>
      <c r="AI772" s="101"/>
      <c r="AJ772" s="101"/>
      <c r="AK772" s="101"/>
      <c r="AM772" s="195"/>
      <c r="AT772" s="101"/>
      <c r="AU772" s="101"/>
      <c r="AV772" s="101"/>
      <c r="AW772" s="101"/>
      <c r="AX772" s="101"/>
      <c r="AY772" s="101"/>
      <c r="AZ772" s="101"/>
      <c r="BA772" s="101"/>
    </row>
    <row r="773" spans="33:70">
      <c r="AG773" s="101"/>
      <c r="AH773" s="101"/>
      <c r="AI773" s="101"/>
      <c r="AJ773" s="101"/>
      <c r="AK773" s="101"/>
      <c r="AM773" s="195"/>
      <c r="AT773" s="101"/>
      <c r="AU773" s="101"/>
      <c r="AV773" s="101"/>
      <c r="AW773" s="101"/>
      <c r="AX773" s="101"/>
      <c r="AY773" s="101"/>
      <c r="AZ773" s="101"/>
      <c r="BA773" s="101"/>
    </row>
    <row r="774" spans="33:70">
      <c r="AG774" s="101"/>
      <c r="AH774" s="101"/>
      <c r="AI774" s="101"/>
      <c r="AJ774" s="101"/>
      <c r="AK774" s="101"/>
      <c r="AM774" s="195"/>
      <c r="AT774" s="101"/>
      <c r="AU774" s="101"/>
      <c r="AV774" s="101"/>
      <c r="AW774" s="101"/>
      <c r="AX774" s="101"/>
      <c r="AY774" s="101"/>
      <c r="AZ774" s="101"/>
      <c r="BA774" s="101"/>
    </row>
    <row r="775" spans="33:70">
      <c r="AG775" s="101"/>
      <c r="AH775" s="101"/>
      <c r="AI775" s="101"/>
      <c r="AJ775" s="101"/>
      <c r="AK775" s="101"/>
      <c r="AM775" s="195"/>
      <c r="AT775" s="101"/>
      <c r="AU775" s="101"/>
      <c r="AV775" s="101"/>
      <c r="AW775" s="101"/>
      <c r="AX775" s="101"/>
      <c r="AY775" s="101"/>
      <c r="AZ775" s="101"/>
      <c r="BA775" s="101"/>
    </row>
    <row r="776" spans="33:70">
      <c r="AG776" s="101"/>
      <c r="AH776" s="101"/>
      <c r="AI776" s="101"/>
      <c r="AJ776" s="101"/>
      <c r="AK776" s="101"/>
      <c r="AM776" s="195"/>
      <c r="AT776" s="101"/>
      <c r="AU776" s="101"/>
      <c r="AV776" s="101"/>
      <c r="AW776" s="101"/>
      <c r="AX776" s="101"/>
      <c r="AY776" s="101"/>
      <c r="AZ776" s="101"/>
      <c r="BA776" s="101"/>
    </row>
    <row r="777" spans="33:70">
      <c r="AG777" s="101"/>
      <c r="AH777" s="101"/>
      <c r="AI777" s="101"/>
      <c r="AJ777" s="101"/>
      <c r="AK777" s="101"/>
      <c r="AM777" s="195"/>
      <c r="AT777" s="101"/>
      <c r="AU777" s="101"/>
      <c r="AV777" s="101"/>
      <c r="AW777" s="101"/>
      <c r="AX777" s="101"/>
      <c r="AY777" s="101"/>
      <c r="AZ777" s="101"/>
      <c r="BA777" s="101"/>
    </row>
    <row r="778" spans="33:70">
      <c r="AG778" s="101"/>
      <c r="AH778" s="101"/>
      <c r="AI778" s="101"/>
      <c r="AJ778" s="101"/>
      <c r="AK778" s="101"/>
      <c r="AM778" s="195"/>
      <c r="AT778" s="101"/>
      <c r="AU778" s="101"/>
      <c r="AV778" s="101"/>
      <c r="AW778" s="101"/>
      <c r="AX778" s="101"/>
      <c r="AY778" s="101"/>
      <c r="AZ778" s="101"/>
      <c r="BA778" s="101"/>
    </row>
    <row r="779" spans="33:70">
      <c r="AG779" s="101"/>
      <c r="AH779" s="101"/>
      <c r="AI779" s="101"/>
      <c r="AJ779" s="101"/>
      <c r="AK779" s="101"/>
      <c r="AM779" s="195"/>
      <c r="AT779" s="101"/>
      <c r="AU779" s="101"/>
      <c r="AV779" s="101"/>
      <c r="AW779" s="101"/>
      <c r="AX779" s="101"/>
      <c r="AY779" s="101"/>
      <c r="AZ779" s="101"/>
      <c r="BA779" s="101"/>
      <c r="BB779" s="101"/>
    </row>
    <row r="780" spans="33:70">
      <c r="AG780" s="101"/>
      <c r="AH780" s="101"/>
      <c r="AI780" s="101"/>
      <c r="AJ780" s="101"/>
      <c r="AK780" s="101"/>
      <c r="AM780" s="195"/>
      <c r="AT780" s="101"/>
      <c r="AU780" s="101"/>
      <c r="AV780" s="101"/>
      <c r="AW780" s="101"/>
      <c r="AX780" s="101"/>
      <c r="AY780" s="101"/>
      <c r="AZ780" s="101"/>
      <c r="BA780" s="101"/>
    </row>
    <row r="781" spans="33:70">
      <c r="AG781" s="101"/>
      <c r="AH781" s="101"/>
      <c r="AI781" s="101"/>
      <c r="AJ781" s="101"/>
      <c r="AK781" s="101"/>
      <c r="AM781" s="195"/>
      <c r="AT781" s="101"/>
      <c r="AU781" s="101"/>
      <c r="AV781" s="101"/>
      <c r="AW781" s="101"/>
      <c r="AX781" s="101"/>
      <c r="AY781" s="101"/>
      <c r="AZ781" s="101"/>
      <c r="BA781" s="101"/>
    </row>
    <row r="782" spans="33:70">
      <c r="AG782" s="101"/>
      <c r="AH782" s="101"/>
      <c r="AI782" s="101"/>
      <c r="AJ782" s="101"/>
      <c r="AK782" s="101"/>
      <c r="AM782" s="195"/>
      <c r="AT782" s="101"/>
      <c r="AU782" s="101"/>
      <c r="AV782" s="101"/>
      <c r="AW782" s="101"/>
      <c r="AX782" s="101"/>
      <c r="AY782" s="101"/>
      <c r="AZ782" s="101"/>
      <c r="BA782" s="101"/>
    </row>
    <row r="783" spans="33:70">
      <c r="AG783" s="101"/>
      <c r="AH783" s="101"/>
      <c r="AI783" s="101"/>
      <c r="AJ783" s="101"/>
      <c r="AK783" s="101"/>
      <c r="AM783" s="195"/>
      <c r="AT783" s="101"/>
      <c r="AU783" s="101"/>
      <c r="AV783" s="101"/>
      <c r="AW783" s="101"/>
      <c r="AX783" s="101"/>
      <c r="AY783" s="101"/>
      <c r="AZ783" s="101"/>
      <c r="BA783" s="101"/>
    </row>
    <row r="784" spans="33:70">
      <c r="AG784" s="101"/>
      <c r="AH784" s="101"/>
      <c r="AI784" s="101"/>
      <c r="AJ784" s="101"/>
      <c r="AK784" s="101"/>
      <c r="AM784" s="195"/>
      <c r="AT784" s="101"/>
      <c r="AU784" s="101"/>
      <c r="AV784" s="101"/>
      <c r="AW784" s="101"/>
      <c r="AX784" s="101"/>
      <c r="AY784" s="101"/>
      <c r="AZ784" s="101"/>
      <c r="BA784" s="101"/>
    </row>
    <row r="785" spans="33:53">
      <c r="AG785" s="101"/>
      <c r="AH785" s="101"/>
      <c r="AI785" s="101"/>
      <c r="AJ785" s="101"/>
      <c r="AK785" s="101"/>
      <c r="AM785" s="195"/>
      <c r="AT785" s="101"/>
      <c r="AU785" s="101"/>
      <c r="AV785" s="101"/>
      <c r="AW785" s="101"/>
      <c r="AX785" s="101"/>
      <c r="AY785" s="101"/>
      <c r="AZ785" s="101"/>
      <c r="BA785" s="101"/>
    </row>
    <row r="786" spans="33:53">
      <c r="AG786" s="101"/>
      <c r="AH786" s="101"/>
      <c r="AI786" s="101"/>
      <c r="AJ786" s="101"/>
      <c r="AK786" s="101"/>
      <c r="AM786" s="195"/>
      <c r="AT786" s="101"/>
      <c r="AU786" s="101"/>
      <c r="AV786" s="101"/>
      <c r="AW786" s="101"/>
      <c r="AX786" s="101"/>
      <c r="AY786" s="101"/>
      <c r="AZ786" s="101"/>
      <c r="BA786" s="101"/>
    </row>
    <row r="787" spans="33:53">
      <c r="AG787" s="101"/>
      <c r="AH787" s="101"/>
      <c r="AI787" s="101"/>
      <c r="AJ787" s="101"/>
      <c r="AK787" s="101"/>
      <c r="AM787" s="195"/>
      <c r="AT787" s="101"/>
      <c r="AU787" s="101"/>
      <c r="AV787" s="101"/>
      <c r="AW787" s="101"/>
      <c r="AX787" s="101"/>
      <c r="AY787" s="101"/>
      <c r="AZ787" s="101"/>
      <c r="BA787" s="101"/>
    </row>
    <row r="788" spans="33:53">
      <c r="AG788" s="101"/>
      <c r="AH788" s="101"/>
      <c r="AI788" s="101"/>
      <c r="AJ788" s="101"/>
      <c r="AK788" s="101"/>
      <c r="AM788" s="195"/>
      <c r="AT788" s="101"/>
      <c r="AU788" s="101"/>
      <c r="AV788" s="101"/>
      <c r="AW788" s="101"/>
      <c r="AX788" s="101"/>
      <c r="AY788" s="101"/>
      <c r="AZ788" s="101"/>
      <c r="BA788" s="101"/>
    </row>
    <row r="789" spans="33:53">
      <c r="AG789" s="101"/>
      <c r="AH789" s="101"/>
      <c r="AI789" s="101"/>
      <c r="AJ789" s="101"/>
      <c r="AK789" s="101"/>
      <c r="AM789" s="195"/>
      <c r="AT789" s="101"/>
      <c r="AU789" s="101"/>
      <c r="AV789" s="101"/>
      <c r="AW789" s="101"/>
      <c r="AX789" s="101"/>
      <c r="AY789" s="101"/>
      <c r="AZ789" s="101"/>
      <c r="BA789" s="101"/>
    </row>
    <row r="790" spans="33:53">
      <c r="AG790" s="101"/>
      <c r="AH790" s="101"/>
      <c r="AI790" s="101"/>
      <c r="AJ790" s="101"/>
      <c r="AK790" s="101"/>
      <c r="AM790" s="195"/>
      <c r="AT790" s="101"/>
      <c r="AU790" s="101"/>
      <c r="AV790" s="101"/>
      <c r="AW790" s="101"/>
      <c r="AX790" s="101"/>
      <c r="AY790" s="101"/>
      <c r="AZ790" s="101"/>
      <c r="BA790" s="101"/>
    </row>
    <row r="791" spans="33:53">
      <c r="AG791" s="101"/>
      <c r="AH791" s="101"/>
      <c r="AI791" s="101"/>
      <c r="AJ791" s="101"/>
      <c r="AK791" s="101"/>
      <c r="AM791" s="195"/>
      <c r="AT791" s="101"/>
      <c r="AU791" s="101"/>
      <c r="AV791" s="101"/>
      <c r="AW791" s="101"/>
      <c r="AX791" s="101"/>
      <c r="AY791" s="101"/>
      <c r="AZ791" s="101"/>
      <c r="BA791" s="101"/>
    </row>
    <row r="792" spans="33:53">
      <c r="AG792" s="101"/>
      <c r="AH792" s="101"/>
      <c r="AI792" s="101"/>
      <c r="AJ792" s="101"/>
      <c r="AK792" s="101"/>
      <c r="AM792" s="195"/>
      <c r="AT792" s="101"/>
      <c r="AU792" s="101"/>
      <c r="AV792" s="101"/>
      <c r="AW792" s="101"/>
      <c r="AX792" s="101"/>
      <c r="AY792" s="101"/>
      <c r="AZ792" s="101"/>
      <c r="BA792" s="101"/>
    </row>
    <row r="793" spans="33:53">
      <c r="AG793" s="101"/>
      <c r="AH793" s="101"/>
      <c r="AI793" s="101"/>
      <c r="AJ793" s="101"/>
      <c r="AK793" s="101"/>
      <c r="AM793" s="195"/>
      <c r="AT793" s="101"/>
      <c r="AU793" s="101"/>
      <c r="AV793" s="101"/>
      <c r="AW793" s="101"/>
      <c r="AX793" s="101"/>
      <c r="AY793" s="101"/>
      <c r="AZ793" s="101"/>
      <c r="BA793" s="101"/>
    </row>
    <row r="794" spans="33:53">
      <c r="AG794" s="101"/>
      <c r="AH794" s="101"/>
      <c r="AI794" s="101"/>
      <c r="AJ794" s="101"/>
      <c r="AK794" s="101"/>
      <c r="AM794" s="195"/>
      <c r="AT794" s="101"/>
      <c r="AU794" s="101"/>
      <c r="AV794" s="101"/>
      <c r="AW794" s="101"/>
      <c r="AX794" s="101"/>
      <c r="AY794" s="101"/>
      <c r="AZ794" s="101"/>
      <c r="BA794" s="101"/>
    </row>
    <row r="795" spans="33:53">
      <c r="AG795" s="101"/>
      <c r="AH795" s="101"/>
      <c r="AI795" s="101"/>
      <c r="AJ795" s="101"/>
      <c r="AK795" s="101"/>
      <c r="AM795" s="195"/>
      <c r="AT795" s="101"/>
      <c r="AU795" s="101"/>
      <c r="AV795" s="101"/>
      <c r="AW795" s="101"/>
      <c r="AX795" s="101"/>
      <c r="AY795" s="101"/>
      <c r="AZ795" s="101"/>
      <c r="BA795" s="101"/>
    </row>
    <row r="796" spans="33:53">
      <c r="AG796" s="101"/>
      <c r="AH796" s="101"/>
      <c r="AI796" s="101"/>
      <c r="AJ796" s="101"/>
      <c r="AK796" s="101"/>
      <c r="AM796" s="195"/>
      <c r="AT796" s="101"/>
      <c r="AU796" s="101"/>
      <c r="AV796" s="101"/>
      <c r="AW796" s="101"/>
      <c r="AX796" s="101"/>
      <c r="AY796" s="101"/>
      <c r="AZ796" s="101"/>
      <c r="BA796" s="101"/>
    </row>
    <row r="797" spans="33:53">
      <c r="AG797" s="101"/>
      <c r="AH797" s="101"/>
      <c r="AI797" s="101"/>
      <c r="AJ797" s="101"/>
      <c r="AK797" s="101"/>
      <c r="AM797" s="195"/>
      <c r="AT797" s="101"/>
      <c r="AU797" s="101"/>
      <c r="AV797" s="101"/>
      <c r="AW797" s="101"/>
      <c r="AX797" s="101"/>
      <c r="AY797" s="101"/>
      <c r="AZ797" s="101"/>
      <c r="BA797" s="101"/>
    </row>
    <row r="798" spans="33:53">
      <c r="AG798" s="101"/>
      <c r="AH798" s="101"/>
      <c r="AI798" s="101"/>
      <c r="AJ798" s="101"/>
      <c r="AK798" s="101"/>
      <c r="AM798" s="195"/>
      <c r="AT798" s="101"/>
      <c r="AU798" s="101"/>
      <c r="AV798" s="101"/>
      <c r="AW798" s="101"/>
      <c r="AX798" s="101"/>
      <c r="AY798" s="101"/>
      <c r="AZ798" s="101"/>
      <c r="BA798" s="101"/>
    </row>
    <row r="799" spans="33:53">
      <c r="AG799" s="101"/>
      <c r="AH799" s="101"/>
      <c r="AI799" s="101"/>
      <c r="AJ799" s="101"/>
      <c r="AK799" s="101"/>
      <c r="AM799" s="195"/>
      <c r="AT799" s="101"/>
      <c r="AU799" s="101"/>
      <c r="AV799" s="101"/>
      <c r="AW799" s="101"/>
      <c r="AX799" s="101"/>
      <c r="AY799" s="101"/>
      <c r="AZ799" s="101"/>
      <c r="BA799" s="101"/>
    </row>
    <row r="800" spans="33:53">
      <c r="AG800" s="101"/>
      <c r="AH800" s="101"/>
      <c r="AI800" s="101"/>
      <c r="AJ800" s="101"/>
      <c r="AK800" s="101"/>
      <c r="AM800" s="195"/>
      <c r="AT800" s="101"/>
      <c r="AU800" s="101"/>
      <c r="AV800" s="101"/>
      <c r="AW800" s="101"/>
      <c r="AX800" s="101"/>
      <c r="AY800" s="101"/>
      <c r="AZ800" s="101"/>
      <c r="BA800" s="101"/>
    </row>
    <row r="801" spans="33:53">
      <c r="AG801" s="101"/>
      <c r="AH801" s="101"/>
      <c r="AI801" s="101"/>
      <c r="AJ801" s="101"/>
      <c r="AK801" s="101"/>
      <c r="AM801" s="195"/>
      <c r="AT801" s="101"/>
      <c r="AU801" s="101"/>
      <c r="AV801" s="101"/>
      <c r="AW801" s="101"/>
      <c r="AX801" s="101"/>
      <c r="AY801" s="101"/>
      <c r="AZ801" s="101"/>
      <c r="BA801" s="101"/>
    </row>
    <row r="802" spans="33:53">
      <c r="AG802" s="101"/>
      <c r="AH802" s="101"/>
      <c r="AI802" s="101"/>
      <c r="AJ802" s="101"/>
      <c r="AK802" s="101"/>
      <c r="AM802" s="195"/>
      <c r="AT802" s="101"/>
      <c r="AU802" s="101"/>
      <c r="AV802" s="101"/>
      <c r="AW802" s="101"/>
      <c r="AX802" s="101"/>
      <c r="AY802" s="101"/>
      <c r="AZ802" s="101"/>
      <c r="BA802" s="101"/>
    </row>
    <row r="803" spans="33:53">
      <c r="AG803" s="101"/>
      <c r="AH803" s="101"/>
      <c r="AI803" s="101"/>
      <c r="AJ803" s="101"/>
      <c r="AK803" s="101"/>
      <c r="AM803" s="195"/>
      <c r="AT803" s="101"/>
      <c r="AU803" s="101"/>
      <c r="AV803" s="101"/>
      <c r="AW803" s="101"/>
      <c r="AX803" s="101"/>
      <c r="AY803" s="101"/>
      <c r="AZ803" s="101"/>
      <c r="BA803" s="101"/>
    </row>
    <row r="804" spans="33:53">
      <c r="AG804" s="101"/>
      <c r="AH804" s="101"/>
      <c r="AI804" s="101"/>
      <c r="AJ804" s="101"/>
      <c r="AK804" s="101"/>
      <c r="AM804" s="195"/>
      <c r="AT804" s="101"/>
      <c r="AU804" s="101"/>
      <c r="AV804" s="101"/>
      <c r="AW804" s="101"/>
      <c r="AX804" s="101"/>
      <c r="AY804" s="101"/>
      <c r="AZ804" s="101"/>
      <c r="BA804" s="101"/>
    </row>
    <row r="805" spans="33:53">
      <c r="AG805" s="101"/>
      <c r="AH805" s="101"/>
      <c r="AI805" s="101"/>
      <c r="AJ805" s="101"/>
      <c r="AK805" s="101"/>
      <c r="AM805" s="195"/>
      <c r="AT805" s="101"/>
      <c r="AU805" s="101"/>
      <c r="AV805" s="101"/>
      <c r="AW805" s="101"/>
      <c r="AX805" s="101"/>
      <c r="AY805" s="101"/>
      <c r="AZ805" s="101"/>
      <c r="BA805" s="101"/>
    </row>
    <row r="806" spans="33:53">
      <c r="AG806" s="101"/>
      <c r="AH806" s="101"/>
      <c r="AI806" s="101"/>
      <c r="AJ806" s="101"/>
      <c r="AK806" s="101"/>
      <c r="AM806" s="195"/>
      <c r="AT806" s="101"/>
      <c r="AU806" s="101"/>
      <c r="AV806" s="101"/>
      <c r="AW806" s="101"/>
      <c r="AX806" s="101"/>
      <c r="AY806" s="101"/>
      <c r="AZ806" s="101"/>
      <c r="BA806" s="101"/>
    </row>
    <row r="807" spans="33:53">
      <c r="AG807" s="101"/>
      <c r="AH807" s="101"/>
      <c r="AI807" s="101"/>
      <c r="AJ807" s="101"/>
      <c r="AK807" s="101"/>
      <c r="AM807" s="195"/>
      <c r="AT807" s="101"/>
      <c r="AU807" s="101"/>
      <c r="AV807" s="101"/>
      <c r="AW807" s="101"/>
      <c r="AX807" s="101"/>
      <c r="AY807" s="101"/>
      <c r="AZ807" s="101"/>
      <c r="BA807" s="101"/>
    </row>
    <row r="808" spans="33:53">
      <c r="AG808" s="101"/>
      <c r="AH808" s="101"/>
      <c r="AI808" s="101"/>
      <c r="AJ808" s="101"/>
      <c r="AK808" s="101"/>
      <c r="AM808" s="195"/>
      <c r="AT808" s="101"/>
      <c r="AU808" s="101"/>
      <c r="AV808" s="101"/>
      <c r="AW808" s="101"/>
      <c r="AX808" s="101"/>
      <c r="AY808" s="101"/>
      <c r="AZ808" s="101"/>
      <c r="BA808" s="101"/>
    </row>
    <row r="809" spans="33:53">
      <c r="AG809" s="101"/>
      <c r="AH809" s="101"/>
      <c r="AI809" s="101"/>
      <c r="AJ809" s="101"/>
      <c r="AK809" s="101"/>
      <c r="AM809" s="195"/>
      <c r="AT809" s="101"/>
      <c r="AU809" s="101"/>
      <c r="AV809" s="101"/>
      <c r="AW809" s="101"/>
      <c r="AX809" s="101"/>
      <c r="AY809" s="101"/>
      <c r="AZ809" s="101"/>
      <c r="BA809" s="101"/>
    </row>
    <row r="810" spans="33:53">
      <c r="AG810" s="101"/>
      <c r="AH810" s="101"/>
      <c r="AI810" s="101"/>
      <c r="AJ810" s="101"/>
      <c r="AK810" s="101"/>
      <c r="AM810" s="195"/>
      <c r="AT810" s="101"/>
      <c r="AU810" s="101"/>
      <c r="AV810" s="101"/>
      <c r="AW810" s="101"/>
      <c r="AX810" s="101"/>
      <c r="AY810" s="101"/>
      <c r="AZ810" s="101"/>
      <c r="BA810" s="101"/>
    </row>
    <row r="811" spans="33:53">
      <c r="AG811" s="101"/>
      <c r="AH811" s="101"/>
      <c r="AI811" s="101"/>
      <c r="AJ811" s="101"/>
      <c r="AK811" s="101"/>
      <c r="AM811" s="195"/>
      <c r="AT811" s="101"/>
      <c r="AU811" s="101"/>
      <c r="AV811" s="101"/>
      <c r="AW811" s="101"/>
      <c r="AX811" s="101"/>
      <c r="AY811" s="101"/>
      <c r="AZ811" s="101"/>
      <c r="BA811" s="101"/>
    </row>
    <row r="812" spans="33:53">
      <c r="AG812" s="101"/>
      <c r="AH812" s="101"/>
      <c r="AI812" s="101"/>
      <c r="AJ812" s="101"/>
      <c r="AK812" s="101"/>
      <c r="AM812" s="195"/>
      <c r="AT812" s="101"/>
      <c r="AU812" s="101"/>
      <c r="AV812" s="101"/>
      <c r="AW812" s="101"/>
      <c r="AX812" s="101"/>
      <c r="AY812" s="101"/>
      <c r="AZ812" s="101"/>
      <c r="BA812" s="101"/>
    </row>
    <row r="813" spans="33:53">
      <c r="AG813" s="101"/>
      <c r="AH813" s="101"/>
      <c r="AI813" s="101"/>
      <c r="AJ813" s="101"/>
      <c r="AK813" s="101"/>
      <c r="AM813" s="195"/>
      <c r="AT813" s="101"/>
      <c r="AU813" s="101"/>
      <c r="AV813" s="101"/>
      <c r="AW813" s="101"/>
      <c r="AX813" s="101"/>
      <c r="AY813" s="101"/>
      <c r="AZ813" s="101"/>
      <c r="BA813" s="101"/>
    </row>
    <row r="814" spans="33:53">
      <c r="AG814" s="101"/>
      <c r="AH814" s="101"/>
      <c r="AI814" s="101"/>
      <c r="AJ814" s="101"/>
      <c r="AK814" s="101"/>
      <c r="AM814" s="195"/>
      <c r="AT814" s="101"/>
      <c r="AU814" s="101"/>
      <c r="AV814" s="101"/>
      <c r="AW814" s="101"/>
      <c r="AX814" s="101"/>
      <c r="AY814" s="101"/>
      <c r="AZ814" s="101"/>
      <c r="BA814" s="101"/>
    </row>
    <row r="815" spans="33:53">
      <c r="AG815" s="101"/>
      <c r="AH815" s="101"/>
      <c r="AI815" s="101"/>
      <c r="AJ815" s="101"/>
      <c r="AK815" s="101"/>
      <c r="AM815" s="195"/>
      <c r="AT815" s="101"/>
      <c r="AU815" s="101"/>
      <c r="AV815" s="101"/>
      <c r="AW815" s="101"/>
      <c r="AX815" s="101"/>
      <c r="AY815" s="101"/>
      <c r="AZ815" s="101"/>
      <c r="BA815" s="101"/>
    </row>
    <row r="816" spans="33:53">
      <c r="AG816" s="101"/>
      <c r="AH816" s="101"/>
      <c r="AI816" s="101"/>
      <c r="AJ816" s="101"/>
      <c r="AK816" s="101"/>
      <c r="AM816" s="195"/>
      <c r="AT816" s="101"/>
      <c r="AU816" s="101"/>
      <c r="AV816" s="101"/>
      <c r="AW816" s="101"/>
      <c r="AX816" s="101"/>
      <c r="AY816" s="101"/>
      <c r="AZ816" s="101"/>
      <c r="BA816" s="101"/>
    </row>
    <row r="817" spans="33:70">
      <c r="AG817" s="101"/>
      <c r="AH817" s="101"/>
      <c r="AI817" s="101"/>
      <c r="AJ817" s="101"/>
      <c r="AK817" s="101"/>
      <c r="AM817" s="195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</row>
    <row r="818" spans="33:70">
      <c r="AG818" s="101"/>
      <c r="AH818" s="101"/>
      <c r="AI818" s="101"/>
      <c r="AJ818" s="101"/>
      <c r="AK818" s="101"/>
      <c r="AM818" s="195"/>
      <c r="AT818" s="101"/>
      <c r="AU818" s="101"/>
      <c r="AV818" s="101"/>
      <c r="AW818" s="101"/>
      <c r="AX818" s="101"/>
      <c r="AY818" s="101"/>
      <c r="AZ818" s="101"/>
      <c r="BA818" s="101"/>
      <c r="BB818" s="101"/>
      <c r="BD818" s="101"/>
      <c r="BE818" s="101"/>
      <c r="BF818" s="101"/>
      <c r="BG818" s="101"/>
      <c r="BH818" s="101"/>
      <c r="BI818" s="101"/>
      <c r="BJ818" s="101"/>
      <c r="BK818" s="101"/>
      <c r="BL818" s="101"/>
      <c r="BM818" s="101"/>
      <c r="BN818" s="101"/>
      <c r="BO818" s="101"/>
      <c r="BP818" s="101"/>
      <c r="BQ818" s="101"/>
      <c r="BR818" s="101"/>
    </row>
    <row r="819" spans="33:70">
      <c r="AG819" s="101"/>
      <c r="AH819" s="101"/>
      <c r="AI819" s="101"/>
      <c r="AJ819" s="101"/>
      <c r="AK819" s="101"/>
      <c r="AM819" s="195"/>
      <c r="AT819" s="101"/>
      <c r="AU819" s="101"/>
      <c r="AV819" s="101"/>
      <c r="AW819" s="101"/>
      <c r="AX819" s="101"/>
      <c r="AY819" s="101"/>
      <c r="AZ819" s="101"/>
      <c r="BA819" s="101"/>
    </row>
    <row r="820" spans="33:70">
      <c r="AG820" s="101"/>
      <c r="AH820" s="101"/>
      <c r="AI820" s="101"/>
      <c r="AJ820" s="101"/>
      <c r="AK820" s="101"/>
      <c r="AM820" s="195"/>
      <c r="AT820" s="101"/>
      <c r="AU820" s="101"/>
      <c r="AV820" s="101"/>
      <c r="AW820" s="101"/>
      <c r="AX820" s="101"/>
      <c r="AY820" s="101"/>
      <c r="AZ820" s="101"/>
      <c r="BA820" s="101"/>
    </row>
    <row r="821" spans="33:70">
      <c r="AG821" s="101"/>
      <c r="AH821" s="101"/>
      <c r="AI821" s="101"/>
      <c r="AJ821" s="101"/>
      <c r="AK821" s="101"/>
      <c r="AM821" s="195"/>
      <c r="AT821" s="101"/>
      <c r="AU821" s="101"/>
      <c r="AV821" s="101"/>
      <c r="AW821" s="101"/>
      <c r="AX821" s="101"/>
      <c r="AY821" s="101"/>
      <c r="AZ821" s="101"/>
      <c r="BA821" s="101"/>
    </row>
    <row r="822" spans="33:70">
      <c r="AG822" s="101"/>
      <c r="AH822" s="101"/>
      <c r="AI822" s="101"/>
      <c r="AJ822" s="101"/>
      <c r="AK822" s="101"/>
      <c r="AM822" s="195"/>
      <c r="AT822" s="101"/>
      <c r="AU822" s="101"/>
      <c r="AV822" s="101"/>
      <c r="AW822" s="101"/>
      <c r="AX822" s="101"/>
      <c r="AY822" s="101"/>
      <c r="AZ822" s="101"/>
      <c r="BA822" s="101"/>
    </row>
    <row r="823" spans="33:70">
      <c r="AG823" s="101"/>
      <c r="AH823" s="101"/>
      <c r="AI823" s="101"/>
      <c r="AJ823" s="101"/>
      <c r="AK823" s="101"/>
      <c r="AM823" s="195"/>
      <c r="AT823" s="101"/>
      <c r="AU823" s="101"/>
      <c r="AV823" s="101"/>
      <c r="AW823" s="101"/>
      <c r="AX823" s="101"/>
      <c r="AY823" s="101"/>
      <c r="AZ823" s="101"/>
      <c r="BA823" s="101"/>
    </row>
    <row r="824" spans="33:70">
      <c r="AG824" s="101"/>
      <c r="AH824" s="101"/>
      <c r="AI824" s="101"/>
      <c r="AJ824" s="101"/>
      <c r="AK824" s="101"/>
      <c r="AM824" s="195"/>
      <c r="AT824" s="101"/>
      <c r="AU824" s="101"/>
      <c r="AV824" s="101"/>
      <c r="AW824" s="101"/>
      <c r="AX824" s="101"/>
      <c r="AY824" s="101"/>
      <c r="AZ824" s="101"/>
      <c r="BA824" s="101"/>
    </row>
    <row r="825" spans="33:70">
      <c r="AG825" s="101"/>
      <c r="AH825" s="101"/>
      <c r="AI825" s="101"/>
      <c r="AJ825" s="101"/>
      <c r="AK825" s="101"/>
      <c r="AM825" s="195"/>
      <c r="AT825" s="101"/>
      <c r="AU825" s="101"/>
      <c r="AV825" s="101"/>
      <c r="AW825" s="101"/>
      <c r="AX825" s="101"/>
      <c r="AY825" s="101"/>
      <c r="AZ825" s="101"/>
      <c r="BA825" s="101"/>
    </row>
    <row r="826" spans="33:70">
      <c r="AG826" s="101"/>
      <c r="AH826" s="101"/>
      <c r="AI826" s="101"/>
      <c r="AJ826" s="101"/>
      <c r="AK826" s="101"/>
      <c r="AM826" s="195"/>
      <c r="AT826" s="101"/>
      <c r="AU826" s="101"/>
      <c r="AV826" s="101"/>
      <c r="AW826" s="101"/>
      <c r="AX826" s="101"/>
      <c r="AY826" s="101"/>
      <c r="AZ826" s="101"/>
      <c r="BA826" s="101"/>
    </row>
    <row r="827" spans="33:70">
      <c r="AG827" s="101"/>
      <c r="AH827" s="101"/>
      <c r="AI827" s="101"/>
      <c r="AJ827" s="101"/>
      <c r="AK827" s="101"/>
      <c r="AM827" s="195"/>
      <c r="AT827" s="101"/>
      <c r="AU827" s="101"/>
      <c r="AV827" s="101"/>
      <c r="AW827" s="101"/>
      <c r="AX827" s="101"/>
      <c r="AY827" s="101"/>
      <c r="AZ827" s="101"/>
      <c r="BA827" s="101"/>
    </row>
    <row r="828" spans="33:70">
      <c r="AG828" s="101"/>
      <c r="AH828" s="101"/>
      <c r="AI828" s="101"/>
      <c r="AJ828" s="101"/>
      <c r="AK828" s="101"/>
      <c r="AM828" s="195"/>
      <c r="AT828" s="101"/>
      <c r="AU828" s="101"/>
      <c r="AV828" s="101"/>
      <c r="AW828" s="101"/>
      <c r="AX828" s="101"/>
      <c r="AY828" s="101"/>
      <c r="AZ828" s="101"/>
      <c r="BA828" s="101"/>
    </row>
    <row r="829" spans="33:70">
      <c r="AG829" s="101"/>
      <c r="AH829" s="101"/>
      <c r="AI829" s="101"/>
      <c r="AJ829" s="101"/>
      <c r="AK829" s="101"/>
      <c r="AM829" s="195"/>
      <c r="AT829" s="101"/>
      <c r="AU829" s="101"/>
      <c r="AV829" s="101"/>
      <c r="AW829" s="101"/>
      <c r="AX829" s="101"/>
      <c r="AY829" s="101"/>
      <c r="AZ829" s="101"/>
      <c r="BA829" s="101"/>
      <c r="BB829" s="101"/>
      <c r="BD829" s="101"/>
    </row>
    <row r="830" spans="33:70">
      <c r="AG830" s="101"/>
      <c r="AH830" s="101"/>
      <c r="AI830" s="101"/>
      <c r="AJ830" s="101"/>
      <c r="AK830" s="101"/>
      <c r="AM830" s="195"/>
      <c r="AT830" s="101"/>
      <c r="AU830" s="101"/>
      <c r="AV830" s="101"/>
      <c r="AW830" s="101"/>
      <c r="AX830" s="101"/>
      <c r="AY830" s="101"/>
      <c r="AZ830" s="101"/>
      <c r="BA830" s="101"/>
    </row>
    <row r="831" spans="33:70">
      <c r="AG831" s="101"/>
      <c r="AH831" s="101"/>
      <c r="AI831" s="101"/>
      <c r="AJ831" s="101"/>
      <c r="AK831" s="101"/>
      <c r="AM831" s="195"/>
      <c r="AT831" s="101"/>
      <c r="AU831" s="101"/>
      <c r="AV831" s="101"/>
      <c r="AW831" s="101"/>
      <c r="AX831" s="101"/>
      <c r="AY831" s="101"/>
      <c r="AZ831" s="101"/>
      <c r="BA831" s="101"/>
    </row>
    <row r="832" spans="33:70">
      <c r="AG832" s="101"/>
      <c r="AH832" s="101"/>
      <c r="AI832" s="101"/>
      <c r="AJ832" s="101"/>
      <c r="AK832" s="101"/>
      <c r="AM832" s="195"/>
      <c r="AT832" s="101"/>
      <c r="AU832" s="101"/>
      <c r="AV832" s="101"/>
      <c r="AW832" s="101"/>
      <c r="AX832" s="101"/>
      <c r="AY832" s="101"/>
      <c r="AZ832" s="101"/>
      <c r="BA832" s="101"/>
    </row>
    <row r="833" spans="33:53">
      <c r="AG833" s="101"/>
      <c r="AH833" s="101"/>
      <c r="AI833" s="101"/>
      <c r="AJ833" s="101"/>
      <c r="AK833" s="101"/>
      <c r="AM833" s="195"/>
      <c r="AT833" s="101"/>
      <c r="AU833" s="101"/>
      <c r="AV833" s="101"/>
      <c r="AW833" s="101"/>
      <c r="AX833" s="101"/>
      <c r="AY833" s="101"/>
      <c r="AZ833" s="101"/>
      <c r="BA833" s="101"/>
    </row>
    <row r="834" spans="33:53">
      <c r="AG834" s="101"/>
      <c r="AH834" s="101"/>
      <c r="AI834" s="101"/>
      <c r="AJ834" s="101"/>
      <c r="AK834" s="101"/>
      <c r="AM834" s="195"/>
      <c r="AT834" s="101"/>
      <c r="AU834" s="101"/>
      <c r="AV834" s="101"/>
      <c r="AW834" s="101"/>
      <c r="AX834" s="101"/>
      <c r="AY834" s="101"/>
      <c r="AZ834" s="101"/>
      <c r="BA834" s="101"/>
    </row>
    <row r="835" spans="33:53">
      <c r="AG835" s="101"/>
      <c r="AH835" s="101"/>
      <c r="AI835" s="101"/>
      <c r="AJ835" s="101"/>
      <c r="AK835" s="101"/>
      <c r="AM835" s="195"/>
      <c r="AT835" s="101"/>
      <c r="AU835" s="101"/>
      <c r="AV835" s="101"/>
      <c r="AW835" s="101"/>
      <c r="AX835" s="101"/>
      <c r="AY835" s="101"/>
      <c r="AZ835" s="101"/>
      <c r="BA835" s="101"/>
    </row>
    <row r="836" spans="33:53">
      <c r="AG836" s="101"/>
      <c r="AH836" s="101"/>
      <c r="AI836" s="101"/>
      <c r="AJ836" s="101"/>
      <c r="AK836" s="101"/>
      <c r="AM836" s="195"/>
      <c r="AT836" s="101"/>
      <c r="AU836" s="101"/>
      <c r="AV836" s="101"/>
      <c r="AW836" s="101"/>
      <c r="AX836" s="101"/>
      <c r="AY836" s="101"/>
      <c r="AZ836" s="101"/>
      <c r="BA836" s="101"/>
    </row>
    <row r="837" spans="33:53">
      <c r="AG837" s="101"/>
      <c r="AH837" s="101"/>
      <c r="AI837" s="101"/>
      <c r="AJ837" s="101"/>
      <c r="AK837" s="101"/>
      <c r="AM837" s="195"/>
      <c r="AT837" s="101"/>
      <c r="AU837" s="101"/>
      <c r="AV837" s="101"/>
      <c r="AW837" s="101"/>
      <c r="AX837" s="101"/>
      <c r="AY837" s="101"/>
      <c r="AZ837" s="101"/>
      <c r="BA837" s="101"/>
    </row>
    <row r="838" spans="33:53">
      <c r="AG838" s="101"/>
      <c r="AH838" s="101"/>
      <c r="AI838" s="101"/>
      <c r="AJ838" s="101"/>
      <c r="AK838" s="101"/>
      <c r="AM838" s="195"/>
      <c r="AT838" s="101"/>
      <c r="AU838" s="101"/>
      <c r="AV838" s="101"/>
      <c r="AW838" s="101"/>
      <c r="AX838" s="101"/>
      <c r="AY838" s="101"/>
      <c r="AZ838" s="101"/>
      <c r="BA838" s="101"/>
    </row>
    <row r="839" spans="33:53">
      <c r="AG839" s="101"/>
      <c r="AH839" s="101"/>
      <c r="AI839" s="101"/>
      <c r="AJ839" s="101"/>
      <c r="AK839" s="101"/>
      <c r="AM839" s="195"/>
      <c r="AT839" s="101"/>
      <c r="AU839" s="101"/>
      <c r="AV839" s="101"/>
      <c r="AW839" s="101"/>
      <c r="AX839" s="101"/>
      <c r="AY839" s="101"/>
      <c r="AZ839" s="101"/>
      <c r="BA839" s="101"/>
    </row>
    <row r="840" spans="33:53">
      <c r="AG840" s="101"/>
      <c r="AH840" s="101"/>
      <c r="AI840" s="101"/>
      <c r="AJ840" s="101"/>
      <c r="AK840" s="101"/>
      <c r="AM840" s="195"/>
      <c r="AT840" s="101"/>
      <c r="AU840" s="101"/>
      <c r="AV840" s="101"/>
      <c r="AW840" s="101"/>
      <c r="AX840" s="101"/>
      <c r="AY840" s="101"/>
      <c r="AZ840" s="101"/>
      <c r="BA840" s="101"/>
    </row>
    <row r="841" spans="33:53">
      <c r="AG841" s="101"/>
      <c r="AH841" s="101"/>
      <c r="AI841" s="101"/>
      <c r="AJ841" s="101"/>
      <c r="AK841" s="101"/>
      <c r="AM841" s="195"/>
      <c r="AT841" s="101"/>
      <c r="AU841" s="101"/>
      <c r="AV841" s="101"/>
      <c r="AW841" s="101"/>
      <c r="AX841" s="101"/>
      <c r="AY841" s="101"/>
      <c r="AZ841" s="101"/>
      <c r="BA841" s="101"/>
    </row>
    <row r="842" spans="33:53">
      <c r="AG842" s="101"/>
      <c r="AH842" s="101"/>
      <c r="AI842" s="101"/>
      <c r="AJ842" s="101"/>
      <c r="AK842" s="101"/>
      <c r="AM842" s="195"/>
      <c r="AT842" s="101"/>
      <c r="AU842" s="101"/>
      <c r="AV842" s="101"/>
      <c r="AW842" s="101"/>
      <c r="AX842" s="101"/>
      <c r="AY842" s="101"/>
      <c r="AZ842" s="101"/>
      <c r="BA842" s="101"/>
    </row>
    <row r="843" spans="33:53">
      <c r="AG843" s="101"/>
      <c r="AH843" s="101"/>
      <c r="AI843" s="101"/>
      <c r="AJ843" s="101"/>
      <c r="AK843" s="101"/>
      <c r="AM843" s="195"/>
      <c r="AT843" s="101"/>
      <c r="AU843" s="101"/>
      <c r="AV843" s="101"/>
      <c r="AW843" s="101"/>
      <c r="AX843" s="101"/>
      <c r="AY843" s="101"/>
      <c r="AZ843" s="101"/>
      <c r="BA843" s="101"/>
    </row>
    <row r="844" spans="33:53">
      <c r="AG844" s="101"/>
      <c r="AH844" s="101"/>
      <c r="AI844" s="101"/>
      <c r="AJ844" s="101"/>
      <c r="AK844" s="101"/>
      <c r="AM844" s="195"/>
      <c r="AT844" s="101"/>
      <c r="AU844" s="101"/>
      <c r="AV844" s="101"/>
      <c r="AW844" s="101"/>
      <c r="AX844" s="101"/>
      <c r="AY844" s="101"/>
      <c r="AZ844" s="101"/>
      <c r="BA844" s="101"/>
    </row>
    <row r="845" spans="33:53">
      <c r="AG845" s="101"/>
      <c r="AH845" s="101"/>
      <c r="AI845" s="101"/>
      <c r="AJ845" s="101"/>
      <c r="AK845" s="101"/>
      <c r="AM845" s="195"/>
      <c r="AT845" s="101"/>
      <c r="AU845" s="101"/>
      <c r="AV845" s="101"/>
      <c r="AW845" s="101"/>
      <c r="AX845" s="101"/>
      <c r="AY845" s="101"/>
      <c r="AZ845" s="101"/>
      <c r="BA845" s="101"/>
    </row>
    <row r="846" spans="33:53">
      <c r="AG846" s="101"/>
      <c r="AH846" s="101"/>
      <c r="AI846" s="101"/>
      <c r="AJ846" s="101"/>
      <c r="AK846" s="101"/>
      <c r="AM846" s="195"/>
      <c r="AT846" s="101"/>
      <c r="AU846" s="101"/>
      <c r="AV846" s="101"/>
      <c r="AW846" s="101"/>
      <c r="AX846" s="101"/>
      <c r="AY846" s="101"/>
      <c r="AZ846" s="101"/>
      <c r="BA846" s="101"/>
    </row>
    <row r="847" spans="33:53">
      <c r="AG847" s="101"/>
      <c r="AH847" s="101"/>
      <c r="AI847" s="101"/>
      <c r="AJ847" s="101"/>
      <c r="AK847" s="101"/>
      <c r="AM847" s="195"/>
      <c r="AT847" s="101"/>
      <c r="AU847" s="101"/>
      <c r="AV847" s="101"/>
      <c r="AW847" s="101"/>
      <c r="AX847" s="101"/>
      <c r="AY847" s="101"/>
      <c r="AZ847" s="101"/>
      <c r="BA847" s="101"/>
    </row>
    <row r="848" spans="33:53">
      <c r="AG848" s="101"/>
      <c r="AH848" s="101"/>
      <c r="AI848" s="101"/>
      <c r="AJ848" s="101"/>
      <c r="AK848" s="101"/>
      <c r="AM848" s="195"/>
      <c r="AT848" s="101"/>
      <c r="AU848" s="101"/>
      <c r="AV848" s="101"/>
      <c r="AW848" s="101"/>
      <c r="AX848" s="101"/>
      <c r="AY848" s="101"/>
      <c r="AZ848" s="101"/>
      <c r="BA848" s="101"/>
    </row>
    <row r="849" spans="33:53">
      <c r="AG849" s="101"/>
      <c r="AH849" s="101"/>
      <c r="AI849" s="101"/>
      <c r="AJ849" s="101"/>
      <c r="AK849" s="101"/>
      <c r="AM849" s="195"/>
      <c r="AT849" s="101"/>
      <c r="AU849" s="101"/>
      <c r="AV849" s="101"/>
      <c r="AW849" s="101"/>
      <c r="AX849" s="101"/>
      <c r="AY849" s="101"/>
      <c r="AZ849" s="101"/>
      <c r="BA849" s="101"/>
    </row>
    <row r="850" spans="33:53">
      <c r="AG850" s="101"/>
      <c r="AH850" s="101"/>
      <c r="AI850" s="101"/>
      <c r="AJ850" s="101"/>
      <c r="AK850" s="101"/>
      <c r="AM850" s="195"/>
      <c r="AT850" s="101"/>
      <c r="AU850" s="101"/>
      <c r="AV850" s="101"/>
      <c r="AW850" s="101"/>
      <c r="AX850" s="101"/>
      <c r="AY850" s="101"/>
      <c r="AZ850" s="101"/>
      <c r="BA850" s="101"/>
    </row>
    <row r="851" spans="33:53">
      <c r="AG851" s="101"/>
      <c r="AH851" s="101"/>
      <c r="AI851" s="101"/>
      <c r="AJ851" s="101"/>
      <c r="AK851" s="101"/>
      <c r="AM851" s="195"/>
      <c r="AT851" s="101"/>
      <c r="AU851" s="101"/>
      <c r="AV851" s="101"/>
      <c r="AW851" s="101"/>
      <c r="AX851" s="101"/>
      <c r="AY851" s="101"/>
      <c r="AZ851" s="101"/>
      <c r="BA851" s="101"/>
    </row>
    <row r="852" spans="33:53">
      <c r="AG852" s="101"/>
      <c r="AH852" s="101"/>
      <c r="AI852" s="101"/>
      <c r="AJ852" s="101"/>
      <c r="AK852" s="101"/>
      <c r="AM852" s="195"/>
      <c r="AT852" s="101"/>
      <c r="AU852" s="101"/>
      <c r="AV852" s="101"/>
      <c r="AW852" s="101"/>
      <c r="AX852" s="101"/>
      <c r="AY852" s="101"/>
      <c r="AZ852" s="101"/>
      <c r="BA852" s="101"/>
    </row>
    <row r="853" spans="33:53">
      <c r="AG853" s="101"/>
      <c r="AH853" s="101"/>
      <c r="AI853" s="101"/>
      <c r="AJ853" s="101"/>
      <c r="AK853" s="101"/>
      <c r="AM853" s="195"/>
      <c r="AT853" s="101"/>
      <c r="AU853" s="101"/>
      <c r="AV853" s="101"/>
      <c r="AW853" s="101"/>
      <c r="AX853" s="101"/>
      <c r="AY853" s="101"/>
      <c r="AZ853" s="101"/>
      <c r="BA853" s="101"/>
    </row>
    <row r="854" spans="33:53">
      <c r="AG854" s="101"/>
      <c r="AH854" s="101"/>
      <c r="AI854" s="101"/>
      <c r="AJ854" s="101"/>
      <c r="AK854" s="101"/>
      <c r="AM854" s="195"/>
      <c r="AT854" s="101"/>
      <c r="AU854" s="101"/>
      <c r="AV854" s="101"/>
      <c r="AW854" s="101"/>
      <c r="AX854" s="101"/>
      <c r="AY854" s="101"/>
      <c r="AZ854" s="101"/>
      <c r="BA854" s="101"/>
    </row>
    <row r="855" spans="33:53">
      <c r="AG855" s="101"/>
      <c r="AH855" s="101"/>
      <c r="AI855" s="101"/>
      <c r="AJ855" s="101"/>
      <c r="AK855" s="101"/>
      <c r="AM855" s="195"/>
      <c r="AT855" s="101"/>
      <c r="AU855" s="101"/>
      <c r="AV855" s="101"/>
      <c r="AW855" s="101"/>
      <c r="AX855" s="101"/>
      <c r="AY855" s="101"/>
      <c r="AZ855" s="101"/>
      <c r="BA855" s="101"/>
    </row>
    <row r="856" spans="33:53">
      <c r="AG856" s="101"/>
      <c r="AH856" s="101"/>
      <c r="AI856" s="101"/>
      <c r="AJ856" s="101"/>
      <c r="AK856" s="101"/>
      <c r="AM856" s="195"/>
      <c r="AT856" s="101"/>
      <c r="AU856" s="101"/>
      <c r="AV856" s="101"/>
      <c r="AW856" s="101"/>
      <c r="AX856" s="101"/>
      <c r="AY856" s="101"/>
      <c r="AZ856" s="101"/>
      <c r="BA856" s="101"/>
    </row>
    <row r="857" spans="33:53">
      <c r="AG857" s="101"/>
      <c r="AH857" s="101"/>
      <c r="AI857" s="101"/>
      <c r="AJ857" s="101"/>
      <c r="AK857" s="101"/>
      <c r="AM857" s="195"/>
      <c r="AT857" s="101"/>
      <c r="AU857" s="101"/>
      <c r="AV857" s="101"/>
      <c r="AW857" s="101"/>
      <c r="AX857" s="101"/>
      <c r="AY857" s="101"/>
      <c r="AZ857" s="101"/>
      <c r="BA857" s="101"/>
    </row>
    <row r="858" spans="33:53">
      <c r="AG858" s="101"/>
      <c r="AH858" s="101"/>
      <c r="AI858" s="101"/>
      <c r="AJ858" s="101"/>
      <c r="AK858" s="101"/>
      <c r="AM858" s="195"/>
      <c r="AT858" s="101"/>
      <c r="AU858" s="101"/>
      <c r="AV858" s="101"/>
      <c r="AW858" s="101"/>
      <c r="AX858" s="101"/>
      <c r="AY858" s="101"/>
      <c r="AZ858" s="101"/>
      <c r="BA858" s="101"/>
    </row>
    <row r="859" spans="33:53">
      <c r="AG859" s="101"/>
      <c r="AH859" s="101"/>
      <c r="AI859" s="101"/>
      <c r="AJ859" s="101"/>
      <c r="AK859" s="101"/>
      <c r="AM859" s="195"/>
      <c r="AT859" s="101"/>
      <c r="AU859" s="101"/>
      <c r="AV859" s="101"/>
      <c r="AW859" s="101"/>
      <c r="AX859" s="101"/>
      <c r="AY859" s="101"/>
      <c r="AZ859" s="101"/>
      <c r="BA859" s="101"/>
    </row>
    <row r="860" spans="33:53">
      <c r="AG860" s="101"/>
      <c r="AH860" s="101"/>
      <c r="AI860" s="101"/>
      <c r="AJ860" s="101"/>
      <c r="AK860" s="101"/>
      <c r="AM860" s="195"/>
      <c r="AT860" s="101"/>
      <c r="AU860" s="101"/>
      <c r="AV860" s="101"/>
      <c r="AW860" s="101"/>
      <c r="AX860" s="101"/>
      <c r="AY860" s="101"/>
      <c r="AZ860" s="101"/>
      <c r="BA860" s="101"/>
    </row>
    <row r="861" spans="33:53">
      <c r="AG861" s="101"/>
      <c r="AH861" s="101"/>
      <c r="AI861" s="101"/>
      <c r="AJ861" s="101"/>
      <c r="AK861" s="101"/>
      <c r="AM861" s="195"/>
      <c r="AT861" s="101"/>
      <c r="AU861" s="101"/>
      <c r="AV861" s="101"/>
      <c r="AW861" s="101"/>
      <c r="AX861" s="101"/>
      <c r="AY861" s="101"/>
      <c r="AZ861" s="101"/>
      <c r="BA861" s="101"/>
    </row>
    <row r="862" spans="33:53">
      <c r="AG862" s="101"/>
      <c r="AH862" s="101"/>
      <c r="AI862" s="101"/>
      <c r="AJ862" s="101"/>
      <c r="AK862" s="101"/>
      <c r="AM862" s="195"/>
      <c r="AT862" s="101"/>
      <c r="AU862" s="101"/>
      <c r="AV862" s="101"/>
      <c r="AW862" s="101"/>
      <c r="AX862" s="101"/>
      <c r="AY862" s="101"/>
      <c r="AZ862" s="101"/>
      <c r="BA862" s="101"/>
    </row>
    <row r="863" spans="33:53">
      <c r="AG863" s="101"/>
      <c r="AH863" s="101"/>
      <c r="AI863" s="101"/>
      <c r="AJ863" s="101"/>
      <c r="AK863" s="101"/>
      <c r="AM863" s="195"/>
      <c r="AT863" s="101"/>
      <c r="AU863" s="101"/>
      <c r="AV863" s="101"/>
      <c r="AW863" s="101"/>
      <c r="AX863" s="101"/>
      <c r="AY863" s="101"/>
      <c r="AZ863" s="101"/>
      <c r="BA863" s="101"/>
    </row>
    <row r="864" spans="33:53">
      <c r="AG864" s="101"/>
      <c r="AH864" s="101"/>
      <c r="AI864" s="101"/>
      <c r="AJ864" s="101"/>
      <c r="AK864" s="101"/>
      <c r="AM864" s="195"/>
      <c r="AT864" s="101"/>
      <c r="AU864" s="101"/>
      <c r="AV864" s="101"/>
      <c r="AW864" s="101"/>
      <c r="AX864" s="101"/>
      <c r="AY864" s="101"/>
      <c r="AZ864" s="101"/>
      <c r="BA864" s="101"/>
    </row>
    <row r="865" spans="33:53">
      <c r="AG865" s="101"/>
      <c r="AH865" s="101"/>
      <c r="AI865" s="101"/>
      <c r="AJ865" s="101"/>
      <c r="AK865" s="101"/>
      <c r="AM865" s="195"/>
      <c r="AT865" s="101"/>
      <c r="AU865" s="101"/>
      <c r="AV865" s="101"/>
      <c r="AW865" s="101"/>
      <c r="AX865" s="101"/>
      <c r="AY865" s="101"/>
      <c r="AZ865" s="101"/>
      <c r="BA865" s="101"/>
    </row>
    <row r="866" spans="33:53">
      <c r="AG866" s="101"/>
      <c r="AH866" s="101"/>
      <c r="AI866" s="101"/>
      <c r="AJ866" s="101"/>
      <c r="AK866" s="101"/>
      <c r="AM866" s="195"/>
      <c r="AT866" s="101"/>
      <c r="AU866" s="101"/>
      <c r="AV866" s="101"/>
      <c r="AW866" s="101"/>
      <c r="AX866" s="101"/>
      <c r="AY866" s="101"/>
      <c r="AZ866" s="101"/>
      <c r="BA866" s="101"/>
    </row>
    <row r="867" spans="33:53">
      <c r="AG867" s="101"/>
      <c r="AH867" s="101"/>
      <c r="AI867" s="101"/>
      <c r="AJ867" s="101"/>
      <c r="AK867" s="101"/>
      <c r="AM867" s="195"/>
      <c r="AT867" s="101"/>
      <c r="AU867" s="101"/>
      <c r="AV867" s="101"/>
      <c r="AW867" s="101"/>
      <c r="AX867" s="101"/>
      <c r="AY867" s="101"/>
      <c r="AZ867" s="101"/>
      <c r="BA867" s="101"/>
    </row>
    <row r="868" spans="33:53">
      <c r="AG868" s="101"/>
      <c r="AH868" s="101"/>
      <c r="AI868" s="101"/>
      <c r="AJ868" s="101"/>
      <c r="AK868" s="101"/>
      <c r="AM868" s="195"/>
      <c r="AT868" s="101"/>
      <c r="AU868" s="101"/>
      <c r="AV868" s="101"/>
      <c r="AW868" s="101"/>
      <c r="AX868" s="101"/>
      <c r="AY868" s="101"/>
      <c r="AZ868" s="101"/>
      <c r="BA868" s="101"/>
    </row>
    <row r="869" spans="33:53">
      <c r="AG869" s="101"/>
      <c r="AH869" s="101"/>
      <c r="AI869" s="101"/>
      <c r="AJ869" s="101"/>
      <c r="AK869" s="101"/>
      <c r="AM869" s="195"/>
      <c r="AT869" s="101"/>
      <c r="AU869" s="101"/>
      <c r="AV869" s="101"/>
      <c r="AW869" s="101"/>
      <c r="AX869" s="101"/>
      <c r="AY869" s="101"/>
      <c r="AZ869" s="101"/>
      <c r="BA869" s="101"/>
    </row>
    <row r="870" spans="33:53">
      <c r="AG870" s="101"/>
      <c r="AH870" s="101"/>
      <c r="AI870" s="101"/>
      <c r="AJ870" s="101"/>
      <c r="AK870" s="101"/>
      <c r="AM870" s="195"/>
      <c r="AT870" s="101"/>
      <c r="AU870" s="101"/>
      <c r="AV870" s="101"/>
      <c r="AW870" s="101"/>
      <c r="AX870" s="101"/>
      <c r="AY870" s="101"/>
      <c r="AZ870" s="101"/>
      <c r="BA870" s="101"/>
    </row>
    <row r="871" spans="33:53">
      <c r="AG871" s="101"/>
      <c r="AH871" s="101"/>
      <c r="AI871" s="101"/>
      <c r="AJ871" s="101"/>
      <c r="AK871" s="101"/>
      <c r="AM871" s="195"/>
      <c r="AT871" s="101"/>
      <c r="AU871" s="101"/>
      <c r="AV871" s="101"/>
      <c r="AW871" s="101"/>
      <c r="AX871" s="101"/>
      <c r="AY871" s="101"/>
      <c r="AZ871" s="101"/>
      <c r="BA871" s="101"/>
    </row>
    <row r="872" spans="33:53">
      <c r="AG872" s="101"/>
      <c r="AH872" s="101"/>
      <c r="AI872" s="101"/>
      <c r="AJ872" s="101"/>
      <c r="AK872" s="101"/>
      <c r="AM872" s="195"/>
      <c r="AT872" s="101"/>
      <c r="AU872" s="101"/>
      <c r="AV872" s="101"/>
      <c r="AW872" s="101"/>
      <c r="AX872" s="101"/>
      <c r="AY872" s="101"/>
      <c r="AZ872" s="101"/>
      <c r="BA872" s="101"/>
    </row>
    <row r="873" spans="33:53">
      <c r="AG873" s="101"/>
      <c r="AH873" s="101"/>
      <c r="AI873" s="101"/>
      <c r="AJ873" s="101"/>
      <c r="AK873" s="101"/>
      <c r="AM873" s="195"/>
      <c r="AT873" s="101"/>
      <c r="AU873" s="101"/>
      <c r="AV873" s="101"/>
      <c r="AW873" s="101"/>
      <c r="AX873" s="101"/>
      <c r="AY873" s="101"/>
      <c r="AZ873" s="101"/>
      <c r="BA873" s="101"/>
    </row>
    <row r="874" spans="33:53">
      <c r="AG874" s="101"/>
      <c r="AH874" s="101"/>
      <c r="AI874" s="101"/>
      <c r="AJ874" s="101"/>
      <c r="AK874" s="101"/>
      <c r="AM874" s="195"/>
      <c r="AT874" s="101"/>
      <c r="AU874" s="101"/>
      <c r="AV874" s="101"/>
      <c r="AW874" s="101"/>
      <c r="AX874" s="101"/>
      <c r="AY874" s="101"/>
      <c r="AZ874" s="101"/>
      <c r="BA874" s="101"/>
    </row>
    <row r="875" spans="33:53">
      <c r="AG875" s="101"/>
      <c r="AH875" s="101"/>
      <c r="AI875" s="101"/>
      <c r="AJ875" s="101"/>
      <c r="AK875" s="101"/>
      <c r="AM875" s="195"/>
      <c r="AT875" s="101"/>
      <c r="AU875" s="101"/>
      <c r="AV875" s="101"/>
      <c r="AW875" s="101"/>
      <c r="AX875" s="101"/>
      <c r="AY875" s="101"/>
      <c r="AZ875" s="101"/>
      <c r="BA875" s="101"/>
    </row>
    <row r="876" spans="33:53">
      <c r="AG876" s="101"/>
      <c r="AH876" s="101"/>
      <c r="AI876" s="101"/>
      <c r="AJ876" s="101"/>
      <c r="AK876" s="101"/>
      <c r="AM876" s="195"/>
      <c r="AT876" s="101"/>
      <c r="AU876" s="101"/>
      <c r="AV876" s="101"/>
      <c r="AW876" s="101"/>
      <c r="AX876" s="101"/>
      <c r="AY876" s="101"/>
      <c r="AZ876" s="101"/>
      <c r="BA876" s="101"/>
    </row>
    <row r="877" spans="33:53">
      <c r="AG877" s="101"/>
      <c r="AH877" s="101"/>
      <c r="AI877" s="101"/>
      <c r="AJ877" s="101"/>
      <c r="AK877" s="101"/>
      <c r="AM877" s="195"/>
      <c r="AT877" s="101"/>
      <c r="AU877" s="101"/>
      <c r="AV877" s="101"/>
      <c r="AW877" s="101"/>
      <c r="AX877" s="101"/>
      <c r="AY877" s="101"/>
      <c r="AZ877" s="101"/>
      <c r="BA877" s="101"/>
    </row>
    <row r="878" spans="33:53">
      <c r="AG878" s="101"/>
      <c r="AH878" s="101"/>
      <c r="AI878" s="101"/>
      <c r="AJ878" s="101"/>
      <c r="AK878" s="101"/>
      <c r="AM878" s="195"/>
      <c r="AT878" s="101"/>
      <c r="AU878" s="101"/>
      <c r="AV878" s="101"/>
      <c r="AW878" s="101"/>
      <c r="AX878" s="101"/>
      <c r="AY878" s="101"/>
      <c r="AZ878" s="101"/>
      <c r="BA878" s="101"/>
    </row>
    <row r="879" spans="33:53">
      <c r="AG879" s="101"/>
      <c r="AH879" s="101"/>
      <c r="AI879" s="101"/>
      <c r="AJ879" s="101"/>
      <c r="AK879" s="101"/>
      <c r="AM879" s="195"/>
      <c r="AT879" s="101"/>
      <c r="AU879" s="101"/>
      <c r="AV879" s="101"/>
      <c r="AW879" s="101"/>
      <c r="AX879" s="101"/>
      <c r="AY879" s="101"/>
      <c r="AZ879" s="101"/>
      <c r="BA879" s="101"/>
    </row>
    <row r="880" spans="33:53">
      <c r="AG880" s="101"/>
      <c r="AH880" s="101"/>
      <c r="AI880" s="101"/>
      <c r="AJ880" s="101"/>
      <c r="AK880" s="101"/>
      <c r="AM880" s="195"/>
      <c r="AT880" s="101"/>
      <c r="AU880" s="101"/>
      <c r="AV880" s="101"/>
      <c r="AW880" s="101"/>
      <c r="AX880" s="101"/>
      <c r="AY880" s="101"/>
      <c r="AZ880" s="101"/>
      <c r="BA880" s="101"/>
    </row>
    <row r="881" spans="33:54">
      <c r="AG881" s="101"/>
      <c r="AH881" s="101"/>
      <c r="AI881" s="101"/>
      <c r="AJ881" s="101"/>
      <c r="AK881" s="101"/>
      <c r="AM881" s="195"/>
      <c r="AT881" s="101"/>
      <c r="AU881" s="101"/>
      <c r="AV881" s="101"/>
      <c r="AW881" s="101"/>
      <c r="AX881" s="101"/>
      <c r="AY881" s="101"/>
      <c r="AZ881" s="101"/>
      <c r="BA881" s="101"/>
    </row>
    <row r="882" spans="33:54">
      <c r="AG882" s="101"/>
      <c r="AH882" s="101"/>
      <c r="AI882" s="101"/>
      <c r="AJ882" s="101"/>
      <c r="AK882" s="101"/>
      <c r="AM882" s="195"/>
      <c r="AT882" s="101"/>
      <c r="AU882" s="101"/>
      <c r="AV882" s="101"/>
      <c r="AW882" s="101"/>
      <c r="AX882" s="101"/>
      <c r="AY882" s="101"/>
      <c r="AZ882" s="101"/>
      <c r="BA882" s="101"/>
    </row>
    <row r="883" spans="33:54">
      <c r="AG883" s="101"/>
      <c r="AH883" s="101"/>
      <c r="AI883" s="101"/>
      <c r="AJ883" s="101"/>
      <c r="AK883" s="101"/>
      <c r="AM883" s="195"/>
      <c r="AT883" s="101"/>
      <c r="AU883" s="101"/>
      <c r="AV883" s="101"/>
      <c r="AW883" s="101"/>
      <c r="AX883" s="101"/>
      <c r="AY883" s="101"/>
      <c r="AZ883" s="101"/>
      <c r="BA883" s="101"/>
    </row>
    <row r="884" spans="33:54">
      <c r="AG884" s="101"/>
      <c r="AH884" s="101"/>
      <c r="AI884" s="101"/>
      <c r="AJ884" s="101"/>
      <c r="AK884" s="101"/>
      <c r="AM884" s="195"/>
      <c r="AT884" s="101"/>
      <c r="AU884" s="101"/>
      <c r="AV884" s="101"/>
      <c r="AW884" s="101"/>
      <c r="AX884" s="101"/>
      <c r="AY884" s="101"/>
      <c r="AZ884" s="101"/>
      <c r="BA884" s="101"/>
      <c r="BB884" s="101"/>
    </row>
    <row r="885" spans="33:54">
      <c r="AG885" s="101"/>
      <c r="AH885" s="101"/>
      <c r="AI885" s="101"/>
      <c r="AJ885" s="101"/>
      <c r="AK885" s="101"/>
      <c r="AM885" s="195"/>
      <c r="AT885" s="101"/>
      <c r="AU885" s="101"/>
      <c r="AV885" s="101"/>
      <c r="AW885" s="101"/>
      <c r="AX885" s="101"/>
      <c r="AY885" s="101"/>
      <c r="AZ885" s="101"/>
      <c r="BA885" s="101"/>
    </row>
    <row r="886" spans="33:54">
      <c r="AG886" s="101"/>
      <c r="AH886" s="101"/>
      <c r="AI886" s="101"/>
      <c r="AJ886" s="101"/>
      <c r="AK886" s="101"/>
      <c r="AM886" s="195"/>
      <c r="AT886" s="101"/>
      <c r="AU886" s="101"/>
      <c r="AV886" s="101"/>
      <c r="AW886" s="101"/>
      <c r="AX886" s="101"/>
      <c r="AY886" s="101"/>
      <c r="AZ886" s="101"/>
      <c r="BA886" s="101"/>
    </row>
    <row r="887" spans="33:54">
      <c r="AG887" s="101"/>
      <c r="AH887" s="101"/>
      <c r="AI887" s="101"/>
      <c r="AJ887" s="101"/>
      <c r="AK887" s="101"/>
      <c r="AM887" s="195"/>
      <c r="AT887" s="101"/>
      <c r="AU887" s="101"/>
      <c r="AV887" s="101"/>
      <c r="AW887" s="101"/>
      <c r="AX887" s="101"/>
      <c r="AY887" s="101"/>
      <c r="AZ887" s="101"/>
      <c r="BA887" s="101"/>
    </row>
    <row r="888" spans="33:54">
      <c r="AG888" s="101"/>
      <c r="AH888" s="101"/>
      <c r="AI888" s="101"/>
      <c r="AJ888" s="101"/>
      <c r="AK888" s="101"/>
      <c r="AM888" s="195"/>
      <c r="AT888" s="101"/>
      <c r="AU888" s="101"/>
      <c r="AV888" s="101"/>
      <c r="AW888" s="101"/>
      <c r="AX888" s="101"/>
      <c r="AY888" s="101"/>
      <c r="AZ888" s="101"/>
      <c r="BA888" s="101"/>
    </row>
    <row r="889" spans="33:54">
      <c r="AG889" s="101"/>
      <c r="AH889" s="101"/>
      <c r="AI889" s="101"/>
      <c r="AJ889" s="101"/>
      <c r="AK889" s="101"/>
      <c r="AM889" s="195"/>
      <c r="AT889" s="101"/>
      <c r="AU889" s="101"/>
      <c r="AV889" s="101"/>
      <c r="AW889" s="101"/>
      <c r="AX889" s="101"/>
      <c r="AY889" s="101"/>
      <c r="AZ889" s="101"/>
      <c r="BA889" s="101"/>
    </row>
    <row r="890" spans="33:54">
      <c r="AG890" s="101"/>
      <c r="AH890" s="101"/>
      <c r="AI890" s="101"/>
      <c r="AJ890" s="101"/>
      <c r="AK890" s="101"/>
      <c r="AM890" s="195"/>
      <c r="AT890" s="101"/>
      <c r="AU890" s="101"/>
      <c r="AV890" s="101"/>
      <c r="AW890" s="101"/>
      <c r="AX890" s="101"/>
      <c r="AY890" s="101"/>
      <c r="AZ890" s="101"/>
      <c r="BA890" s="101"/>
    </row>
    <row r="891" spans="33:54">
      <c r="AG891" s="101"/>
      <c r="AH891" s="101"/>
      <c r="AI891" s="101"/>
      <c r="AJ891" s="101"/>
      <c r="AK891" s="101"/>
      <c r="AM891" s="195"/>
      <c r="AT891" s="101"/>
      <c r="AU891" s="101"/>
      <c r="AV891" s="101"/>
      <c r="AW891" s="101"/>
      <c r="AX891" s="101"/>
      <c r="AY891" s="101"/>
      <c r="AZ891" s="101"/>
      <c r="BA891" s="101"/>
    </row>
    <row r="892" spans="33:54">
      <c r="AG892" s="101"/>
      <c r="AH892" s="101"/>
      <c r="AI892" s="101"/>
      <c r="AJ892" s="101"/>
      <c r="AK892" s="101"/>
      <c r="AM892" s="195"/>
      <c r="AT892" s="101"/>
      <c r="AU892" s="101"/>
      <c r="AV892" s="101"/>
      <c r="AW892" s="101"/>
      <c r="AX892" s="101"/>
      <c r="AY892" s="101"/>
      <c r="AZ892" s="101"/>
      <c r="BA892" s="101"/>
    </row>
    <row r="893" spans="33:54">
      <c r="AG893" s="101"/>
      <c r="AH893" s="101"/>
      <c r="AI893" s="101"/>
      <c r="AJ893" s="101"/>
      <c r="AK893" s="101"/>
      <c r="AM893" s="195"/>
      <c r="AT893" s="101"/>
      <c r="AU893" s="101"/>
      <c r="AV893" s="101"/>
      <c r="AW893" s="101"/>
      <c r="AX893" s="101"/>
      <c r="AY893" s="101"/>
      <c r="AZ893" s="101"/>
      <c r="BA893" s="101"/>
    </row>
    <row r="894" spans="33:54">
      <c r="AG894" s="101"/>
      <c r="AH894" s="101"/>
      <c r="AI894" s="101"/>
      <c r="AJ894" s="101"/>
      <c r="AK894" s="101"/>
      <c r="AM894" s="195"/>
      <c r="AT894" s="101"/>
      <c r="AU894" s="101"/>
      <c r="AV894" s="101"/>
      <c r="AW894" s="101"/>
      <c r="AX894" s="101"/>
      <c r="AY894" s="101"/>
      <c r="AZ894" s="101"/>
      <c r="BA894" s="101"/>
    </row>
    <row r="895" spans="33:54">
      <c r="AG895" s="101"/>
      <c r="AH895" s="101"/>
      <c r="AI895" s="101"/>
      <c r="AJ895" s="101"/>
      <c r="AK895" s="101"/>
      <c r="AM895" s="195"/>
      <c r="AT895" s="101"/>
      <c r="AU895" s="101"/>
      <c r="AV895" s="101"/>
      <c r="AW895" s="101"/>
      <c r="AX895" s="101"/>
      <c r="AY895" s="101"/>
      <c r="AZ895" s="101"/>
      <c r="BA895" s="101"/>
    </row>
    <row r="896" spans="33:54">
      <c r="AG896" s="101"/>
      <c r="AH896" s="101"/>
      <c r="AI896" s="101"/>
      <c r="AJ896" s="101"/>
      <c r="AK896" s="101"/>
      <c r="AM896" s="195"/>
      <c r="AT896" s="101"/>
      <c r="AU896" s="101"/>
      <c r="AV896" s="101"/>
      <c r="AW896" s="101"/>
      <c r="AX896" s="101"/>
      <c r="AY896" s="101"/>
      <c r="AZ896" s="101"/>
      <c r="BA896" s="101"/>
    </row>
    <row r="897" spans="33:70">
      <c r="AG897" s="101"/>
      <c r="AH897" s="101"/>
      <c r="AI897" s="101"/>
      <c r="AJ897" s="101"/>
      <c r="AK897" s="101"/>
      <c r="AM897" s="195"/>
      <c r="AT897" s="101"/>
      <c r="AU897" s="101"/>
      <c r="AV897" s="101"/>
      <c r="AW897" s="101"/>
      <c r="AX897" s="101"/>
      <c r="AY897" s="101"/>
      <c r="AZ897" s="101"/>
      <c r="BA897" s="101"/>
    </row>
    <row r="898" spans="33:70">
      <c r="AG898" s="101"/>
      <c r="AH898" s="101"/>
      <c r="AI898" s="101"/>
      <c r="AJ898" s="101"/>
      <c r="AK898" s="101"/>
      <c r="AM898" s="195"/>
      <c r="AT898" s="101"/>
      <c r="AU898" s="101"/>
      <c r="AV898" s="101"/>
      <c r="AW898" s="101"/>
      <c r="AX898" s="101"/>
      <c r="AY898" s="101"/>
      <c r="AZ898" s="101"/>
      <c r="BA898" s="101"/>
    </row>
    <row r="899" spans="33:70">
      <c r="AG899" s="101"/>
      <c r="AH899" s="101"/>
      <c r="AI899" s="101"/>
      <c r="AJ899" s="101"/>
      <c r="AK899" s="101"/>
      <c r="AM899" s="195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101"/>
      <c r="BE899" s="101"/>
      <c r="BF899" s="101"/>
      <c r="BG899" s="101"/>
      <c r="BH899" s="101"/>
      <c r="BI899" s="101"/>
      <c r="BJ899" s="101"/>
      <c r="BK899" s="101"/>
      <c r="BL899" s="101"/>
      <c r="BM899" s="101"/>
      <c r="BN899" s="101"/>
      <c r="BO899" s="101"/>
      <c r="BP899" s="101"/>
      <c r="BQ899" s="101"/>
      <c r="BR899" s="101"/>
    </row>
    <row r="900" spans="33:70">
      <c r="AG900" s="101"/>
      <c r="AH900" s="101"/>
      <c r="AI900" s="101"/>
      <c r="AJ900" s="101"/>
      <c r="AK900" s="101"/>
      <c r="AM900" s="195"/>
      <c r="AT900" s="101"/>
      <c r="AU900" s="101"/>
      <c r="AV900" s="101"/>
      <c r="AW900" s="101"/>
      <c r="AX900" s="101"/>
      <c r="AY900" s="101"/>
      <c r="AZ900" s="101"/>
      <c r="BA900" s="101"/>
    </row>
    <row r="901" spans="33:70">
      <c r="AG901" s="101"/>
      <c r="AH901" s="101"/>
      <c r="AI901" s="101"/>
      <c r="AJ901" s="101"/>
      <c r="AK901" s="101"/>
      <c r="AM901" s="195"/>
      <c r="AT901" s="101"/>
      <c r="AU901" s="101"/>
      <c r="AV901" s="101"/>
      <c r="AW901" s="101"/>
      <c r="AX901" s="101"/>
      <c r="AY901" s="101"/>
      <c r="AZ901" s="101"/>
      <c r="BA901" s="101"/>
    </row>
    <row r="902" spans="33:70">
      <c r="AG902" s="101"/>
      <c r="AH902" s="101"/>
      <c r="AI902" s="101"/>
      <c r="AJ902" s="101"/>
      <c r="AK902" s="101"/>
      <c r="AM902" s="195"/>
      <c r="AT902" s="101"/>
      <c r="AU902" s="101"/>
      <c r="AV902" s="101"/>
      <c r="AW902" s="101"/>
      <c r="AX902" s="101"/>
      <c r="AY902" s="101"/>
      <c r="AZ902" s="101"/>
      <c r="BA902" s="101"/>
    </row>
    <row r="903" spans="33:70">
      <c r="AG903" s="101"/>
      <c r="AH903" s="101"/>
      <c r="AI903" s="101"/>
      <c r="AJ903" s="101"/>
      <c r="AK903" s="101"/>
      <c r="AM903" s="195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101"/>
      <c r="BE903" s="101"/>
      <c r="BF903" s="101"/>
      <c r="BG903" s="101"/>
      <c r="BH903" s="101"/>
      <c r="BI903" s="101"/>
      <c r="BJ903" s="101"/>
      <c r="BK903" s="101"/>
      <c r="BL903" s="101"/>
      <c r="BM903" s="101"/>
      <c r="BN903" s="101"/>
      <c r="BO903" s="101"/>
      <c r="BP903" s="101"/>
      <c r="BQ903" s="101"/>
      <c r="BR903" s="101"/>
    </row>
    <row r="904" spans="33:70">
      <c r="AG904" s="101"/>
      <c r="AH904" s="101"/>
      <c r="AI904" s="101"/>
      <c r="AJ904" s="101"/>
      <c r="AK904" s="101"/>
      <c r="AM904" s="195"/>
      <c r="AT904" s="101"/>
      <c r="AU904" s="101"/>
      <c r="AV904" s="101"/>
      <c r="AW904" s="101"/>
      <c r="AX904" s="101"/>
      <c r="AY904" s="101"/>
      <c r="AZ904" s="101"/>
      <c r="BA904" s="101"/>
    </row>
    <row r="905" spans="33:70">
      <c r="AG905" s="101"/>
      <c r="AH905" s="101"/>
      <c r="AI905" s="101"/>
      <c r="AJ905" s="101"/>
      <c r="AK905" s="101"/>
      <c r="AM905" s="195"/>
      <c r="AT905" s="101"/>
      <c r="AU905" s="101"/>
      <c r="AV905" s="101"/>
      <c r="AW905" s="101"/>
      <c r="AX905" s="101"/>
      <c r="AY905" s="101"/>
      <c r="AZ905" s="101"/>
      <c r="BA905" s="101"/>
    </row>
    <row r="906" spans="33:70">
      <c r="AG906" s="101"/>
      <c r="AH906" s="101"/>
      <c r="AI906" s="101"/>
      <c r="AJ906" s="101"/>
      <c r="AK906" s="101"/>
      <c r="AM906" s="195"/>
      <c r="AT906" s="101"/>
      <c r="AU906" s="101"/>
      <c r="AV906" s="101"/>
      <c r="AW906" s="101"/>
      <c r="AX906" s="101"/>
      <c r="AY906" s="101"/>
      <c r="AZ906" s="101"/>
      <c r="BA906" s="101"/>
    </row>
    <row r="907" spans="33:70">
      <c r="AG907" s="101"/>
      <c r="AH907" s="101"/>
      <c r="AI907" s="101"/>
      <c r="AJ907" s="101"/>
      <c r="AK907" s="101"/>
      <c r="AM907" s="195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101"/>
      <c r="BE907" s="101"/>
      <c r="BF907" s="101"/>
      <c r="BG907" s="101"/>
      <c r="BH907" s="101"/>
      <c r="BI907" s="101"/>
      <c r="BJ907" s="101"/>
      <c r="BK907" s="101"/>
      <c r="BL907" s="101"/>
      <c r="BM907" s="101"/>
      <c r="BN907" s="101"/>
      <c r="BO907" s="101"/>
      <c r="BP907" s="101"/>
      <c r="BQ907" s="101"/>
      <c r="BR907" s="101"/>
    </row>
    <row r="908" spans="33:70">
      <c r="AG908" s="101"/>
      <c r="AH908" s="101"/>
      <c r="AI908" s="101"/>
      <c r="AJ908" s="101"/>
      <c r="AK908" s="101"/>
      <c r="AM908" s="195"/>
      <c r="AT908" s="101"/>
      <c r="AU908" s="101"/>
      <c r="AV908" s="101"/>
      <c r="AW908" s="101"/>
      <c r="AX908" s="101"/>
      <c r="AY908" s="101"/>
      <c r="AZ908" s="101"/>
      <c r="BA908" s="101"/>
    </row>
    <row r="909" spans="33:70">
      <c r="AG909" s="101"/>
      <c r="AH909" s="101"/>
      <c r="AI909" s="101"/>
      <c r="AJ909" s="101"/>
      <c r="AK909" s="101"/>
      <c r="AM909" s="195"/>
      <c r="AT909" s="101"/>
      <c r="AU909" s="101"/>
      <c r="AV909" s="101"/>
      <c r="AW909" s="101"/>
      <c r="AX909" s="101"/>
      <c r="AY909" s="101"/>
      <c r="AZ909" s="101"/>
      <c r="BA909" s="101"/>
    </row>
    <row r="910" spans="33:70">
      <c r="AG910" s="101"/>
      <c r="AH910" s="101"/>
      <c r="AI910" s="101"/>
      <c r="AJ910" s="101"/>
      <c r="AK910" s="101"/>
      <c r="AM910" s="195"/>
      <c r="AT910" s="101"/>
      <c r="AU910" s="101"/>
      <c r="AV910" s="101"/>
      <c r="AW910" s="101"/>
      <c r="AX910" s="101"/>
      <c r="AY910" s="101"/>
      <c r="AZ910" s="101"/>
      <c r="BA910" s="101"/>
    </row>
    <row r="911" spans="33:70">
      <c r="AG911" s="101"/>
      <c r="AH911" s="101"/>
      <c r="AI911" s="101"/>
      <c r="AJ911" s="101"/>
      <c r="AK911" s="101"/>
      <c r="AM911" s="195"/>
      <c r="AT911" s="101"/>
      <c r="AU911" s="101"/>
      <c r="AV911" s="101"/>
      <c r="AW911" s="101"/>
      <c r="AX911" s="101"/>
      <c r="AY911" s="101"/>
      <c r="AZ911" s="101"/>
      <c r="BA911" s="101"/>
    </row>
    <row r="912" spans="33:70">
      <c r="AG912" s="101"/>
      <c r="AH912" s="101"/>
      <c r="AI912" s="101"/>
      <c r="AJ912" s="101"/>
      <c r="AK912" s="101"/>
      <c r="AM912" s="195"/>
      <c r="AT912" s="101"/>
      <c r="AU912" s="101"/>
      <c r="AV912" s="101"/>
      <c r="AW912" s="101"/>
      <c r="AX912" s="101"/>
      <c r="AY912" s="101"/>
      <c r="AZ912" s="101"/>
      <c r="BA912" s="101"/>
    </row>
    <row r="913" spans="33:70">
      <c r="AG913" s="101"/>
      <c r="AH913" s="101"/>
      <c r="AI913" s="101"/>
      <c r="AJ913" s="101"/>
      <c r="AK913" s="101"/>
      <c r="AM913" s="195"/>
      <c r="AT913" s="101"/>
      <c r="AU913" s="101"/>
      <c r="AV913" s="101"/>
      <c r="AW913" s="101"/>
      <c r="AX913" s="101"/>
      <c r="AY913" s="101"/>
      <c r="AZ913" s="101"/>
      <c r="BA913" s="101"/>
    </row>
    <row r="914" spans="33:70">
      <c r="AG914" s="101"/>
      <c r="AH914" s="101"/>
      <c r="AI914" s="101"/>
      <c r="AJ914" s="101"/>
      <c r="AK914" s="101"/>
      <c r="AM914" s="195"/>
      <c r="AT914" s="101"/>
      <c r="AU914" s="101"/>
      <c r="AV914" s="101"/>
      <c r="AW914" s="101"/>
      <c r="AX914" s="101"/>
      <c r="AY914" s="101"/>
      <c r="AZ914" s="101"/>
      <c r="BA914" s="101"/>
    </row>
    <row r="915" spans="33:70">
      <c r="AG915" s="101"/>
      <c r="AH915" s="101"/>
      <c r="AI915" s="101"/>
      <c r="AJ915" s="101"/>
      <c r="AK915" s="101"/>
      <c r="AM915" s="195"/>
      <c r="AT915" s="101"/>
      <c r="AU915" s="101"/>
      <c r="AV915" s="101"/>
      <c r="AW915" s="101"/>
      <c r="AX915" s="101"/>
      <c r="AY915" s="101"/>
      <c r="AZ915" s="101"/>
      <c r="BA915" s="101"/>
    </row>
    <row r="916" spans="33:70">
      <c r="AG916" s="101"/>
      <c r="AH916" s="101"/>
      <c r="AI916" s="101"/>
      <c r="AJ916" s="101"/>
      <c r="AK916" s="101"/>
      <c r="AM916" s="195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101"/>
      <c r="BE916" s="101"/>
      <c r="BF916" s="101"/>
      <c r="BG916" s="101"/>
      <c r="BH916" s="101"/>
      <c r="BI916" s="101"/>
      <c r="BJ916" s="101"/>
      <c r="BK916" s="101"/>
      <c r="BL916" s="101"/>
      <c r="BM916" s="101"/>
      <c r="BN916" s="101"/>
      <c r="BO916" s="101"/>
      <c r="BP916" s="101"/>
      <c r="BQ916" s="101"/>
      <c r="BR916" s="101"/>
    </row>
    <row r="917" spans="33:70">
      <c r="AG917" s="101"/>
      <c r="AH917" s="101"/>
      <c r="AI917" s="101"/>
      <c r="AJ917" s="101"/>
      <c r="AK917" s="101"/>
      <c r="AM917" s="195"/>
      <c r="AT917" s="101"/>
      <c r="AU917" s="101"/>
      <c r="AV917" s="101"/>
      <c r="AW917" s="101"/>
      <c r="AX917" s="101"/>
      <c r="AY917" s="101"/>
      <c r="AZ917" s="101"/>
      <c r="BA917" s="101"/>
    </row>
    <row r="918" spans="33:70">
      <c r="AG918" s="101"/>
      <c r="AH918" s="101"/>
      <c r="AI918" s="101"/>
      <c r="AJ918" s="101"/>
      <c r="AK918" s="101"/>
      <c r="AM918" s="195"/>
      <c r="AT918" s="101"/>
      <c r="AU918" s="101"/>
      <c r="AV918" s="101"/>
      <c r="AW918" s="101"/>
      <c r="AX918" s="101"/>
      <c r="AY918" s="101"/>
      <c r="AZ918" s="101"/>
      <c r="BA918" s="101"/>
    </row>
    <row r="919" spans="33:70">
      <c r="AG919" s="101"/>
      <c r="AH919" s="101"/>
      <c r="AI919" s="101"/>
      <c r="AJ919" s="101"/>
      <c r="AK919" s="101"/>
      <c r="AM919" s="195"/>
      <c r="AT919" s="101"/>
      <c r="AU919" s="101"/>
      <c r="AV919" s="101"/>
      <c r="AW919" s="101"/>
      <c r="AX919" s="101"/>
      <c r="AY919" s="101"/>
      <c r="AZ919" s="101"/>
      <c r="BA919" s="101"/>
    </row>
    <row r="920" spans="33:70">
      <c r="AG920" s="101"/>
      <c r="AH920" s="101"/>
      <c r="AI920" s="101"/>
      <c r="AJ920" s="101"/>
      <c r="AK920" s="101"/>
      <c r="AM920" s="195"/>
      <c r="AT920" s="101"/>
      <c r="AU920" s="101"/>
      <c r="AV920" s="101"/>
      <c r="AW920" s="101"/>
      <c r="AX920" s="101"/>
      <c r="AY920" s="101"/>
      <c r="AZ920" s="101"/>
      <c r="BA920" s="101"/>
    </row>
    <row r="921" spans="33:70">
      <c r="AG921" s="101"/>
      <c r="AH921" s="101"/>
      <c r="AI921" s="101"/>
      <c r="AJ921" s="101"/>
      <c r="AK921" s="101"/>
      <c r="AM921" s="195"/>
      <c r="AT921" s="101"/>
      <c r="AU921" s="101"/>
      <c r="AV921" s="101"/>
      <c r="AW921" s="101"/>
      <c r="AX921" s="101"/>
      <c r="AY921" s="101"/>
      <c r="AZ921" s="101"/>
      <c r="BA921" s="101"/>
    </row>
    <row r="922" spans="33:70">
      <c r="AG922" s="101"/>
      <c r="AH922" s="101"/>
      <c r="AI922" s="101"/>
      <c r="AJ922" s="101"/>
      <c r="AK922" s="101"/>
      <c r="AM922" s="195"/>
      <c r="AT922" s="101"/>
      <c r="AU922" s="101"/>
      <c r="AV922" s="101"/>
      <c r="AW922" s="101"/>
      <c r="AX922" s="101"/>
      <c r="AY922" s="101"/>
      <c r="AZ922" s="101"/>
      <c r="BA922" s="101"/>
    </row>
    <row r="923" spans="33:70">
      <c r="AG923" s="101"/>
      <c r="AH923" s="101"/>
      <c r="AI923" s="101"/>
      <c r="AJ923" s="101"/>
      <c r="AK923" s="101"/>
      <c r="AM923" s="195"/>
      <c r="AT923" s="101"/>
      <c r="AU923" s="101"/>
      <c r="AV923" s="101"/>
      <c r="AW923" s="101"/>
      <c r="AX923" s="101"/>
      <c r="AY923" s="101"/>
      <c r="AZ923" s="101"/>
      <c r="BA923" s="101"/>
    </row>
    <row r="924" spans="33:70">
      <c r="AG924" s="101"/>
      <c r="AH924" s="101"/>
      <c r="AI924" s="101"/>
      <c r="AJ924" s="101"/>
      <c r="AK924" s="101"/>
      <c r="AM924" s="195"/>
      <c r="AT924" s="101"/>
      <c r="AU924" s="101"/>
      <c r="AV924" s="101"/>
      <c r="AW924" s="101"/>
      <c r="AX924" s="101"/>
      <c r="AY924" s="101"/>
      <c r="AZ924" s="101"/>
      <c r="BA924" s="101"/>
    </row>
    <row r="925" spans="33:70">
      <c r="AG925" s="101"/>
      <c r="AH925" s="101"/>
      <c r="AI925" s="101"/>
      <c r="AJ925" s="101"/>
      <c r="AK925" s="101"/>
      <c r="AM925" s="195"/>
      <c r="AT925" s="101"/>
      <c r="AU925" s="101"/>
      <c r="AV925" s="101"/>
      <c r="AW925" s="101"/>
      <c r="AX925" s="101"/>
      <c r="AY925" s="101"/>
      <c r="AZ925" s="101"/>
      <c r="BA925" s="101"/>
    </row>
    <row r="926" spans="33:70">
      <c r="AG926" s="101"/>
      <c r="AH926" s="101"/>
      <c r="AI926" s="101"/>
      <c r="AJ926" s="101"/>
      <c r="AK926" s="101"/>
      <c r="AM926" s="195"/>
      <c r="AT926" s="101"/>
      <c r="AU926" s="101"/>
      <c r="AV926" s="101"/>
      <c r="AW926" s="101"/>
      <c r="AX926" s="101"/>
      <c r="AY926" s="101"/>
      <c r="AZ926" s="101"/>
      <c r="BA926" s="101"/>
    </row>
    <row r="927" spans="33:70">
      <c r="AG927" s="101"/>
      <c r="AH927" s="101"/>
      <c r="AI927" s="101"/>
      <c r="AJ927" s="101"/>
      <c r="AK927" s="101"/>
      <c r="AM927" s="195"/>
      <c r="AT927" s="101"/>
      <c r="AU927" s="101"/>
      <c r="AV927" s="101"/>
      <c r="AW927" s="101"/>
      <c r="AX927" s="101"/>
      <c r="AY927" s="101"/>
      <c r="AZ927" s="101"/>
      <c r="BA927" s="101"/>
    </row>
    <row r="928" spans="33:70">
      <c r="AG928" s="101"/>
      <c r="AH928" s="101"/>
      <c r="AI928" s="101"/>
      <c r="AJ928" s="101"/>
      <c r="AK928" s="101"/>
      <c r="AM928" s="195"/>
      <c r="AT928" s="101"/>
      <c r="AU928" s="101"/>
      <c r="AV928" s="101"/>
      <c r="AW928" s="101"/>
      <c r="AX928" s="101"/>
      <c r="AY928" s="101"/>
      <c r="AZ928" s="101"/>
      <c r="BA928" s="101"/>
    </row>
    <row r="929" spans="33:70">
      <c r="AG929" s="101"/>
      <c r="AH929" s="101"/>
      <c r="AI929" s="101"/>
      <c r="AJ929" s="101"/>
      <c r="AK929" s="101"/>
      <c r="AM929" s="195"/>
      <c r="AT929" s="101"/>
      <c r="AU929" s="101"/>
      <c r="AV929" s="101"/>
      <c r="AW929" s="101"/>
      <c r="AX929" s="101"/>
      <c r="AY929" s="101"/>
      <c r="AZ929" s="101"/>
      <c r="BA929" s="101"/>
    </row>
    <row r="930" spans="33:70">
      <c r="AG930" s="101"/>
      <c r="AH930" s="101"/>
      <c r="AI930" s="101"/>
      <c r="AJ930" s="101"/>
      <c r="AK930" s="101"/>
      <c r="AM930" s="195"/>
      <c r="AT930" s="101"/>
      <c r="AU930" s="101"/>
      <c r="AV930" s="101"/>
      <c r="AW930" s="101"/>
      <c r="AX930" s="101"/>
      <c r="AY930" s="101"/>
      <c r="AZ930" s="101"/>
      <c r="BA930" s="101"/>
    </row>
    <row r="931" spans="33:70">
      <c r="AG931" s="101"/>
      <c r="AH931" s="101"/>
      <c r="AI931" s="101"/>
      <c r="AJ931" s="101"/>
      <c r="AK931" s="101"/>
      <c r="AM931" s="195"/>
      <c r="AT931" s="101"/>
      <c r="AU931" s="101"/>
      <c r="AV931" s="101"/>
      <c r="AW931" s="101"/>
      <c r="AX931" s="101"/>
      <c r="AY931" s="101"/>
      <c r="AZ931" s="101"/>
      <c r="BA931" s="101"/>
    </row>
    <row r="932" spans="33:70">
      <c r="AG932" s="101"/>
      <c r="AH932" s="101"/>
      <c r="AI932" s="101"/>
      <c r="AJ932" s="101"/>
      <c r="AK932" s="101"/>
      <c r="AM932" s="195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101"/>
      <c r="BE932" s="101"/>
      <c r="BF932" s="101"/>
      <c r="BG932" s="101"/>
      <c r="BH932" s="101"/>
      <c r="BI932" s="101"/>
      <c r="BJ932" s="101"/>
      <c r="BK932" s="101"/>
      <c r="BL932" s="101"/>
      <c r="BM932" s="101"/>
      <c r="BN932" s="101"/>
      <c r="BO932" s="101"/>
      <c r="BP932" s="101"/>
      <c r="BQ932" s="101"/>
      <c r="BR932" s="101"/>
    </row>
    <row r="933" spans="33:70">
      <c r="AG933" s="101"/>
      <c r="AH933" s="101"/>
      <c r="AI933" s="101"/>
      <c r="AJ933" s="101"/>
      <c r="AK933" s="101"/>
      <c r="AM933" s="195"/>
      <c r="AT933" s="101"/>
      <c r="AU933" s="101"/>
      <c r="AV933" s="101"/>
      <c r="AW933" s="101"/>
      <c r="AX933" s="101"/>
      <c r="AY933" s="101"/>
      <c r="AZ933" s="101"/>
      <c r="BA933" s="101"/>
    </row>
    <row r="934" spans="33:70">
      <c r="AG934" s="101"/>
      <c r="AH934" s="101"/>
      <c r="AI934" s="101"/>
      <c r="AJ934" s="101"/>
      <c r="AK934" s="101"/>
      <c r="AM934" s="195"/>
      <c r="AT934" s="101"/>
      <c r="AU934" s="101"/>
      <c r="AV934" s="101"/>
      <c r="AW934" s="101"/>
      <c r="AX934" s="101"/>
      <c r="AY934" s="101"/>
      <c r="AZ934" s="101"/>
      <c r="BA934" s="101"/>
    </row>
    <row r="935" spans="33:70">
      <c r="AG935" s="101"/>
      <c r="AH935" s="101"/>
      <c r="AI935" s="101"/>
      <c r="AJ935" s="101"/>
      <c r="AK935" s="101"/>
      <c r="AM935" s="195"/>
      <c r="AT935" s="101"/>
      <c r="AU935" s="101"/>
      <c r="AV935" s="101"/>
      <c r="AW935" s="101"/>
      <c r="AX935" s="101"/>
      <c r="AY935" s="101"/>
      <c r="AZ935" s="101"/>
      <c r="BA935" s="101"/>
    </row>
    <row r="936" spans="33:70">
      <c r="AG936" s="101"/>
      <c r="AH936" s="101"/>
      <c r="AI936" s="101"/>
      <c r="AJ936" s="101"/>
      <c r="AK936" s="101"/>
      <c r="AM936" s="195"/>
      <c r="AT936" s="101"/>
      <c r="AU936" s="101"/>
      <c r="AV936" s="101"/>
      <c r="AW936" s="101"/>
      <c r="AX936" s="101"/>
      <c r="AY936" s="101"/>
      <c r="AZ936" s="101"/>
      <c r="BA936" s="101"/>
    </row>
    <row r="937" spans="33:70">
      <c r="AG937" s="101"/>
      <c r="AH937" s="101"/>
      <c r="AI937" s="101"/>
      <c r="AJ937" s="101"/>
      <c r="AK937" s="101"/>
      <c r="AM937" s="195"/>
      <c r="AT937" s="101"/>
      <c r="AU937" s="101"/>
      <c r="AV937" s="101"/>
      <c r="AW937" s="101"/>
      <c r="AX937" s="101"/>
      <c r="AY937" s="101"/>
      <c r="AZ937" s="101"/>
      <c r="BA937" s="101"/>
    </row>
    <row r="938" spans="33:70">
      <c r="AG938" s="101"/>
      <c r="AH938" s="101"/>
      <c r="AI938" s="101"/>
      <c r="AJ938" s="101"/>
      <c r="AK938" s="101"/>
      <c r="AM938" s="195"/>
      <c r="AT938" s="101"/>
      <c r="AU938" s="101"/>
      <c r="AV938" s="101"/>
      <c r="AW938" s="101"/>
      <c r="AX938" s="101"/>
      <c r="AY938" s="101"/>
      <c r="AZ938" s="101"/>
      <c r="BA938" s="101"/>
    </row>
    <row r="939" spans="33:70">
      <c r="AG939" s="101"/>
      <c r="AH939" s="101"/>
      <c r="AI939" s="101"/>
      <c r="AJ939" s="101"/>
      <c r="AK939" s="101"/>
      <c r="AM939" s="195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101"/>
      <c r="BE939" s="101"/>
      <c r="BF939" s="101"/>
      <c r="BG939" s="101"/>
      <c r="BH939" s="101"/>
      <c r="BI939" s="101"/>
      <c r="BJ939" s="101"/>
      <c r="BK939" s="101"/>
      <c r="BL939" s="101"/>
      <c r="BM939" s="101"/>
      <c r="BN939" s="101"/>
      <c r="BO939" s="101"/>
      <c r="BP939" s="101"/>
      <c r="BQ939" s="101"/>
      <c r="BR939" s="101"/>
    </row>
    <row r="940" spans="33:70">
      <c r="AG940" s="101"/>
      <c r="AH940" s="101"/>
      <c r="AI940" s="101"/>
      <c r="AJ940" s="101"/>
      <c r="AK940" s="101"/>
      <c r="AM940" s="195"/>
      <c r="AT940" s="101"/>
      <c r="AU940" s="101"/>
      <c r="AV940" s="101"/>
      <c r="AW940" s="101"/>
      <c r="AX940" s="101"/>
      <c r="AY940" s="101"/>
      <c r="AZ940" s="101"/>
      <c r="BA940" s="101"/>
    </row>
    <row r="941" spans="33:70">
      <c r="AG941" s="101"/>
      <c r="AH941" s="101"/>
      <c r="AI941" s="101"/>
      <c r="AJ941" s="101"/>
      <c r="AK941" s="101"/>
      <c r="AM941" s="195"/>
      <c r="AT941" s="101"/>
      <c r="AU941" s="101"/>
      <c r="AV941" s="101"/>
      <c r="AW941" s="101"/>
      <c r="AX941" s="101"/>
      <c r="AY941" s="101"/>
      <c r="AZ941" s="101"/>
      <c r="BA941" s="101"/>
    </row>
    <row r="942" spans="33:70">
      <c r="AG942" s="101"/>
      <c r="AH942" s="101"/>
      <c r="AI942" s="101"/>
      <c r="AJ942" s="101"/>
      <c r="AK942" s="101"/>
      <c r="AM942" s="195"/>
      <c r="AT942" s="101"/>
      <c r="AU942" s="101"/>
      <c r="AV942" s="101"/>
      <c r="AW942" s="101"/>
      <c r="AX942" s="101"/>
      <c r="AY942" s="101"/>
      <c r="AZ942" s="101"/>
      <c r="BA942" s="101"/>
    </row>
    <row r="943" spans="33:70">
      <c r="AG943" s="101"/>
      <c r="AH943" s="101"/>
      <c r="AI943" s="101"/>
      <c r="AJ943" s="101"/>
      <c r="AK943" s="101"/>
      <c r="AM943" s="195"/>
      <c r="AT943" s="101"/>
      <c r="AU943" s="101"/>
      <c r="AV943" s="101"/>
      <c r="AW943" s="101"/>
      <c r="AX943" s="101"/>
      <c r="AY943" s="101"/>
      <c r="AZ943" s="101"/>
      <c r="BA943" s="101"/>
    </row>
    <row r="944" spans="33:70">
      <c r="AG944" s="101"/>
      <c r="AH944" s="101"/>
      <c r="AI944" s="101"/>
      <c r="AJ944" s="101"/>
      <c r="AK944" s="101"/>
      <c r="AM944" s="195"/>
      <c r="AT944" s="101"/>
      <c r="AU944" s="101"/>
      <c r="AV944" s="101"/>
      <c r="AW944" s="101"/>
      <c r="AX944" s="101"/>
      <c r="AY944" s="101"/>
      <c r="AZ944" s="101"/>
      <c r="BA944" s="101"/>
    </row>
    <row r="945" spans="33:70">
      <c r="AG945" s="101"/>
      <c r="AH945" s="101"/>
      <c r="AI945" s="101"/>
      <c r="AJ945" s="101"/>
      <c r="AK945" s="101"/>
      <c r="AM945" s="195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101"/>
      <c r="BE945" s="101"/>
      <c r="BF945" s="101"/>
      <c r="BG945" s="101"/>
      <c r="BH945" s="101"/>
      <c r="BI945" s="101"/>
      <c r="BJ945" s="101"/>
      <c r="BK945" s="101"/>
      <c r="BL945" s="101"/>
      <c r="BM945" s="101"/>
      <c r="BN945" s="101"/>
      <c r="BO945" s="101"/>
      <c r="BP945" s="101"/>
      <c r="BQ945" s="101"/>
      <c r="BR945" s="101"/>
    </row>
    <row r="946" spans="33:70">
      <c r="AG946" s="101"/>
      <c r="AH946" s="101"/>
      <c r="AI946" s="101"/>
      <c r="AJ946" s="101"/>
      <c r="AK946" s="101"/>
      <c r="AM946" s="195"/>
      <c r="AT946" s="101"/>
      <c r="AU946" s="101"/>
      <c r="AV946" s="101"/>
      <c r="AW946" s="101"/>
      <c r="AX946" s="101"/>
      <c r="AY946" s="101"/>
      <c r="AZ946" s="101"/>
      <c r="BA946" s="101"/>
    </row>
    <row r="947" spans="33:70">
      <c r="AG947" s="101"/>
      <c r="AH947" s="101"/>
      <c r="AI947" s="101"/>
      <c r="AJ947" s="101"/>
      <c r="AK947" s="101"/>
      <c r="AM947" s="195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101"/>
      <c r="BE947" s="101"/>
      <c r="BF947" s="101"/>
      <c r="BG947" s="101"/>
      <c r="BH947" s="101"/>
      <c r="BI947" s="101"/>
      <c r="BJ947" s="101"/>
      <c r="BK947" s="101"/>
      <c r="BL947" s="101"/>
      <c r="BM947" s="101"/>
      <c r="BN947" s="101"/>
      <c r="BO947" s="101"/>
      <c r="BP947" s="101"/>
      <c r="BQ947" s="101"/>
      <c r="BR947" s="101"/>
    </row>
    <row r="948" spans="33:70">
      <c r="AG948" s="101"/>
      <c r="AH948" s="101"/>
      <c r="AI948" s="101"/>
      <c r="AJ948" s="101"/>
      <c r="AK948" s="101"/>
      <c r="AM948" s="195"/>
      <c r="AT948" s="101"/>
      <c r="AU948" s="101"/>
      <c r="AV948" s="101"/>
      <c r="AW948" s="101"/>
      <c r="AX948" s="101"/>
      <c r="AY948" s="101"/>
      <c r="AZ948" s="101"/>
      <c r="BA948" s="101"/>
    </row>
    <row r="949" spans="33:70">
      <c r="AG949" s="101"/>
      <c r="AH949" s="101"/>
      <c r="AI949" s="101"/>
      <c r="AJ949" s="101"/>
      <c r="AK949" s="101"/>
      <c r="AM949" s="195"/>
      <c r="AT949" s="101"/>
      <c r="AU949" s="101"/>
      <c r="AV949" s="101"/>
      <c r="AW949" s="101"/>
      <c r="AX949" s="101"/>
      <c r="AY949" s="101"/>
      <c r="AZ949" s="101"/>
      <c r="BA949" s="101"/>
      <c r="BB949" s="101"/>
    </row>
    <row r="950" spans="33:70">
      <c r="AG950" s="101"/>
      <c r="AH950" s="101"/>
      <c r="AI950" s="101"/>
      <c r="AJ950" s="101"/>
      <c r="AK950" s="101"/>
      <c r="AM950" s="195"/>
      <c r="AT950" s="101"/>
      <c r="AU950" s="101"/>
      <c r="AV950" s="101"/>
      <c r="AW950" s="101"/>
      <c r="AX950" s="101"/>
      <c r="AY950" s="101"/>
      <c r="AZ950" s="101"/>
      <c r="BA950" s="101"/>
    </row>
    <row r="951" spans="33:70">
      <c r="AG951" s="101"/>
      <c r="AH951" s="101"/>
      <c r="AI951" s="101"/>
      <c r="AJ951" s="101"/>
      <c r="AK951" s="101"/>
      <c r="AM951" s="195"/>
      <c r="AT951" s="101"/>
      <c r="AU951" s="101"/>
      <c r="AV951" s="101"/>
      <c r="AW951" s="101"/>
      <c r="AX951" s="101"/>
      <c r="AY951" s="101"/>
      <c r="AZ951" s="101"/>
      <c r="BA951" s="101"/>
    </row>
    <row r="952" spans="33:70">
      <c r="AG952" s="101"/>
      <c r="AH952" s="101"/>
      <c r="AI952" s="101"/>
      <c r="AJ952" s="101"/>
      <c r="AK952" s="101"/>
      <c r="AM952" s="195"/>
      <c r="AT952" s="101"/>
      <c r="AU952" s="101"/>
      <c r="AV952" s="101"/>
      <c r="AW952" s="101"/>
      <c r="AX952" s="101"/>
      <c r="AY952" s="101"/>
      <c r="AZ952" s="101"/>
      <c r="BA952" s="101"/>
    </row>
    <row r="953" spans="33:70">
      <c r="AG953" s="101"/>
      <c r="AH953" s="101"/>
      <c r="AI953" s="101"/>
      <c r="AJ953" s="101"/>
      <c r="AK953" s="101"/>
      <c r="AM953" s="195"/>
      <c r="AT953" s="101"/>
      <c r="AU953" s="101"/>
      <c r="AV953" s="101"/>
      <c r="AW953" s="101"/>
      <c r="AX953" s="101"/>
      <c r="AY953" s="101"/>
      <c r="AZ953" s="101"/>
      <c r="BA953" s="101"/>
    </row>
    <row r="954" spans="33:70">
      <c r="AG954" s="101"/>
      <c r="AH954" s="101"/>
      <c r="AI954" s="101"/>
      <c r="AJ954" s="101"/>
      <c r="AK954" s="101"/>
      <c r="AM954" s="195"/>
      <c r="AT954" s="101"/>
      <c r="AU954" s="101"/>
      <c r="AV954" s="101"/>
      <c r="AW954" s="101"/>
      <c r="AX954" s="101"/>
      <c r="AY954" s="101"/>
      <c r="AZ954" s="101"/>
      <c r="BA954" s="101"/>
    </row>
    <row r="955" spans="33:70">
      <c r="AG955" s="101"/>
      <c r="AH955" s="101"/>
      <c r="AI955" s="101"/>
      <c r="AJ955" s="101"/>
      <c r="AK955" s="101"/>
      <c r="AM955" s="195"/>
      <c r="AT955" s="101"/>
      <c r="AU955" s="101"/>
      <c r="AV955" s="101"/>
      <c r="AW955" s="101"/>
      <c r="AX955" s="101"/>
      <c r="AY955" s="101"/>
      <c r="AZ955" s="101"/>
      <c r="BA955" s="101"/>
      <c r="BB955" s="101"/>
    </row>
    <row r="956" spans="33:70">
      <c r="AG956" s="101"/>
      <c r="AH956" s="101"/>
      <c r="AI956" s="101"/>
      <c r="AJ956" s="101"/>
      <c r="AK956" s="101"/>
      <c r="AM956" s="195"/>
      <c r="AT956" s="101"/>
      <c r="AU956" s="101"/>
      <c r="AV956" s="101"/>
      <c r="AW956" s="101"/>
      <c r="AX956" s="101"/>
      <c r="AY956" s="101"/>
      <c r="AZ956" s="101"/>
      <c r="BA956" s="101"/>
    </row>
    <row r="957" spans="33:70">
      <c r="AG957" s="101"/>
      <c r="AH957" s="101"/>
      <c r="AI957" s="101"/>
      <c r="AJ957" s="101"/>
      <c r="AK957" s="101"/>
      <c r="AM957" s="195"/>
      <c r="AT957" s="101"/>
      <c r="AU957" s="101"/>
      <c r="AV957" s="101"/>
      <c r="AW957" s="101"/>
      <c r="AX957" s="101"/>
      <c r="AY957" s="101"/>
      <c r="AZ957" s="101"/>
      <c r="BA957" s="101"/>
    </row>
    <row r="958" spans="33:70">
      <c r="AG958" s="101"/>
      <c r="AH958" s="101"/>
      <c r="AI958" s="101"/>
      <c r="AJ958" s="101"/>
      <c r="AK958" s="101"/>
      <c r="AM958" s="195"/>
      <c r="AT958" s="101"/>
      <c r="AU958" s="101"/>
      <c r="AV958" s="101"/>
      <c r="AW958" s="101"/>
      <c r="AX958" s="101"/>
      <c r="AY958" s="101"/>
      <c r="AZ958" s="101"/>
      <c r="BA958" s="101"/>
    </row>
    <row r="959" spans="33:70">
      <c r="AG959" s="101"/>
      <c r="AH959" s="101"/>
      <c r="AI959" s="101"/>
      <c r="AJ959" s="101"/>
      <c r="AK959" s="101"/>
      <c r="AM959" s="195"/>
      <c r="AT959" s="101"/>
      <c r="AU959" s="101"/>
      <c r="AV959" s="101"/>
      <c r="AW959" s="101"/>
      <c r="AX959" s="101"/>
      <c r="AY959" s="101"/>
      <c r="AZ959" s="101"/>
      <c r="BA959" s="101"/>
    </row>
    <row r="960" spans="33:70">
      <c r="AG960" s="101"/>
      <c r="AH960" s="101"/>
      <c r="AI960" s="101"/>
      <c r="AJ960" s="101"/>
      <c r="AK960" s="101"/>
      <c r="AM960" s="195"/>
      <c r="AT960" s="101"/>
      <c r="AU960" s="101"/>
      <c r="AV960" s="101"/>
      <c r="AW960" s="101"/>
      <c r="AX960" s="101"/>
      <c r="AY960" s="101"/>
      <c r="AZ960" s="101"/>
      <c r="BA960" s="101"/>
    </row>
    <row r="961" spans="33:54">
      <c r="AG961" s="101"/>
      <c r="AH961" s="101"/>
      <c r="AI961" s="101"/>
      <c r="AJ961" s="101"/>
      <c r="AK961" s="101"/>
      <c r="AM961" s="195"/>
      <c r="AT961" s="101"/>
      <c r="AU961" s="101"/>
      <c r="AV961" s="101"/>
      <c r="AW961" s="101"/>
      <c r="AX961" s="101"/>
      <c r="AY961" s="101"/>
      <c r="AZ961" s="101"/>
      <c r="BA961" s="101"/>
    </row>
    <row r="962" spans="33:54">
      <c r="AG962" s="101"/>
      <c r="AH962" s="101"/>
      <c r="AI962" s="101"/>
      <c r="AJ962" s="101"/>
      <c r="AK962" s="101"/>
      <c r="AM962" s="195"/>
      <c r="AT962" s="101"/>
      <c r="AU962" s="101"/>
      <c r="AV962" s="101"/>
      <c r="AW962" s="101"/>
      <c r="AX962" s="101"/>
      <c r="AY962" s="101"/>
      <c r="AZ962" s="101"/>
      <c r="BA962" s="101"/>
    </row>
    <row r="963" spans="33:54">
      <c r="AG963" s="101"/>
      <c r="AH963" s="101"/>
      <c r="AI963" s="101"/>
      <c r="AJ963" s="101"/>
      <c r="AK963" s="101"/>
      <c r="AM963" s="195"/>
      <c r="AT963" s="101"/>
      <c r="AU963" s="101"/>
      <c r="AV963" s="101"/>
      <c r="AW963" s="101"/>
      <c r="AX963" s="101"/>
      <c r="AY963" s="101"/>
      <c r="AZ963" s="101"/>
      <c r="BA963" s="101"/>
    </row>
    <row r="964" spans="33:54">
      <c r="AG964" s="101"/>
      <c r="AH964" s="101"/>
      <c r="AI964" s="101"/>
      <c r="AJ964" s="101"/>
      <c r="AK964" s="101"/>
      <c r="AM964" s="195"/>
      <c r="AT964" s="101"/>
      <c r="AU964" s="101"/>
      <c r="AV964" s="101"/>
      <c r="AW964" s="101"/>
      <c r="AX964" s="101"/>
      <c r="AY964" s="101"/>
      <c r="AZ964" s="101"/>
      <c r="BA964" s="101"/>
    </row>
    <row r="965" spans="33:54">
      <c r="AG965" s="101"/>
      <c r="AH965" s="101"/>
      <c r="AI965" s="101"/>
      <c r="AJ965" s="101"/>
      <c r="AK965" s="101"/>
      <c r="AM965" s="195"/>
      <c r="AT965" s="101"/>
      <c r="AU965" s="101"/>
      <c r="AV965" s="101"/>
      <c r="AW965" s="101"/>
      <c r="AX965" s="101"/>
      <c r="AY965" s="101"/>
      <c r="AZ965" s="101"/>
      <c r="BA965" s="101"/>
    </row>
    <row r="966" spans="33:54">
      <c r="AG966" s="101"/>
      <c r="AH966" s="101"/>
      <c r="AI966" s="101"/>
      <c r="AJ966" s="101"/>
      <c r="AK966" s="101"/>
      <c r="AM966" s="195"/>
      <c r="AT966" s="101"/>
      <c r="AU966" s="101"/>
      <c r="AV966" s="101"/>
      <c r="AW966" s="101"/>
      <c r="AX966" s="101"/>
      <c r="AY966" s="101"/>
      <c r="AZ966" s="101"/>
      <c r="BA966" s="101"/>
      <c r="BB966" s="101"/>
    </row>
    <row r="967" spans="33:54">
      <c r="AG967" s="101"/>
      <c r="AH967" s="101"/>
      <c r="AI967" s="101"/>
      <c r="AJ967" s="101"/>
      <c r="AK967" s="101"/>
      <c r="AM967" s="195"/>
      <c r="AT967" s="101"/>
      <c r="AU967" s="101"/>
      <c r="AV967" s="101"/>
      <c r="AW967" s="101"/>
      <c r="AX967" s="101"/>
      <c r="AY967" s="101"/>
      <c r="AZ967" s="101"/>
      <c r="BA967" s="101"/>
    </row>
    <row r="968" spans="33:54">
      <c r="AG968" s="101"/>
      <c r="AH968" s="101"/>
      <c r="AI968" s="101"/>
      <c r="AJ968" s="101"/>
      <c r="AK968" s="101"/>
      <c r="AM968" s="195"/>
      <c r="AT968" s="101"/>
      <c r="AU968" s="101"/>
      <c r="AV968" s="101"/>
      <c r="AW968" s="101"/>
      <c r="AX968" s="101"/>
      <c r="AY968" s="101"/>
      <c r="AZ968" s="101"/>
      <c r="BA968" s="101"/>
    </row>
    <row r="969" spans="33:54">
      <c r="AG969" s="101"/>
      <c r="AH969" s="101"/>
      <c r="AI969" s="101"/>
      <c r="AJ969" s="101"/>
      <c r="AK969" s="101"/>
      <c r="AM969" s="195"/>
      <c r="AT969" s="101"/>
      <c r="AU969" s="101"/>
      <c r="AV969" s="101"/>
      <c r="AW969" s="101"/>
      <c r="AX969" s="101"/>
      <c r="AY969" s="101"/>
      <c r="AZ969" s="101"/>
      <c r="BA969" s="101"/>
    </row>
    <row r="970" spans="33:54">
      <c r="AG970" s="101"/>
      <c r="AH970" s="101"/>
      <c r="AI970" s="101"/>
      <c r="AJ970" s="101"/>
      <c r="AK970" s="101"/>
      <c r="AM970" s="195"/>
      <c r="AT970" s="101"/>
      <c r="AU970" s="101"/>
      <c r="AV970" s="101"/>
      <c r="AW970" s="101"/>
      <c r="AX970" s="101"/>
      <c r="AY970" s="101"/>
      <c r="AZ970" s="101"/>
      <c r="BA970" s="101"/>
    </row>
    <row r="971" spans="33:54">
      <c r="AG971" s="101"/>
      <c r="AH971" s="101"/>
      <c r="AI971" s="101"/>
      <c r="AJ971" s="101"/>
      <c r="AK971" s="101"/>
      <c r="AM971" s="195"/>
      <c r="AT971" s="101"/>
      <c r="AU971" s="101"/>
      <c r="AV971" s="101"/>
      <c r="AW971" s="101"/>
      <c r="AX971" s="101"/>
      <c r="AY971" s="101"/>
      <c r="AZ971" s="101"/>
      <c r="BA971" s="101"/>
    </row>
    <row r="972" spans="33:54">
      <c r="AG972" s="101"/>
      <c r="AH972" s="101"/>
      <c r="AI972" s="101"/>
      <c r="AJ972" s="101"/>
      <c r="AK972" s="101"/>
      <c r="AM972" s="195"/>
      <c r="AT972" s="101"/>
      <c r="AU972" s="101"/>
      <c r="AV972" s="101"/>
      <c r="AW972" s="101"/>
      <c r="AX972" s="101"/>
      <c r="AY972" s="101"/>
      <c r="AZ972" s="101"/>
      <c r="BA972" s="101"/>
      <c r="BB972" s="101"/>
    </row>
    <row r="973" spans="33:54">
      <c r="AG973" s="101"/>
      <c r="AH973" s="101"/>
      <c r="AI973" s="101"/>
      <c r="AJ973" s="101"/>
      <c r="AK973" s="101"/>
      <c r="AM973" s="195"/>
      <c r="AT973" s="101"/>
      <c r="AU973" s="101"/>
      <c r="AV973" s="101"/>
      <c r="AW973" s="101"/>
      <c r="AX973" s="101"/>
      <c r="AY973" s="101"/>
      <c r="AZ973" s="101"/>
      <c r="BA973" s="101"/>
    </row>
    <row r="974" spans="33:54">
      <c r="AG974" s="101"/>
      <c r="AH974" s="101"/>
      <c r="AI974" s="101"/>
      <c r="AJ974" s="101"/>
      <c r="AK974" s="101"/>
      <c r="AM974" s="195"/>
      <c r="AT974" s="101"/>
      <c r="AU974" s="101"/>
      <c r="AV974" s="101"/>
      <c r="AW974" s="101"/>
      <c r="AX974" s="101"/>
      <c r="AY974" s="101"/>
      <c r="AZ974" s="101"/>
      <c r="BA974" s="101"/>
    </row>
    <row r="975" spans="33:54">
      <c r="AG975" s="101"/>
      <c r="AH975" s="101"/>
      <c r="AI975" s="101"/>
      <c r="AJ975" s="101"/>
      <c r="AK975" s="101"/>
      <c r="AM975" s="195"/>
      <c r="AT975" s="101"/>
      <c r="AU975" s="101"/>
      <c r="AV975" s="101"/>
      <c r="AW975" s="101"/>
      <c r="AX975" s="101"/>
      <c r="AY975" s="101"/>
      <c r="AZ975" s="101"/>
      <c r="BA975" s="101"/>
    </row>
    <row r="976" spans="33:54">
      <c r="AG976" s="101"/>
      <c r="AH976" s="101"/>
      <c r="AI976" s="101"/>
      <c r="AJ976" s="101"/>
      <c r="AK976" s="101"/>
      <c r="AM976" s="195"/>
      <c r="AT976" s="101"/>
      <c r="AU976" s="101"/>
      <c r="AV976" s="101"/>
      <c r="AW976" s="101"/>
      <c r="AX976" s="101"/>
      <c r="AY976" s="101"/>
      <c r="AZ976" s="101"/>
      <c r="BA976" s="101"/>
    </row>
    <row r="977" spans="33:70">
      <c r="AG977" s="101"/>
      <c r="AH977" s="101"/>
      <c r="AI977" s="101"/>
      <c r="AJ977" s="101"/>
      <c r="AK977" s="101"/>
      <c r="AM977" s="195"/>
      <c r="AT977" s="101"/>
      <c r="AU977" s="101"/>
      <c r="AV977" s="101"/>
      <c r="AW977" s="101"/>
      <c r="AX977" s="101"/>
      <c r="AY977" s="101"/>
      <c r="AZ977" s="101"/>
      <c r="BA977" s="101"/>
    </row>
    <row r="978" spans="33:70">
      <c r="AG978" s="101"/>
      <c r="AH978" s="101"/>
      <c r="AI978" s="101"/>
      <c r="AJ978" s="101"/>
      <c r="AK978" s="101"/>
      <c r="AM978" s="195"/>
      <c r="AT978" s="101"/>
      <c r="AU978" s="101"/>
      <c r="AV978" s="101"/>
      <c r="AW978" s="101"/>
      <c r="AX978" s="101"/>
      <c r="AY978" s="101"/>
      <c r="AZ978" s="101"/>
      <c r="BA978" s="101"/>
    </row>
    <row r="979" spans="33:70">
      <c r="AG979" s="101"/>
      <c r="AH979" s="101"/>
      <c r="AI979" s="101"/>
      <c r="AJ979" s="101"/>
      <c r="AK979" s="101"/>
      <c r="AM979" s="195"/>
      <c r="AT979" s="101"/>
      <c r="AU979" s="101"/>
      <c r="AV979" s="101"/>
      <c r="AW979" s="101"/>
      <c r="AX979" s="101"/>
      <c r="AY979" s="101"/>
      <c r="AZ979" s="101"/>
      <c r="BA979" s="101"/>
    </row>
    <row r="980" spans="33:70">
      <c r="AG980" s="101"/>
      <c r="AH980" s="101"/>
      <c r="AI980" s="101"/>
      <c r="AJ980" s="101"/>
      <c r="AK980" s="101"/>
      <c r="AM980" s="195"/>
      <c r="AT980" s="101"/>
      <c r="AU980" s="101"/>
      <c r="AV980" s="101"/>
      <c r="AW980" s="101"/>
      <c r="AX980" s="101"/>
      <c r="AY980" s="101"/>
      <c r="AZ980" s="101"/>
      <c r="BA980" s="101"/>
    </row>
    <row r="981" spans="33:70">
      <c r="AG981" s="101"/>
      <c r="AH981" s="101"/>
      <c r="AI981" s="101"/>
      <c r="AJ981" s="101"/>
      <c r="AK981" s="101"/>
      <c r="AM981" s="195"/>
      <c r="AT981" s="101"/>
      <c r="AU981" s="101"/>
      <c r="AV981" s="101"/>
      <c r="AW981" s="101"/>
      <c r="AX981" s="101"/>
      <c r="AY981" s="101"/>
      <c r="AZ981" s="101"/>
      <c r="BA981" s="101"/>
    </row>
    <row r="982" spans="33:70">
      <c r="AG982" s="101"/>
      <c r="AH982" s="101"/>
      <c r="AI982" s="101"/>
      <c r="AJ982" s="101"/>
      <c r="AK982" s="101"/>
      <c r="AM982" s="195"/>
      <c r="AT982" s="101"/>
      <c r="AU982" s="101"/>
      <c r="AV982" s="101"/>
      <c r="AW982" s="101"/>
      <c r="AX982" s="101"/>
      <c r="AY982" s="101"/>
      <c r="AZ982" s="101"/>
      <c r="BA982" s="101"/>
    </row>
    <row r="983" spans="33:70">
      <c r="AG983" s="101"/>
      <c r="AH983" s="101"/>
      <c r="AI983" s="101"/>
      <c r="AJ983" s="101"/>
      <c r="AK983" s="101"/>
      <c r="AM983" s="195"/>
      <c r="AT983" s="101"/>
      <c r="AU983" s="101"/>
      <c r="AV983" s="101"/>
      <c r="AW983" s="101"/>
      <c r="AX983" s="101"/>
      <c r="AY983" s="101"/>
      <c r="AZ983" s="101"/>
      <c r="BA983" s="101"/>
    </row>
    <row r="984" spans="33:70">
      <c r="AG984" s="101"/>
      <c r="AH984" s="101"/>
      <c r="AI984" s="101"/>
      <c r="AJ984" s="101"/>
      <c r="AK984" s="101"/>
      <c r="AM984" s="195"/>
      <c r="AT984" s="101"/>
      <c r="AU984" s="101"/>
      <c r="AV984" s="101"/>
      <c r="AW984" s="101"/>
      <c r="AX984" s="101"/>
      <c r="AY984" s="101"/>
      <c r="AZ984" s="101"/>
      <c r="BA984" s="101"/>
    </row>
    <row r="985" spans="33:70">
      <c r="AG985" s="101"/>
      <c r="AH985" s="101"/>
      <c r="AI985" s="101"/>
      <c r="AJ985" s="101"/>
      <c r="AK985" s="101"/>
      <c r="AM985" s="195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101"/>
      <c r="BE985" s="101"/>
      <c r="BF985" s="101"/>
      <c r="BG985" s="101"/>
      <c r="BH985" s="101"/>
      <c r="BI985" s="101"/>
      <c r="BJ985" s="101"/>
      <c r="BK985" s="101"/>
      <c r="BL985" s="101"/>
      <c r="BM985" s="101"/>
      <c r="BN985" s="101"/>
      <c r="BO985" s="101"/>
      <c r="BP985" s="101"/>
      <c r="BQ985" s="101"/>
      <c r="BR985" s="101"/>
    </row>
    <row r="986" spans="33:70">
      <c r="AG986" s="101"/>
      <c r="AH986" s="101"/>
      <c r="AI986" s="101"/>
      <c r="AJ986" s="101"/>
      <c r="AK986" s="101"/>
      <c r="AM986" s="195"/>
      <c r="AT986" s="101"/>
      <c r="AU986" s="101"/>
      <c r="AV986" s="101"/>
      <c r="AW986" s="101"/>
      <c r="AX986" s="101"/>
      <c r="AY986" s="101"/>
      <c r="AZ986" s="101"/>
      <c r="BA986" s="101"/>
    </row>
    <row r="987" spans="33:70">
      <c r="AG987" s="101"/>
      <c r="AH987" s="101"/>
      <c r="AI987" s="101"/>
      <c r="AJ987" s="101"/>
      <c r="AK987" s="101"/>
      <c r="AM987" s="195"/>
      <c r="AT987" s="101"/>
      <c r="AU987" s="101"/>
      <c r="AV987" s="101"/>
      <c r="AW987" s="101"/>
      <c r="AX987" s="101"/>
      <c r="AY987" s="101"/>
      <c r="AZ987" s="101"/>
      <c r="BA987" s="101"/>
    </row>
    <row r="988" spans="33:70">
      <c r="AG988" s="101"/>
      <c r="AH988" s="101"/>
      <c r="AI988" s="101"/>
      <c r="AJ988" s="101"/>
      <c r="AK988" s="101"/>
      <c r="AM988" s="195"/>
      <c r="AT988" s="101"/>
      <c r="AU988" s="101"/>
      <c r="AV988" s="101"/>
      <c r="AW988" s="101"/>
      <c r="AX988" s="101"/>
      <c r="AY988" s="101"/>
      <c r="AZ988" s="101"/>
      <c r="BA988" s="101"/>
    </row>
    <row r="989" spans="33:70">
      <c r="AG989" s="101"/>
      <c r="AH989" s="101"/>
      <c r="AI989" s="101"/>
      <c r="AJ989" s="101"/>
      <c r="AK989" s="101"/>
      <c r="AM989" s="195"/>
      <c r="AT989" s="101"/>
      <c r="AU989" s="101"/>
      <c r="AV989" s="101"/>
      <c r="AW989" s="101"/>
      <c r="AX989" s="101"/>
      <c r="AY989" s="101"/>
      <c r="AZ989" s="101"/>
      <c r="BA989" s="101"/>
    </row>
    <row r="990" spans="33:70">
      <c r="AG990" s="101"/>
      <c r="AH990" s="101"/>
      <c r="AI990" s="101"/>
      <c r="AJ990" s="101"/>
      <c r="AK990" s="101"/>
      <c r="AM990" s="195"/>
      <c r="AT990" s="101"/>
      <c r="AU990" s="101"/>
      <c r="AV990" s="101"/>
      <c r="AW990" s="101"/>
      <c r="AX990" s="101"/>
      <c r="AY990" s="101"/>
      <c r="AZ990" s="101"/>
      <c r="BA990" s="101"/>
    </row>
    <row r="991" spans="33:70">
      <c r="AG991" s="101"/>
      <c r="AH991" s="101"/>
      <c r="AI991" s="101"/>
      <c r="AJ991" s="101"/>
      <c r="AK991" s="101"/>
      <c r="AM991" s="195"/>
      <c r="AT991" s="101"/>
      <c r="AU991" s="101"/>
      <c r="AV991" s="101"/>
      <c r="AW991" s="101"/>
      <c r="AX991" s="101"/>
      <c r="AY991" s="101"/>
      <c r="AZ991" s="101"/>
      <c r="BA991" s="101"/>
    </row>
    <row r="992" spans="33:70">
      <c r="AG992" s="101"/>
      <c r="AH992" s="101"/>
      <c r="AI992" s="101"/>
      <c r="AJ992" s="101"/>
      <c r="AK992" s="101"/>
      <c r="AM992" s="195"/>
      <c r="AT992" s="101"/>
      <c r="AU992" s="101"/>
      <c r="AV992" s="101"/>
      <c r="AW992" s="101"/>
      <c r="AX992" s="101"/>
      <c r="AY992" s="101"/>
      <c r="AZ992" s="101"/>
      <c r="BA992" s="101"/>
    </row>
    <row r="993" spans="33:70">
      <c r="AG993" s="101"/>
      <c r="AH993" s="101"/>
      <c r="AI993" s="101"/>
      <c r="AJ993" s="101"/>
      <c r="AK993" s="101"/>
      <c r="AM993" s="195"/>
      <c r="AT993" s="101"/>
      <c r="AU993" s="101"/>
      <c r="AV993" s="101"/>
      <c r="AW993" s="101"/>
      <c r="AX993" s="101"/>
      <c r="AY993" s="101"/>
      <c r="AZ993" s="101"/>
      <c r="BA993" s="101"/>
    </row>
    <row r="994" spans="33:70">
      <c r="AG994" s="101"/>
      <c r="AH994" s="101"/>
      <c r="AI994" s="101"/>
      <c r="AJ994" s="101"/>
      <c r="AK994" s="101"/>
      <c r="AM994" s="195"/>
      <c r="AT994" s="101"/>
      <c r="AU994" s="101"/>
      <c r="AV994" s="101"/>
      <c r="AW994" s="101"/>
      <c r="AX994" s="101"/>
      <c r="AY994" s="101"/>
      <c r="AZ994" s="101"/>
      <c r="BA994" s="101"/>
    </row>
    <row r="995" spans="33:70">
      <c r="AG995" s="101"/>
      <c r="AH995" s="101"/>
      <c r="AI995" s="101"/>
      <c r="AJ995" s="101"/>
      <c r="AK995" s="101"/>
      <c r="AM995" s="195"/>
      <c r="AT995" s="101"/>
      <c r="AU995" s="101"/>
      <c r="AV995" s="101"/>
      <c r="AW995" s="101"/>
      <c r="AX995" s="101"/>
      <c r="AY995" s="101"/>
      <c r="AZ995" s="101"/>
      <c r="BA995" s="101"/>
    </row>
    <row r="996" spans="33:70">
      <c r="AG996" s="101"/>
      <c r="AH996" s="101"/>
      <c r="AI996" s="101"/>
      <c r="AJ996" s="101"/>
      <c r="AK996" s="101"/>
      <c r="AM996" s="195"/>
      <c r="AT996" s="101"/>
      <c r="AU996" s="101"/>
      <c r="AV996" s="101"/>
      <c r="AW996" s="101"/>
      <c r="AX996" s="101"/>
      <c r="AY996" s="101"/>
      <c r="AZ996" s="101"/>
      <c r="BA996" s="101"/>
    </row>
    <row r="997" spans="33:70">
      <c r="AG997" s="101"/>
      <c r="AH997" s="101"/>
      <c r="AI997" s="101"/>
      <c r="AJ997" s="101"/>
      <c r="AK997" s="101"/>
      <c r="AM997" s="195"/>
      <c r="AT997" s="101"/>
      <c r="AU997" s="101"/>
      <c r="AV997" s="101"/>
      <c r="AW997" s="101"/>
      <c r="AX997" s="101"/>
      <c r="AY997" s="101"/>
      <c r="AZ997" s="101"/>
      <c r="BA997" s="101"/>
    </row>
    <row r="998" spans="33:70">
      <c r="AG998" s="101"/>
      <c r="AH998" s="101"/>
      <c r="AI998" s="101"/>
      <c r="AJ998" s="101"/>
      <c r="AK998" s="101"/>
      <c r="AM998" s="195"/>
      <c r="AT998" s="101"/>
      <c r="AU998" s="101"/>
      <c r="AV998" s="101"/>
      <c r="AW998" s="101"/>
      <c r="AX998" s="101"/>
      <c r="AY998" s="101"/>
      <c r="AZ998" s="101"/>
      <c r="BA998" s="101"/>
    </row>
    <row r="999" spans="33:70">
      <c r="AG999" s="101"/>
      <c r="AH999" s="101"/>
      <c r="AI999" s="101"/>
      <c r="AJ999" s="101"/>
      <c r="AK999" s="101"/>
      <c r="AM999" s="195"/>
      <c r="AT999" s="101"/>
      <c r="AU999" s="101"/>
      <c r="AV999" s="101"/>
      <c r="AW999" s="101"/>
      <c r="AX999" s="101"/>
      <c r="AY999" s="101"/>
      <c r="AZ999" s="101"/>
      <c r="BA999" s="101"/>
    </row>
    <row r="1000" spans="33:70">
      <c r="AG1000" s="101"/>
      <c r="AH1000" s="101"/>
      <c r="AI1000" s="101"/>
      <c r="AJ1000" s="101"/>
      <c r="AK1000" s="101"/>
      <c r="AM1000" s="195"/>
      <c r="AT1000" s="101"/>
      <c r="AU1000" s="101"/>
      <c r="AV1000" s="101"/>
      <c r="AW1000" s="101"/>
      <c r="AX1000" s="101"/>
      <c r="AY1000" s="101"/>
      <c r="AZ1000" s="101"/>
      <c r="BA1000" s="101"/>
    </row>
    <row r="1001" spans="33:70">
      <c r="AG1001" s="101"/>
      <c r="AH1001" s="101"/>
      <c r="AI1001" s="101"/>
      <c r="AJ1001" s="101"/>
      <c r="AK1001" s="101"/>
      <c r="AM1001" s="195"/>
      <c r="AT1001" s="101"/>
      <c r="AU1001" s="101"/>
      <c r="AV1001" s="101"/>
      <c r="AW1001" s="101"/>
      <c r="AX1001" s="101"/>
      <c r="AY1001" s="101"/>
      <c r="AZ1001" s="101"/>
      <c r="BA1001" s="101"/>
    </row>
    <row r="1002" spans="33:70">
      <c r="AG1002" s="101"/>
      <c r="AH1002" s="101"/>
      <c r="AI1002" s="101"/>
      <c r="AJ1002" s="101"/>
      <c r="AK1002" s="101"/>
      <c r="AM1002" s="195"/>
      <c r="AT1002" s="101"/>
      <c r="AU1002" s="101"/>
      <c r="AV1002" s="101"/>
      <c r="AW1002" s="101"/>
      <c r="AX1002" s="101"/>
      <c r="AY1002" s="101"/>
      <c r="AZ1002" s="101"/>
      <c r="BA1002" s="101"/>
    </row>
    <row r="1003" spans="33:70">
      <c r="AG1003" s="101"/>
      <c r="AH1003" s="101"/>
      <c r="AI1003" s="101"/>
      <c r="AJ1003" s="101"/>
      <c r="AK1003" s="101"/>
      <c r="AM1003" s="195"/>
      <c r="AT1003" s="101"/>
      <c r="AU1003" s="101"/>
      <c r="AV1003" s="101"/>
      <c r="AW1003" s="101"/>
      <c r="AX1003" s="101"/>
      <c r="AY1003" s="101"/>
      <c r="AZ1003" s="101"/>
      <c r="BA1003" s="101"/>
      <c r="BB1003" s="101"/>
      <c r="BC1003" s="101"/>
      <c r="BD1003" s="101"/>
      <c r="BE1003" s="101"/>
      <c r="BF1003" s="101"/>
      <c r="BG1003" s="101"/>
      <c r="BH1003" s="101"/>
      <c r="BI1003" s="101"/>
      <c r="BJ1003" s="101"/>
      <c r="BK1003" s="101"/>
      <c r="BL1003" s="101"/>
      <c r="BM1003" s="101"/>
      <c r="BN1003" s="101"/>
      <c r="BO1003" s="101"/>
      <c r="BP1003" s="101"/>
      <c r="BQ1003" s="101"/>
      <c r="BR1003" s="101"/>
    </row>
    <row r="1004" spans="33:70">
      <c r="AG1004" s="101"/>
      <c r="AH1004" s="101"/>
      <c r="AI1004" s="101"/>
      <c r="AJ1004" s="101"/>
      <c r="AK1004" s="101"/>
      <c r="AM1004" s="195"/>
      <c r="AT1004" s="101"/>
      <c r="AU1004" s="101"/>
      <c r="AV1004" s="101"/>
      <c r="AW1004" s="101"/>
      <c r="AX1004" s="101"/>
      <c r="AY1004" s="101"/>
      <c r="AZ1004" s="101"/>
      <c r="BA1004" s="101"/>
    </row>
    <row r="1005" spans="33:70">
      <c r="AG1005" s="101"/>
      <c r="AH1005" s="101"/>
      <c r="AI1005" s="101"/>
      <c r="AJ1005" s="101"/>
      <c r="AK1005" s="101"/>
      <c r="AM1005" s="195"/>
      <c r="AT1005" s="101"/>
      <c r="AU1005" s="101"/>
      <c r="AV1005" s="101"/>
      <c r="AW1005" s="101"/>
      <c r="AX1005" s="101"/>
      <c r="AY1005" s="101"/>
      <c r="AZ1005" s="101"/>
      <c r="BA1005" s="101"/>
    </row>
    <row r="1006" spans="33:70">
      <c r="AG1006" s="101"/>
      <c r="AH1006" s="101"/>
      <c r="AI1006" s="101"/>
      <c r="AJ1006" s="101"/>
      <c r="AK1006" s="101"/>
      <c r="AM1006" s="195"/>
      <c r="AT1006" s="101"/>
      <c r="AU1006" s="101"/>
      <c r="AV1006" s="101"/>
      <c r="AW1006" s="101"/>
      <c r="AX1006" s="101"/>
      <c r="AY1006" s="101"/>
      <c r="AZ1006" s="101"/>
      <c r="BA1006" s="101"/>
    </row>
    <row r="1007" spans="33:70">
      <c r="AG1007" s="101"/>
      <c r="AH1007" s="101"/>
      <c r="AI1007" s="101"/>
      <c r="AJ1007" s="101"/>
      <c r="AK1007" s="101"/>
      <c r="AM1007" s="195"/>
      <c r="AT1007" s="101"/>
      <c r="AU1007" s="101"/>
      <c r="AV1007" s="101"/>
      <c r="AW1007" s="101"/>
      <c r="AX1007" s="101"/>
      <c r="AY1007" s="101"/>
      <c r="AZ1007" s="101"/>
      <c r="BA1007" s="101"/>
    </row>
    <row r="1008" spans="33:70">
      <c r="AG1008" s="101"/>
      <c r="AH1008" s="101"/>
      <c r="AI1008" s="101"/>
      <c r="AJ1008" s="101"/>
      <c r="AK1008" s="101"/>
      <c r="AM1008" s="195"/>
      <c r="AT1008" s="101"/>
      <c r="AU1008" s="101"/>
      <c r="AV1008" s="101"/>
      <c r="AW1008" s="101"/>
      <c r="AX1008" s="101"/>
      <c r="AY1008" s="101"/>
      <c r="AZ1008" s="101"/>
      <c r="BA1008" s="101"/>
    </row>
    <row r="1009" spans="33:53">
      <c r="AG1009" s="101"/>
      <c r="AH1009" s="101"/>
      <c r="AI1009" s="101"/>
      <c r="AJ1009" s="101"/>
      <c r="AK1009" s="101"/>
      <c r="AM1009" s="195"/>
      <c r="AT1009" s="101"/>
      <c r="AU1009" s="101"/>
      <c r="AV1009" s="101"/>
      <c r="AW1009" s="101"/>
      <c r="AX1009" s="101"/>
      <c r="AY1009" s="101"/>
      <c r="AZ1009" s="101"/>
      <c r="BA1009" s="101"/>
    </row>
    <row r="1010" spans="33:53">
      <c r="AG1010" s="101"/>
      <c r="AH1010" s="101"/>
      <c r="AI1010" s="101"/>
      <c r="AJ1010" s="101"/>
      <c r="AK1010" s="101"/>
      <c r="AM1010" s="195"/>
      <c r="AT1010" s="101"/>
      <c r="AU1010" s="101"/>
      <c r="AV1010" s="101"/>
      <c r="AW1010" s="101"/>
      <c r="AX1010" s="101"/>
      <c r="AY1010" s="101"/>
      <c r="AZ1010" s="101"/>
      <c r="BA1010" s="101"/>
    </row>
    <row r="1011" spans="33:53">
      <c r="AG1011" s="101"/>
      <c r="AH1011" s="101"/>
      <c r="AI1011" s="101"/>
      <c r="AJ1011" s="101"/>
      <c r="AK1011" s="101"/>
      <c r="AM1011" s="195"/>
      <c r="AT1011" s="101"/>
      <c r="AU1011" s="101"/>
      <c r="AV1011" s="101"/>
      <c r="AW1011" s="101"/>
      <c r="AX1011" s="101"/>
      <c r="AY1011" s="101"/>
      <c r="AZ1011" s="101"/>
      <c r="BA1011" s="101"/>
    </row>
    <row r="1012" spans="33:53">
      <c r="AG1012" s="101"/>
      <c r="AH1012" s="101"/>
      <c r="AI1012" s="101"/>
      <c r="AJ1012" s="101"/>
      <c r="AK1012" s="101"/>
      <c r="AM1012" s="195"/>
      <c r="AT1012" s="101"/>
      <c r="AU1012" s="101"/>
      <c r="AV1012" s="101"/>
      <c r="AW1012" s="101"/>
      <c r="AX1012" s="101"/>
      <c r="AY1012" s="101"/>
      <c r="AZ1012" s="101"/>
      <c r="BA1012" s="101"/>
    </row>
    <row r="1013" spans="33:53">
      <c r="AG1013" s="101"/>
      <c r="AH1013" s="101"/>
      <c r="AI1013" s="101"/>
      <c r="AJ1013" s="101"/>
      <c r="AK1013" s="101"/>
      <c r="AM1013" s="195"/>
      <c r="AT1013" s="101"/>
      <c r="AU1013" s="101"/>
      <c r="AV1013" s="101"/>
      <c r="AW1013" s="101"/>
      <c r="AX1013" s="101"/>
      <c r="AY1013" s="101"/>
      <c r="AZ1013" s="101"/>
      <c r="BA1013" s="101"/>
    </row>
    <row r="1014" spans="33:53">
      <c r="AG1014" s="101"/>
      <c r="AH1014" s="101"/>
      <c r="AI1014" s="101"/>
      <c r="AJ1014" s="101"/>
      <c r="AK1014" s="101"/>
      <c r="AM1014" s="195"/>
      <c r="AT1014" s="101"/>
      <c r="AU1014" s="101"/>
      <c r="AV1014" s="101"/>
      <c r="AW1014" s="101"/>
      <c r="AX1014" s="101"/>
      <c r="AY1014" s="101"/>
      <c r="AZ1014" s="101"/>
      <c r="BA1014" s="101"/>
    </row>
    <row r="1015" spans="33:53">
      <c r="AG1015" s="101"/>
      <c r="AH1015" s="101"/>
      <c r="AI1015" s="101"/>
      <c r="AJ1015" s="101"/>
      <c r="AK1015" s="101"/>
      <c r="AM1015" s="195"/>
      <c r="AT1015" s="101"/>
      <c r="AU1015" s="101"/>
      <c r="AV1015" s="101"/>
      <c r="AW1015" s="101"/>
      <c r="AX1015" s="101"/>
      <c r="AY1015" s="101"/>
      <c r="AZ1015" s="101"/>
      <c r="BA1015" s="101"/>
    </row>
    <row r="1016" spans="33:53">
      <c r="AG1016" s="101"/>
      <c r="AH1016" s="101"/>
      <c r="AI1016" s="101"/>
      <c r="AJ1016" s="101"/>
      <c r="AK1016" s="101"/>
      <c r="AM1016" s="195"/>
      <c r="AT1016" s="101"/>
      <c r="AU1016" s="101"/>
      <c r="AV1016" s="101"/>
      <c r="AW1016" s="101"/>
      <c r="AX1016" s="101"/>
      <c r="AY1016" s="101"/>
      <c r="AZ1016" s="101"/>
      <c r="BA1016" s="101"/>
    </row>
    <row r="1017" spans="33:53">
      <c r="AG1017" s="101"/>
      <c r="AH1017" s="101"/>
      <c r="AI1017" s="101"/>
      <c r="AJ1017" s="101"/>
      <c r="AK1017" s="101"/>
      <c r="AM1017" s="195"/>
      <c r="AT1017" s="101"/>
      <c r="AU1017" s="101"/>
      <c r="AV1017" s="101"/>
      <c r="AW1017" s="101"/>
      <c r="AX1017" s="101"/>
      <c r="AY1017" s="101"/>
      <c r="AZ1017" s="101"/>
      <c r="BA1017" s="101"/>
    </row>
    <row r="1018" spans="33:53">
      <c r="AG1018" s="101"/>
      <c r="AH1018" s="101"/>
      <c r="AI1018" s="101"/>
      <c r="AJ1018" s="101"/>
      <c r="AK1018" s="101"/>
      <c r="AM1018" s="195"/>
      <c r="AT1018" s="101"/>
      <c r="AU1018" s="101"/>
      <c r="AV1018" s="101"/>
      <c r="AW1018" s="101"/>
      <c r="AX1018" s="101"/>
      <c r="AY1018" s="101"/>
      <c r="AZ1018" s="101"/>
      <c r="BA1018" s="101"/>
    </row>
    <row r="1019" spans="33:53">
      <c r="AG1019" s="101"/>
      <c r="AH1019" s="101"/>
      <c r="AI1019" s="101"/>
      <c r="AJ1019" s="101"/>
      <c r="AK1019" s="101"/>
      <c r="AM1019" s="195"/>
      <c r="AT1019" s="101"/>
      <c r="AU1019" s="101"/>
      <c r="AV1019" s="101"/>
      <c r="AW1019" s="101"/>
      <c r="AX1019" s="101"/>
      <c r="AY1019" s="101"/>
      <c r="AZ1019" s="101"/>
      <c r="BA1019" s="101"/>
    </row>
    <row r="1020" spans="33:53">
      <c r="AG1020" s="101"/>
      <c r="AH1020" s="101"/>
      <c r="AI1020" s="101"/>
      <c r="AJ1020" s="101"/>
      <c r="AK1020" s="101"/>
      <c r="AM1020" s="195"/>
      <c r="AT1020" s="101"/>
      <c r="AU1020" s="101"/>
      <c r="AV1020" s="101"/>
      <c r="AW1020" s="101"/>
      <c r="AX1020" s="101"/>
      <c r="AY1020" s="101"/>
      <c r="AZ1020" s="101"/>
      <c r="BA1020" s="101"/>
    </row>
    <row r="1021" spans="33:53">
      <c r="AG1021" s="101"/>
      <c r="AH1021" s="101"/>
      <c r="AI1021" s="101"/>
      <c r="AJ1021" s="101"/>
      <c r="AK1021" s="101"/>
      <c r="AM1021" s="195"/>
      <c r="AT1021" s="101"/>
      <c r="AU1021" s="101"/>
      <c r="AV1021" s="101"/>
      <c r="AW1021" s="101"/>
      <c r="AX1021" s="101"/>
      <c r="AY1021" s="101"/>
      <c r="AZ1021" s="101"/>
      <c r="BA1021" s="101"/>
    </row>
    <row r="1022" spans="33:53">
      <c r="AG1022" s="101"/>
      <c r="AH1022" s="101"/>
      <c r="AI1022" s="101"/>
      <c r="AJ1022" s="101"/>
      <c r="AK1022" s="101"/>
      <c r="AM1022" s="195"/>
      <c r="AT1022" s="101"/>
      <c r="AU1022" s="101"/>
      <c r="AV1022" s="101"/>
      <c r="AW1022" s="101"/>
      <c r="AX1022" s="101"/>
      <c r="AY1022" s="101"/>
      <c r="AZ1022" s="101"/>
      <c r="BA1022" s="101"/>
    </row>
    <row r="1023" spans="33:53">
      <c r="AG1023" s="101"/>
      <c r="AH1023" s="101"/>
      <c r="AI1023" s="101"/>
      <c r="AJ1023" s="101"/>
      <c r="AK1023" s="101"/>
      <c r="AM1023" s="195"/>
      <c r="AT1023" s="101"/>
      <c r="AU1023" s="101"/>
      <c r="AV1023" s="101"/>
      <c r="AW1023" s="101"/>
      <c r="AX1023" s="101"/>
      <c r="AY1023" s="101"/>
      <c r="AZ1023" s="101"/>
      <c r="BA1023" s="101"/>
    </row>
    <row r="1024" spans="33:53">
      <c r="AG1024" s="101"/>
      <c r="AH1024" s="101"/>
      <c r="AI1024" s="101"/>
      <c r="AJ1024" s="101"/>
      <c r="AK1024" s="101"/>
      <c r="AM1024" s="195"/>
      <c r="AT1024" s="101"/>
      <c r="AU1024" s="101"/>
      <c r="AV1024" s="101"/>
      <c r="AW1024" s="101"/>
      <c r="AX1024" s="101"/>
      <c r="AY1024" s="101"/>
      <c r="AZ1024" s="101"/>
      <c r="BA1024" s="101"/>
    </row>
    <row r="1025" spans="33:54">
      <c r="AG1025" s="101"/>
      <c r="AH1025" s="101"/>
      <c r="AI1025" s="101"/>
      <c r="AJ1025" s="101"/>
      <c r="AK1025" s="101"/>
      <c r="AM1025" s="195"/>
      <c r="AT1025" s="101"/>
      <c r="AU1025" s="101"/>
      <c r="AV1025" s="101"/>
      <c r="AW1025" s="101"/>
      <c r="AX1025" s="101"/>
      <c r="AY1025" s="101"/>
      <c r="AZ1025" s="101"/>
      <c r="BA1025" s="101"/>
    </row>
    <row r="1026" spans="33:54">
      <c r="AG1026" s="101"/>
      <c r="AH1026" s="101"/>
      <c r="AI1026" s="101"/>
      <c r="AJ1026" s="101"/>
      <c r="AK1026" s="101"/>
      <c r="AM1026" s="195"/>
      <c r="AT1026" s="101"/>
      <c r="AU1026" s="101"/>
      <c r="AV1026" s="101"/>
      <c r="AW1026" s="101"/>
      <c r="AX1026" s="101"/>
      <c r="AY1026" s="101"/>
      <c r="AZ1026" s="101"/>
      <c r="BA1026" s="101"/>
    </row>
    <row r="1027" spans="33:54">
      <c r="AG1027" s="101"/>
      <c r="AH1027" s="101"/>
      <c r="AI1027" s="101"/>
      <c r="AJ1027" s="101"/>
      <c r="AK1027" s="101"/>
      <c r="AM1027" s="195"/>
      <c r="AT1027" s="101"/>
      <c r="AU1027" s="101"/>
      <c r="AV1027" s="101"/>
      <c r="AW1027" s="101"/>
      <c r="AX1027" s="101"/>
      <c r="AY1027" s="101"/>
      <c r="AZ1027" s="101"/>
      <c r="BA1027" s="101"/>
    </row>
    <row r="1028" spans="33:54">
      <c r="AG1028" s="101"/>
      <c r="AH1028" s="101"/>
      <c r="AI1028" s="101"/>
      <c r="AJ1028" s="101"/>
      <c r="AK1028" s="101"/>
      <c r="AM1028" s="195"/>
      <c r="AT1028" s="101"/>
      <c r="AU1028" s="101"/>
      <c r="AV1028" s="101"/>
      <c r="AW1028" s="101"/>
      <c r="AX1028" s="101"/>
      <c r="AY1028" s="101"/>
      <c r="AZ1028" s="101"/>
      <c r="BA1028" s="101"/>
    </row>
    <row r="1029" spans="33:54">
      <c r="AG1029" s="101"/>
      <c r="AH1029" s="101"/>
      <c r="AI1029" s="101"/>
      <c r="AJ1029" s="101"/>
      <c r="AK1029" s="101"/>
      <c r="AM1029" s="195"/>
      <c r="AT1029" s="101"/>
      <c r="AU1029" s="101"/>
      <c r="AV1029" s="101"/>
      <c r="AW1029" s="101"/>
      <c r="AX1029" s="101"/>
      <c r="AY1029" s="101"/>
      <c r="AZ1029" s="101"/>
      <c r="BA1029" s="101"/>
    </row>
    <row r="1030" spans="33:54">
      <c r="AG1030" s="101"/>
      <c r="AH1030" s="101"/>
      <c r="AI1030" s="101"/>
      <c r="AJ1030" s="101"/>
      <c r="AK1030" s="101"/>
      <c r="AM1030" s="195"/>
      <c r="AT1030" s="101"/>
      <c r="AU1030" s="101"/>
      <c r="AV1030" s="101"/>
      <c r="AW1030" s="101"/>
      <c r="AX1030" s="101"/>
      <c r="AY1030" s="101"/>
      <c r="AZ1030" s="101"/>
      <c r="BA1030" s="101"/>
    </row>
    <row r="1031" spans="33:54">
      <c r="AG1031" s="101"/>
      <c r="AH1031" s="101"/>
      <c r="AI1031" s="101"/>
      <c r="AJ1031" s="101"/>
      <c r="AK1031" s="101"/>
      <c r="AM1031" s="195"/>
      <c r="AT1031" s="101"/>
      <c r="AU1031" s="101"/>
      <c r="AV1031" s="101"/>
      <c r="AW1031" s="101"/>
      <c r="AX1031" s="101"/>
      <c r="AY1031" s="101"/>
      <c r="AZ1031" s="101"/>
      <c r="BA1031" s="101"/>
    </row>
    <row r="1032" spans="33:54">
      <c r="AG1032" s="101"/>
      <c r="AH1032" s="101"/>
      <c r="AI1032" s="101"/>
      <c r="AJ1032" s="101"/>
      <c r="AK1032" s="101"/>
      <c r="AM1032" s="195"/>
      <c r="AT1032" s="101"/>
      <c r="AU1032" s="101"/>
      <c r="AV1032" s="101"/>
      <c r="AW1032" s="101"/>
      <c r="AX1032" s="101"/>
      <c r="AY1032" s="101"/>
      <c r="AZ1032" s="101"/>
      <c r="BA1032" s="101"/>
    </row>
    <row r="1033" spans="33:54">
      <c r="AG1033" s="101"/>
      <c r="AH1033" s="101"/>
      <c r="AI1033" s="101"/>
      <c r="AJ1033" s="101"/>
      <c r="AK1033" s="101"/>
      <c r="AM1033" s="195"/>
      <c r="AT1033" s="101"/>
      <c r="AU1033" s="101"/>
      <c r="AV1033" s="101"/>
      <c r="AW1033" s="101"/>
      <c r="AX1033" s="101"/>
      <c r="AY1033" s="101"/>
      <c r="AZ1033" s="101"/>
      <c r="BA1033" s="101"/>
    </row>
    <row r="1034" spans="33:54">
      <c r="AG1034" s="101"/>
      <c r="AH1034" s="101"/>
      <c r="AI1034" s="101"/>
      <c r="AJ1034" s="101"/>
      <c r="AK1034" s="101"/>
      <c r="AM1034" s="195"/>
      <c r="AT1034" s="101"/>
      <c r="AU1034" s="101"/>
      <c r="AV1034" s="101"/>
      <c r="AW1034" s="101"/>
      <c r="AX1034" s="101"/>
      <c r="AY1034" s="101"/>
      <c r="AZ1034" s="101"/>
      <c r="BA1034" s="101"/>
    </row>
    <row r="1035" spans="33:54">
      <c r="AG1035" s="101"/>
      <c r="AH1035" s="101"/>
      <c r="AI1035" s="101"/>
      <c r="AJ1035" s="101"/>
      <c r="AK1035" s="101"/>
      <c r="AM1035" s="195"/>
      <c r="AT1035" s="101"/>
      <c r="AU1035" s="101"/>
      <c r="AV1035" s="101"/>
      <c r="AW1035" s="101"/>
      <c r="AX1035" s="101"/>
      <c r="AY1035" s="101"/>
      <c r="AZ1035" s="101"/>
      <c r="BA1035" s="101"/>
    </row>
    <row r="1036" spans="33:54">
      <c r="AG1036" s="101"/>
      <c r="AH1036" s="101"/>
      <c r="AI1036" s="101"/>
      <c r="AJ1036" s="101"/>
      <c r="AK1036" s="101"/>
      <c r="AM1036" s="195"/>
      <c r="AT1036" s="101"/>
      <c r="AU1036" s="101"/>
      <c r="AV1036" s="101"/>
      <c r="AW1036" s="101"/>
      <c r="AX1036" s="101"/>
      <c r="AY1036" s="101"/>
      <c r="AZ1036" s="101"/>
      <c r="BA1036" s="101"/>
    </row>
    <row r="1037" spans="33:54">
      <c r="AG1037" s="101"/>
      <c r="AH1037" s="101"/>
      <c r="AI1037" s="101"/>
      <c r="AJ1037" s="101"/>
      <c r="AK1037" s="101"/>
      <c r="AM1037" s="195"/>
      <c r="AT1037" s="101"/>
      <c r="AU1037" s="101"/>
      <c r="AV1037" s="101"/>
      <c r="AW1037" s="101"/>
      <c r="AX1037" s="101"/>
      <c r="AY1037" s="101"/>
      <c r="AZ1037" s="101"/>
      <c r="BA1037" s="101"/>
    </row>
    <row r="1038" spans="33:54">
      <c r="AG1038" s="101"/>
      <c r="AH1038" s="101"/>
      <c r="AI1038" s="101"/>
      <c r="AJ1038" s="101"/>
      <c r="AK1038" s="101"/>
      <c r="AM1038" s="195"/>
      <c r="AT1038" s="101"/>
      <c r="AU1038" s="101"/>
      <c r="AV1038" s="101"/>
      <c r="AW1038" s="101"/>
      <c r="AX1038" s="101"/>
      <c r="AY1038" s="101"/>
      <c r="AZ1038" s="101"/>
      <c r="BA1038" s="101"/>
    </row>
    <row r="1039" spans="33:54">
      <c r="AG1039" s="101"/>
      <c r="AH1039" s="101"/>
      <c r="AI1039" s="101"/>
      <c r="AJ1039" s="101"/>
      <c r="AK1039" s="101"/>
      <c r="AM1039" s="195"/>
      <c r="AT1039" s="101"/>
      <c r="AU1039" s="101"/>
      <c r="AV1039" s="101"/>
      <c r="AW1039" s="101"/>
      <c r="AX1039" s="101"/>
      <c r="AY1039" s="101"/>
      <c r="AZ1039" s="101"/>
      <c r="BA1039" s="101"/>
    </row>
    <row r="1040" spans="33:54">
      <c r="AG1040" s="101"/>
      <c r="AH1040" s="101"/>
      <c r="AI1040" s="101"/>
      <c r="AJ1040" s="101"/>
      <c r="AK1040" s="101"/>
      <c r="AM1040" s="195"/>
      <c r="AT1040" s="101"/>
      <c r="AU1040" s="101"/>
      <c r="AV1040" s="101"/>
      <c r="AW1040" s="101"/>
      <c r="AX1040" s="101"/>
      <c r="AY1040" s="101"/>
      <c r="AZ1040" s="101"/>
      <c r="BA1040" s="101"/>
      <c r="BB1040" s="101"/>
    </row>
    <row r="1041" spans="33:54">
      <c r="AG1041" s="101"/>
      <c r="AH1041" s="101"/>
      <c r="AI1041" s="101"/>
      <c r="AJ1041" s="101"/>
      <c r="AK1041" s="101"/>
      <c r="AM1041" s="195"/>
      <c r="AT1041" s="101"/>
      <c r="AU1041" s="101"/>
      <c r="AV1041" s="101"/>
      <c r="AW1041" s="101"/>
      <c r="AX1041" s="101"/>
      <c r="AY1041" s="101"/>
      <c r="AZ1041" s="101"/>
      <c r="BA1041" s="101"/>
      <c r="BB1041" s="101"/>
    </row>
    <row r="1042" spans="33:54">
      <c r="AG1042" s="101"/>
      <c r="AH1042" s="101"/>
      <c r="AI1042" s="101"/>
      <c r="AJ1042" s="101"/>
      <c r="AK1042" s="101"/>
      <c r="AM1042" s="195"/>
      <c r="AT1042" s="101"/>
      <c r="AU1042" s="101"/>
      <c r="AV1042" s="101"/>
      <c r="AW1042" s="101"/>
      <c r="AX1042" s="101"/>
      <c r="AY1042" s="101"/>
      <c r="AZ1042" s="101"/>
      <c r="BA1042" s="101"/>
    </row>
    <row r="1043" spans="33:54">
      <c r="AG1043" s="101"/>
      <c r="AH1043" s="101"/>
      <c r="AI1043" s="101"/>
      <c r="AJ1043" s="101"/>
      <c r="AK1043" s="101"/>
      <c r="AM1043" s="195"/>
      <c r="AT1043" s="101"/>
      <c r="AU1043" s="101"/>
      <c r="AV1043" s="101"/>
      <c r="AW1043" s="101"/>
      <c r="AX1043" s="101"/>
      <c r="AY1043" s="101"/>
      <c r="AZ1043" s="101"/>
      <c r="BA1043" s="101"/>
    </row>
    <row r="1044" spans="33:54">
      <c r="AG1044" s="101"/>
      <c r="AH1044" s="101"/>
      <c r="AI1044" s="101"/>
      <c r="AJ1044" s="101"/>
      <c r="AK1044" s="101"/>
      <c r="AM1044" s="195"/>
      <c r="AT1044" s="101"/>
      <c r="AU1044" s="101"/>
      <c r="AV1044" s="101"/>
      <c r="AW1044" s="101"/>
      <c r="AX1044" s="101"/>
      <c r="AY1044" s="101"/>
      <c r="AZ1044" s="101"/>
      <c r="BA1044" s="101"/>
    </row>
    <row r="1045" spans="33:54">
      <c r="AG1045" s="101"/>
      <c r="AH1045" s="101"/>
      <c r="AI1045" s="101"/>
      <c r="AJ1045" s="101"/>
      <c r="AK1045" s="101"/>
      <c r="AM1045" s="195"/>
      <c r="AT1045" s="101"/>
      <c r="AU1045" s="101"/>
      <c r="AV1045" s="101"/>
      <c r="AW1045" s="101"/>
      <c r="AX1045" s="101"/>
      <c r="AY1045" s="101"/>
      <c r="AZ1045" s="101"/>
      <c r="BA1045" s="101"/>
    </row>
    <row r="1046" spans="33:54">
      <c r="AG1046" s="101"/>
      <c r="AH1046" s="101"/>
      <c r="AI1046" s="101"/>
      <c r="AJ1046" s="101"/>
      <c r="AK1046" s="101"/>
      <c r="AM1046" s="195"/>
      <c r="AT1046" s="101"/>
      <c r="AU1046" s="101"/>
      <c r="AV1046" s="101"/>
      <c r="AW1046" s="101"/>
      <c r="AX1046" s="101"/>
      <c r="AY1046" s="101"/>
      <c r="AZ1046" s="101"/>
      <c r="BA1046" s="101"/>
    </row>
    <row r="1047" spans="33:54">
      <c r="AG1047" s="101"/>
      <c r="AH1047" s="101"/>
      <c r="AI1047" s="101"/>
      <c r="AJ1047" s="101"/>
      <c r="AK1047" s="101"/>
      <c r="AM1047" s="195"/>
      <c r="AT1047" s="101"/>
      <c r="AU1047" s="101"/>
      <c r="AV1047" s="101"/>
      <c r="AW1047" s="101"/>
      <c r="AX1047" s="101"/>
      <c r="AY1047" s="101"/>
      <c r="AZ1047" s="101"/>
      <c r="BA1047" s="101"/>
    </row>
    <row r="1048" spans="33:54">
      <c r="AG1048" s="101"/>
      <c r="AH1048" s="101"/>
      <c r="AI1048" s="101"/>
      <c r="AJ1048" s="101"/>
      <c r="AK1048" s="101"/>
      <c r="AM1048" s="195"/>
      <c r="AT1048" s="101"/>
      <c r="AU1048" s="101"/>
      <c r="AV1048" s="101"/>
      <c r="AW1048" s="101"/>
      <c r="AX1048" s="101"/>
      <c r="AY1048" s="101"/>
      <c r="AZ1048" s="101"/>
      <c r="BA1048" s="101"/>
    </row>
    <row r="1049" spans="33:54">
      <c r="AG1049" s="101"/>
      <c r="AH1049" s="101"/>
      <c r="AI1049" s="101"/>
      <c r="AJ1049" s="101"/>
      <c r="AK1049" s="101"/>
      <c r="AM1049" s="195"/>
      <c r="AT1049" s="101"/>
      <c r="AU1049" s="101"/>
      <c r="AV1049" s="101"/>
      <c r="AW1049" s="101"/>
      <c r="AX1049" s="101"/>
      <c r="AY1049" s="101"/>
      <c r="AZ1049" s="101"/>
      <c r="BA1049" s="101"/>
    </row>
    <row r="1050" spans="33:54">
      <c r="AG1050" s="101"/>
      <c r="AH1050" s="101"/>
      <c r="AI1050" s="101"/>
      <c r="AJ1050" s="101"/>
      <c r="AK1050" s="101"/>
      <c r="AM1050" s="195"/>
      <c r="AT1050" s="101"/>
      <c r="AU1050" s="101"/>
      <c r="AV1050" s="101"/>
      <c r="AW1050" s="101"/>
      <c r="AX1050" s="101"/>
      <c r="AY1050" s="101"/>
      <c r="AZ1050" s="101"/>
      <c r="BA1050" s="101"/>
    </row>
    <row r="1051" spans="33:54">
      <c r="AG1051" s="101"/>
      <c r="AH1051" s="101"/>
      <c r="AI1051" s="101"/>
      <c r="AJ1051" s="101"/>
      <c r="AK1051" s="101"/>
      <c r="AM1051" s="195"/>
      <c r="AT1051" s="101"/>
      <c r="AU1051" s="101"/>
      <c r="AV1051" s="101"/>
      <c r="AW1051" s="101"/>
      <c r="AX1051" s="101"/>
      <c r="AY1051" s="101"/>
      <c r="AZ1051" s="101"/>
      <c r="BA1051" s="101"/>
    </row>
    <row r="1052" spans="33:54">
      <c r="AG1052" s="101"/>
      <c r="AH1052" s="101"/>
      <c r="AI1052" s="101"/>
      <c r="AJ1052" s="101"/>
      <c r="AK1052" s="101"/>
      <c r="AM1052" s="195"/>
      <c r="AT1052" s="101"/>
      <c r="AU1052" s="101"/>
      <c r="AV1052" s="101"/>
      <c r="AW1052" s="101"/>
      <c r="AX1052" s="101"/>
      <c r="AY1052" s="101"/>
      <c r="AZ1052" s="101"/>
      <c r="BA1052" s="101"/>
    </row>
    <row r="1053" spans="33:54">
      <c r="AG1053" s="101"/>
      <c r="AH1053" s="101"/>
      <c r="AI1053" s="101"/>
      <c r="AJ1053" s="101"/>
      <c r="AK1053" s="101"/>
      <c r="AM1053" s="195"/>
      <c r="AT1053" s="101"/>
      <c r="AU1053" s="101"/>
      <c r="AV1053" s="101"/>
      <c r="AW1053" s="101"/>
      <c r="AX1053" s="101"/>
      <c r="AY1053" s="101"/>
      <c r="AZ1053" s="101"/>
      <c r="BA1053" s="101"/>
    </row>
    <row r="1054" spans="33:54">
      <c r="AG1054" s="101"/>
      <c r="AH1054" s="101"/>
      <c r="AI1054" s="101"/>
      <c r="AJ1054" s="101"/>
      <c r="AK1054" s="101"/>
      <c r="AM1054" s="195"/>
      <c r="AT1054" s="101"/>
      <c r="AU1054" s="101"/>
      <c r="AV1054" s="101"/>
      <c r="AW1054" s="101"/>
      <c r="AX1054" s="101"/>
      <c r="AY1054" s="101"/>
      <c r="AZ1054" s="101"/>
      <c r="BA1054" s="101"/>
    </row>
    <row r="1055" spans="33:54">
      <c r="AG1055" s="101"/>
      <c r="AH1055" s="101"/>
      <c r="AI1055" s="101"/>
      <c r="AJ1055" s="101"/>
      <c r="AK1055" s="101"/>
      <c r="AM1055" s="195"/>
      <c r="AT1055" s="101"/>
      <c r="AU1055" s="101"/>
      <c r="AV1055" s="101"/>
      <c r="AW1055" s="101"/>
      <c r="AX1055" s="101"/>
      <c r="AY1055" s="101"/>
      <c r="AZ1055" s="101"/>
      <c r="BA1055" s="101"/>
    </row>
    <row r="1056" spans="33:54">
      <c r="AG1056" s="101"/>
      <c r="AH1056" s="101"/>
      <c r="AI1056" s="101"/>
      <c r="AJ1056" s="101"/>
      <c r="AK1056" s="101"/>
      <c r="AM1056" s="195"/>
      <c r="AT1056" s="101"/>
      <c r="AU1056" s="101"/>
      <c r="AV1056" s="101"/>
      <c r="AW1056" s="101"/>
      <c r="AX1056" s="101"/>
      <c r="AY1056" s="101"/>
      <c r="AZ1056" s="101"/>
      <c r="BA1056" s="101"/>
    </row>
    <row r="1057" spans="33:70">
      <c r="AG1057" s="101"/>
      <c r="AH1057" s="101"/>
      <c r="AI1057" s="101"/>
      <c r="AJ1057" s="101"/>
      <c r="AK1057" s="101"/>
      <c r="AM1057" s="195"/>
      <c r="AT1057" s="101"/>
      <c r="AU1057" s="101"/>
      <c r="AV1057" s="101"/>
      <c r="AW1057" s="101"/>
      <c r="AX1057" s="101"/>
      <c r="AY1057" s="101"/>
      <c r="AZ1057" s="101"/>
      <c r="BA1057" s="101"/>
    </row>
    <row r="1058" spans="33:70">
      <c r="AG1058" s="101"/>
      <c r="AH1058" s="101"/>
      <c r="AI1058" s="101"/>
      <c r="AJ1058" s="101"/>
      <c r="AK1058" s="101"/>
      <c r="AM1058" s="195"/>
      <c r="AT1058" s="101"/>
      <c r="AU1058" s="101"/>
      <c r="AV1058" s="101"/>
      <c r="AW1058" s="101"/>
      <c r="AX1058" s="101"/>
      <c r="AY1058" s="101"/>
      <c r="AZ1058" s="101"/>
      <c r="BA1058" s="101"/>
    </row>
    <row r="1059" spans="33:70">
      <c r="AG1059" s="101"/>
      <c r="AH1059" s="101"/>
      <c r="AI1059" s="101"/>
      <c r="AJ1059" s="101"/>
      <c r="AK1059" s="101"/>
      <c r="AM1059" s="195"/>
      <c r="AT1059" s="101"/>
      <c r="AU1059" s="101"/>
      <c r="AV1059" s="101"/>
      <c r="AW1059" s="101"/>
      <c r="AX1059" s="101"/>
      <c r="AY1059" s="101"/>
      <c r="AZ1059" s="101"/>
      <c r="BA1059" s="101"/>
    </row>
    <row r="1060" spans="33:70">
      <c r="AG1060" s="101"/>
      <c r="AH1060" s="101"/>
      <c r="AI1060" s="101"/>
      <c r="AJ1060" s="101"/>
      <c r="AK1060" s="101"/>
      <c r="AM1060" s="195"/>
      <c r="AT1060" s="101"/>
      <c r="AU1060" s="101"/>
      <c r="AV1060" s="101"/>
      <c r="AW1060" s="101"/>
      <c r="AX1060" s="101"/>
      <c r="AY1060" s="101"/>
      <c r="AZ1060" s="101"/>
      <c r="BA1060" s="101"/>
    </row>
    <row r="1061" spans="33:70">
      <c r="AG1061" s="101"/>
      <c r="AH1061" s="101"/>
      <c r="AI1061" s="101"/>
      <c r="AJ1061" s="101"/>
      <c r="AK1061" s="101"/>
      <c r="AM1061" s="195"/>
      <c r="AT1061" s="101"/>
      <c r="AU1061" s="101"/>
      <c r="AV1061" s="101"/>
      <c r="AW1061" s="101"/>
      <c r="AX1061" s="101"/>
      <c r="AY1061" s="101"/>
      <c r="AZ1061" s="101"/>
      <c r="BA1061" s="101"/>
    </row>
    <row r="1062" spans="33:70">
      <c r="AG1062" s="101"/>
      <c r="AH1062" s="101"/>
      <c r="AI1062" s="101"/>
      <c r="AJ1062" s="101"/>
      <c r="AK1062" s="101"/>
      <c r="AM1062" s="195"/>
      <c r="AT1062" s="101"/>
      <c r="AU1062" s="101"/>
      <c r="AV1062" s="101"/>
      <c r="AW1062" s="101"/>
      <c r="AX1062" s="101"/>
      <c r="AY1062" s="101"/>
      <c r="AZ1062" s="101"/>
      <c r="BA1062" s="101"/>
    </row>
    <row r="1063" spans="33:70">
      <c r="AG1063" s="101"/>
      <c r="AH1063" s="101"/>
      <c r="AI1063" s="101"/>
      <c r="AJ1063" s="101"/>
      <c r="AK1063" s="101"/>
      <c r="AM1063" s="195"/>
      <c r="AT1063" s="101"/>
      <c r="AU1063" s="101"/>
      <c r="AV1063" s="101"/>
      <c r="AW1063" s="101"/>
      <c r="AX1063" s="101"/>
      <c r="AY1063" s="101"/>
      <c r="AZ1063" s="101"/>
      <c r="BA1063" s="101"/>
    </row>
    <row r="1064" spans="33:70">
      <c r="AG1064" s="101"/>
      <c r="AH1064" s="101"/>
      <c r="AI1064" s="101"/>
      <c r="AJ1064" s="101"/>
      <c r="AK1064" s="101"/>
      <c r="AM1064" s="195"/>
      <c r="AT1064" s="101"/>
      <c r="AU1064" s="101"/>
      <c r="AV1064" s="101"/>
      <c r="AW1064" s="101"/>
      <c r="AX1064" s="101"/>
      <c r="AY1064" s="101"/>
      <c r="AZ1064" s="101"/>
      <c r="BA1064" s="101"/>
    </row>
    <row r="1065" spans="33:70">
      <c r="AG1065" s="101"/>
      <c r="AH1065" s="101"/>
      <c r="AI1065" s="101"/>
      <c r="AJ1065" s="101"/>
      <c r="AK1065" s="101"/>
      <c r="AM1065" s="195"/>
      <c r="AT1065" s="101"/>
      <c r="AU1065" s="101"/>
      <c r="AV1065" s="101"/>
      <c r="AW1065" s="101"/>
      <c r="AX1065" s="101"/>
      <c r="AY1065" s="101"/>
      <c r="AZ1065" s="101"/>
      <c r="BA1065" s="101"/>
      <c r="BB1065" s="101"/>
      <c r="BC1065" s="101"/>
      <c r="BD1065" s="101"/>
      <c r="BE1065" s="101"/>
      <c r="BF1065" s="101"/>
      <c r="BG1065" s="101"/>
      <c r="BH1065" s="101"/>
      <c r="BI1065" s="101"/>
      <c r="BJ1065" s="101"/>
      <c r="BK1065" s="101"/>
      <c r="BL1065" s="101"/>
      <c r="BM1065" s="101"/>
      <c r="BN1065" s="101"/>
      <c r="BO1065" s="101"/>
      <c r="BP1065" s="101"/>
      <c r="BQ1065" s="101"/>
      <c r="BR1065" s="101"/>
    </row>
    <row r="1066" spans="33:70">
      <c r="AG1066" s="101"/>
      <c r="AH1066" s="101"/>
      <c r="AI1066" s="101"/>
      <c r="AJ1066" s="101"/>
      <c r="AK1066" s="101"/>
      <c r="AM1066" s="195"/>
      <c r="AT1066" s="101"/>
      <c r="AU1066" s="101"/>
      <c r="AV1066" s="101"/>
      <c r="AW1066" s="101"/>
      <c r="AX1066" s="101"/>
      <c r="AY1066" s="101"/>
      <c r="AZ1066" s="101"/>
      <c r="BA1066" s="101"/>
    </row>
    <row r="1067" spans="33:70">
      <c r="AG1067" s="101"/>
      <c r="AH1067" s="101"/>
      <c r="AI1067" s="101"/>
      <c r="AJ1067" s="101"/>
      <c r="AK1067" s="101"/>
      <c r="AM1067" s="195"/>
      <c r="AT1067" s="101"/>
      <c r="AU1067" s="101"/>
      <c r="AV1067" s="101"/>
      <c r="AW1067" s="101"/>
      <c r="AX1067" s="101"/>
      <c r="AY1067" s="101"/>
      <c r="AZ1067" s="101"/>
      <c r="BA1067" s="101"/>
    </row>
    <row r="1068" spans="33:70">
      <c r="AG1068" s="101"/>
      <c r="AH1068" s="101"/>
      <c r="AI1068" s="101"/>
      <c r="AJ1068" s="101"/>
      <c r="AK1068" s="101"/>
      <c r="AM1068" s="195"/>
      <c r="AT1068" s="101"/>
      <c r="AU1068" s="101"/>
      <c r="AV1068" s="101"/>
      <c r="AW1068" s="101"/>
      <c r="AX1068" s="101"/>
      <c r="AY1068" s="101"/>
      <c r="AZ1068" s="101"/>
      <c r="BA1068" s="101"/>
    </row>
    <row r="1069" spans="33:70">
      <c r="AG1069" s="101"/>
      <c r="AH1069" s="101"/>
      <c r="AI1069" s="101"/>
      <c r="AJ1069" s="101"/>
      <c r="AK1069" s="101"/>
      <c r="AM1069" s="195"/>
      <c r="AT1069" s="101"/>
      <c r="AU1069" s="101"/>
      <c r="AV1069" s="101"/>
      <c r="AW1069" s="101"/>
      <c r="AX1069" s="101"/>
      <c r="AY1069" s="101"/>
      <c r="AZ1069" s="101"/>
      <c r="BA1069" s="101"/>
    </row>
    <row r="1070" spans="33:70">
      <c r="AG1070" s="101"/>
      <c r="AH1070" s="101"/>
      <c r="AI1070" s="101"/>
      <c r="AJ1070" s="101"/>
      <c r="AK1070" s="101"/>
      <c r="AM1070" s="195"/>
      <c r="AT1070" s="101"/>
      <c r="AU1070" s="101"/>
      <c r="AV1070" s="101"/>
      <c r="AW1070" s="101"/>
      <c r="AX1070" s="101"/>
      <c r="AY1070" s="101"/>
      <c r="AZ1070" s="101"/>
      <c r="BA1070" s="101"/>
    </row>
    <row r="1071" spans="33:70">
      <c r="AG1071" s="101"/>
      <c r="AH1071" s="101"/>
      <c r="AI1071" s="101"/>
      <c r="AJ1071" s="101"/>
      <c r="AK1071" s="101"/>
      <c r="AM1071" s="195"/>
      <c r="AT1071" s="101"/>
      <c r="AU1071" s="101"/>
      <c r="AV1071" s="101"/>
      <c r="AW1071" s="101"/>
      <c r="AX1071" s="101"/>
      <c r="AY1071" s="101"/>
      <c r="AZ1071" s="101"/>
      <c r="BA1071" s="101"/>
    </row>
    <row r="1072" spans="33:70">
      <c r="AG1072" s="101"/>
      <c r="AH1072" s="101"/>
      <c r="AI1072" s="101"/>
      <c r="AJ1072" s="101"/>
      <c r="AK1072" s="101"/>
      <c r="AM1072" s="195"/>
      <c r="AT1072" s="101"/>
      <c r="AU1072" s="101"/>
      <c r="AV1072" s="101"/>
      <c r="AW1072" s="101"/>
      <c r="AX1072" s="101"/>
      <c r="AY1072" s="101"/>
      <c r="AZ1072" s="101"/>
      <c r="BA1072" s="101"/>
    </row>
    <row r="1073" spans="33:54">
      <c r="AG1073" s="101"/>
      <c r="AH1073" s="101"/>
      <c r="AI1073" s="101"/>
      <c r="AJ1073" s="101"/>
      <c r="AK1073" s="101"/>
      <c r="AM1073" s="195"/>
      <c r="AT1073" s="101"/>
      <c r="AU1073" s="101"/>
      <c r="AV1073" s="101"/>
      <c r="AW1073" s="101"/>
      <c r="AX1073" s="101"/>
      <c r="AY1073" s="101"/>
      <c r="AZ1073" s="101"/>
      <c r="BA1073" s="101"/>
    </row>
    <row r="1074" spans="33:54">
      <c r="AG1074" s="101"/>
      <c r="AH1074" s="101"/>
      <c r="AI1074" s="101"/>
      <c r="AJ1074" s="101"/>
      <c r="AK1074" s="101"/>
      <c r="AM1074" s="195"/>
      <c r="AT1074" s="101"/>
      <c r="AU1074" s="101"/>
      <c r="AV1074" s="101"/>
      <c r="AW1074" s="101"/>
      <c r="AX1074" s="101"/>
      <c r="AY1074" s="101"/>
      <c r="AZ1074" s="101"/>
      <c r="BA1074" s="101"/>
    </row>
    <row r="1075" spans="33:54">
      <c r="AG1075" s="101"/>
      <c r="AH1075" s="101"/>
      <c r="AI1075" s="101"/>
      <c r="AJ1075" s="101"/>
      <c r="AK1075" s="101"/>
      <c r="AM1075" s="195"/>
      <c r="AT1075" s="101"/>
      <c r="AU1075" s="101"/>
      <c r="AV1075" s="101"/>
      <c r="AW1075" s="101"/>
      <c r="AX1075" s="101"/>
      <c r="AY1075" s="101"/>
      <c r="AZ1075" s="101"/>
      <c r="BA1075" s="101"/>
    </row>
    <row r="1076" spans="33:54">
      <c r="AG1076" s="101"/>
      <c r="AH1076" s="101"/>
      <c r="AI1076" s="101"/>
      <c r="AJ1076" s="101"/>
      <c r="AK1076" s="101"/>
      <c r="AM1076" s="195"/>
      <c r="AT1076" s="101"/>
      <c r="AU1076" s="101"/>
      <c r="AV1076" s="101"/>
      <c r="AW1076" s="101"/>
      <c r="AX1076" s="101"/>
      <c r="AY1076" s="101"/>
      <c r="AZ1076" s="101"/>
      <c r="BA1076" s="101"/>
    </row>
    <row r="1077" spans="33:54">
      <c r="AG1077" s="101"/>
      <c r="AH1077" s="101"/>
      <c r="AI1077" s="101"/>
      <c r="AJ1077" s="101"/>
      <c r="AK1077" s="101"/>
      <c r="AM1077" s="195"/>
      <c r="AT1077" s="101"/>
      <c r="AU1077" s="101"/>
      <c r="AV1077" s="101"/>
      <c r="AW1077" s="101"/>
      <c r="AX1077" s="101"/>
      <c r="AY1077" s="101"/>
      <c r="AZ1077" s="101"/>
      <c r="BA1077" s="101"/>
      <c r="BB1077" s="101"/>
    </row>
    <row r="1078" spans="33:54">
      <c r="AG1078" s="101"/>
      <c r="AH1078" s="101"/>
      <c r="AI1078" s="101"/>
      <c r="AJ1078" s="101"/>
      <c r="AK1078" s="101"/>
      <c r="AM1078" s="195"/>
      <c r="AT1078" s="101"/>
      <c r="AU1078" s="101"/>
      <c r="AV1078" s="101"/>
      <c r="AW1078" s="101"/>
      <c r="AX1078" s="101"/>
      <c r="AY1078" s="101"/>
      <c r="AZ1078" s="101"/>
      <c r="BA1078" s="101"/>
    </row>
    <row r="1079" spans="33:54">
      <c r="AG1079" s="101"/>
      <c r="AH1079" s="101"/>
      <c r="AI1079" s="101"/>
      <c r="AJ1079" s="101"/>
      <c r="AK1079" s="101"/>
      <c r="AM1079" s="195"/>
      <c r="AT1079" s="101"/>
      <c r="AU1079" s="101"/>
      <c r="AV1079" s="101"/>
      <c r="AW1079" s="101"/>
      <c r="AX1079" s="101"/>
      <c r="AY1079" s="101"/>
      <c r="AZ1079" s="101"/>
      <c r="BA1079" s="101"/>
      <c r="BB1079" s="101"/>
    </row>
    <row r="1080" spans="33:54">
      <c r="AG1080" s="101"/>
      <c r="AH1080" s="101"/>
      <c r="AI1080" s="101"/>
      <c r="AJ1080" s="101"/>
      <c r="AK1080" s="101"/>
      <c r="AM1080" s="195"/>
      <c r="AT1080" s="101"/>
      <c r="AU1080" s="101"/>
      <c r="AV1080" s="101"/>
      <c r="AW1080" s="101"/>
      <c r="AX1080" s="101"/>
      <c r="AY1080" s="101"/>
      <c r="AZ1080" s="101"/>
      <c r="BA1080" s="101"/>
    </row>
    <row r="1081" spans="33:54">
      <c r="AG1081" s="101"/>
      <c r="AH1081" s="101"/>
      <c r="AI1081" s="101"/>
      <c r="AJ1081" s="101"/>
      <c r="AK1081" s="101"/>
      <c r="AM1081" s="195"/>
      <c r="AT1081" s="101"/>
      <c r="AU1081" s="101"/>
      <c r="AV1081" s="101"/>
      <c r="AW1081" s="101"/>
      <c r="AX1081" s="101"/>
      <c r="AY1081" s="101"/>
      <c r="AZ1081" s="101"/>
      <c r="BA1081" s="101"/>
    </row>
    <row r="1082" spans="33:54">
      <c r="AG1082" s="101"/>
      <c r="AH1082" s="101"/>
      <c r="AI1082" s="101"/>
      <c r="AJ1082" s="101"/>
      <c r="AK1082" s="101"/>
      <c r="AM1082" s="195"/>
      <c r="AT1082" s="101"/>
      <c r="AU1082" s="101"/>
      <c r="AV1082" s="101"/>
      <c r="AW1082" s="101"/>
      <c r="AX1082" s="101"/>
      <c r="AY1082" s="101"/>
      <c r="AZ1082" s="101"/>
      <c r="BA1082" s="101"/>
    </row>
    <row r="1083" spans="33:54">
      <c r="AG1083" s="101"/>
      <c r="AH1083" s="101"/>
      <c r="AI1083" s="101"/>
      <c r="AJ1083" s="101"/>
      <c r="AK1083" s="101"/>
      <c r="AM1083" s="195"/>
      <c r="AT1083" s="101"/>
      <c r="AU1083" s="101"/>
      <c r="AV1083" s="101"/>
      <c r="AW1083" s="101"/>
      <c r="AX1083" s="101"/>
      <c r="AY1083" s="101"/>
      <c r="AZ1083" s="101"/>
      <c r="BA1083" s="101"/>
    </row>
    <row r="1084" spans="33:54">
      <c r="AG1084" s="101"/>
      <c r="AH1084" s="101"/>
      <c r="AI1084" s="101"/>
      <c r="AJ1084" s="101"/>
      <c r="AK1084" s="101"/>
      <c r="AM1084" s="195"/>
      <c r="AT1084" s="101"/>
      <c r="AU1084" s="101"/>
      <c r="AV1084" s="101"/>
      <c r="AW1084" s="101"/>
      <c r="AX1084" s="101"/>
      <c r="AY1084" s="101"/>
      <c r="AZ1084" s="101"/>
      <c r="BA1084" s="101"/>
    </row>
    <row r="1085" spans="33:54">
      <c r="AG1085" s="101"/>
      <c r="AH1085" s="101"/>
      <c r="AI1085" s="101"/>
      <c r="AJ1085" s="101"/>
      <c r="AK1085" s="101"/>
      <c r="AM1085" s="195"/>
      <c r="AT1085" s="101"/>
      <c r="AU1085" s="101"/>
      <c r="AV1085" s="101"/>
      <c r="AW1085" s="101"/>
      <c r="AX1085" s="101"/>
      <c r="AY1085" s="101"/>
      <c r="AZ1085" s="101"/>
      <c r="BA1085" s="101"/>
    </row>
    <row r="1086" spans="33:54">
      <c r="AG1086" s="101"/>
      <c r="AH1086" s="101"/>
      <c r="AI1086" s="101"/>
      <c r="AJ1086" s="101"/>
      <c r="AK1086" s="101"/>
      <c r="AM1086" s="195"/>
      <c r="AT1086" s="101"/>
      <c r="AU1086" s="101"/>
      <c r="AV1086" s="101"/>
      <c r="AW1086" s="101"/>
      <c r="AX1086" s="101"/>
      <c r="AY1086" s="101"/>
      <c r="AZ1086" s="101"/>
      <c r="BA1086" s="101"/>
    </row>
    <row r="1087" spans="33:54">
      <c r="AG1087" s="101"/>
      <c r="AH1087" s="101"/>
      <c r="AI1087" s="101"/>
      <c r="AJ1087" s="101"/>
      <c r="AK1087" s="101"/>
      <c r="AM1087" s="195"/>
      <c r="AT1087" s="101"/>
      <c r="AU1087" s="101"/>
      <c r="AV1087" s="101"/>
      <c r="AW1087" s="101"/>
      <c r="AX1087" s="101"/>
      <c r="AY1087" s="101"/>
      <c r="AZ1087" s="101"/>
      <c r="BA1087" s="101"/>
    </row>
    <row r="1088" spans="33:54">
      <c r="AG1088" s="101"/>
      <c r="AH1088" s="101"/>
      <c r="AI1088" s="101"/>
      <c r="AJ1088" s="101"/>
      <c r="AK1088" s="101"/>
      <c r="AM1088" s="195"/>
      <c r="AT1088" s="101"/>
      <c r="AU1088" s="101"/>
      <c r="AV1088" s="101"/>
      <c r="AW1088" s="101"/>
      <c r="AX1088" s="101"/>
      <c r="AY1088" s="101"/>
      <c r="AZ1088" s="101"/>
      <c r="BA1088" s="101"/>
    </row>
    <row r="1089" spans="33:53">
      <c r="AG1089" s="101"/>
      <c r="AH1089" s="101"/>
      <c r="AI1089" s="101"/>
      <c r="AJ1089" s="101"/>
      <c r="AK1089" s="101"/>
      <c r="AM1089" s="195"/>
      <c r="AT1089" s="101"/>
      <c r="AU1089" s="101"/>
      <c r="AV1089" s="101"/>
      <c r="AW1089" s="101"/>
      <c r="AX1089" s="101"/>
      <c r="AY1089" s="101"/>
      <c r="AZ1089" s="101"/>
      <c r="BA1089" s="101"/>
    </row>
    <row r="1090" spans="33:53">
      <c r="AG1090" s="101"/>
      <c r="AH1090" s="101"/>
      <c r="AI1090" s="101"/>
      <c r="AJ1090" s="101"/>
      <c r="AK1090" s="101"/>
      <c r="AM1090" s="195"/>
      <c r="AT1090" s="101"/>
      <c r="AU1090" s="101"/>
      <c r="AV1090" s="101"/>
      <c r="AW1090" s="101"/>
      <c r="AX1090" s="101"/>
      <c r="AY1090" s="101"/>
      <c r="AZ1090" s="101"/>
      <c r="BA1090" s="101"/>
    </row>
    <row r="1091" spans="33:53">
      <c r="AG1091" s="101"/>
      <c r="AH1091" s="101"/>
      <c r="AI1091" s="101"/>
      <c r="AJ1091" s="101"/>
      <c r="AK1091" s="101"/>
      <c r="AM1091" s="195"/>
      <c r="AT1091" s="101"/>
      <c r="AU1091" s="101"/>
      <c r="AV1091" s="101"/>
      <c r="AW1091" s="101"/>
      <c r="AX1091" s="101"/>
      <c r="AY1091" s="101"/>
      <c r="AZ1091" s="101"/>
      <c r="BA1091" s="101"/>
    </row>
    <row r="1092" spans="33:53">
      <c r="AG1092" s="101"/>
      <c r="AH1092" s="101"/>
      <c r="AI1092" s="101"/>
      <c r="AJ1092" s="101"/>
      <c r="AK1092" s="101"/>
      <c r="AM1092" s="195"/>
      <c r="AT1092" s="101"/>
      <c r="AU1092" s="101"/>
      <c r="AV1092" s="101"/>
      <c r="AW1092" s="101"/>
      <c r="AX1092" s="101"/>
      <c r="AY1092" s="101"/>
      <c r="AZ1092" s="101"/>
      <c r="BA1092" s="101"/>
    </row>
    <row r="1093" spans="33:53">
      <c r="AG1093" s="101"/>
      <c r="AH1093" s="101"/>
      <c r="AI1093" s="101"/>
      <c r="AJ1093" s="101"/>
      <c r="AK1093" s="101"/>
      <c r="AM1093" s="195"/>
      <c r="AT1093" s="101"/>
      <c r="AU1093" s="101"/>
      <c r="AV1093" s="101"/>
      <c r="AW1093" s="101"/>
      <c r="AX1093" s="101"/>
      <c r="AY1093" s="101"/>
      <c r="AZ1093" s="101"/>
      <c r="BA1093" s="101"/>
    </row>
    <row r="1094" spans="33:53">
      <c r="AG1094" s="101"/>
      <c r="AH1094" s="101"/>
      <c r="AI1094" s="101"/>
      <c r="AJ1094" s="101"/>
      <c r="AK1094" s="101"/>
      <c r="AM1094" s="195"/>
      <c r="AT1094" s="101"/>
      <c r="AU1094" s="101"/>
      <c r="AV1094" s="101"/>
      <c r="AW1094" s="101"/>
      <c r="AX1094" s="101"/>
      <c r="AY1094" s="101"/>
      <c r="AZ1094" s="101"/>
      <c r="BA1094" s="101"/>
    </row>
    <row r="1095" spans="33:53">
      <c r="AG1095" s="101"/>
      <c r="AH1095" s="101"/>
      <c r="AI1095" s="101"/>
      <c r="AJ1095" s="101"/>
      <c r="AK1095" s="101"/>
      <c r="AM1095" s="195"/>
      <c r="AT1095" s="101"/>
      <c r="AU1095" s="101"/>
      <c r="AV1095" s="101"/>
      <c r="AW1095" s="101"/>
      <c r="AX1095" s="101"/>
      <c r="AY1095" s="101"/>
      <c r="AZ1095" s="101"/>
      <c r="BA1095" s="101"/>
    </row>
    <row r="1096" spans="33:53">
      <c r="AG1096" s="101"/>
      <c r="AH1096" s="101"/>
      <c r="AI1096" s="101"/>
      <c r="AJ1096" s="101"/>
      <c r="AK1096" s="101"/>
      <c r="AM1096" s="195"/>
      <c r="AT1096" s="101"/>
      <c r="AU1096" s="101"/>
      <c r="AV1096" s="101"/>
      <c r="AW1096" s="101"/>
      <c r="AX1096" s="101"/>
      <c r="AY1096" s="101"/>
      <c r="AZ1096" s="101"/>
      <c r="BA1096" s="101"/>
    </row>
    <row r="1097" spans="33:53">
      <c r="AG1097" s="101"/>
      <c r="AH1097" s="101"/>
      <c r="AI1097" s="101"/>
      <c r="AJ1097" s="101"/>
      <c r="AK1097" s="101"/>
      <c r="AM1097" s="195"/>
      <c r="AT1097" s="101"/>
      <c r="AU1097" s="101"/>
      <c r="AV1097" s="101"/>
      <c r="AW1097" s="101"/>
      <c r="AX1097" s="101"/>
      <c r="AY1097" s="101"/>
      <c r="AZ1097" s="101"/>
      <c r="BA1097" s="101"/>
    </row>
    <row r="1098" spans="33:53">
      <c r="AG1098" s="101"/>
      <c r="AH1098" s="101"/>
      <c r="AI1098" s="101"/>
      <c r="AJ1098" s="101"/>
      <c r="AK1098" s="101"/>
      <c r="AM1098" s="195"/>
      <c r="AT1098" s="101"/>
      <c r="AU1098" s="101"/>
      <c r="AV1098" s="101"/>
      <c r="AW1098" s="101"/>
      <c r="AX1098" s="101"/>
      <c r="AY1098" s="101"/>
      <c r="AZ1098" s="101"/>
      <c r="BA1098" s="101"/>
    </row>
    <row r="1099" spans="33:53">
      <c r="AG1099" s="101"/>
      <c r="AH1099" s="101"/>
      <c r="AI1099" s="101"/>
      <c r="AJ1099" s="101"/>
      <c r="AK1099" s="101"/>
      <c r="AM1099" s="195"/>
      <c r="AT1099" s="101"/>
      <c r="AU1099" s="101"/>
      <c r="AV1099" s="101"/>
      <c r="AW1099" s="101"/>
      <c r="AX1099" s="101"/>
      <c r="AY1099" s="101"/>
      <c r="AZ1099" s="101"/>
      <c r="BA1099" s="101"/>
    </row>
    <row r="1100" spans="33:53">
      <c r="AG1100" s="101"/>
      <c r="AH1100" s="101"/>
      <c r="AI1100" s="101"/>
      <c r="AJ1100" s="101"/>
      <c r="AK1100" s="101"/>
      <c r="AM1100" s="195"/>
      <c r="AT1100" s="101"/>
      <c r="AU1100" s="101"/>
      <c r="AV1100" s="101"/>
      <c r="AW1100" s="101"/>
      <c r="AX1100" s="101"/>
      <c r="AY1100" s="101"/>
      <c r="AZ1100" s="101"/>
      <c r="BA1100" s="101"/>
    </row>
    <row r="1101" spans="33:53">
      <c r="AG1101" s="101"/>
      <c r="AH1101" s="101"/>
      <c r="AI1101" s="101"/>
      <c r="AJ1101" s="101"/>
      <c r="AK1101" s="101"/>
      <c r="AM1101" s="195"/>
      <c r="AT1101" s="101"/>
      <c r="AU1101" s="101"/>
      <c r="AV1101" s="101"/>
      <c r="AW1101" s="101"/>
      <c r="AX1101" s="101"/>
      <c r="AY1101" s="101"/>
      <c r="AZ1101" s="101"/>
      <c r="BA1101" s="101"/>
    </row>
    <row r="1102" spans="33:53">
      <c r="AG1102" s="101"/>
      <c r="AH1102" s="101"/>
      <c r="AI1102" s="101"/>
      <c r="AJ1102" s="101"/>
      <c r="AK1102" s="101"/>
      <c r="AM1102" s="195"/>
      <c r="AT1102" s="101"/>
      <c r="AU1102" s="101"/>
      <c r="AV1102" s="101"/>
      <c r="AW1102" s="101"/>
      <c r="AX1102" s="101"/>
      <c r="AY1102" s="101"/>
      <c r="AZ1102" s="101"/>
      <c r="BA1102" s="101"/>
    </row>
    <row r="1103" spans="33:53">
      <c r="AG1103" s="101"/>
      <c r="AH1103" s="101"/>
      <c r="AI1103" s="101"/>
      <c r="AJ1103" s="101"/>
      <c r="AK1103" s="101"/>
      <c r="AM1103" s="195"/>
      <c r="AT1103" s="101"/>
      <c r="AU1103" s="101"/>
      <c r="AV1103" s="101"/>
      <c r="AW1103" s="101"/>
      <c r="AX1103" s="101"/>
      <c r="AY1103" s="101"/>
      <c r="AZ1103" s="101"/>
      <c r="BA1103" s="101"/>
    </row>
    <row r="1104" spans="33:53">
      <c r="AG1104" s="101"/>
      <c r="AH1104" s="101"/>
      <c r="AI1104" s="101"/>
      <c r="AJ1104" s="101"/>
      <c r="AK1104" s="101"/>
      <c r="AM1104" s="195"/>
      <c r="AT1104" s="101"/>
      <c r="AU1104" s="101"/>
      <c r="AV1104" s="101"/>
      <c r="AW1104" s="101"/>
      <c r="AX1104" s="101"/>
      <c r="AY1104" s="101"/>
      <c r="AZ1104" s="101"/>
      <c r="BA1104" s="101"/>
    </row>
    <row r="1105" spans="33:53">
      <c r="AG1105" s="101"/>
      <c r="AH1105" s="101"/>
      <c r="AI1105" s="101"/>
      <c r="AJ1105" s="101"/>
      <c r="AK1105" s="101"/>
      <c r="AM1105" s="195"/>
      <c r="AT1105" s="101"/>
      <c r="AU1105" s="101"/>
      <c r="AV1105" s="101"/>
      <c r="AW1105" s="101"/>
      <c r="AX1105" s="101"/>
      <c r="AY1105" s="101"/>
      <c r="AZ1105" s="101"/>
      <c r="BA1105" s="101"/>
    </row>
    <row r="1106" spans="33:53">
      <c r="AG1106" s="101"/>
      <c r="AH1106" s="101"/>
      <c r="AI1106" s="101"/>
      <c r="AJ1106" s="101"/>
      <c r="AK1106" s="101"/>
      <c r="AM1106" s="195"/>
      <c r="AT1106" s="101"/>
      <c r="AU1106" s="101"/>
      <c r="AV1106" s="101"/>
      <c r="AW1106" s="101"/>
      <c r="AX1106" s="101"/>
      <c r="AY1106" s="101"/>
      <c r="AZ1106" s="101"/>
      <c r="BA1106" s="101"/>
    </row>
    <row r="1107" spans="33:53">
      <c r="AG1107" s="101"/>
      <c r="AH1107" s="101"/>
      <c r="AI1107" s="101"/>
      <c r="AJ1107" s="101"/>
      <c r="AK1107" s="101"/>
      <c r="AM1107" s="195"/>
      <c r="AT1107" s="101"/>
      <c r="AU1107" s="101"/>
      <c r="AV1107" s="101"/>
      <c r="AW1107" s="101"/>
      <c r="AX1107" s="101"/>
      <c r="AY1107" s="101"/>
      <c r="AZ1107" s="101"/>
      <c r="BA1107" s="101"/>
    </row>
    <row r="1108" spans="33:53">
      <c r="AG1108" s="101"/>
      <c r="AH1108" s="101"/>
      <c r="AI1108" s="101"/>
      <c r="AJ1108" s="101"/>
      <c r="AK1108" s="101"/>
      <c r="AM1108" s="195"/>
      <c r="AT1108" s="101"/>
      <c r="AU1108" s="101"/>
      <c r="AV1108" s="101"/>
      <c r="AW1108" s="101"/>
      <c r="AX1108" s="101"/>
      <c r="AY1108" s="101"/>
      <c r="AZ1108" s="101"/>
      <c r="BA1108" s="101"/>
    </row>
    <row r="1109" spans="33:53">
      <c r="AG1109" s="101"/>
      <c r="AH1109" s="101"/>
      <c r="AI1109" s="101"/>
      <c r="AJ1109" s="101"/>
      <c r="AK1109" s="101"/>
      <c r="AM1109" s="195"/>
      <c r="AT1109" s="101"/>
      <c r="AU1109" s="101"/>
      <c r="AV1109" s="101"/>
      <c r="AW1109" s="101"/>
      <c r="AX1109" s="101"/>
      <c r="AY1109" s="101"/>
      <c r="AZ1109" s="101"/>
      <c r="BA1109" s="101"/>
    </row>
    <row r="1110" spans="33:53">
      <c r="AG1110" s="101"/>
      <c r="AH1110" s="101"/>
      <c r="AI1110" s="101"/>
      <c r="AJ1110" s="101"/>
      <c r="AK1110" s="101"/>
      <c r="AM1110" s="195"/>
      <c r="AT1110" s="101"/>
      <c r="AU1110" s="101"/>
      <c r="AV1110" s="101"/>
      <c r="AW1110" s="101"/>
      <c r="AX1110" s="101"/>
      <c r="AY1110" s="101"/>
      <c r="AZ1110" s="101"/>
      <c r="BA1110" s="101"/>
    </row>
    <row r="1111" spans="33:53">
      <c r="AG1111" s="101"/>
      <c r="AH1111" s="101"/>
      <c r="AI1111" s="101"/>
      <c r="AJ1111" s="101"/>
      <c r="AK1111" s="101"/>
      <c r="AM1111" s="195"/>
      <c r="AT1111" s="101"/>
      <c r="AU1111" s="101"/>
      <c r="AV1111" s="101"/>
      <c r="AW1111" s="101"/>
      <c r="AX1111" s="101"/>
      <c r="AY1111" s="101"/>
      <c r="AZ1111" s="101"/>
      <c r="BA1111" s="101"/>
    </row>
    <row r="1112" spans="33:53">
      <c r="AG1112" s="101"/>
      <c r="AH1112" s="101"/>
      <c r="AI1112" s="101"/>
      <c r="AJ1112" s="101"/>
      <c r="AK1112" s="101"/>
      <c r="AM1112" s="195"/>
      <c r="AT1112" s="101"/>
      <c r="AU1112" s="101"/>
      <c r="AV1112" s="101"/>
      <c r="AW1112" s="101"/>
      <c r="AX1112" s="101"/>
      <c r="AY1112" s="101"/>
      <c r="AZ1112" s="101"/>
      <c r="BA1112" s="101"/>
    </row>
    <row r="1113" spans="33:53">
      <c r="AG1113" s="101"/>
      <c r="AH1113" s="101"/>
      <c r="AI1113" s="101"/>
      <c r="AJ1113" s="101"/>
      <c r="AK1113" s="101"/>
      <c r="AM1113" s="195"/>
      <c r="AT1113" s="101"/>
      <c r="AU1113" s="101"/>
      <c r="AV1113" s="101"/>
      <c r="AW1113" s="101"/>
      <c r="AX1113" s="101"/>
      <c r="AY1113" s="101"/>
      <c r="AZ1113" s="101"/>
      <c r="BA1113" s="101"/>
    </row>
    <row r="1114" spans="33:53">
      <c r="AG1114" s="101"/>
      <c r="AH1114" s="101"/>
      <c r="AI1114" s="101"/>
      <c r="AJ1114" s="101"/>
      <c r="AK1114" s="101"/>
      <c r="AM1114" s="195"/>
      <c r="AT1114" s="101"/>
      <c r="AU1114" s="101"/>
      <c r="AV1114" s="101"/>
      <c r="AW1114" s="101"/>
      <c r="AX1114" s="101"/>
      <c r="AY1114" s="101"/>
      <c r="AZ1114" s="101"/>
      <c r="BA1114" s="101"/>
    </row>
    <row r="1115" spans="33:53">
      <c r="AG1115" s="101"/>
      <c r="AH1115" s="101"/>
      <c r="AI1115" s="101"/>
      <c r="AJ1115" s="101"/>
      <c r="AK1115" s="101"/>
      <c r="AM1115" s="195"/>
      <c r="AT1115" s="101"/>
      <c r="AU1115" s="101"/>
      <c r="AV1115" s="101"/>
      <c r="AW1115" s="101"/>
      <c r="AX1115" s="101"/>
      <c r="AY1115" s="101"/>
      <c r="AZ1115" s="101"/>
      <c r="BA1115" s="101"/>
    </row>
    <row r="1116" spans="33:53">
      <c r="AG1116" s="101"/>
      <c r="AH1116" s="101"/>
      <c r="AI1116" s="101"/>
      <c r="AJ1116" s="101"/>
      <c r="AK1116" s="101"/>
      <c r="AM1116" s="195"/>
      <c r="AT1116" s="101"/>
      <c r="AU1116" s="101"/>
      <c r="AV1116" s="101"/>
      <c r="AW1116" s="101"/>
      <c r="AX1116" s="101"/>
      <c r="AY1116" s="101"/>
      <c r="AZ1116" s="101"/>
      <c r="BA1116" s="101"/>
    </row>
    <row r="1117" spans="33:53">
      <c r="AG1117" s="101"/>
      <c r="AH1117" s="101"/>
      <c r="AI1117" s="101"/>
      <c r="AJ1117" s="101"/>
      <c r="AK1117" s="101"/>
      <c r="AM1117" s="195"/>
      <c r="AT1117" s="101"/>
      <c r="AU1117" s="101"/>
      <c r="AV1117" s="101"/>
      <c r="AW1117" s="101"/>
      <c r="AX1117" s="101"/>
      <c r="AY1117" s="101"/>
      <c r="AZ1117" s="101"/>
      <c r="BA1117" s="101"/>
    </row>
    <row r="1118" spans="33:53">
      <c r="AG1118" s="101"/>
      <c r="AH1118" s="101"/>
      <c r="AI1118" s="101"/>
      <c r="AJ1118" s="101"/>
      <c r="AK1118" s="101"/>
      <c r="AM1118" s="195"/>
      <c r="AT1118" s="101"/>
      <c r="AU1118" s="101"/>
      <c r="AV1118" s="101"/>
      <c r="AW1118" s="101"/>
      <c r="AX1118" s="101"/>
      <c r="AY1118" s="101"/>
      <c r="AZ1118" s="101"/>
      <c r="BA1118" s="101"/>
    </row>
    <row r="1119" spans="33:53">
      <c r="AG1119" s="101"/>
      <c r="AH1119" s="101"/>
      <c r="AI1119" s="101"/>
      <c r="AJ1119" s="101"/>
      <c r="AK1119" s="101"/>
      <c r="AM1119" s="195"/>
      <c r="AT1119" s="101"/>
      <c r="AU1119" s="101"/>
      <c r="AV1119" s="101"/>
      <c r="AW1119" s="101"/>
      <c r="AX1119" s="101"/>
      <c r="AY1119" s="101"/>
      <c r="AZ1119" s="101"/>
      <c r="BA1119" s="101"/>
    </row>
    <row r="1120" spans="33:53">
      <c r="AG1120" s="101"/>
      <c r="AH1120" s="101"/>
      <c r="AI1120" s="101"/>
      <c r="AJ1120" s="101"/>
      <c r="AK1120" s="101"/>
      <c r="AM1120" s="195"/>
      <c r="AT1120" s="101"/>
      <c r="AU1120" s="101"/>
      <c r="AV1120" s="101"/>
      <c r="AW1120" s="101"/>
      <c r="AX1120" s="101"/>
      <c r="AY1120" s="101"/>
      <c r="AZ1120" s="101"/>
      <c r="BA1120" s="101"/>
    </row>
    <row r="1121" spans="33:53">
      <c r="AG1121" s="101"/>
      <c r="AH1121" s="101"/>
      <c r="AI1121" s="101"/>
      <c r="AJ1121" s="101"/>
      <c r="AK1121" s="101"/>
      <c r="AM1121" s="195"/>
      <c r="AT1121" s="101"/>
      <c r="AU1121" s="101"/>
      <c r="AV1121" s="101"/>
      <c r="AW1121" s="101"/>
      <c r="AX1121" s="101"/>
      <c r="AY1121" s="101"/>
      <c r="AZ1121" s="101"/>
      <c r="BA1121" s="101"/>
    </row>
    <row r="1122" spans="33:53">
      <c r="AG1122" s="101"/>
      <c r="AH1122" s="101"/>
      <c r="AI1122" s="101"/>
      <c r="AJ1122" s="101"/>
      <c r="AK1122" s="101"/>
      <c r="AM1122" s="195"/>
      <c r="AT1122" s="101"/>
      <c r="AU1122" s="101"/>
      <c r="AV1122" s="101"/>
      <c r="AW1122" s="101"/>
      <c r="AX1122" s="101"/>
      <c r="AY1122" s="101"/>
      <c r="AZ1122" s="101"/>
      <c r="BA1122" s="101"/>
    </row>
    <row r="1123" spans="33:53">
      <c r="AG1123" s="101"/>
      <c r="AH1123" s="101"/>
      <c r="AI1123" s="101"/>
      <c r="AJ1123" s="101"/>
      <c r="AK1123" s="101"/>
      <c r="AM1123" s="195"/>
      <c r="AT1123" s="101"/>
      <c r="AU1123" s="101"/>
      <c r="AV1123" s="101"/>
      <c r="AW1123" s="101"/>
      <c r="AX1123" s="101"/>
      <c r="AY1123" s="101"/>
      <c r="AZ1123" s="101"/>
      <c r="BA1123" s="101"/>
    </row>
    <row r="1124" spans="33:53">
      <c r="AG1124" s="101"/>
      <c r="AH1124" s="101"/>
      <c r="AI1124" s="101"/>
      <c r="AJ1124" s="101"/>
      <c r="AK1124" s="101"/>
      <c r="AM1124" s="195"/>
      <c r="AT1124" s="101"/>
      <c r="AU1124" s="101"/>
      <c r="AV1124" s="101"/>
      <c r="AW1124" s="101"/>
      <c r="AX1124" s="101"/>
      <c r="AY1124" s="101"/>
      <c r="AZ1124" s="101"/>
      <c r="BA1124" s="101"/>
    </row>
    <row r="1125" spans="33:53">
      <c r="AG1125" s="101"/>
      <c r="AH1125" s="101"/>
      <c r="AI1125" s="101"/>
      <c r="AJ1125" s="101"/>
      <c r="AK1125" s="101"/>
      <c r="AM1125" s="195"/>
      <c r="AT1125" s="101"/>
      <c r="AU1125" s="101"/>
      <c r="AV1125" s="101"/>
      <c r="AW1125" s="101"/>
      <c r="AX1125" s="101"/>
      <c r="AY1125" s="101"/>
      <c r="AZ1125" s="101"/>
      <c r="BA1125" s="101"/>
    </row>
    <row r="1126" spans="33:53">
      <c r="AG1126" s="101"/>
      <c r="AH1126" s="101"/>
      <c r="AI1126" s="101"/>
      <c r="AJ1126" s="101"/>
      <c r="AK1126" s="101"/>
      <c r="AM1126" s="195"/>
      <c r="AT1126" s="101"/>
      <c r="AU1126" s="101"/>
      <c r="AV1126" s="101"/>
      <c r="AW1126" s="101"/>
      <c r="AX1126" s="101"/>
      <c r="AY1126" s="101"/>
      <c r="AZ1126" s="101"/>
      <c r="BA1126" s="101"/>
    </row>
    <row r="1127" spans="33:53">
      <c r="AG1127" s="101"/>
      <c r="AH1127" s="101"/>
      <c r="AI1127" s="101"/>
      <c r="AJ1127" s="101"/>
      <c r="AK1127" s="101"/>
      <c r="AM1127" s="195"/>
      <c r="AT1127" s="101"/>
      <c r="AU1127" s="101"/>
      <c r="AV1127" s="101"/>
      <c r="AW1127" s="101"/>
      <c r="AX1127" s="101"/>
      <c r="AY1127" s="101"/>
      <c r="AZ1127" s="101"/>
      <c r="BA1127" s="101"/>
    </row>
    <row r="1128" spans="33:53">
      <c r="AG1128" s="101"/>
      <c r="AH1128" s="101"/>
      <c r="AI1128" s="101"/>
      <c r="AJ1128" s="101"/>
      <c r="AK1128" s="101"/>
      <c r="AM1128" s="195"/>
      <c r="AT1128" s="101"/>
      <c r="AU1128" s="101"/>
      <c r="AV1128" s="101"/>
      <c r="AW1128" s="101"/>
      <c r="AX1128" s="101"/>
      <c r="AY1128" s="101"/>
      <c r="AZ1128" s="101"/>
      <c r="BA1128" s="101"/>
    </row>
    <row r="1129" spans="33:53">
      <c r="AG1129" s="101"/>
      <c r="AH1129" s="101"/>
      <c r="AI1129" s="101"/>
      <c r="AJ1129" s="101"/>
      <c r="AK1129" s="101"/>
      <c r="AM1129" s="195"/>
      <c r="AT1129" s="101"/>
      <c r="AU1129" s="101"/>
      <c r="AV1129" s="101"/>
      <c r="AW1129" s="101"/>
      <c r="AX1129" s="101"/>
      <c r="AY1129" s="101"/>
      <c r="AZ1129" s="101"/>
      <c r="BA1129" s="101"/>
    </row>
    <row r="1130" spans="33:53">
      <c r="AG1130" s="101"/>
      <c r="AH1130" s="101"/>
      <c r="AI1130" s="101"/>
      <c r="AJ1130" s="101"/>
      <c r="AK1130" s="101"/>
      <c r="AM1130" s="195"/>
      <c r="AT1130" s="101"/>
      <c r="AU1130" s="101"/>
      <c r="AV1130" s="101"/>
      <c r="AW1130" s="101"/>
      <c r="AX1130" s="101"/>
      <c r="AY1130" s="101"/>
      <c r="AZ1130" s="101"/>
      <c r="BA1130" s="101"/>
    </row>
    <row r="1131" spans="33:53">
      <c r="AG1131" s="101"/>
      <c r="AH1131" s="101"/>
      <c r="AI1131" s="101"/>
      <c r="AJ1131" s="101"/>
      <c r="AK1131" s="101"/>
      <c r="AM1131" s="195"/>
      <c r="AT1131" s="101"/>
      <c r="AU1131" s="101"/>
      <c r="AV1131" s="101"/>
      <c r="AW1131" s="101"/>
      <c r="AX1131" s="101"/>
      <c r="AY1131" s="101"/>
      <c r="AZ1131" s="101"/>
      <c r="BA1131" s="101"/>
    </row>
    <row r="1132" spans="33:53">
      <c r="AG1132" s="101"/>
      <c r="AH1132" s="101"/>
      <c r="AI1132" s="101"/>
      <c r="AJ1132" s="101"/>
      <c r="AK1132" s="101"/>
      <c r="AM1132" s="195"/>
      <c r="AT1132" s="101"/>
      <c r="AU1132" s="101"/>
      <c r="AV1132" s="101"/>
      <c r="AW1132" s="101"/>
      <c r="AX1132" s="101"/>
      <c r="AY1132" s="101"/>
      <c r="AZ1132" s="101"/>
      <c r="BA1132" s="101"/>
    </row>
    <row r="1133" spans="33:53">
      <c r="AG1133" s="101"/>
      <c r="AH1133" s="101"/>
      <c r="AI1133" s="101"/>
      <c r="AJ1133" s="101"/>
      <c r="AK1133" s="101"/>
      <c r="AM1133" s="195"/>
      <c r="AT1133" s="101"/>
      <c r="AU1133" s="101"/>
      <c r="AV1133" s="101"/>
      <c r="AW1133" s="101"/>
      <c r="AX1133" s="101"/>
      <c r="AY1133" s="101"/>
      <c r="AZ1133" s="101"/>
      <c r="BA1133" s="101"/>
    </row>
    <row r="1134" spans="33:53">
      <c r="AG1134" s="101"/>
      <c r="AH1134" s="101"/>
      <c r="AI1134" s="101"/>
      <c r="AJ1134" s="101"/>
      <c r="AK1134" s="101"/>
      <c r="AM1134" s="195"/>
      <c r="AT1134" s="101"/>
      <c r="AU1134" s="101"/>
      <c r="AV1134" s="101"/>
      <c r="AW1134" s="101"/>
      <c r="AX1134" s="101"/>
      <c r="AY1134" s="101"/>
      <c r="AZ1134" s="101"/>
      <c r="BA1134" s="101"/>
    </row>
    <row r="1135" spans="33:53">
      <c r="AG1135" s="101"/>
      <c r="AH1135" s="101"/>
      <c r="AI1135" s="101"/>
      <c r="AJ1135" s="101"/>
      <c r="AK1135" s="101"/>
      <c r="AM1135" s="195"/>
      <c r="AT1135" s="101"/>
      <c r="AU1135" s="101"/>
      <c r="AV1135" s="101"/>
      <c r="AW1135" s="101"/>
      <c r="AX1135" s="101"/>
      <c r="AY1135" s="101"/>
      <c r="AZ1135" s="101"/>
      <c r="BA1135" s="101"/>
    </row>
    <row r="1136" spans="33:53">
      <c r="AG1136" s="101"/>
      <c r="AH1136" s="101"/>
      <c r="AI1136" s="101"/>
      <c r="AJ1136" s="101"/>
      <c r="AK1136" s="101"/>
      <c r="AM1136" s="195"/>
      <c r="AT1136" s="101"/>
      <c r="AU1136" s="101"/>
      <c r="AV1136" s="101"/>
      <c r="AW1136" s="101"/>
      <c r="AX1136" s="101"/>
      <c r="AY1136" s="101"/>
      <c r="AZ1136" s="101"/>
      <c r="BA1136" s="101"/>
    </row>
    <row r="1137" spans="33:53">
      <c r="AG1137" s="101"/>
      <c r="AH1137" s="101"/>
      <c r="AI1137" s="101"/>
      <c r="AJ1137" s="101"/>
      <c r="AK1137" s="101"/>
      <c r="AM1137" s="195"/>
      <c r="AT1137" s="101"/>
      <c r="AU1137" s="101"/>
      <c r="AV1137" s="101"/>
      <c r="AW1137" s="101"/>
      <c r="AX1137" s="101"/>
      <c r="AY1137" s="101"/>
      <c r="AZ1137" s="101"/>
      <c r="BA1137" s="101"/>
    </row>
    <row r="1138" spans="33:53">
      <c r="AG1138" s="101"/>
      <c r="AH1138" s="101"/>
      <c r="AI1138" s="101"/>
      <c r="AJ1138" s="101"/>
      <c r="AK1138" s="101"/>
      <c r="AM1138" s="195"/>
      <c r="AT1138" s="101"/>
      <c r="AU1138" s="101"/>
      <c r="AV1138" s="101"/>
      <c r="AW1138" s="101"/>
      <c r="AX1138" s="101"/>
      <c r="AY1138" s="101"/>
      <c r="AZ1138" s="101"/>
      <c r="BA1138" s="101"/>
    </row>
    <row r="1139" spans="33:53">
      <c r="AG1139" s="101"/>
      <c r="AH1139" s="101"/>
      <c r="AI1139" s="101"/>
      <c r="AJ1139" s="101"/>
      <c r="AK1139" s="101"/>
      <c r="AM1139" s="195"/>
      <c r="AT1139" s="101"/>
      <c r="AU1139" s="101"/>
      <c r="AV1139" s="101"/>
      <c r="AW1139" s="101"/>
      <c r="AX1139" s="101"/>
      <c r="AY1139" s="101"/>
      <c r="AZ1139" s="101"/>
      <c r="BA1139" s="101"/>
    </row>
    <row r="1140" spans="33:53">
      <c r="AG1140" s="101"/>
      <c r="AH1140" s="101"/>
      <c r="AI1140" s="101"/>
      <c r="AJ1140" s="101"/>
      <c r="AK1140" s="101"/>
      <c r="AM1140" s="195"/>
      <c r="AT1140" s="101"/>
      <c r="AU1140" s="101"/>
      <c r="AV1140" s="101"/>
      <c r="AW1140" s="101"/>
      <c r="AX1140" s="101"/>
      <c r="AY1140" s="101"/>
      <c r="AZ1140" s="101"/>
      <c r="BA1140" s="101"/>
    </row>
    <row r="1141" spans="33:53">
      <c r="AG1141" s="101"/>
      <c r="AH1141" s="101"/>
      <c r="AI1141" s="101"/>
      <c r="AJ1141" s="101"/>
      <c r="AK1141" s="101"/>
      <c r="AM1141" s="195"/>
      <c r="AT1141" s="101"/>
      <c r="AU1141" s="101"/>
      <c r="AV1141" s="101"/>
      <c r="AW1141" s="101"/>
      <c r="AX1141" s="101"/>
      <c r="AY1141" s="101"/>
      <c r="AZ1141" s="101"/>
      <c r="BA1141" s="101"/>
    </row>
    <row r="1142" spans="33:53">
      <c r="AG1142" s="101"/>
      <c r="AH1142" s="101"/>
      <c r="AI1142" s="101"/>
      <c r="AJ1142" s="101"/>
      <c r="AK1142" s="101"/>
      <c r="AM1142" s="195"/>
      <c r="AT1142" s="101"/>
      <c r="AU1142" s="101"/>
      <c r="AV1142" s="101"/>
      <c r="AW1142" s="101"/>
      <c r="AX1142" s="101"/>
      <c r="AY1142" s="101"/>
      <c r="AZ1142" s="101"/>
      <c r="BA1142" s="101"/>
    </row>
    <row r="1143" spans="33:53">
      <c r="AG1143" s="101"/>
      <c r="AH1143" s="101"/>
      <c r="AI1143" s="101"/>
      <c r="AJ1143" s="101"/>
      <c r="AK1143" s="101"/>
      <c r="AM1143" s="195"/>
      <c r="AT1143" s="101"/>
      <c r="AU1143" s="101"/>
      <c r="AV1143" s="101"/>
      <c r="AW1143" s="101"/>
      <c r="AX1143" s="101"/>
      <c r="AY1143" s="101"/>
      <c r="AZ1143" s="101"/>
      <c r="BA1143" s="101"/>
    </row>
    <row r="1144" spans="33:53">
      <c r="AG1144" s="101"/>
      <c r="AH1144" s="101"/>
      <c r="AI1144" s="101"/>
      <c r="AJ1144" s="101"/>
      <c r="AK1144" s="101"/>
      <c r="AM1144" s="195"/>
      <c r="AT1144" s="101"/>
      <c r="AU1144" s="101"/>
      <c r="AV1144" s="101"/>
      <c r="AW1144" s="101"/>
      <c r="AX1144" s="101"/>
      <c r="AY1144" s="101"/>
      <c r="AZ1144" s="101"/>
      <c r="BA1144" s="101"/>
    </row>
    <row r="1145" spans="33:53">
      <c r="AG1145" s="101"/>
      <c r="AH1145" s="101"/>
      <c r="AI1145" s="101"/>
      <c r="AJ1145" s="101"/>
      <c r="AK1145" s="101"/>
      <c r="AM1145" s="195"/>
      <c r="AT1145" s="101"/>
      <c r="AU1145" s="101"/>
      <c r="AV1145" s="101"/>
      <c r="AW1145" s="101"/>
      <c r="AX1145" s="101"/>
      <c r="AY1145" s="101"/>
      <c r="AZ1145" s="101"/>
      <c r="BA1145" s="101"/>
    </row>
    <row r="1146" spans="33:53">
      <c r="AG1146" s="101"/>
      <c r="AH1146" s="101"/>
      <c r="AI1146" s="101"/>
      <c r="AJ1146" s="101"/>
      <c r="AK1146" s="101"/>
      <c r="AM1146" s="195"/>
      <c r="AT1146" s="101"/>
      <c r="AU1146" s="101"/>
      <c r="AV1146" s="101"/>
      <c r="AW1146" s="101"/>
      <c r="AX1146" s="101"/>
      <c r="AY1146" s="101"/>
      <c r="AZ1146" s="101"/>
      <c r="BA1146" s="101"/>
    </row>
    <row r="1147" spans="33:53">
      <c r="AG1147" s="101"/>
      <c r="AH1147" s="101"/>
      <c r="AI1147" s="101"/>
      <c r="AJ1147" s="101"/>
      <c r="AK1147" s="101"/>
      <c r="AM1147" s="195"/>
      <c r="AT1147" s="101"/>
      <c r="AU1147" s="101"/>
      <c r="AV1147" s="101"/>
      <c r="AW1147" s="101"/>
      <c r="AX1147" s="101"/>
      <c r="AY1147" s="101"/>
      <c r="AZ1147" s="101"/>
      <c r="BA1147" s="101"/>
    </row>
    <row r="1148" spans="33:53">
      <c r="AG1148" s="101"/>
      <c r="AH1148" s="101"/>
      <c r="AI1148" s="101"/>
      <c r="AJ1148" s="101"/>
      <c r="AK1148" s="101"/>
      <c r="AM1148" s="195"/>
      <c r="AT1148" s="101"/>
      <c r="AU1148" s="101"/>
      <c r="AV1148" s="101"/>
      <c r="AW1148" s="101"/>
      <c r="AX1148" s="101"/>
      <c r="AY1148" s="101"/>
      <c r="AZ1148" s="101"/>
      <c r="BA1148" s="101"/>
    </row>
    <row r="1149" spans="33:53">
      <c r="AG1149" s="101"/>
      <c r="AH1149" s="101"/>
      <c r="AI1149" s="101"/>
      <c r="AJ1149" s="101"/>
      <c r="AK1149" s="101"/>
      <c r="AM1149" s="195"/>
      <c r="AT1149" s="101"/>
      <c r="AU1149" s="101"/>
      <c r="AV1149" s="101"/>
      <c r="AW1149" s="101"/>
      <c r="AX1149" s="101"/>
      <c r="AY1149" s="101"/>
      <c r="AZ1149" s="101"/>
      <c r="BA1149" s="101"/>
    </row>
    <row r="1150" spans="33:53">
      <c r="AG1150" s="101"/>
      <c r="AH1150" s="101"/>
      <c r="AI1150" s="101"/>
      <c r="AJ1150" s="101"/>
      <c r="AK1150" s="101"/>
      <c r="AM1150" s="195"/>
      <c r="AT1150" s="101"/>
      <c r="AU1150" s="101"/>
      <c r="AV1150" s="101"/>
      <c r="AW1150" s="101"/>
      <c r="AX1150" s="101"/>
      <c r="AY1150" s="101"/>
      <c r="AZ1150" s="101"/>
      <c r="BA1150" s="101"/>
    </row>
    <row r="1151" spans="33:53">
      <c r="AG1151" s="101"/>
      <c r="AH1151" s="101"/>
      <c r="AI1151" s="101"/>
      <c r="AJ1151" s="101"/>
      <c r="AK1151" s="101"/>
      <c r="AM1151" s="195"/>
      <c r="AT1151" s="101"/>
      <c r="AU1151" s="101"/>
      <c r="AV1151" s="101"/>
      <c r="AW1151" s="101"/>
      <c r="AX1151" s="101"/>
      <c r="AY1151" s="101"/>
      <c r="AZ1151" s="101"/>
      <c r="BA1151" s="101"/>
    </row>
    <row r="1152" spans="33:53">
      <c r="AG1152" s="101"/>
      <c r="AH1152" s="101"/>
      <c r="AI1152" s="101"/>
      <c r="AJ1152" s="101"/>
      <c r="AK1152" s="101"/>
      <c r="AM1152" s="195"/>
      <c r="AT1152" s="101"/>
      <c r="AU1152" s="101"/>
      <c r="AV1152" s="101"/>
      <c r="AW1152" s="101"/>
      <c r="AX1152" s="101"/>
      <c r="AY1152" s="101"/>
      <c r="AZ1152" s="101"/>
      <c r="BA1152" s="101"/>
    </row>
    <row r="1153" spans="33:54">
      <c r="AG1153" s="101"/>
      <c r="AH1153" s="101"/>
      <c r="AI1153" s="101"/>
      <c r="AJ1153" s="101"/>
      <c r="AK1153" s="101"/>
      <c r="AM1153" s="195"/>
      <c r="AT1153" s="101"/>
      <c r="AU1153" s="101"/>
      <c r="AV1153" s="101"/>
      <c r="AW1153" s="101"/>
      <c r="AX1153" s="101"/>
      <c r="AY1153" s="101"/>
      <c r="AZ1153" s="101"/>
      <c r="BA1153" s="101"/>
      <c r="BB1153" s="101"/>
    </row>
    <row r="1154" spans="33:54">
      <c r="AG1154" s="101"/>
      <c r="AH1154" s="101"/>
      <c r="AI1154" s="101"/>
      <c r="AJ1154" s="101"/>
      <c r="AK1154" s="101"/>
      <c r="AM1154" s="195"/>
      <c r="AT1154" s="101"/>
      <c r="AU1154" s="101"/>
      <c r="AV1154" s="101"/>
      <c r="AW1154" s="101"/>
      <c r="AX1154" s="101"/>
      <c r="AY1154" s="101"/>
      <c r="AZ1154" s="101"/>
      <c r="BA1154" s="101"/>
    </row>
    <row r="1155" spans="33:54">
      <c r="AG1155" s="101"/>
      <c r="AH1155" s="101"/>
      <c r="AI1155" s="101"/>
      <c r="AJ1155" s="101"/>
      <c r="AK1155" s="101"/>
      <c r="AM1155" s="195"/>
      <c r="AT1155" s="101"/>
      <c r="AU1155" s="101"/>
      <c r="AV1155" s="101"/>
      <c r="AW1155" s="101"/>
      <c r="AX1155" s="101"/>
      <c r="AY1155" s="101"/>
      <c r="AZ1155" s="101"/>
      <c r="BA1155" s="101"/>
    </row>
    <row r="1156" spans="33:54">
      <c r="AG1156" s="101"/>
      <c r="AH1156" s="101"/>
      <c r="AI1156" s="101"/>
      <c r="AJ1156" s="101"/>
      <c r="AK1156" s="101"/>
      <c r="AM1156" s="195"/>
      <c r="AT1156" s="101"/>
      <c r="AU1156" s="101"/>
      <c r="AV1156" s="101"/>
      <c r="AW1156" s="101"/>
      <c r="AX1156" s="101"/>
      <c r="AY1156" s="101"/>
      <c r="AZ1156" s="101"/>
      <c r="BA1156" s="101"/>
    </row>
    <row r="1157" spans="33:54">
      <c r="AG1157" s="101"/>
      <c r="AH1157" s="101"/>
      <c r="AI1157" s="101"/>
      <c r="AJ1157" s="101"/>
      <c r="AK1157" s="101"/>
      <c r="AM1157" s="195"/>
      <c r="AT1157" s="101"/>
      <c r="AU1157" s="101"/>
      <c r="AV1157" s="101"/>
      <c r="AW1157" s="101"/>
      <c r="AX1157" s="101"/>
      <c r="AY1157" s="101"/>
      <c r="AZ1157" s="101"/>
      <c r="BA1157" s="101"/>
    </row>
    <row r="1158" spans="33:54">
      <c r="AG1158" s="101"/>
      <c r="AH1158" s="101"/>
      <c r="AI1158" s="101"/>
      <c r="AJ1158" s="101"/>
      <c r="AK1158" s="101"/>
      <c r="AM1158" s="195"/>
      <c r="AT1158" s="101"/>
      <c r="AU1158" s="101"/>
      <c r="AV1158" s="101"/>
      <c r="AW1158" s="101"/>
      <c r="AX1158" s="101"/>
      <c r="AY1158" s="101"/>
      <c r="AZ1158" s="101"/>
      <c r="BA1158" s="101"/>
    </row>
    <row r="1159" spans="33:54">
      <c r="AG1159" s="101"/>
      <c r="AH1159" s="101"/>
      <c r="AI1159" s="101"/>
      <c r="AJ1159" s="101"/>
      <c r="AK1159" s="101"/>
      <c r="AM1159" s="195"/>
      <c r="AT1159" s="101"/>
      <c r="AU1159" s="101"/>
      <c r="AV1159" s="101"/>
      <c r="AW1159" s="101"/>
      <c r="AX1159" s="101"/>
      <c r="AY1159" s="101"/>
      <c r="AZ1159" s="101"/>
      <c r="BA1159" s="101"/>
    </row>
    <row r="1160" spans="33:54">
      <c r="AG1160" s="101"/>
      <c r="AH1160" s="101"/>
      <c r="AI1160" s="101"/>
      <c r="AJ1160" s="101"/>
      <c r="AK1160" s="101"/>
      <c r="AM1160" s="195"/>
      <c r="AT1160" s="101"/>
      <c r="AU1160" s="101"/>
      <c r="AV1160" s="101"/>
      <c r="AW1160" s="101"/>
      <c r="AX1160" s="101"/>
      <c r="AY1160" s="101"/>
      <c r="AZ1160" s="101"/>
      <c r="BA1160" s="101"/>
    </row>
    <row r="1161" spans="33:54">
      <c r="AG1161" s="101"/>
      <c r="AH1161" s="101"/>
      <c r="AI1161" s="101"/>
      <c r="AJ1161" s="101"/>
      <c r="AK1161" s="101"/>
      <c r="AM1161" s="195"/>
      <c r="AT1161" s="101"/>
      <c r="AU1161" s="101"/>
      <c r="AV1161" s="101"/>
      <c r="AW1161" s="101"/>
      <c r="AX1161" s="101"/>
      <c r="AY1161" s="101"/>
      <c r="AZ1161" s="101"/>
      <c r="BA1161" s="101"/>
    </row>
    <row r="1162" spans="33:54">
      <c r="AG1162" s="101"/>
      <c r="AH1162" s="101"/>
      <c r="AI1162" s="101"/>
      <c r="AJ1162" s="101"/>
      <c r="AK1162" s="101"/>
      <c r="AM1162" s="195"/>
      <c r="AT1162" s="101"/>
      <c r="AU1162" s="101"/>
      <c r="AV1162" s="101"/>
      <c r="AW1162" s="101"/>
      <c r="AX1162" s="101"/>
      <c r="AY1162" s="101"/>
      <c r="AZ1162" s="101"/>
      <c r="BA1162" s="101"/>
    </row>
    <row r="1163" spans="33:54">
      <c r="AG1163" s="101"/>
      <c r="AH1163" s="101"/>
      <c r="AI1163" s="101"/>
      <c r="AJ1163" s="101"/>
      <c r="AK1163" s="101"/>
      <c r="AM1163" s="195"/>
      <c r="AT1163" s="101"/>
      <c r="AU1163" s="101"/>
      <c r="AV1163" s="101"/>
      <c r="AW1163" s="101"/>
      <c r="AX1163" s="101"/>
      <c r="AY1163" s="101"/>
      <c r="AZ1163" s="101"/>
      <c r="BA1163" s="101"/>
    </row>
    <row r="1164" spans="33:54">
      <c r="AG1164" s="101"/>
      <c r="AH1164" s="101"/>
      <c r="AI1164" s="101"/>
      <c r="AJ1164" s="101"/>
      <c r="AK1164" s="101"/>
      <c r="AM1164" s="195"/>
      <c r="AT1164" s="101"/>
      <c r="AU1164" s="101"/>
      <c r="AV1164" s="101"/>
      <c r="AW1164" s="101"/>
      <c r="AX1164" s="101"/>
      <c r="AY1164" s="101"/>
      <c r="AZ1164" s="101"/>
      <c r="BA1164" s="101"/>
    </row>
    <row r="1165" spans="33:54">
      <c r="AG1165" s="101"/>
      <c r="AH1165" s="101"/>
      <c r="AI1165" s="101"/>
      <c r="AJ1165" s="101"/>
      <c r="AK1165" s="101"/>
      <c r="AM1165" s="195"/>
      <c r="AT1165" s="101"/>
      <c r="AU1165" s="101"/>
      <c r="AV1165" s="101"/>
      <c r="AW1165" s="101"/>
      <c r="AX1165" s="101"/>
      <c r="AY1165" s="101"/>
      <c r="AZ1165" s="101"/>
      <c r="BA1165" s="101"/>
    </row>
    <row r="1166" spans="33:54">
      <c r="AG1166" s="101"/>
      <c r="AH1166" s="101"/>
      <c r="AI1166" s="101"/>
      <c r="AJ1166" s="101"/>
      <c r="AK1166" s="101"/>
      <c r="AM1166" s="195"/>
      <c r="AT1166" s="101"/>
      <c r="AU1166" s="101"/>
      <c r="AV1166" s="101"/>
      <c r="AW1166" s="101"/>
      <c r="AX1166" s="101"/>
      <c r="AY1166" s="101"/>
      <c r="AZ1166" s="101"/>
      <c r="BA1166" s="101"/>
    </row>
    <row r="1167" spans="33:54">
      <c r="AG1167" s="101"/>
      <c r="AH1167" s="101"/>
      <c r="AI1167" s="101"/>
      <c r="AJ1167" s="101"/>
      <c r="AK1167" s="101"/>
      <c r="AM1167" s="195"/>
      <c r="AT1167" s="101"/>
      <c r="AU1167" s="101"/>
      <c r="AV1167" s="101"/>
      <c r="AW1167" s="101"/>
      <c r="AX1167" s="101"/>
      <c r="AY1167" s="101"/>
      <c r="AZ1167" s="101"/>
      <c r="BA1167" s="101"/>
    </row>
    <row r="1168" spans="33:54">
      <c r="AG1168" s="101"/>
      <c r="AH1168" s="101"/>
      <c r="AI1168" s="101"/>
      <c r="AJ1168" s="101"/>
      <c r="AK1168" s="101"/>
      <c r="AM1168" s="195"/>
      <c r="AT1168" s="101"/>
      <c r="AU1168" s="101"/>
      <c r="AV1168" s="101"/>
      <c r="AW1168" s="101"/>
      <c r="AX1168" s="101"/>
      <c r="AY1168" s="101"/>
      <c r="AZ1168" s="101"/>
      <c r="BA1168" s="101"/>
    </row>
    <row r="1169" spans="33:70">
      <c r="AG1169" s="101"/>
      <c r="AH1169" s="101"/>
      <c r="AI1169" s="101"/>
      <c r="AJ1169" s="101"/>
      <c r="AK1169" s="101"/>
      <c r="AM1169" s="195"/>
      <c r="AT1169" s="101"/>
      <c r="AU1169" s="101"/>
      <c r="AV1169" s="101"/>
      <c r="AW1169" s="101"/>
      <c r="AX1169" s="101"/>
      <c r="AY1169" s="101"/>
      <c r="AZ1169" s="101"/>
      <c r="BA1169" s="101"/>
    </row>
    <row r="1170" spans="33:70">
      <c r="AG1170" s="101"/>
      <c r="AH1170" s="101"/>
      <c r="AI1170" s="101"/>
      <c r="AJ1170" s="101"/>
      <c r="AK1170" s="101"/>
      <c r="AM1170" s="195"/>
      <c r="AT1170" s="101"/>
      <c r="AU1170" s="101"/>
      <c r="AV1170" s="101"/>
      <c r="AW1170" s="101"/>
      <c r="AX1170" s="101"/>
      <c r="AY1170" s="101"/>
      <c r="AZ1170" s="101"/>
      <c r="BA1170" s="101"/>
    </row>
    <row r="1171" spans="33:70">
      <c r="AG1171" s="101"/>
      <c r="AH1171" s="101"/>
      <c r="AI1171" s="101"/>
      <c r="AJ1171" s="101"/>
      <c r="AK1171" s="101"/>
      <c r="AM1171" s="195"/>
      <c r="AT1171" s="101"/>
      <c r="AU1171" s="101"/>
      <c r="AV1171" s="101"/>
      <c r="AW1171" s="101"/>
      <c r="AX1171" s="101"/>
      <c r="AY1171" s="101"/>
      <c r="AZ1171" s="101"/>
      <c r="BA1171" s="101"/>
    </row>
    <row r="1172" spans="33:70">
      <c r="AG1172" s="101"/>
      <c r="AH1172" s="101"/>
      <c r="AI1172" s="101"/>
      <c r="AJ1172" s="101"/>
      <c r="AK1172" s="101"/>
      <c r="AM1172" s="195"/>
      <c r="AT1172" s="101"/>
      <c r="AU1172" s="101"/>
      <c r="AV1172" s="101"/>
      <c r="AW1172" s="101"/>
      <c r="AX1172" s="101"/>
      <c r="AY1172" s="101"/>
      <c r="AZ1172" s="101"/>
      <c r="BA1172" s="101"/>
    </row>
    <row r="1173" spans="33:70">
      <c r="AG1173" s="101"/>
      <c r="AH1173" s="101"/>
      <c r="AI1173" s="101"/>
      <c r="AJ1173" s="101"/>
      <c r="AK1173" s="101"/>
      <c r="AM1173" s="195"/>
      <c r="AT1173" s="101"/>
      <c r="AU1173" s="101"/>
      <c r="AV1173" s="101"/>
      <c r="AW1173" s="101"/>
      <c r="AX1173" s="101"/>
      <c r="AY1173" s="101"/>
      <c r="AZ1173" s="101"/>
      <c r="BA1173" s="101"/>
      <c r="BB1173" s="101"/>
      <c r="BC1173" s="101"/>
      <c r="BD1173" s="101"/>
      <c r="BE1173" s="101"/>
      <c r="BF1173" s="101"/>
      <c r="BG1173" s="101"/>
      <c r="BH1173" s="101"/>
      <c r="BI1173" s="101"/>
      <c r="BJ1173" s="101"/>
      <c r="BK1173" s="101"/>
      <c r="BL1173" s="101"/>
      <c r="BM1173" s="101"/>
      <c r="BN1173" s="101"/>
      <c r="BO1173" s="101"/>
      <c r="BP1173" s="101"/>
      <c r="BQ1173" s="101"/>
      <c r="BR1173" s="101"/>
    </row>
    <row r="1174" spans="33:70">
      <c r="AG1174" s="101"/>
      <c r="AH1174" s="101"/>
      <c r="AI1174" s="101"/>
      <c r="AJ1174" s="101"/>
      <c r="AK1174" s="101"/>
      <c r="AM1174" s="195"/>
      <c r="AT1174" s="101"/>
      <c r="AU1174" s="101"/>
      <c r="AV1174" s="101"/>
      <c r="AW1174" s="101"/>
      <c r="AX1174" s="101"/>
      <c r="AY1174" s="101"/>
      <c r="AZ1174" s="101"/>
      <c r="BA1174" s="101"/>
    </row>
    <row r="1175" spans="33:70">
      <c r="AG1175" s="101"/>
      <c r="AH1175" s="101"/>
      <c r="AI1175" s="101"/>
      <c r="AJ1175" s="101"/>
      <c r="AK1175" s="101"/>
      <c r="AM1175" s="195"/>
      <c r="AT1175" s="101"/>
      <c r="AU1175" s="101"/>
      <c r="AV1175" s="101"/>
      <c r="AW1175" s="101"/>
      <c r="AX1175" s="101"/>
      <c r="AY1175" s="101"/>
      <c r="AZ1175" s="101"/>
      <c r="BA1175" s="101"/>
    </row>
    <row r="1176" spans="33:70">
      <c r="AG1176" s="101"/>
      <c r="AH1176" s="101"/>
      <c r="AI1176" s="101"/>
      <c r="AJ1176" s="101"/>
      <c r="AK1176" s="101"/>
      <c r="AM1176" s="195"/>
      <c r="AT1176" s="101"/>
      <c r="AU1176" s="101"/>
      <c r="AV1176" s="101"/>
      <c r="AW1176" s="101"/>
      <c r="AX1176" s="101"/>
      <c r="AY1176" s="101"/>
      <c r="AZ1176" s="101"/>
      <c r="BA1176" s="101"/>
    </row>
    <row r="1177" spans="33:70">
      <c r="AG1177" s="101"/>
      <c r="AH1177" s="101"/>
      <c r="AI1177" s="101"/>
      <c r="AJ1177" s="101"/>
      <c r="AK1177" s="101"/>
      <c r="AM1177" s="195"/>
      <c r="AT1177" s="101"/>
      <c r="AU1177" s="101"/>
      <c r="AV1177" s="101"/>
      <c r="AW1177" s="101"/>
      <c r="AX1177" s="101"/>
      <c r="AY1177" s="101"/>
      <c r="AZ1177" s="101"/>
      <c r="BA1177" s="101"/>
    </row>
    <row r="1178" spans="33:70">
      <c r="AG1178" s="101"/>
      <c r="AH1178" s="101"/>
      <c r="AI1178" s="101"/>
      <c r="AJ1178" s="101"/>
      <c r="AK1178" s="101"/>
      <c r="AM1178" s="195"/>
      <c r="AT1178" s="101"/>
      <c r="AU1178" s="101"/>
      <c r="AV1178" s="101"/>
      <c r="AW1178" s="101"/>
      <c r="AX1178" s="101"/>
      <c r="AY1178" s="101"/>
      <c r="AZ1178" s="101"/>
      <c r="BA1178" s="101"/>
    </row>
    <row r="1179" spans="33:70">
      <c r="AG1179" s="101"/>
      <c r="AH1179" s="101"/>
      <c r="AI1179" s="101"/>
      <c r="AJ1179" s="101"/>
      <c r="AK1179" s="101"/>
      <c r="AM1179" s="195"/>
      <c r="AT1179" s="101"/>
      <c r="AU1179" s="101"/>
      <c r="AV1179" s="101"/>
      <c r="AW1179" s="101"/>
      <c r="AX1179" s="101"/>
      <c r="AY1179" s="101"/>
      <c r="AZ1179" s="101"/>
      <c r="BA1179" s="101"/>
    </row>
    <row r="1180" spans="33:70">
      <c r="AG1180" s="101"/>
      <c r="AH1180" s="101"/>
      <c r="AI1180" s="101"/>
      <c r="AJ1180" s="101"/>
      <c r="AK1180" s="101"/>
      <c r="AM1180" s="195"/>
      <c r="AT1180" s="101"/>
      <c r="AU1180" s="101"/>
      <c r="AV1180" s="101"/>
      <c r="AW1180" s="101"/>
      <c r="AX1180" s="101"/>
      <c r="AY1180" s="101"/>
      <c r="AZ1180" s="101"/>
      <c r="BA1180" s="101"/>
    </row>
    <row r="1181" spans="33:70">
      <c r="AG1181" s="101"/>
      <c r="AH1181" s="101"/>
      <c r="AI1181" s="101"/>
      <c r="AJ1181" s="101"/>
      <c r="AK1181" s="101"/>
      <c r="AM1181" s="195"/>
      <c r="AT1181" s="101"/>
      <c r="AU1181" s="101"/>
      <c r="AV1181" s="101"/>
      <c r="AW1181" s="101"/>
      <c r="AX1181" s="101"/>
      <c r="AY1181" s="101"/>
      <c r="AZ1181" s="101"/>
      <c r="BA1181" s="101"/>
    </row>
    <row r="1182" spans="33:70">
      <c r="AG1182" s="101"/>
      <c r="AH1182" s="101"/>
      <c r="AI1182" s="101"/>
      <c r="AJ1182" s="101"/>
      <c r="AK1182" s="101"/>
      <c r="AM1182" s="195"/>
      <c r="AT1182" s="101"/>
      <c r="AU1182" s="101"/>
      <c r="AV1182" s="101"/>
      <c r="AW1182" s="101"/>
      <c r="AX1182" s="101"/>
      <c r="AY1182" s="101"/>
      <c r="AZ1182" s="101"/>
      <c r="BA1182" s="101"/>
    </row>
    <row r="1183" spans="33:70">
      <c r="AG1183" s="101"/>
      <c r="AH1183" s="101"/>
      <c r="AI1183" s="101"/>
      <c r="AJ1183" s="101"/>
      <c r="AK1183" s="101"/>
      <c r="AM1183" s="195"/>
      <c r="AT1183" s="101"/>
      <c r="AU1183" s="101"/>
      <c r="AV1183" s="101"/>
      <c r="AW1183" s="101"/>
      <c r="AX1183" s="101"/>
      <c r="AY1183" s="101"/>
      <c r="AZ1183" s="101"/>
      <c r="BA1183" s="101"/>
    </row>
    <row r="1184" spans="33:70">
      <c r="AG1184" s="101"/>
      <c r="AH1184" s="101"/>
      <c r="AI1184" s="101"/>
      <c r="AJ1184" s="101"/>
      <c r="AK1184" s="101"/>
      <c r="AM1184" s="195"/>
      <c r="AT1184" s="101"/>
      <c r="AU1184" s="101"/>
      <c r="AV1184" s="101"/>
      <c r="AW1184" s="101"/>
      <c r="AX1184" s="101"/>
      <c r="AY1184" s="101"/>
      <c r="AZ1184" s="101"/>
      <c r="BA1184" s="101"/>
    </row>
    <row r="1185" spans="33:54">
      <c r="AG1185" s="101"/>
      <c r="AH1185" s="101"/>
      <c r="AI1185" s="101"/>
      <c r="AJ1185" s="101"/>
      <c r="AK1185" s="101"/>
      <c r="AM1185" s="195"/>
      <c r="AT1185" s="101"/>
      <c r="AU1185" s="101"/>
      <c r="AV1185" s="101"/>
      <c r="AW1185" s="101"/>
      <c r="AX1185" s="101"/>
      <c r="AY1185" s="101"/>
      <c r="AZ1185" s="101"/>
      <c r="BA1185" s="101"/>
    </row>
    <row r="1186" spans="33:54">
      <c r="AG1186" s="101"/>
      <c r="AH1186" s="101"/>
      <c r="AI1186" s="101"/>
      <c r="AJ1186" s="101"/>
      <c r="AK1186" s="101"/>
      <c r="AM1186" s="195"/>
      <c r="AT1186" s="101"/>
      <c r="AU1186" s="101"/>
      <c r="AV1186" s="101"/>
      <c r="AW1186" s="101"/>
      <c r="AX1186" s="101"/>
      <c r="AY1186" s="101"/>
      <c r="AZ1186" s="101"/>
      <c r="BA1186" s="101"/>
      <c r="BB1186" s="101"/>
    </row>
    <row r="1187" spans="33:54">
      <c r="AG1187" s="101"/>
      <c r="AH1187" s="101"/>
      <c r="AI1187" s="101"/>
      <c r="AJ1187" s="101"/>
      <c r="AK1187" s="101"/>
      <c r="AM1187" s="195"/>
      <c r="AT1187" s="101"/>
      <c r="AU1187" s="101"/>
      <c r="AV1187" s="101"/>
      <c r="AW1187" s="101"/>
      <c r="AX1187" s="101"/>
      <c r="AY1187" s="101"/>
      <c r="AZ1187" s="101"/>
      <c r="BA1187" s="101"/>
    </row>
    <row r="1188" spans="33:54">
      <c r="AG1188" s="101"/>
      <c r="AH1188" s="101"/>
      <c r="AI1188" s="101"/>
      <c r="AJ1188" s="101"/>
      <c r="AK1188" s="101"/>
      <c r="AM1188" s="195"/>
      <c r="AT1188" s="101"/>
      <c r="AU1188" s="101"/>
      <c r="AV1188" s="101"/>
      <c r="AW1188" s="101"/>
      <c r="AX1188" s="101"/>
      <c r="AY1188" s="101"/>
      <c r="AZ1188" s="101"/>
      <c r="BA1188" s="101"/>
    </row>
    <row r="1189" spans="33:54">
      <c r="AG1189" s="101"/>
      <c r="AH1189" s="101"/>
      <c r="AI1189" s="101"/>
      <c r="AJ1189" s="101"/>
      <c r="AK1189" s="101"/>
      <c r="AM1189" s="195"/>
      <c r="AT1189" s="101"/>
      <c r="AU1189" s="101"/>
      <c r="AV1189" s="101"/>
      <c r="AW1189" s="101"/>
      <c r="AX1189" s="101"/>
      <c r="AY1189" s="101"/>
      <c r="AZ1189" s="101"/>
      <c r="BA1189" s="101"/>
      <c r="BB1189" s="101"/>
    </row>
    <row r="1190" spans="33:54">
      <c r="AG1190" s="101"/>
      <c r="AH1190" s="101"/>
      <c r="AI1190" s="101"/>
      <c r="AJ1190" s="101"/>
      <c r="AK1190" s="101"/>
      <c r="AM1190" s="195"/>
      <c r="AT1190" s="101"/>
      <c r="AU1190" s="101"/>
      <c r="AV1190" s="101"/>
      <c r="AW1190" s="101"/>
      <c r="AX1190" s="101"/>
      <c r="AY1190" s="101"/>
      <c r="AZ1190" s="101"/>
      <c r="BA1190" s="101"/>
    </row>
    <row r="1191" spans="33:54">
      <c r="AG1191" s="101"/>
      <c r="AH1191" s="101"/>
      <c r="AI1191" s="101"/>
      <c r="AJ1191" s="101"/>
      <c r="AK1191" s="101"/>
      <c r="AM1191" s="195"/>
      <c r="AT1191" s="101"/>
      <c r="AU1191" s="101"/>
      <c r="AV1191" s="101"/>
      <c r="AW1191" s="101"/>
      <c r="AX1191" s="101"/>
      <c r="AY1191" s="101"/>
      <c r="AZ1191" s="101"/>
      <c r="BA1191" s="101"/>
    </row>
    <row r="1192" spans="33:54">
      <c r="AG1192" s="101"/>
      <c r="AH1192" s="101"/>
      <c r="AI1192" s="101"/>
      <c r="AJ1192" s="101"/>
      <c r="AK1192" s="101"/>
      <c r="AM1192" s="195"/>
      <c r="AT1192" s="101"/>
      <c r="AU1192" s="101"/>
      <c r="AV1192" s="101"/>
      <c r="AW1192" s="101"/>
      <c r="AX1192" s="101"/>
      <c r="AY1192" s="101"/>
      <c r="AZ1192" s="101"/>
      <c r="BA1192" s="101"/>
    </row>
    <row r="1193" spans="33:54">
      <c r="AG1193" s="101"/>
      <c r="AH1193" s="101"/>
      <c r="AI1193" s="101"/>
      <c r="AJ1193" s="101"/>
      <c r="AK1193" s="101"/>
      <c r="AM1193" s="195"/>
      <c r="AT1193" s="101"/>
      <c r="AU1193" s="101"/>
      <c r="AV1193" s="101"/>
      <c r="AW1193" s="101"/>
      <c r="AX1193" s="101"/>
      <c r="AY1193" s="101"/>
      <c r="AZ1193" s="101"/>
      <c r="BA1193" s="101"/>
    </row>
    <row r="1194" spans="33:54">
      <c r="AG1194" s="101"/>
      <c r="AH1194" s="101"/>
      <c r="AI1194" s="101"/>
      <c r="AJ1194" s="101"/>
      <c r="AK1194" s="101"/>
      <c r="AM1194" s="195"/>
      <c r="AT1194" s="101"/>
      <c r="AU1194" s="101"/>
      <c r="AV1194" s="101"/>
      <c r="AW1194" s="101"/>
      <c r="AX1194" s="101"/>
      <c r="AY1194" s="101"/>
      <c r="AZ1194" s="101"/>
      <c r="BA1194" s="101"/>
    </row>
    <row r="1195" spans="33:54">
      <c r="AG1195" s="101"/>
      <c r="AH1195" s="101"/>
      <c r="AI1195" s="101"/>
      <c r="AJ1195" s="101"/>
      <c r="AK1195" s="101"/>
      <c r="AM1195" s="195"/>
      <c r="AT1195" s="101"/>
      <c r="AU1195" s="101"/>
      <c r="AV1195" s="101"/>
      <c r="AW1195" s="101"/>
      <c r="AX1195" s="101"/>
      <c r="AY1195" s="101"/>
      <c r="AZ1195" s="101"/>
      <c r="BA1195" s="101"/>
    </row>
    <row r="1196" spans="33:54">
      <c r="AG1196" s="101"/>
      <c r="AH1196" s="101"/>
      <c r="AI1196" s="101"/>
      <c r="AJ1196" s="101"/>
      <c r="AK1196" s="101"/>
      <c r="AM1196" s="195"/>
      <c r="AT1196" s="101"/>
      <c r="AU1196" s="101"/>
      <c r="AV1196" s="101"/>
      <c r="AW1196" s="101"/>
      <c r="AX1196" s="101"/>
      <c r="AY1196" s="101"/>
      <c r="AZ1196" s="101"/>
      <c r="BA1196" s="101"/>
    </row>
    <row r="1197" spans="33:54">
      <c r="AG1197" s="101"/>
      <c r="AH1197" s="101"/>
      <c r="AI1197" s="101"/>
      <c r="AJ1197" s="101"/>
      <c r="AK1197" s="101"/>
      <c r="AM1197" s="195"/>
      <c r="AT1197" s="101"/>
      <c r="AU1197" s="101"/>
      <c r="AV1197" s="101"/>
      <c r="AW1197" s="101"/>
      <c r="AX1197" s="101"/>
      <c r="AY1197" s="101"/>
      <c r="AZ1197" s="101"/>
      <c r="BA1197" s="101"/>
    </row>
    <row r="1198" spans="33:54">
      <c r="AG1198" s="101"/>
      <c r="AH1198" s="101"/>
      <c r="AI1198" s="101"/>
      <c r="AJ1198" s="101"/>
      <c r="AK1198" s="101"/>
      <c r="AM1198" s="195"/>
      <c r="AT1198" s="101"/>
      <c r="AU1198" s="101"/>
      <c r="AV1198" s="101"/>
      <c r="AW1198" s="101"/>
      <c r="AX1198" s="101"/>
      <c r="AY1198" s="101"/>
      <c r="AZ1198" s="101"/>
      <c r="BA1198" s="101"/>
    </row>
    <row r="1199" spans="33:54">
      <c r="AG1199" s="101"/>
      <c r="AH1199" s="101"/>
      <c r="AI1199" s="101"/>
      <c r="AJ1199" s="101"/>
      <c r="AK1199" s="101"/>
      <c r="AM1199" s="195"/>
      <c r="AT1199" s="101"/>
      <c r="AU1199" s="101"/>
      <c r="AV1199" s="101"/>
      <c r="AW1199" s="101"/>
      <c r="AX1199" s="101"/>
      <c r="AY1199" s="101"/>
      <c r="AZ1199" s="101"/>
      <c r="BA1199" s="101"/>
    </row>
    <row r="1200" spans="33:54">
      <c r="AG1200" s="101"/>
      <c r="AH1200" s="101"/>
      <c r="AI1200" s="101"/>
      <c r="AJ1200" s="101"/>
      <c r="AK1200" s="101"/>
      <c r="AM1200" s="195"/>
      <c r="AT1200" s="101"/>
      <c r="AU1200" s="101"/>
      <c r="AV1200" s="101"/>
      <c r="AW1200" s="101"/>
      <c r="AX1200" s="101"/>
      <c r="AY1200" s="101"/>
      <c r="AZ1200" s="101"/>
      <c r="BA1200" s="101"/>
    </row>
    <row r="1201" spans="33:54">
      <c r="AG1201" s="101"/>
      <c r="AH1201" s="101"/>
      <c r="AI1201" s="101"/>
      <c r="AJ1201" s="101"/>
      <c r="AK1201" s="101"/>
      <c r="AM1201" s="195"/>
      <c r="AT1201" s="101"/>
      <c r="AU1201" s="101"/>
      <c r="AV1201" s="101"/>
      <c r="AW1201" s="101"/>
      <c r="AX1201" s="101"/>
      <c r="AY1201" s="101"/>
      <c r="AZ1201" s="101"/>
      <c r="BA1201" s="101"/>
      <c r="BB1201" s="101"/>
    </row>
    <row r="1202" spans="33:54">
      <c r="AG1202" s="101"/>
      <c r="AH1202" s="101"/>
      <c r="AI1202" s="101"/>
      <c r="AJ1202" s="101"/>
      <c r="AK1202" s="101"/>
      <c r="AM1202" s="195"/>
      <c r="AT1202" s="101"/>
      <c r="AU1202" s="101"/>
      <c r="AV1202" s="101"/>
      <c r="AW1202" s="101"/>
      <c r="AX1202" s="101"/>
      <c r="AY1202" s="101"/>
      <c r="AZ1202" s="101"/>
      <c r="BA1202" s="101"/>
    </row>
    <row r="1203" spans="33:54">
      <c r="AG1203" s="101"/>
      <c r="AH1203" s="101"/>
      <c r="AI1203" s="101"/>
      <c r="AJ1203" s="101"/>
      <c r="AK1203" s="101"/>
      <c r="AM1203" s="195"/>
      <c r="AT1203" s="101"/>
      <c r="AU1203" s="101"/>
      <c r="AV1203" s="101"/>
      <c r="AW1203" s="101"/>
      <c r="AX1203" s="101"/>
      <c r="AY1203" s="101"/>
      <c r="AZ1203" s="101"/>
      <c r="BA1203" s="101"/>
    </row>
    <row r="1204" spans="33:54">
      <c r="AG1204" s="101"/>
      <c r="AH1204" s="101"/>
      <c r="AI1204" s="101"/>
      <c r="AJ1204" s="101"/>
      <c r="AK1204" s="101"/>
      <c r="AM1204" s="195"/>
      <c r="AT1204" s="101"/>
      <c r="AU1204" s="101"/>
      <c r="AV1204" s="101"/>
      <c r="AW1204" s="101"/>
      <c r="AX1204" s="101"/>
      <c r="AY1204" s="101"/>
      <c r="AZ1204" s="101"/>
      <c r="BA1204" s="101"/>
    </row>
    <row r="1205" spans="33:54">
      <c r="AG1205" s="101"/>
      <c r="AH1205" s="101"/>
      <c r="AI1205" s="101"/>
      <c r="AJ1205" s="101"/>
      <c r="AK1205" s="101"/>
      <c r="AM1205" s="195"/>
      <c r="AT1205" s="101"/>
      <c r="AU1205" s="101"/>
      <c r="AV1205" s="101"/>
      <c r="AW1205" s="101"/>
      <c r="AX1205" s="101"/>
      <c r="AY1205" s="101"/>
      <c r="AZ1205" s="101"/>
      <c r="BA1205" s="101"/>
    </row>
    <row r="1206" spans="33:54">
      <c r="AG1206" s="101"/>
      <c r="AH1206" s="101"/>
      <c r="AI1206" s="101"/>
      <c r="AJ1206" s="101"/>
      <c r="AK1206" s="101"/>
      <c r="AM1206" s="195"/>
      <c r="AT1206" s="101"/>
      <c r="AU1206" s="101"/>
      <c r="AV1206" s="101"/>
      <c r="AW1206" s="101"/>
      <c r="AX1206" s="101"/>
      <c r="AY1206" s="101"/>
      <c r="AZ1206" s="101"/>
      <c r="BA1206" s="101"/>
    </row>
    <row r="1207" spans="33:54">
      <c r="AG1207" s="101"/>
      <c r="AH1207" s="101"/>
      <c r="AI1207" s="101"/>
      <c r="AJ1207" s="101"/>
      <c r="AK1207" s="101"/>
      <c r="AM1207" s="195"/>
      <c r="AT1207" s="101"/>
      <c r="AU1207" s="101"/>
      <c r="AV1207" s="101"/>
      <c r="AW1207" s="101"/>
      <c r="AX1207" s="101"/>
      <c r="AY1207" s="101"/>
      <c r="AZ1207" s="101"/>
      <c r="BA1207" s="101"/>
    </row>
    <row r="1208" spans="33:54">
      <c r="AG1208" s="101"/>
      <c r="AH1208" s="101"/>
      <c r="AI1208" s="101"/>
      <c r="AJ1208" s="101"/>
      <c r="AK1208" s="101"/>
      <c r="AM1208" s="195"/>
      <c r="AT1208" s="101"/>
      <c r="AU1208" s="101"/>
      <c r="AV1208" s="101"/>
      <c r="AW1208" s="101"/>
      <c r="AX1208" s="101"/>
      <c r="AY1208" s="101"/>
      <c r="AZ1208" s="101"/>
      <c r="BA1208" s="101"/>
    </row>
    <row r="1209" spans="33:54">
      <c r="AG1209" s="101"/>
      <c r="AH1209" s="101"/>
      <c r="AI1209" s="101"/>
      <c r="AJ1209" s="101"/>
      <c r="AK1209" s="101"/>
      <c r="AM1209" s="195"/>
      <c r="AT1209" s="101"/>
      <c r="AU1209" s="101"/>
      <c r="AV1209" s="101"/>
      <c r="AW1209" s="101"/>
      <c r="AX1209" s="101"/>
      <c r="AY1209" s="101"/>
      <c r="AZ1209" s="101"/>
      <c r="BA1209" s="101"/>
    </row>
    <row r="1210" spans="33:54">
      <c r="AG1210" s="101"/>
      <c r="AH1210" s="101"/>
      <c r="AI1210" s="101"/>
      <c r="AJ1210" s="101"/>
      <c r="AK1210" s="101"/>
      <c r="AM1210" s="195"/>
      <c r="AT1210" s="101"/>
      <c r="AU1210" s="101"/>
      <c r="AV1210" s="101"/>
      <c r="AW1210" s="101"/>
      <c r="AX1210" s="101"/>
      <c r="AY1210" s="101"/>
      <c r="AZ1210" s="101"/>
      <c r="BA1210" s="101"/>
    </row>
    <row r="1211" spans="33:54">
      <c r="AG1211" s="101"/>
      <c r="AH1211" s="101"/>
      <c r="AI1211" s="101"/>
      <c r="AJ1211" s="101"/>
      <c r="AK1211" s="101"/>
      <c r="AM1211" s="195"/>
      <c r="AT1211" s="101"/>
      <c r="AU1211" s="101"/>
      <c r="AV1211" s="101"/>
      <c r="AW1211" s="101"/>
      <c r="AX1211" s="101"/>
      <c r="AY1211" s="101"/>
      <c r="AZ1211" s="101"/>
      <c r="BA1211" s="101"/>
    </row>
    <row r="1212" spans="33:54">
      <c r="AG1212" s="101"/>
      <c r="AH1212" s="101"/>
      <c r="AI1212" s="101"/>
      <c r="AJ1212" s="101"/>
      <c r="AK1212" s="101"/>
      <c r="AM1212" s="195"/>
      <c r="AT1212" s="101"/>
      <c r="AU1212" s="101"/>
      <c r="AV1212" s="101"/>
      <c r="AW1212" s="101"/>
      <c r="AX1212" s="101"/>
      <c r="AY1212" s="101"/>
      <c r="AZ1212" s="101"/>
      <c r="BA1212" s="101"/>
    </row>
    <row r="1213" spans="33:54">
      <c r="AG1213" s="101"/>
      <c r="AH1213" s="101"/>
      <c r="AI1213" s="101"/>
      <c r="AJ1213" s="101"/>
      <c r="AK1213" s="101"/>
      <c r="AM1213" s="195"/>
      <c r="AT1213" s="101"/>
      <c r="AU1213" s="101"/>
      <c r="AV1213" s="101"/>
      <c r="AW1213" s="101"/>
      <c r="AX1213" s="101"/>
      <c r="AY1213" s="101"/>
      <c r="AZ1213" s="101"/>
      <c r="BA1213" s="101"/>
    </row>
    <row r="1214" spans="33:54">
      <c r="AG1214" s="101"/>
      <c r="AH1214" s="101"/>
      <c r="AI1214" s="101"/>
      <c r="AJ1214" s="101"/>
      <c r="AK1214" s="101"/>
      <c r="AM1214" s="195"/>
      <c r="AT1214" s="101"/>
      <c r="AU1214" s="101"/>
      <c r="AV1214" s="101"/>
      <c r="AW1214" s="101"/>
      <c r="AX1214" s="101"/>
      <c r="AY1214" s="101"/>
      <c r="AZ1214" s="101"/>
      <c r="BA1214" s="101"/>
    </row>
    <row r="1215" spans="33:54">
      <c r="AG1215" s="101"/>
      <c r="AH1215" s="101"/>
      <c r="AI1215" s="101"/>
      <c r="AJ1215" s="101"/>
      <c r="AK1215" s="101"/>
      <c r="AM1215" s="195"/>
      <c r="AT1215" s="101"/>
      <c r="AU1215" s="101"/>
      <c r="AV1215" s="101"/>
      <c r="AW1215" s="101"/>
      <c r="AX1215" s="101"/>
      <c r="AY1215" s="101"/>
      <c r="AZ1215" s="101"/>
      <c r="BA1215" s="101"/>
    </row>
    <row r="1216" spans="33:54">
      <c r="AG1216" s="101"/>
      <c r="AH1216" s="101"/>
      <c r="AI1216" s="101"/>
      <c r="AJ1216" s="101"/>
      <c r="AK1216" s="101"/>
      <c r="AM1216" s="195"/>
      <c r="AT1216" s="101"/>
      <c r="AU1216" s="101"/>
      <c r="AV1216" s="101"/>
      <c r="AW1216" s="101"/>
      <c r="AX1216" s="101"/>
      <c r="AY1216" s="101"/>
      <c r="AZ1216" s="101"/>
      <c r="BA1216" s="101"/>
    </row>
    <row r="1217" spans="33:70">
      <c r="AG1217" s="101"/>
      <c r="AH1217" s="101"/>
      <c r="AI1217" s="101"/>
      <c r="AJ1217" s="101"/>
      <c r="AK1217" s="101"/>
      <c r="AM1217" s="195"/>
      <c r="AT1217" s="101"/>
      <c r="AU1217" s="101"/>
      <c r="AV1217" s="101"/>
      <c r="AW1217" s="101"/>
      <c r="AX1217" s="101"/>
      <c r="AY1217" s="101"/>
      <c r="AZ1217" s="101"/>
      <c r="BA1217" s="101"/>
    </row>
    <row r="1218" spans="33:70">
      <c r="AG1218" s="101"/>
      <c r="AH1218" s="101"/>
      <c r="AI1218" s="101"/>
      <c r="AJ1218" s="101"/>
      <c r="AK1218" s="101"/>
      <c r="AM1218" s="195"/>
      <c r="AT1218" s="101"/>
      <c r="AU1218" s="101"/>
      <c r="AV1218" s="101"/>
      <c r="AW1218" s="101"/>
      <c r="AX1218" s="101"/>
      <c r="AY1218" s="101"/>
      <c r="AZ1218" s="101"/>
      <c r="BA1218" s="101"/>
    </row>
    <row r="1219" spans="33:70">
      <c r="AG1219" s="101"/>
      <c r="AH1219" s="101"/>
      <c r="AI1219" s="101"/>
      <c r="AJ1219" s="101"/>
      <c r="AK1219" s="101"/>
      <c r="AM1219" s="195"/>
      <c r="AT1219" s="101"/>
      <c r="AU1219" s="101"/>
      <c r="AV1219" s="101"/>
      <c r="AW1219" s="101"/>
      <c r="AX1219" s="101"/>
      <c r="AY1219" s="101"/>
      <c r="AZ1219" s="101"/>
      <c r="BA1219" s="101"/>
    </row>
    <row r="1220" spans="33:70">
      <c r="AG1220" s="101"/>
      <c r="AH1220" s="101"/>
      <c r="AI1220" s="101"/>
      <c r="AJ1220" s="101"/>
      <c r="AK1220" s="101"/>
      <c r="AM1220" s="195"/>
      <c r="AT1220" s="101"/>
      <c r="AU1220" s="101"/>
      <c r="AV1220" s="101"/>
      <c r="AW1220" s="101"/>
      <c r="AX1220" s="101"/>
      <c r="AY1220" s="101"/>
      <c r="AZ1220" s="101"/>
      <c r="BA1220" s="101"/>
    </row>
    <row r="1221" spans="33:70">
      <c r="AG1221" s="101"/>
      <c r="AH1221" s="101"/>
      <c r="AI1221" s="101"/>
      <c r="AJ1221" s="101"/>
      <c r="AK1221" s="101"/>
      <c r="AM1221" s="195"/>
      <c r="AT1221" s="101"/>
      <c r="AU1221" s="101"/>
      <c r="AV1221" s="101"/>
      <c r="AW1221" s="101"/>
      <c r="AX1221" s="101"/>
      <c r="AY1221" s="101"/>
      <c r="AZ1221" s="101"/>
      <c r="BA1221" s="101"/>
    </row>
    <row r="1222" spans="33:70">
      <c r="AG1222" s="101"/>
      <c r="AH1222" s="101"/>
      <c r="AI1222" s="101"/>
      <c r="AJ1222" s="101"/>
      <c r="AK1222" s="101"/>
      <c r="AM1222" s="195"/>
      <c r="AT1222" s="101"/>
      <c r="AU1222" s="101"/>
      <c r="AV1222" s="101"/>
      <c r="AW1222" s="101"/>
      <c r="AX1222" s="101"/>
      <c r="AY1222" s="101"/>
      <c r="AZ1222" s="101"/>
      <c r="BA1222" s="101"/>
    </row>
    <row r="1223" spans="33:70">
      <c r="AG1223" s="101"/>
      <c r="AH1223" s="101"/>
      <c r="AI1223" s="101"/>
      <c r="AJ1223" s="101"/>
      <c r="AK1223" s="101"/>
      <c r="AM1223" s="195"/>
      <c r="AT1223" s="101"/>
      <c r="AU1223" s="101"/>
      <c r="AV1223" s="101"/>
      <c r="AW1223" s="101"/>
      <c r="AX1223" s="101"/>
      <c r="AY1223" s="101"/>
      <c r="AZ1223" s="101"/>
      <c r="BA1223" s="101"/>
    </row>
    <row r="1224" spans="33:70">
      <c r="AG1224" s="101"/>
      <c r="AH1224" s="101"/>
      <c r="AI1224" s="101"/>
      <c r="AJ1224" s="101"/>
      <c r="AK1224" s="101"/>
      <c r="AM1224" s="195"/>
      <c r="AT1224" s="101"/>
      <c r="AU1224" s="101"/>
      <c r="AV1224" s="101"/>
      <c r="AW1224" s="101"/>
      <c r="AX1224" s="101"/>
      <c r="AY1224" s="101"/>
      <c r="AZ1224" s="101"/>
      <c r="BA1224" s="101"/>
    </row>
    <row r="1225" spans="33:70">
      <c r="AG1225" s="101"/>
      <c r="AH1225" s="101"/>
      <c r="AI1225" s="101"/>
      <c r="AJ1225" s="101"/>
      <c r="AK1225" s="101"/>
      <c r="AM1225" s="195"/>
      <c r="AT1225" s="101"/>
      <c r="AU1225" s="101"/>
      <c r="AV1225" s="101"/>
      <c r="AW1225" s="101"/>
      <c r="AX1225" s="101"/>
      <c r="AY1225" s="101"/>
      <c r="AZ1225" s="101"/>
      <c r="BA1225" s="101"/>
    </row>
    <row r="1226" spans="33:70">
      <c r="AG1226" s="101"/>
      <c r="AH1226" s="101"/>
      <c r="AI1226" s="101"/>
      <c r="AJ1226" s="101"/>
      <c r="AK1226" s="101"/>
      <c r="AM1226" s="195"/>
      <c r="AT1226" s="101"/>
      <c r="AU1226" s="101"/>
      <c r="AV1226" s="101"/>
      <c r="AW1226" s="101"/>
      <c r="AX1226" s="101"/>
      <c r="AY1226" s="101"/>
      <c r="AZ1226" s="101"/>
      <c r="BA1226" s="101"/>
    </row>
    <row r="1227" spans="33:70">
      <c r="AG1227" s="101"/>
      <c r="AH1227" s="101"/>
      <c r="AI1227" s="101"/>
      <c r="AJ1227" s="101"/>
      <c r="AK1227" s="101"/>
      <c r="AM1227" s="195"/>
      <c r="AT1227" s="101"/>
      <c r="AU1227" s="101"/>
      <c r="AV1227" s="101"/>
      <c r="AW1227" s="101"/>
      <c r="AX1227" s="101"/>
      <c r="AY1227" s="101"/>
      <c r="AZ1227" s="101"/>
      <c r="BA1227" s="101"/>
    </row>
    <row r="1228" spans="33:70">
      <c r="AG1228" s="101"/>
      <c r="AH1228" s="101"/>
      <c r="AI1228" s="101"/>
      <c r="AJ1228" s="101"/>
      <c r="AK1228" s="101"/>
      <c r="AM1228" s="195"/>
      <c r="AT1228" s="101"/>
      <c r="AU1228" s="101"/>
      <c r="AV1228" s="101"/>
      <c r="AW1228" s="101"/>
      <c r="AX1228" s="101"/>
      <c r="AY1228" s="101"/>
      <c r="AZ1228" s="101"/>
      <c r="BA1228" s="101"/>
      <c r="BB1228" s="101"/>
      <c r="BC1228" s="101"/>
      <c r="BD1228" s="101"/>
      <c r="BE1228" s="101"/>
      <c r="BF1228" s="101"/>
      <c r="BG1228" s="101"/>
      <c r="BH1228" s="101"/>
      <c r="BI1228" s="101"/>
      <c r="BJ1228" s="101"/>
      <c r="BK1228" s="101"/>
      <c r="BL1228" s="101"/>
      <c r="BM1228" s="101"/>
      <c r="BN1228" s="101"/>
      <c r="BO1228" s="101"/>
      <c r="BP1228" s="101"/>
      <c r="BQ1228" s="101"/>
      <c r="BR1228" s="101"/>
    </row>
    <row r="1229" spans="33:70">
      <c r="AG1229" s="101"/>
      <c r="AH1229" s="101"/>
      <c r="AI1229" s="101"/>
      <c r="AJ1229" s="101"/>
      <c r="AK1229" s="101"/>
      <c r="AM1229" s="195"/>
      <c r="AT1229" s="101"/>
      <c r="AU1229" s="101"/>
      <c r="AV1229" s="101"/>
      <c r="AW1229" s="101"/>
      <c r="AX1229" s="101"/>
      <c r="AY1229" s="101"/>
      <c r="AZ1229" s="101"/>
      <c r="BA1229" s="101"/>
    </row>
    <row r="1230" spans="33:70">
      <c r="AG1230" s="101"/>
      <c r="AH1230" s="101"/>
      <c r="AI1230" s="101"/>
      <c r="AJ1230" s="101"/>
      <c r="AK1230" s="101"/>
      <c r="AM1230" s="195"/>
      <c r="AT1230" s="101"/>
      <c r="AU1230" s="101"/>
      <c r="AV1230" s="101"/>
      <c r="AW1230" s="101"/>
      <c r="AX1230" s="101"/>
      <c r="AY1230" s="101"/>
      <c r="AZ1230" s="101"/>
      <c r="BA1230" s="101"/>
    </row>
    <row r="1231" spans="33:70">
      <c r="AG1231" s="101"/>
      <c r="AH1231" s="101"/>
      <c r="AI1231" s="101"/>
      <c r="AJ1231" s="101"/>
      <c r="AK1231" s="101"/>
      <c r="AM1231" s="195"/>
      <c r="AT1231" s="101"/>
      <c r="AU1231" s="101"/>
      <c r="AV1231" s="101"/>
      <c r="AW1231" s="101"/>
      <c r="AX1231" s="101"/>
      <c r="AY1231" s="101"/>
      <c r="AZ1231" s="101"/>
      <c r="BA1231" s="101"/>
    </row>
    <row r="1232" spans="33:70">
      <c r="AG1232" s="101"/>
      <c r="AH1232" s="101"/>
      <c r="AI1232" s="101"/>
      <c r="AJ1232" s="101"/>
      <c r="AK1232" s="101"/>
      <c r="AM1232" s="195"/>
      <c r="AT1232" s="101"/>
      <c r="AU1232" s="101"/>
      <c r="AV1232" s="101"/>
      <c r="AW1232" s="101"/>
      <c r="AX1232" s="101"/>
      <c r="AY1232" s="101"/>
      <c r="AZ1232" s="101"/>
      <c r="BA1232" s="101"/>
    </row>
    <row r="1233" spans="33:70">
      <c r="AG1233" s="101"/>
      <c r="AH1233" s="101"/>
      <c r="AI1233" s="101"/>
      <c r="AJ1233" s="101"/>
      <c r="AK1233" s="101"/>
      <c r="AM1233" s="195"/>
      <c r="AT1233" s="101"/>
      <c r="AU1233" s="101"/>
      <c r="AV1233" s="101"/>
      <c r="AW1233" s="101"/>
      <c r="AX1233" s="101"/>
      <c r="AY1233" s="101"/>
      <c r="AZ1233" s="101"/>
      <c r="BA1233" s="101"/>
    </row>
    <row r="1234" spans="33:70">
      <c r="AG1234" s="101"/>
      <c r="AH1234" s="101"/>
      <c r="AI1234" s="101"/>
      <c r="AJ1234" s="101"/>
      <c r="AK1234" s="101"/>
      <c r="AM1234" s="195"/>
      <c r="AT1234" s="101"/>
      <c r="AU1234" s="101"/>
      <c r="AV1234" s="101"/>
      <c r="AW1234" s="101"/>
      <c r="AX1234" s="101"/>
      <c r="AY1234" s="101"/>
      <c r="AZ1234" s="101"/>
      <c r="BA1234" s="101"/>
    </row>
    <row r="1235" spans="33:70">
      <c r="AG1235" s="101"/>
      <c r="AH1235" s="101"/>
      <c r="AI1235" s="101"/>
      <c r="AJ1235" s="101"/>
      <c r="AK1235" s="101"/>
      <c r="AM1235" s="195"/>
      <c r="AT1235" s="101"/>
      <c r="AU1235" s="101"/>
      <c r="AV1235" s="101"/>
      <c r="AW1235" s="101"/>
      <c r="AX1235" s="101"/>
      <c r="AY1235" s="101"/>
      <c r="AZ1235" s="101"/>
      <c r="BA1235" s="101"/>
    </row>
    <row r="1236" spans="33:70">
      <c r="AG1236" s="101"/>
      <c r="AH1236" s="101"/>
      <c r="AI1236" s="101"/>
      <c r="AJ1236" s="101"/>
      <c r="AK1236" s="101"/>
      <c r="AM1236" s="195"/>
      <c r="AT1236" s="101"/>
      <c r="AU1236" s="101"/>
      <c r="AV1236" s="101"/>
      <c r="AW1236" s="101"/>
      <c r="AX1236" s="101"/>
      <c r="AY1236" s="101"/>
      <c r="AZ1236" s="101"/>
      <c r="BA1236" s="101"/>
    </row>
    <row r="1237" spans="33:70">
      <c r="AG1237" s="101"/>
      <c r="AH1237" s="101"/>
      <c r="AI1237" s="101"/>
      <c r="AJ1237" s="101"/>
      <c r="AK1237" s="101"/>
      <c r="AM1237" s="195"/>
      <c r="AT1237" s="101"/>
      <c r="AU1237" s="101"/>
      <c r="AV1237" s="101"/>
      <c r="AW1237" s="101"/>
      <c r="AX1237" s="101"/>
      <c r="AY1237" s="101"/>
      <c r="AZ1237" s="101"/>
      <c r="BA1237" s="101"/>
    </row>
    <row r="1238" spans="33:70">
      <c r="AG1238" s="101"/>
      <c r="AH1238" s="101"/>
      <c r="AI1238" s="101"/>
      <c r="AJ1238" s="101"/>
      <c r="AK1238" s="101"/>
      <c r="AM1238" s="195"/>
      <c r="AT1238" s="101"/>
      <c r="AU1238" s="101"/>
      <c r="AV1238" s="101"/>
      <c r="AW1238" s="101"/>
      <c r="AX1238" s="101"/>
      <c r="AY1238" s="101"/>
      <c r="AZ1238" s="101"/>
      <c r="BA1238" s="101"/>
    </row>
    <row r="1239" spans="33:70">
      <c r="AG1239" s="101"/>
      <c r="AH1239" s="101"/>
      <c r="AI1239" s="101"/>
      <c r="AJ1239" s="101"/>
      <c r="AK1239" s="101"/>
      <c r="AM1239" s="195"/>
      <c r="AT1239" s="101"/>
      <c r="AU1239" s="101"/>
      <c r="AV1239" s="101"/>
      <c r="AW1239" s="101"/>
      <c r="AX1239" s="101"/>
      <c r="AY1239" s="101"/>
      <c r="AZ1239" s="101"/>
      <c r="BA1239" s="101"/>
    </row>
    <row r="1240" spans="33:70">
      <c r="AG1240" s="101"/>
      <c r="AH1240" s="101"/>
      <c r="AI1240" s="101"/>
      <c r="AJ1240" s="101"/>
      <c r="AK1240" s="101"/>
      <c r="AM1240" s="195"/>
      <c r="AT1240" s="101"/>
      <c r="AU1240" s="101"/>
      <c r="AV1240" s="101"/>
      <c r="AW1240" s="101"/>
      <c r="AX1240" s="101"/>
      <c r="AY1240" s="101"/>
      <c r="AZ1240" s="101"/>
      <c r="BA1240" s="101"/>
    </row>
    <row r="1241" spans="33:70">
      <c r="AG1241" s="101"/>
      <c r="AH1241" s="101"/>
      <c r="AI1241" s="101"/>
      <c r="AJ1241" s="101"/>
      <c r="AK1241" s="101"/>
      <c r="AM1241" s="195"/>
      <c r="AT1241" s="101"/>
      <c r="AU1241" s="101"/>
      <c r="AV1241" s="101"/>
      <c r="AW1241" s="101"/>
      <c r="AX1241" s="101"/>
      <c r="AY1241" s="101"/>
      <c r="AZ1241" s="101"/>
      <c r="BA1241" s="101"/>
    </row>
    <row r="1242" spans="33:70">
      <c r="AG1242" s="101"/>
      <c r="AH1242" s="101"/>
      <c r="AI1242" s="101"/>
      <c r="AJ1242" s="101"/>
      <c r="AK1242" s="101"/>
      <c r="AM1242" s="195"/>
      <c r="AT1242" s="101"/>
      <c r="AU1242" s="101"/>
      <c r="AV1242" s="101"/>
      <c r="AW1242" s="101"/>
      <c r="AX1242" s="101"/>
      <c r="AY1242" s="101"/>
      <c r="AZ1242" s="101"/>
      <c r="BA1242" s="101"/>
    </row>
    <row r="1243" spans="33:70">
      <c r="AG1243" s="101"/>
      <c r="AH1243" s="101"/>
      <c r="AI1243" s="101"/>
      <c r="AJ1243" s="101"/>
      <c r="AK1243" s="101"/>
      <c r="AM1243" s="195"/>
      <c r="AT1243" s="101"/>
      <c r="AU1243" s="101"/>
      <c r="AV1243" s="101"/>
      <c r="AW1243" s="101"/>
      <c r="AX1243" s="101"/>
      <c r="AY1243" s="101"/>
      <c r="AZ1243" s="101"/>
      <c r="BA1243" s="101"/>
    </row>
    <row r="1244" spans="33:70">
      <c r="AG1244" s="101"/>
      <c r="AH1244" s="101"/>
      <c r="AI1244" s="101"/>
      <c r="AJ1244" s="101"/>
      <c r="AK1244" s="101"/>
      <c r="AM1244" s="195"/>
      <c r="AT1244" s="101"/>
      <c r="AU1244" s="101"/>
      <c r="AV1244" s="101"/>
      <c r="AW1244" s="101"/>
      <c r="AX1244" s="101"/>
      <c r="AY1244" s="101"/>
      <c r="AZ1244" s="101"/>
      <c r="BA1244" s="101"/>
    </row>
    <row r="1245" spans="33:70">
      <c r="AG1245" s="101"/>
      <c r="AH1245" s="101"/>
      <c r="AI1245" s="101"/>
      <c r="AJ1245" s="101"/>
      <c r="AK1245" s="101"/>
      <c r="AM1245" s="195"/>
      <c r="AT1245" s="101"/>
      <c r="AU1245" s="101"/>
      <c r="AV1245" s="101"/>
      <c r="AW1245" s="101"/>
      <c r="AX1245" s="101"/>
      <c r="AY1245" s="101"/>
      <c r="AZ1245" s="101"/>
      <c r="BA1245" s="101"/>
      <c r="BB1245" s="101"/>
      <c r="BC1245" s="101"/>
      <c r="BD1245" s="101"/>
      <c r="BE1245" s="101"/>
      <c r="BF1245" s="101"/>
      <c r="BG1245" s="101"/>
      <c r="BH1245" s="101"/>
      <c r="BI1245" s="101"/>
      <c r="BJ1245" s="101"/>
      <c r="BK1245" s="101"/>
      <c r="BL1245" s="101"/>
      <c r="BM1245" s="101"/>
      <c r="BN1245" s="101"/>
      <c r="BO1245" s="101"/>
      <c r="BP1245" s="101"/>
      <c r="BQ1245" s="101"/>
      <c r="BR1245" s="101"/>
    </row>
    <row r="1246" spans="33:70">
      <c r="AG1246" s="101"/>
      <c r="AH1246" s="101"/>
      <c r="AI1246" s="101"/>
      <c r="AJ1246" s="101"/>
      <c r="AK1246" s="101"/>
      <c r="AM1246" s="195"/>
      <c r="AT1246" s="101"/>
      <c r="AU1246" s="101"/>
      <c r="AV1246" s="101"/>
      <c r="AW1246" s="101"/>
      <c r="AX1246" s="101"/>
      <c r="AY1246" s="101"/>
      <c r="AZ1246" s="101"/>
      <c r="BA1246" s="101"/>
    </row>
    <row r="1247" spans="33:70">
      <c r="AG1247" s="101"/>
      <c r="AH1247" s="101"/>
      <c r="AI1247" s="101"/>
      <c r="AJ1247" s="101"/>
      <c r="AK1247" s="101"/>
      <c r="AM1247" s="195"/>
      <c r="AT1247" s="101"/>
      <c r="AU1247" s="101"/>
      <c r="AV1247" s="101"/>
      <c r="AW1247" s="101"/>
      <c r="AX1247" s="101"/>
      <c r="AY1247" s="101"/>
      <c r="AZ1247" s="101"/>
      <c r="BA1247" s="101"/>
    </row>
    <row r="1248" spans="33:70">
      <c r="AG1248" s="101"/>
      <c r="AH1248" s="101"/>
      <c r="AI1248" s="101"/>
      <c r="AJ1248" s="101"/>
      <c r="AK1248" s="101"/>
      <c r="AM1248" s="195"/>
      <c r="AT1248" s="101"/>
      <c r="AU1248" s="101"/>
      <c r="AV1248" s="101"/>
      <c r="AW1248" s="101"/>
      <c r="AX1248" s="101"/>
      <c r="AY1248" s="101"/>
      <c r="AZ1248" s="101"/>
      <c r="BA1248" s="101"/>
    </row>
    <row r="1249" spans="33:70">
      <c r="AG1249" s="101"/>
      <c r="AH1249" s="101"/>
      <c r="AI1249" s="101"/>
      <c r="AJ1249" s="101"/>
      <c r="AK1249" s="101"/>
      <c r="AM1249" s="195"/>
      <c r="AT1249" s="101"/>
      <c r="AU1249" s="101"/>
      <c r="AV1249" s="101"/>
      <c r="AW1249" s="101"/>
      <c r="AX1249" s="101"/>
      <c r="AY1249" s="101"/>
      <c r="AZ1249" s="101"/>
      <c r="BA1249" s="101"/>
    </row>
    <row r="1250" spans="33:70">
      <c r="AG1250" s="101"/>
      <c r="AH1250" s="101"/>
      <c r="AI1250" s="101"/>
      <c r="AJ1250" s="101"/>
      <c r="AK1250" s="101"/>
      <c r="AM1250" s="195"/>
      <c r="AT1250" s="101"/>
      <c r="AU1250" s="101"/>
      <c r="AV1250" s="101"/>
      <c r="AW1250" s="101"/>
      <c r="AX1250" s="101"/>
      <c r="AY1250" s="101"/>
      <c r="AZ1250" s="101"/>
      <c r="BA1250" s="101"/>
    </row>
    <row r="1251" spans="33:70">
      <c r="AG1251" s="101"/>
      <c r="AH1251" s="101"/>
      <c r="AI1251" s="101"/>
      <c r="AJ1251" s="101"/>
      <c r="AK1251" s="101"/>
      <c r="AM1251" s="195"/>
      <c r="AT1251" s="101"/>
      <c r="AU1251" s="101"/>
      <c r="AV1251" s="101"/>
      <c r="AW1251" s="101"/>
      <c r="AX1251" s="101"/>
      <c r="AY1251" s="101"/>
      <c r="AZ1251" s="101"/>
      <c r="BA1251" s="101"/>
    </row>
    <row r="1252" spans="33:70">
      <c r="AG1252" s="101"/>
      <c r="AH1252" s="101"/>
      <c r="AI1252" s="101"/>
      <c r="AJ1252" s="101"/>
      <c r="AK1252" s="101"/>
      <c r="AM1252" s="195"/>
      <c r="AT1252" s="101"/>
      <c r="AU1252" s="101"/>
      <c r="AV1252" s="101"/>
      <c r="AW1252" s="101"/>
      <c r="AX1252" s="101"/>
      <c r="AY1252" s="101"/>
      <c r="AZ1252" s="101"/>
      <c r="BA1252" s="101"/>
    </row>
    <row r="1253" spans="33:70">
      <c r="AG1253" s="101"/>
      <c r="AH1253" s="101"/>
      <c r="AI1253" s="101"/>
      <c r="AJ1253" s="101"/>
      <c r="AK1253" s="101"/>
      <c r="AM1253" s="195"/>
      <c r="AT1253" s="101"/>
      <c r="AU1253" s="101"/>
      <c r="AV1253" s="101"/>
      <c r="AW1253" s="101"/>
      <c r="AX1253" s="101"/>
      <c r="AY1253" s="101"/>
      <c r="AZ1253" s="101"/>
      <c r="BA1253" s="101"/>
    </row>
    <row r="1254" spans="33:70">
      <c r="AG1254" s="101"/>
      <c r="AH1254" s="101"/>
      <c r="AI1254" s="101"/>
      <c r="AJ1254" s="101"/>
      <c r="AK1254" s="101"/>
      <c r="AM1254" s="195"/>
      <c r="AT1254" s="101"/>
      <c r="AU1254" s="101"/>
      <c r="AV1254" s="101"/>
      <c r="AW1254" s="101"/>
      <c r="AX1254" s="101"/>
      <c r="AY1254" s="101"/>
      <c r="AZ1254" s="101"/>
      <c r="BA1254" s="101"/>
      <c r="BB1254" s="101"/>
      <c r="BC1254" s="101"/>
      <c r="BD1254" s="101"/>
      <c r="BE1254" s="101"/>
      <c r="BF1254" s="101"/>
      <c r="BG1254" s="101"/>
      <c r="BH1254" s="101"/>
      <c r="BI1254" s="101"/>
      <c r="BJ1254" s="101"/>
      <c r="BK1254" s="101"/>
      <c r="BL1254" s="101"/>
      <c r="BM1254" s="101"/>
      <c r="BN1254" s="101"/>
      <c r="BO1254" s="101"/>
      <c r="BP1254" s="101"/>
      <c r="BQ1254" s="101"/>
      <c r="BR1254" s="101"/>
    </row>
    <row r="1255" spans="33:70">
      <c r="AG1255" s="101"/>
      <c r="AH1255" s="101"/>
      <c r="AI1255" s="101"/>
      <c r="AJ1255" s="101"/>
      <c r="AK1255" s="101"/>
      <c r="AM1255" s="195"/>
      <c r="AT1255" s="101"/>
      <c r="AU1255" s="101"/>
      <c r="AV1255" s="101"/>
      <c r="AW1255" s="101"/>
      <c r="AX1255" s="101"/>
      <c r="AY1255" s="101"/>
      <c r="AZ1255" s="101"/>
      <c r="BA1255" s="101"/>
    </row>
    <row r="1256" spans="33:70">
      <c r="AG1256" s="101"/>
      <c r="AH1256" s="101"/>
      <c r="AI1256" s="101"/>
      <c r="AJ1256" s="101"/>
      <c r="AK1256" s="101"/>
      <c r="AM1256" s="195"/>
      <c r="AT1256" s="101"/>
      <c r="AU1256" s="101"/>
      <c r="AV1256" s="101"/>
      <c r="AW1256" s="101"/>
      <c r="AX1256" s="101"/>
      <c r="AY1256" s="101"/>
      <c r="AZ1256" s="101"/>
      <c r="BA1256" s="101"/>
    </row>
    <row r="1257" spans="33:70">
      <c r="AG1257" s="101"/>
      <c r="AH1257" s="101"/>
      <c r="AI1257" s="101"/>
      <c r="AJ1257" s="101"/>
      <c r="AK1257" s="101"/>
      <c r="AM1257" s="195"/>
      <c r="AT1257" s="101"/>
      <c r="AU1257" s="101"/>
      <c r="AV1257" s="101"/>
      <c r="AW1257" s="101"/>
      <c r="AX1257" s="101"/>
      <c r="AY1257" s="101"/>
      <c r="AZ1257" s="101"/>
      <c r="BA1257" s="101"/>
    </row>
    <row r="1258" spans="33:70">
      <c r="AG1258" s="101"/>
      <c r="AH1258" s="101"/>
      <c r="AI1258" s="101"/>
      <c r="AJ1258" s="101"/>
      <c r="AK1258" s="101"/>
      <c r="AM1258" s="195"/>
      <c r="AT1258" s="101"/>
      <c r="AU1258" s="101"/>
      <c r="AV1258" s="101"/>
      <c r="AW1258" s="101"/>
      <c r="AX1258" s="101"/>
      <c r="AY1258" s="101"/>
      <c r="AZ1258" s="101"/>
      <c r="BA1258" s="101"/>
    </row>
    <row r="1259" spans="33:70">
      <c r="AG1259" s="101"/>
      <c r="AH1259" s="101"/>
      <c r="AI1259" s="101"/>
      <c r="AJ1259" s="101"/>
      <c r="AK1259" s="101"/>
      <c r="AM1259" s="195"/>
      <c r="AT1259" s="101"/>
      <c r="AU1259" s="101"/>
      <c r="AV1259" s="101"/>
      <c r="AW1259" s="101"/>
      <c r="AX1259" s="101"/>
      <c r="AY1259" s="101"/>
      <c r="AZ1259" s="101"/>
      <c r="BA1259" s="101"/>
    </row>
    <row r="1260" spans="33:70">
      <c r="AG1260" s="101"/>
      <c r="AH1260" s="101"/>
      <c r="AI1260" s="101"/>
      <c r="AJ1260" s="101"/>
      <c r="AK1260" s="101"/>
      <c r="AM1260" s="195"/>
      <c r="AT1260" s="101"/>
      <c r="AU1260" s="101"/>
      <c r="AV1260" s="101"/>
      <c r="AW1260" s="101"/>
      <c r="AX1260" s="101"/>
      <c r="AY1260" s="101"/>
      <c r="AZ1260" s="101"/>
      <c r="BA1260" s="101"/>
    </row>
    <row r="1261" spans="33:70">
      <c r="AG1261" s="101"/>
      <c r="AH1261" s="101"/>
      <c r="AI1261" s="101"/>
      <c r="AJ1261" s="101"/>
      <c r="AK1261" s="101"/>
      <c r="AM1261" s="195"/>
      <c r="AT1261" s="101"/>
      <c r="AU1261" s="101"/>
      <c r="AV1261" s="101"/>
      <c r="AW1261" s="101"/>
      <c r="AX1261" s="101"/>
      <c r="AY1261" s="101"/>
      <c r="AZ1261" s="101"/>
      <c r="BA1261" s="101"/>
    </row>
    <row r="1262" spans="33:70">
      <c r="AG1262" s="101"/>
      <c r="AH1262" s="101"/>
      <c r="AI1262" s="101"/>
      <c r="AJ1262" s="101"/>
      <c r="AK1262" s="101"/>
      <c r="AM1262" s="195"/>
      <c r="AT1262" s="101"/>
      <c r="AU1262" s="101"/>
      <c r="AV1262" s="101"/>
      <c r="AW1262" s="101"/>
      <c r="AX1262" s="101"/>
      <c r="AY1262" s="101"/>
      <c r="AZ1262" s="101"/>
      <c r="BA1262" s="101"/>
    </row>
    <row r="1263" spans="33:70">
      <c r="AG1263" s="101"/>
      <c r="AH1263" s="101"/>
      <c r="AI1263" s="101"/>
      <c r="AJ1263" s="101"/>
      <c r="AK1263" s="101"/>
      <c r="AM1263" s="195"/>
      <c r="AT1263" s="101"/>
      <c r="AU1263" s="101"/>
      <c r="AV1263" s="101"/>
      <c r="AW1263" s="101"/>
      <c r="AX1263" s="101"/>
      <c r="AY1263" s="101"/>
      <c r="AZ1263" s="101"/>
      <c r="BA1263" s="101"/>
    </row>
    <row r="1264" spans="33:70">
      <c r="AG1264" s="101"/>
      <c r="AH1264" s="101"/>
      <c r="AI1264" s="101"/>
      <c r="AJ1264" s="101"/>
      <c r="AK1264" s="101"/>
      <c r="AM1264" s="195"/>
      <c r="AT1264" s="101"/>
      <c r="AU1264" s="101"/>
      <c r="AV1264" s="101"/>
      <c r="AW1264" s="101"/>
      <c r="AX1264" s="101"/>
      <c r="AY1264" s="101"/>
      <c r="AZ1264" s="101"/>
      <c r="BA1264" s="101"/>
    </row>
    <row r="1265" spans="33:53">
      <c r="AG1265" s="101"/>
      <c r="AH1265" s="101"/>
      <c r="AI1265" s="101"/>
      <c r="AJ1265" s="101"/>
      <c r="AK1265" s="101"/>
      <c r="AM1265" s="195"/>
      <c r="AT1265" s="101"/>
      <c r="AU1265" s="101"/>
      <c r="AV1265" s="101"/>
      <c r="AW1265" s="101"/>
      <c r="AX1265" s="101"/>
      <c r="AY1265" s="101"/>
      <c r="AZ1265" s="101"/>
      <c r="BA1265" s="101"/>
    </row>
    <row r="1266" spans="33:53">
      <c r="AG1266" s="101"/>
      <c r="AH1266" s="101"/>
      <c r="AI1266" s="101"/>
      <c r="AJ1266" s="101"/>
      <c r="AK1266" s="101"/>
      <c r="AM1266" s="195"/>
      <c r="AT1266" s="101"/>
      <c r="AU1266" s="101"/>
      <c r="AV1266" s="101"/>
      <c r="AW1266" s="101"/>
      <c r="AX1266" s="101"/>
      <c r="AY1266" s="101"/>
      <c r="AZ1266" s="101"/>
      <c r="BA1266" s="101"/>
    </row>
    <row r="1267" spans="33:53">
      <c r="AG1267" s="101"/>
      <c r="AH1267" s="101"/>
      <c r="AI1267" s="101"/>
      <c r="AJ1267" s="101"/>
      <c r="AK1267" s="101"/>
      <c r="AM1267" s="195"/>
      <c r="AT1267" s="101"/>
      <c r="AU1267" s="101"/>
      <c r="AV1267" s="101"/>
      <c r="AW1267" s="101"/>
      <c r="AX1267" s="101"/>
      <c r="AY1267" s="101"/>
      <c r="AZ1267" s="101"/>
      <c r="BA1267" s="101"/>
    </row>
    <row r="1268" spans="33:53">
      <c r="AG1268" s="101"/>
      <c r="AH1268" s="101"/>
      <c r="AI1268" s="101"/>
      <c r="AJ1268" s="101"/>
      <c r="AK1268" s="101"/>
      <c r="AM1268" s="195"/>
      <c r="AT1268" s="101"/>
      <c r="AU1268" s="101"/>
      <c r="AV1268" s="101"/>
      <c r="AW1268" s="101"/>
      <c r="AX1268" s="101"/>
      <c r="AY1268" s="101"/>
      <c r="AZ1268" s="101"/>
      <c r="BA1268" s="101"/>
    </row>
    <row r="1269" spans="33:53">
      <c r="AG1269" s="101"/>
      <c r="AH1269" s="101"/>
      <c r="AI1269" s="101"/>
      <c r="AJ1269" s="101"/>
      <c r="AK1269" s="101"/>
      <c r="AM1269" s="195"/>
      <c r="AT1269" s="101"/>
      <c r="AU1269" s="101"/>
      <c r="AV1269" s="101"/>
      <c r="AW1269" s="101"/>
      <c r="AX1269" s="101"/>
      <c r="AY1269" s="101"/>
      <c r="AZ1269" s="101"/>
      <c r="BA1269" s="101"/>
    </row>
    <row r="1270" spans="33:53">
      <c r="AG1270" s="101"/>
      <c r="AH1270" s="101"/>
      <c r="AI1270" s="101"/>
      <c r="AJ1270" s="101"/>
      <c r="AK1270" s="101"/>
      <c r="AM1270" s="195"/>
      <c r="AT1270" s="101"/>
      <c r="AU1270" s="101"/>
      <c r="AV1270" s="101"/>
      <c r="AW1270" s="101"/>
      <c r="AX1270" s="101"/>
      <c r="AY1270" s="101"/>
      <c r="AZ1270" s="101"/>
      <c r="BA1270" s="101"/>
    </row>
    <row r="1271" spans="33:53">
      <c r="AG1271" s="101"/>
      <c r="AH1271" s="101"/>
      <c r="AI1271" s="101"/>
      <c r="AJ1271" s="101"/>
      <c r="AK1271" s="101"/>
      <c r="AM1271" s="195"/>
      <c r="AT1271" s="101"/>
      <c r="AU1271" s="101"/>
      <c r="AV1271" s="101"/>
      <c r="AW1271" s="101"/>
      <c r="AX1271" s="101"/>
      <c r="AY1271" s="101"/>
      <c r="AZ1271" s="101"/>
      <c r="BA1271" s="101"/>
    </row>
    <row r="1272" spans="33:53">
      <c r="AG1272" s="101"/>
      <c r="AH1272" s="101"/>
      <c r="AI1272" s="101"/>
      <c r="AJ1272" s="101"/>
      <c r="AK1272" s="101"/>
      <c r="AM1272" s="195"/>
      <c r="AT1272" s="101"/>
      <c r="AU1272" s="101"/>
      <c r="AV1272" s="101"/>
      <c r="AW1272" s="101"/>
      <c r="AX1272" s="101"/>
      <c r="AY1272" s="101"/>
      <c r="AZ1272" s="101"/>
      <c r="BA1272" s="101"/>
    </row>
    <row r="1273" spans="33:53">
      <c r="AG1273" s="101"/>
      <c r="AH1273" s="101"/>
      <c r="AI1273" s="101"/>
      <c r="AJ1273" s="101"/>
      <c r="AK1273" s="101"/>
      <c r="AM1273" s="195"/>
      <c r="AT1273" s="101"/>
      <c r="AU1273" s="101"/>
      <c r="AV1273" s="101"/>
      <c r="AW1273" s="101"/>
      <c r="AX1273" s="101"/>
      <c r="AY1273" s="101"/>
      <c r="AZ1273" s="101"/>
      <c r="BA1273" s="101"/>
    </row>
    <row r="1274" spans="33:53">
      <c r="AG1274" s="101"/>
      <c r="AH1274" s="101"/>
      <c r="AI1274" s="101"/>
      <c r="AJ1274" s="101"/>
      <c r="AK1274" s="101"/>
      <c r="AM1274" s="195"/>
      <c r="AT1274" s="101"/>
      <c r="AU1274" s="101"/>
      <c r="AV1274" s="101"/>
      <c r="AW1274" s="101"/>
      <c r="AX1274" s="101"/>
      <c r="AY1274" s="101"/>
      <c r="AZ1274" s="101"/>
      <c r="BA1274" s="101"/>
    </row>
    <row r="1275" spans="33:53">
      <c r="AG1275" s="101"/>
      <c r="AH1275" s="101"/>
      <c r="AI1275" s="101"/>
      <c r="AJ1275" s="101"/>
      <c r="AK1275" s="101"/>
      <c r="AM1275" s="195"/>
      <c r="AT1275" s="101"/>
      <c r="AU1275" s="101"/>
      <c r="AV1275" s="101"/>
      <c r="AW1275" s="101"/>
      <c r="AX1275" s="101"/>
      <c r="AY1275" s="101"/>
      <c r="AZ1275" s="101"/>
      <c r="BA1275" s="101"/>
    </row>
    <row r="1276" spans="33:53">
      <c r="AG1276" s="101"/>
      <c r="AH1276" s="101"/>
      <c r="AI1276" s="101"/>
      <c r="AJ1276" s="101"/>
      <c r="AK1276" s="101"/>
      <c r="AM1276" s="195"/>
      <c r="AT1276" s="101"/>
      <c r="AU1276" s="101"/>
      <c r="AV1276" s="101"/>
      <c r="AW1276" s="101"/>
      <c r="AX1276" s="101"/>
      <c r="AY1276" s="101"/>
      <c r="AZ1276" s="101"/>
      <c r="BA1276" s="101"/>
    </row>
    <row r="1277" spans="33:53">
      <c r="AG1277" s="101"/>
      <c r="AH1277" s="101"/>
      <c r="AI1277" s="101"/>
      <c r="AJ1277" s="101"/>
      <c r="AK1277" s="101"/>
      <c r="AM1277" s="195"/>
      <c r="AT1277" s="101"/>
      <c r="AU1277" s="101"/>
      <c r="AV1277" s="101"/>
      <c r="AW1277" s="101"/>
      <c r="AX1277" s="101"/>
      <c r="AY1277" s="101"/>
      <c r="AZ1277" s="101"/>
      <c r="BA1277" s="101"/>
    </row>
    <row r="1278" spans="33:53">
      <c r="AG1278" s="101"/>
      <c r="AH1278" s="101"/>
      <c r="AI1278" s="101"/>
      <c r="AJ1278" s="101"/>
      <c r="AK1278" s="101"/>
      <c r="AM1278" s="195"/>
      <c r="AT1278" s="101"/>
      <c r="AU1278" s="101"/>
      <c r="AV1278" s="101"/>
      <c r="AW1278" s="101"/>
      <c r="AX1278" s="101"/>
      <c r="AY1278" s="101"/>
      <c r="AZ1278" s="101"/>
      <c r="BA1278" s="101"/>
    </row>
    <row r="1279" spans="33:53">
      <c r="AG1279" s="101"/>
      <c r="AH1279" s="101"/>
      <c r="AI1279" s="101"/>
      <c r="AJ1279" s="101"/>
      <c r="AK1279" s="101"/>
      <c r="AM1279" s="195"/>
      <c r="AT1279" s="101"/>
      <c r="AU1279" s="101"/>
      <c r="AV1279" s="101"/>
      <c r="AW1279" s="101"/>
      <c r="AX1279" s="101"/>
      <c r="AY1279" s="101"/>
      <c r="AZ1279" s="101"/>
      <c r="BA1279" s="101"/>
    </row>
    <row r="1280" spans="33:53">
      <c r="AG1280" s="101"/>
      <c r="AH1280" s="101"/>
      <c r="AI1280" s="101"/>
      <c r="AJ1280" s="101"/>
      <c r="AK1280" s="101"/>
      <c r="AM1280" s="195"/>
      <c r="AT1280" s="101"/>
      <c r="AU1280" s="101"/>
      <c r="AV1280" s="101"/>
      <c r="AW1280" s="101"/>
      <c r="AX1280" s="101"/>
      <c r="AY1280" s="101"/>
      <c r="AZ1280" s="101"/>
      <c r="BA1280" s="101"/>
    </row>
    <row r="1281" spans="33:70">
      <c r="AG1281" s="101"/>
      <c r="AH1281" s="101"/>
      <c r="AI1281" s="101"/>
      <c r="AJ1281" s="101"/>
      <c r="AK1281" s="101"/>
      <c r="AM1281" s="195"/>
      <c r="AT1281" s="101"/>
      <c r="AU1281" s="101"/>
      <c r="AV1281" s="101"/>
      <c r="AW1281" s="101"/>
      <c r="AX1281" s="101"/>
      <c r="AY1281" s="101"/>
      <c r="AZ1281" s="101"/>
      <c r="BA1281" s="101"/>
    </row>
    <row r="1282" spans="33:70">
      <c r="AG1282" s="101"/>
      <c r="AH1282" s="101"/>
      <c r="AI1282" s="101"/>
      <c r="AJ1282" s="101"/>
      <c r="AK1282" s="101"/>
      <c r="AM1282" s="195"/>
      <c r="AT1282" s="101"/>
      <c r="AU1282" s="101"/>
      <c r="AV1282" s="101"/>
      <c r="AW1282" s="101"/>
      <c r="AX1282" s="101"/>
      <c r="AY1282" s="101"/>
      <c r="AZ1282" s="101"/>
      <c r="BA1282" s="101"/>
    </row>
    <row r="1283" spans="33:70">
      <c r="AG1283" s="101"/>
      <c r="AH1283" s="101"/>
      <c r="AI1283" s="101"/>
      <c r="AJ1283" s="101"/>
      <c r="AK1283" s="101"/>
      <c r="AM1283" s="195"/>
      <c r="AT1283" s="101"/>
      <c r="AU1283" s="101"/>
      <c r="AV1283" s="101"/>
      <c r="AW1283" s="101"/>
      <c r="AX1283" s="101"/>
      <c r="AY1283" s="101"/>
      <c r="AZ1283" s="101"/>
      <c r="BA1283" s="101"/>
    </row>
    <row r="1284" spans="33:70">
      <c r="AG1284" s="101"/>
      <c r="AH1284" s="101"/>
      <c r="AI1284" s="101"/>
      <c r="AJ1284" s="101"/>
      <c r="AK1284" s="101"/>
      <c r="AM1284" s="195"/>
      <c r="AT1284" s="101"/>
      <c r="AU1284" s="101"/>
      <c r="AV1284" s="101"/>
      <c r="AW1284" s="101"/>
      <c r="AX1284" s="101"/>
      <c r="AY1284" s="101"/>
      <c r="AZ1284" s="101"/>
      <c r="BA1284" s="101"/>
    </row>
    <row r="1285" spans="33:70">
      <c r="AG1285" s="101"/>
      <c r="AH1285" s="101"/>
      <c r="AI1285" s="101"/>
      <c r="AJ1285" s="101"/>
      <c r="AK1285" s="101"/>
      <c r="AM1285" s="195"/>
      <c r="AT1285" s="101"/>
      <c r="AU1285" s="101"/>
      <c r="AV1285" s="101"/>
      <c r="AW1285" s="101"/>
      <c r="AX1285" s="101"/>
      <c r="AY1285" s="101"/>
      <c r="AZ1285" s="101"/>
      <c r="BA1285" s="101"/>
    </row>
    <row r="1286" spans="33:70">
      <c r="AG1286" s="101"/>
      <c r="AH1286" s="101"/>
      <c r="AI1286" s="101"/>
      <c r="AJ1286" s="101"/>
      <c r="AK1286" s="101"/>
      <c r="AM1286" s="195"/>
      <c r="AT1286" s="101"/>
      <c r="AU1286" s="101"/>
      <c r="AV1286" s="101"/>
      <c r="AW1286" s="101"/>
      <c r="AX1286" s="101"/>
      <c r="AY1286" s="101"/>
      <c r="AZ1286" s="101"/>
      <c r="BA1286" s="101"/>
    </row>
    <row r="1287" spans="33:70">
      <c r="AG1287" s="101"/>
      <c r="AH1287" s="101"/>
      <c r="AI1287" s="101"/>
      <c r="AJ1287" s="101"/>
      <c r="AK1287" s="101"/>
      <c r="AM1287" s="195"/>
      <c r="AT1287" s="101"/>
      <c r="AU1287" s="101"/>
      <c r="AV1287" s="101"/>
      <c r="AW1287" s="101"/>
      <c r="AX1287" s="101"/>
      <c r="AY1287" s="101"/>
      <c r="AZ1287" s="101"/>
      <c r="BA1287" s="101"/>
      <c r="BB1287" s="101"/>
      <c r="BC1287" s="101"/>
      <c r="BD1287" s="101"/>
      <c r="BE1287" s="101"/>
      <c r="BF1287" s="101"/>
      <c r="BG1287" s="101"/>
      <c r="BH1287" s="101"/>
      <c r="BI1287" s="101"/>
      <c r="BJ1287" s="101"/>
      <c r="BK1287" s="101"/>
      <c r="BL1287" s="101"/>
      <c r="BM1287" s="101"/>
      <c r="BN1287" s="101"/>
      <c r="BO1287" s="101"/>
      <c r="BP1287" s="101"/>
      <c r="BQ1287" s="101"/>
      <c r="BR1287" s="101"/>
    </row>
    <row r="1288" spans="33:70">
      <c r="AG1288" s="101"/>
      <c r="AH1288" s="101"/>
      <c r="AI1288" s="101"/>
      <c r="AJ1288" s="101"/>
      <c r="AK1288" s="101"/>
      <c r="AM1288" s="195"/>
      <c r="AT1288" s="101"/>
      <c r="AU1288" s="101"/>
      <c r="AV1288" s="101"/>
      <c r="AW1288" s="101"/>
      <c r="AX1288" s="101"/>
      <c r="AY1288" s="101"/>
      <c r="AZ1288" s="101"/>
      <c r="BA1288" s="101"/>
    </row>
    <row r="1289" spans="33:70">
      <c r="AG1289" s="101"/>
      <c r="AH1289" s="101"/>
      <c r="AI1289" s="101"/>
      <c r="AJ1289" s="101"/>
      <c r="AK1289" s="101"/>
      <c r="AM1289" s="195"/>
      <c r="AT1289" s="101"/>
      <c r="AU1289" s="101"/>
      <c r="AV1289" s="101"/>
      <c r="AW1289" s="101"/>
      <c r="AX1289" s="101"/>
      <c r="AY1289" s="101"/>
      <c r="AZ1289" s="101"/>
      <c r="BA1289" s="101"/>
      <c r="BB1289" s="101"/>
      <c r="BC1289" s="101"/>
      <c r="BD1289" s="101"/>
      <c r="BE1289" s="101"/>
      <c r="BF1289" s="101"/>
      <c r="BG1289" s="101"/>
      <c r="BH1289" s="101"/>
      <c r="BI1289" s="101"/>
      <c r="BJ1289" s="101"/>
      <c r="BK1289" s="101"/>
      <c r="BL1289" s="101"/>
      <c r="BM1289" s="101"/>
      <c r="BN1289" s="101"/>
      <c r="BO1289" s="101"/>
      <c r="BP1289" s="101"/>
      <c r="BQ1289" s="101"/>
      <c r="BR1289" s="101"/>
    </row>
    <row r="1290" spans="33:70">
      <c r="AG1290" s="101"/>
      <c r="AH1290" s="101"/>
      <c r="AI1290" s="101"/>
      <c r="AJ1290" s="101"/>
      <c r="AK1290" s="101"/>
      <c r="AM1290" s="195"/>
      <c r="AT1290" s="101"/>
      <c r="AU1290" s="101"/>
      <c r="AV1290" s="101"/>
      <c r="AW1290" s="101"/>
      <c r="AX1290" s="101"/>
      <c r="AY1290" s="101"/>
      <c r="AZ1290" s="101"/>
      <c r="BA1290" s="101"/>
    </row>
    <row r="1291" spans="33:70">
      <c r="AG1291" s="101"/>
      <c r="AH1291" s="101"/>
      <c r="AI1291" s="101"/>
      <c r="AJ1291" s="101"/>
      <c r="AK1291" s="101"/>
      <c r="AM1291" s="195"/>
      <c r="AT1291" s="101"/>
      <c r="AU1291" s="101"/>
      <c r="AV1291" s="101"/>
      <c r="AW1291" s="101"/>
      <c r="AX1291" s="101"/>
      <c r="AY1291" s="101"/>
      <c r="AZ1291" s="101"/>
      <c r="BA1291" s="101"/>
      <c r="BB1291" s="101"/>
    </row>
    <row r="1292" spans="33:70">
      <c r="AG1292" s="101"/>
      <c r="AH1292" s="101"/>
      <c r="AI1292" s="101"/>
      <c r="AJ1292" s="101"/>
      <c r="AK1292" s="101"/>
      <c r="AM1292" s="195"/>
      <c r="AT1292" s="101"/>
      <c r="AU1292" s="101"/>
      <c r="AV1292" s="101"/>
      <c r="AW1292" s="101"/>
      <c r="AX1292" s="101"/>
      <c r="AY1292" s="101"/>
      <c r="AZ1292" s="101"/>
      <c r="BA1292" s="101"/>
    </row>
    <row r="1293" spans="33:70">
      <c r="AG1293" s="101"/>
      <c r="AH1293" s="101"/>
      <c r="AI1293" s="101"/>
      <c r="AJ1293" s="101"/>
      <c r="AK1293" s="101"/>
      <c r="AM1293" s="195"/>
      <c r="AT1293" s="101"/>
      <c r="AU1293" s="101"/>
      <c r="AV1293" s="101"/>
      <c r="AW1293" s="101"/>
      <c r="AX1293" s="101"/>
      <c r="AY1293" s="101"/>
      <c r="AZ1293" s="101"/>
      <c r="BA1293" s="101"/>
      <c r="BB1293" s="101"/>
      <c r="BC1293" s="101"/>
      <c r="BD1293" s="101"/>
      <c r="BE1293" s="101"/>
      <c r="BF1293" s="101"/>
      <c r="BG1293" s="101"/>
      <c r="BH1293" s="101"/>
      <c r="BI1293" s="101"/>
      <c r="BJ1293" s="101"/>
      <c r="BK1293" s="101"/>
      <c r="BL1293" s="101"/>
      <c r="BM1293" s="101"/>
      <c r="BN1293" s="101"/>
      <c r="BO1293" s="101"/>
      <c r="BP1293" s="101"/>
      <c r="BQ1293" s="101"/>
      <c r="BR1293" s="101"/>
    </row>
    <row r="1294" spans="33:70">
      <c r="AG1294" s="101"/>
      <c r="AH1294" s="101"/>
      <c r="AI1294" s="101"/>
      <c r="AJ1294" s="101"/>
      <c r="AK1294" s="101"/>
      <c r="AM1294" s="195"/>
      <c r="AT1294" s="101"/>
      <c r="AU1294" s="101"/>
      <c r="AV1294" s="101"/>
      <c r="AW1294" s="101"/>
      <c r="AX1294" s="101"/>
      <c r="AY1294" s="101"/>
      <c r="AZ1294" s="101"/>
      <c r="BA1294" s="101"/>
    </row>
    <row r="1295" spans="33:70">
      <c r="AG1295" s="101"/>
      <c r="AH1295" s="101"/>
      <c r="AI1295" s="101"/>
      <c r="AJ1295" s="101"/>
      <c r="AK1295" s="101"/>
      <c r="AM1295" s="195"/>
      <c r="AT1295" s="101"/>
      <c r="AU1295" s="101"/>
      <c r="AV1295" s="101"/>
      <c r="AW1295" s="101"/>
      <c r="AX1295" s="101"/>
      <c r="AY1295" s="101"/>
      <c r="AZ1295" s="101"/>
      <c r="BA1295" s="101"/>
    </row>
    <row r="1296" spans="33:70">
      <c r="AG1296" s="101"/>
      <c r="AH1296" s="101"/>
      <c r="AI1296" s="101"/>
      <c r="AJ1296" s="101"/>
      <c r="AK1296" s="101"/>
      <c r="AM1296" s="195"/>
      <c r="AT1296" s="101"/>
      <c r="AU1296" s="101"/>
      <c r="AV1296" s="101"/>
      <c r="AW1296" s="101"/>
      <c r="AX1296" s="101"/>
      <c r="AY1296" s="101"/>
      <c r="AZ1296" s="101"/>
      <c r="BA1296" s="101"/>
    </row>
    <row r="1297" spans="33:54">
      <c r="AG1297" s="101"/>
      <c r="AH1297" s="101"/>
      <c r="AI1297" s="101"/>
      <c r="AJ1297" s="101"/>
      <c r="AK1297" s="101"/>
      <c r="AM1297" s="195"/>
      <c r="AT1297" s="101"/>
      <c r="AU1297" s="101"/>
      <c r="AV1297" s="101"/>
      <c r="AW1297" s="101"/>
      <c r="AX1297" s="101"/>
      <c r="AY1297" s="101"/>
      <c r="AZ1297" s="101"/>
      <c r="BA1297" s="101"/>
      <c r="BB1297" s="101"/>
    </row>
    <row r="1298" spans="33:54">
      <c r="AG1298" s="101"/>
      <c r="AH1298" s="101"/>
      <c r="AI1298" s="101"/>
      <c r="AJ1298" s="101"/>
      <c r="AK1298" s="101"/>
      <c r="AM1298" s="195"/>
      <c r="AT1298" s="101"/>
      <c r="AU1298" s="101"/>
      <c r="AV1298" s="101"/>
      <c r="AW1298" s="101"/>
      <c r="AX1298" s="101"/>
      <c r="AY1298" s="101"/>
      <c r="AZ1298" s="101"/>
      <c r="BA1298" s="101"/>
    </row>
    <row r="1299" spans="33:54">
      <c r="AG1299" s="101"/>
      <c r="AH1299" s="101"/>
      <c r="AI1299" s="101"/>
      <c r="AJ1299" s="101"/>
      <c r="AK1299" s="101"/>
      <c r="AM1299" s="195"/>
      <c r="AT1299" s="101"/>
      <c r="AU1299" s="101"/>
      <c r="AV1299" s="101"/>
      <c r="AW1299" s="101"/>
      <c r="AX1299" s="101"/>
      <c r="AY1299" s="101"/>
      <c r="AZ1299" s="101"/>
      <c r="BA1299" s="101"/>
    </row>
    <row r="1300" spans="33:54">
      <c r="AG1300" s="101"/>
      <c r="AH1300" s="101"/>
      <c r="AI1300" s="101"/>
      <c r="AJ1300" s="101"/>
      <c r="AK1300" s="101"/>
      <c r="AM1300" s="195"/>
      <c r="AT1300" s="101"/>
      <c r="AU1300" s="101"/>
      <c r="AV1300" s="101"/>
      <c r="AW1300" s="101"/>
      <c r="AX1300" s="101"/>
      <c r="AY1300" s="101"/>
      <c r="AZ1300" s="101"/>
      <c r="BA1300" s="101"/>
    </row>
    <row r="1301" spans="33:54">
      <c r="AG1301" s="101"/>
      <c r="AH1301" s="101"/>
      <c r="AI1301" s="101"/>
      <c r="AJ1301" s="101"/>
      <c r="AK1301" s="101"/>
      <c r="AM1301" s="195"/>
      <c r="AT1301" s="101"/>
      <c r="AU1301" s="101"/>
      <c r="AV1301" s="101"/>
      <c r="AW1301" s="101"/>
      <c r="AX1301" s="101"/>
      <c r="AY1301" s="101"/>
      <c r="AZ1301" s="101"/>
      <c r="BA1301" s="101"/>
    </row>
    <row r="1302" spans="33:54">
      <c r="AG1302" s="101"/>
      <c r="AH1302" s="101"/>
      <c r="AI1302" s="101"/>
      <c r="AJ1302" s="101"/>
      <c r="AK1302" s="101"/>
      <c r="AM1302" s="195"/>
      <c r="AT1302" s="101"/>
      <c r="AU1302" s="101"/>
      <c r="AV1302" s="101"/>
      <c r="AW1302" s="101"/>
      <c r="AX1302" s="101"/>
      <c r="AY1302" s="101"/>
      <c r="AZ1302" s="101"/>
      <c r="BA1302" s="101"/>
    </row>
    <row r="1303" spans="33:54">
      <c r="AG1303" s="101"/>
      <c r="AH1303" s="101"/>
      <c r="AI1303" s="101"/>
      <c r="AJ1303" s="101"/>
      <c r="AK1303" s="101"/>
      <c r="AM1303" s="195"/>
      <c r="AT1303" s="101"/>
      <c r="AU1303" s="101"/>
      <c r="AV1303" s="101"/>
      <c r="AW1303" s="101"/>
      <c r="AX1303" s="101"/>
      <c r="AY1303" s="101"/>
      <c r="AZ1303" s="101"/>
      <c r="BA1303" s="101"/>
    </row>
    <row r="1304" spans="33:54">
      <c r="AG1304" s="101"/>
      <c r="AH1304" s="101"/>
      <c r="AI1304" s="101"/>
      <c r="AJ1304" s="101"/>
      <c r="AK1304" s="101"/>
      <c r="AM1304" s="195"/>
      <c r="AT1304" s="101"/>
      <c r="AU1304" s="101"/>
      <c r="AV1304" s="101"/>
      <c r="AW1304" s="101"/>
      <c r="AX1304" s="101"/>
      <c r="AY1304" s="101"/>
      <c r="AZ1304" s="101"/>
      <c r="BA1304" s="101"/>
    </row>
    <row r="1305" spans="33:54">
      <c r="AG1305" s="101"/>
      <c r="AH1305" s="101"/>
      <c r="AI1305" s="101"/>
      <c r="AJ1305" s="101"/>
      <c r="AK1305" s="101"/>
      <c r="AM1305" s="195"/>
      <c r="AT1305" s="101"/>
      <c r="AU1305" s="101"/>
      <c r="AV1305" s="101"/>
      <c r="AW1305" s="101"/>
      <c r="AX1305" s="101"/>
      <c r="AY1305" s="101"/>
      <c r="AZ1305" s="101"/>
      <c r="BA1305" s="101"/>
    </row>
    <row r="1306" spans="33:54">
      <c r="AG1306" s="101"/>
      <c r="AH1306" s="101"/>
      <c r="AI1306" s="101"/>
      <c r="AJ1306" s="101"/>
      <c r="AK1306" s="101"/>
      <c r="AM1306" s="195"/>
      <c r="AT1306" s="101"/>
      <c r="AU1306" s="101"/>
      <c r="AV1306" s="101"/>
      <c r="AW1306" s="101"/>
      <c r="AX1306" s="101"/>
      <c r="AY1306" s="101"/>
      <c r="AZ1306" s="101"/>
      <c r="BA1306" s="101"/>
    </row>
    <row r="1307" spans="33:54">
      <c r="AG1307" s="101"/>
      <c r="AH1307" s="101"/>
      <c r="AI1307" s="101"/>
      <c r="AJ1307" s="101"/>
      <c r="AK1307" s="101"/>
      <c r="AM1307" s="195"/>
      <c r="AT1307" s="101"/>
      <c r="AU1307" s="101"/>
      <c r="AV1307" s="101"/>
      <c r="AW1307" s="101"/>
      <c r="AX1307" s="101"/>
      <c r="AY1307" s="101"/>
      <c r="AZ1307" s="101"/>
      <c r="BA1307" s="101"/>
    </row>
    <row r="1308" spans="33:54">
      <c r="AG1308" s="101"/>
      <c r="AH1308" s="101"/>
      <c r="AI1308" s="101"/>
      <c r="AJ1308" s="101"/>
      <c r="AK1308" s="101"/>
      <c r="AM1308" s="195"/>
      <c r="AT1308" s="101"/>
      <c r="AU1308" s="101"/>
      <c r="AV1308" s="101"/>
      <c r="AW1308" s="101"/>
      <c r="AX1308" s="101"/>
      <c r="AY1308" s="101"/>
      <c r="AZ1308" s="101"/>
      <c r="BA1308" s="101"/>
    </row>
    <row r="1309" spans="33:54">
      <c r="AG1309" s="101"/>
      <c r="AH1309" s="101"/>
      <c r="AI1309" s="101"/>
      <c r="AJ1309" s="101"/>
      <c r="AK1309" s="101"/>
      <c r="AM1309" s="195"/>
      <c r="AT1309" s="101"/>
      <c r="AU1309" s="101"/>
      <c r="AV1309" s="101"/>
      <c r="AW1309" s="101"/>
      <c r="AX1309" s="101"/>
      <c r="AY1309" s="101"/>
      <c r="AZ1309" s="101"/>
      <c r="BA1309" s="101"/>
    </row>
    <row r="1310" spans="33:54">
      <c r="AG1310" s="101"/>
      <c r="AH1310" s="101"/>
      <c r="AI1310" s="101"/>
      <c r="AJ1310" s="101"/>
      <c r="AK1310" s="101"/>
      <c r="AM1310" s="195"/>
      <c r="AT1310" s="101"/>
      <c r="AU1310" s="101"/>
      <c r="AV1310" s="101"/>
      <c r="AW1310" s="101"/>
      <c r="AX1310" s="101"/>
      <c r="AY1310" s="101"/>
      <c r="AZ1310" s="101"/>
      <c r="BA1310" s="101"/>
    </row>
    <row r="1311" spans="33:54">
      <c r="AG1311" s="101"/>
      <c r="AH1311" s="101"/>
      <c r="AI1311" s="101"/>
      <c r="AJ1311" s="101"/>
      <c r="AK1311" s="101"/>
      <c r="AM1311" s="195"/>
      <c r="AT1311" s="101"/>
      <c r="AU1311" s="101"/>
      <c r="AV1311" s="101"/>
      <c r="AW1311" s="101"/>
      <c r="AX1311" s="101"/>
      <c r="AY1311" s="101"/>
      <c r="AZ1311" s="101"/>
      <c r="BA1311" s="101"/>
    </row>
    <row r="1312" spans="33:54">
      <c r="AG1312" s="101"/>
      <c r="AH1312" s="101"/>
      <c r="AI1312" s="101"/>
      <c r="AJ1312" s="101"/>
      <c r="AK1312" s="101"/>
      <c r="AM1312" s="195"/>
      <c r="AT1312" s="101"/>
      <c r="AU1312" s="101"/>
      <c r="AV1312" s="101"/>
      <c r="AW1312" s="101"/>
      <c r="AX1312" s="101"/>
      <c r="AY1312" s="101"/>
      <c r="AZ1312" s="101"/>
      <c r="BA1312" s="101"/>
    </row>
    <row r="1313" spans="33:70">
      <c r="AG1313" s="101"/>
      <c r="AH1313" s="101"/>
      <c r="AI1313" s="101"/>
      <c r="AJ1313" s="101"/>
      <c r="AK1313" s="101"/>
      <c r="AM1313" s="195"/>
      <c r="AT1313" s="101"/>
      <c r="AU1313" s="101"/>
      <c r="AV1313" s="101"/>
      <c r="AW1313" s="101"/>
      <c r="AX1313" s="101"/>
      <c r="AY1313" s="101"/>
      <c r="AZ1313" s="101"/>
      <c r="BA1313" s="101"/>
    </row>
    <row r="1314" spans="33:70">
      <c r="AG1314" s="101"/>
      <c r="AH1314" s="101"/>
      <c r="AI1314" s="101"/>
      <c r="AJ1314" s="101"/>
      <c r="AK1314" s="101"/>
      <c r="AM1314" s="195"/>
      <c r="AT1314" s="101"/>
      <c r="AU1314" s="101"/>
      <c r="AV1314" s="101"/>
      <c r="AW1314" s="101"/>
      <c r="AX1314" s="101"/>
      <c r="AY1314" s="101"/>
      <c r="AZ1314" s="101"/>
      <c r="BA1314" s="101"/>
    </row>
    <row r="1315" spans="33:70">
      <c r="AG1315" s="101"/>
      <c r="AH1315" s="101"/>
      <c r="AI1315" s="101"/>
      <c r="AJ1315" s="101"/>
      <c r="AK1315" s="101"/>
      <c r="AM1315" s="195"/>
      <c r="AT1315" s="101"/>
      <c r="AU1315" s="101"/>
      <c r="AV1315" s="101"/>
      <c r="AW1315" s="101"/>
      <c r="AX1315" s="101"/>
      <c r="AY1315" s="101"/>
      <c r="AZ1315" s="101"/>
      <c r="BA1315" s="101"/>
    </row>
    <row r="1316" spans="33:70">
      <c r="AG1316" s="101"/>
      <c r="AH1316" s="101"/>
      <c r="AI1316" s="101"/>
      <c r="AJ1316" s="101"/>
      <c r="AK1316" s="101"/>
      <c r="AM1316" s="195"/>
      <c r="AT1316" s="101"/>
      <c r="AU1316" s="101"/>
      <c r="AV1316" s="101"/>
      <c r="AW1316" s="101"/>
      <c r="AX1316" s="101"/>
      <c r="AY1316" s="101"/>
      <c r="AZ1316" s="101"/>
      <c r="BA1316" s="101"/>
    </row>
    <row r="1317" spans="33:70">
      <c r="AG1317" s="101"/>
      <c r="AH1317" s="101"/>
      <c r="AI1317" s="101"/>
      <c r="AJ1317" s="101"/>
      <c r="AK1317" s="101"/>
      <c r="AM1317" s="195"/>
      <c r="AT1317" s="101"/>
      <c r="AU1317" s="101"/>
      <c r="AV1317" s="101"/>
      <c r="AW1317" s="101"/>
      <c r="AX1317" s="101"/>
      <c r="AY1317" s="101"/>
      <c r="AZ1317" s="101"/>
      <c r="BA1317" s="101"/>
    </row>
    <row r="1318" spans="33:70">
      <c r="AG1318" s="101"/>
      <c r="AH1318" s="101"/>
      <c r="AI1318" s="101"/>
      <c r="AJ1318" s="101"/>
      <c r="AK1318" s="101"/>
      <c r="AM1318" s="195"/>
      <c r="AT1318" s="101"/>
      <c r="AU1318" s="101"/>
      <c r="AV1318" s="101"/>
      <c r="AW1318" s="101"/>
      <c r="AX1318" s="101"/>
      <c r="AY1318" s="101"/>
      <c r="AZ1318" s="101"/>
      <c r="BA1318" s="101"/>
    </row>
    <row r="1319" spans="33:70">
      <c r="AG1319" s="101"/>
      <c r="AH1319" s="101"/>
      <c r="AI1319" s="101"/>
      <c r="AJ1319" s="101"/>
      <c r="AK1319" s="101"/>
      <c r="AM1319" s="195"/>
      <c r="AT1319" s="101"/>
      <c r="AU1319" s="101"/>
      <c r="AV1319" s="101"/>
      <c r="AW1319" s="101"/>
      <c r="AX1319" s="101"/>
      <c r="AY1319" s="101"/>
      <c r="AZ1319" s="101"/>
      <c r="BA1319" s="101"/>
    </row>
    <row r="1320" spans="33:70">
      <c r="AG1320" s="101"/>
      <c r="AH1320" s="101"/>
      <c r="AI1320" s="101"/>
      <c r="AJ1320" s="101"/>
      <c r="AK1320" s="101"/>
      <c r="AM1320" s="195"/>
      <c r="AT1320" s="101"/>
      <c r="AU1320" s="101"/>
      <c r="AV1320" s="101"/>
      <c r="AW1320" s="101"/>
      <c r="AX1320" s="101"/>
      <c r="AY1320" s="101"/>
      <c r="AZ1320" s="101"/>
      <c r="BA1320" s="101"/>
    </row>
    <row r="1321" spans="33:70">
      <c r="AG1321" s="101"/>
      <c r="AH1321" s="101"/>
      <c r="AI1321" s="101"/>
      <c r="AJ1321" s="101"/>
      <c r="AK1321" s="101"/>
      <c r="AM1321" s="195"/>
      <c r="AT1321" s="101"/>
      <c r="AU1321" s="101"/>
      <c r="AV1321" s="101"/>
      <c r="AW1321" s="101"/>
      <c r="AX1321" s="101"/>
      <c r="AY1321" s="101"/>
      <c r="AZ1321" s="101"/>
      <c r="BA1321" s="101"/>
      <c r="BB1321" s="101"/>
      <c r="BC1321" s="101"/>
      <c r="BD1321" s="101"/>
      <c r="BE1321" s="101"/>
      <c r="BF1321" s="101"/>
      <c r="BG1321" s="101"/>
      <c r="BH1321" s="101"/>
      <c r="BI1321" s="101"/>
      <c r="BJ1321" s="101"/>
      <c r="BK1321" s="101"/>
      <c r="BL1321" s="101"/>
      <c r="BM1321" s="101"/>
      <c r="BN1321" s="101"/>
      <c r="BO1321" s="101"/>
      <c r="BP1321" s="101"/>
      <c r="BQ1321" s="101"/>
      <c r="BR1321" s="101"/>
    </row>
    <row r="1322" spans="33:70">
      <c r="AG1322" s="101"/>
      <c r="AH1322" s="101"/>
      <c r="AI1322" s="101"/>
      <c r="AJ1322" s="101"/>
      <c r="AK1322" s="101"/>
      <c r="AM1322" s="195"/>
      <c r="AT1322" s="101"/>
      <c r="AU1322" s="101"/>
      <c r="AV1322" s="101"/>
      <c r="AW1322" s="101"/>
      <c r="AX1322" s="101"/>
      <c r="AY1322" s="101"/>
      <c r="AZ1322" s="101"/>
      <c r="BA1322" s="101"/>
    </row>
    <row r="1323" spans="33:70">
      <c r="AG1323" s="101"/>
      <c r="AH1323" s="101"/>
      <c r="AI1323" s="101"/>
      <c r="AJ1323" s="101"/>
      <c r="AK1323" s="101"/>
      <c r="AM1323" s="195"/>
      <c r="AT1323" s="101"/>
      <c r="AU1323" s="101"/>
      <c r="AV1323" s="101"/>
      <c r="AW1323" s="101"/>
      <c r="AX1323" s="101"/>
      <c r="AY1323" s="101"/>
      <c r="AZ1323" s="101"/>
      <c r="BA1323" s="101"/>
      <c r="BB1323" s="101"/>
      <c r="BC1323" s="101"/>
      <c r="BD1323" s="101"/>
      <c r="BE1323" s="101"/>
      <c r="BF1323" s="101"/>
      <c r="BG1323" s="101"/>
      <c r="BH1323" s="101"/>
      <c r="BI1323" s="101"/>
      <c r="BJ1323" s="101"/>
      <c r="BK1323" s="101"/>
      <c r="BL1323" s="101"/>
      <c r="BM1323" s="101"/>
      <c r="BN1323" s="101"/>
      <c r="BO1323" s="101"/>
      <c r="BP1323" s="101"/>
      <c r="BQ1323" s="101"/>
      <c r="BR1323" s="101"/>
    </row>
    <row r="1324" spans="33:70">
      <c r="AG1324" s="101"/>
      <c r="AH1324" s="101"/>
      <c r="AI1324" s="101"/>
      <c r="AJ1324" s="101"/>
      <c r="AK1324" s="101"/>
      <c r="AM1324" s="195"/>
      <c r="AT1324" s="101"/>
      <c r="AU1324" s="101"/>
      <c r="AV1324" s="101"/>
      <c r="AW1324" s="101"/>
      <c r="AX1324" s="101"/>
      <c r="AY1324" s="101"/>
      <c r="AZ1324" s="101"/>
      <c r="BA1324" s="101"/>
    </row>
    <row r="1325" spans="33:70">
      <c r="AG1325" s="101"/>
      <c r="AH1325" s="101"/>
      <c r="AI1325" s="101"/>
      <c r="AJ1325" s="101"/>
      <c r="AK1325" s="101"/>
      <c r="AM1325" s="195"/>
      <c r="AT1325" s="101"/>
      <c r="AU1325" s="101"/>
      <c r="AV1325" s="101"/>
      <c r="AW1325" s="101"/>
      <c r="AX1325" s="101"/>
      <c r="AY1325" s="101"/>
      <c r="AZ1325" s="101"/>
      <c r="BA1325" s="101"/>
      <c r="BB1325" s="101"/>
      <c r="BC1325" s="101"/>
      <c r="BD1325" s="101"/>
      <c r="BE1325" s="101"/>
      <c r="BF1325" s="101"/>
      <c r="BG1325" s="101"/>
      <c r="BH1325" s="101"/>
      <c r="BI1325" s="101"/>
      <c r="BJ1325" s="101"/>
      <c r="BK1325" s="101"/>
      <c r="BL1325" s="101"/>
      <c r="BM1325" s="101"/>
      <c r="BN1325" s="101"/>
      <c r="BO1325" s="101"/>
      <c r="BP1325" s="101"/>
      <c r="BQ1325" s="101"/>
      <c r="BR1325" s="101"/>
    </row>
    <row r="1326" spans="33:70">
      <c r="AG1326" s="101"/>
      <c r="AH1326" s="101"/>
      <c r="AI1326" s="101"/>
      <c r="AJ1326" s="101"/>
      <c r="AK1326" s="101"/>
      <c r="AM1326" s="195"/>
      <c r="AT1326" s="101"/>
      <c r="AU1326" s="101"/>
      <c r="AV1326" s="101"/>
      <c r="AW1326" s="101"/>
      <c r="AX1326" s="101"/>
      <c r="AY1326" s="101"/>
      <c r="AZ1326" s="101"/>
      <c r="BA1326" s="101"/>
    </row>
    <row r="1327" spans="33:70">
      <c r="AG1327" s="101"/>
      <c r="AH1327" s="101"/>
      <c r="AI1327" s="101"/>
      <c r="AJ1327" s="101"/>
      <c r="AK1327" s="101"/>
      <c r="AM1327" s="195"/>
      <c r="AT1327" s="101"/>
      <c r="AU1327" s="101"/>
      <c r="AV1327" s="101"/>
      <c r="AW1327" s="101"/>
      <c r="AX1327" s="101"/>
      <c r="AY1327" s="101"/>
      <c r="AZ1327" s="101"/>
      <c r="BA1327" s="101"/>
    </row>
    <row r="1328" spans="33:70">
      <c r="AG1328" s="101"/>
      <c r="AH1328" s="101"/>
      <c r="AI1328" s="101"/>
      <c r="AJ1328" s="101"/>
      <c r="AK1328" s="101"/>
      <c r="AM1328" s="195"/>
      <c r="AT1328" s="101"/>
      <c r="AU1328" s="101"/>
      <c r="AV1328" s="101"/>
      <c r="AW1328" s="101"/>
      <c r="AX1328" s="101"/>
      <c r="AY1328" s="101"/>
      <c r="AZ1328" s="101"/>
      <c r="BA1328" s="101"/>
    </row>
    <row r="1329" spans="33:70">
      <c r="AG1329" s="101"/>
      <c r="AH1329" s="101"/>
      <c r="AI1329" s="101"/>
      <c r="AJ1329" s="101"/>
      <c r="AK1329" s="101"/>
      <c r="AM1329" s="195"/>
      <c r="AT1329" s="101"/>
      <c r="AU1329" s="101"/>
      <c r="AV1329" s="101"/>
      <c r="AW1329" s="101"/>
      <c r="AX1329" s="101"/>
      <c r="AY1329" s="101"/>
      <c r="AZ1329" s="101"/>
      <c r="BA1329" s="101"/>
    </row>
    <row r="1330" spans="33:70">
      <c r="AG1330" s="101"/>
      <c r="AH1330" s="101"/>
      <c r="AI1330" s="101"/>
      <c r="AJ1330" s="101"/>
      <c r="AK1330" s="101"/>
      <c r="AM1330" s="195"/>
      <c r="AT1330" s="101"/>
      <c r="AU1330" s="101"/>
      <c r="AV1330" s="101"/>
      <c r="AW1330" s="101"/>
      <c r="AX1330" s="101"/>
      <c r="AY1330" s="101"/>
      <c r="AZ1330" s="101"/>
      <c r="BA1330" s="101"/>
    </row>
    <row r="1331" spans="33:70">
      <c r="AG1331" s="101"/>
      <c r="AH1331" s="101"/>
      <c r="AI1331" s="101"/>
      <c r="AJ1331" s="101"/>
      <c r="AK1331" s="101"/>
      <c r="AM1331" s="195"/>
      <c r="AT1331" s="101"/>
      <c r="AU1331" s="101"/>
      <c r="AV1331" s="101"/>
      <c r="AW1331" s="101"/>
      <c r="AX1331" s="101"/>
      <c r="AY1331" s="101"/>
      <c r="AZ1331" s="101"/>
      <c r="BA1331" s="101"/>
    </row>
    <row r="1332" spans="33:70">
      <c r="AG1332" s="101"/>
      <c r="AH1332" s="101"/>
      <c r="AI1332" s="101"/>
      <c r="AJ1332" s="101"/>
      <c r="AK1332" s="101"/>
      <c r="AM1332" s="195"/>
      <c r="AT1332" s="101"/>
      <c r="AU1332" s="101"/>
      <c r="AV1332" s="101"/>
      <c r="AW1332" s="101"/>
      <c r="AX1332" s="101"/>
      <c r="AY1332" s="101"/>
      <c r="AZ1332" s="101"/>
      <c r="BA1332" s="101"/>
    </row>
    <row r="1333" spans="33:70">
      <c r="AG1333" s="101"/>
      <c r="AH1333" s="101"/>
      <c r="AI1333" s="101"/>
      <c r="AJ1333" s="101"/>
      <c r="AK1333" s="101"/>
      <c r="AM1333" s="195"/>
      <c r="AT1333" s="101"/>
      <c r="AU1333" s="101"/>
      <c r="AV1333" s="101"/>
      <c r="AW1333" s="101"/>
      <c r="AX1333" s="101"/>
      <c r="AY1333" s="101"/>
      <c r="AZ1333" s="101"/>
      <c r="BA1333" s="101"/>
    </row>
    <row r="1334" spans="33:70">
      <c r="AG1334" s="101"/>
      <c r="AH1334" s="101"/>
      <c r="AI1334" s="101"/>
      <c r="AJ1334" s="101"/>
      <c r="AK1334" s="101"/>
      <c r="AM1334" s="195"/>
      <c r="AT1334" s="101"/>
      <c r="AU1334" s="101"/>
      <c r="AV1334" s="101"/>
      <c r="AW1334" s="101"/>
      <c r="AX1334" s="101"/>
      <c r="AY1334" s="101"/>
      <c r="AZ1334" s="101"/>
      <c r="BA1334" s="101"/>
      <c r="BB1334" s="101"/>
    </row>
    <row r="1335" spans="33:70">
      <c r="AG1335" s="101"/>
      <c r="AH1335" s="101"/>
      <c r="AI1335" s="101"/>
      <c r="AJ1335" s="101"/>
      <c r="AK1335" s="101"/>
      <c r="AM1335" s="195"/>
      <c r="AT1335" s="101"/>
      <c r="AU1335" s="101"/>
      <c r="AV1335" s="101"/>
      <c r="AW1335" s="101"/>
      <c r="AX1335" s="101"/>
      <c r="AY1335" s="101"/>
      <c r="AZ1335" s="101"/>
      <c r="BA1335" s="101"/>
    </row>
    <row r="1336" spans="33:70">
      <c r="AG1336" s="101"/>
      <c r="AH1336" s="101"/>
      <c r="AI1336" s="101"/>
      <c r="AJ1336" s="101"/>
      <c r="AK1336" s="101"/>
      <c r="AM1336" s="195"/>
      <c r="AT1336" s="101"/>
      <c r="AU1336" s="101"/>
      <c r="AV1336" s="101"/>
      <c r="AW1336" s="101"/>
      <c r="AX1336" s="101"/>
      <c r="AY1336" s="101"/>
      <c r="AZ1336" s="101"/>
      <c r="BA1336" s="101"/>
      <c r="BB1336" s="101"/>
    </row>
    <row r="1337" spans="33:70">
      <c r="AG1337" s="101"/>
      <c r="AH1337" s="101"/>
      <c r="AI1337" s="101"/>
      <c r="AJ1337" s="101"/>
      <c r="AK1337" s="101"/>
      <c r="AM1337" s="195"/>
      <c r="AT1337" s="101"/>
      <c r="AU1337" s="101"/>
      <c r="AV1337" s="101"/>
      <c r="AW1337" s="101"/>
      <c r="AX1337" s="101"/>
      <c r="AY1337" s="101"/>
      <c r="AZ1337" s="101"/>
      <c r="BA1337" s="101"/>
      <c r="BB1337" s="101"/>
      <c r="BC1337" s="101"/>
      <c r="BD1337" s="101"/>
      <c r="BE1337" s="101"/>
      <c r="BF1337" s="101"/>
      <c r="BG1337" s="101"/>
      <c r="BH1337" s="101"/>
      <c r="BI1337" s="101"/>
      <c r="BJ1337" s="101"/>
      <c r="BK1337" s="101"/>
      <c r="BL1337" s="101"/>
      <c r="BM1337" s="101"/>
      <c r="BN1337" s="101"/>
      <c r="BO1337" s="101"/>
      <c r="BP1337" s="101"/>
      <c r="BQ1337" s="101"/>
      <c r="BR1337" s="101"/>
    </row>
    <row r="1338" spans="33:70">
      <c r="AG1338" s="101"/>
      <c r="AH1338" s="101"/>
      <c r="AI1338" s="101"/>
      <c r="AJ1338" s="101"/>
      <c r="AK1338" s="101"/>
      <c r="AM1338" s="195"/>
      <c r="AT1338" s="101"/>
      <c r="AU1338" s="101"/>
      <c r="AV1338" s="101"/>
      <c r="AW1338" s="101"/>
      <c r="AX1338" s="101"/>
      <c r="AY1338" s="101"/>
      <c r="AZ1338" s="101"/>
      <c r="BA1338" s="101"/>
    </row>
    <row r="1339" spans="33:70">
      <c r="AG1339" s="101"/>
      <c r="AH1339" s="101"/>
      <c r="AI1339" s="101"/>
      <c r="AJ1339" s="101"/>
      <c r="AK1339" s="101"/>
      <c r="AM1339" s="195"/>
      <c r="AT1339" s="101"/>
      <c r="AU1339" s="101"/>
      <c r="AV1339" s="101"/>
      <c r="AW1339" s="101"/>
      <c r="AX1339" s="101"/>
      <c r="AY1339" s="101"/>
      <c r="AZ1339" s="101"/>
      <c r="BA1339" s="101"/>
    </row>
    <row r="1340" spans="33:70">
      <c r="AG1340" s="101"/>
      <c r="AH1340" s="101"/>
      <c r="AI1340" s="101"/>
      <c r="AJ1340" s="101"/>
      <c r="AK1340" s="101"/>
      <c r="AM1340" s="195"/>
      <c r="AT1340" s="101"/>
      <c r="AU1340" s="101"/>
      <c r="AV1340" s="101"/>
      <c r="AW1340" s="101"/>
      <c r="AX1340" s="101"/>
      <c r="AY1340" s="101"/>
      <c r="AZ1340" s="101"/>
      <c r="BA1340" s="101"/>
    </row>
    <row r="1341" spans="33:70">
      <c r="AG1341" s="101"/>
      <c r="AH1341" s="101"/>
      <c r="AI1341" s="101"/>
      <c r="AJ1341" s="101"/>
      <c r="AK1341" s="101"/>
      <c r="AM1341" s="195"/>
      <c r="AT1341" s="101"/>
      <c r="AU1341" s="101"/>
      <c r="AV1341" s="101"/>
      <c r="AW1341" s="101"/>
      <c r="AX1341" s="101"/>
      <c r="AY1341" s="101"/>
      <c r="AZ1341" s="101"/>
      <c r="BA1341" s="101"/>
    </row>
    <row r="1342" spans="33:70">
      <c r="AG1342" s="101"/>
      <c r="AH1342" s="101"/>
      <c r="AI1342" s="101"/>
      <c r="AJ1342" s="101"/>
      <c r="AK1342" s="101"/>
      <c r="AM1342" s="195"/>
      <c r="AT1342" s="101"/>
      <c r="AU1342" s="101"/>
      <c r="AV1342" s="101"/>
      <c r="AW1342" s="101"/>
      <c r="AX1342" s="101"/>
      <c r="AY1342" s="101"/>
      <c r="AZ1342" s="101"/>
      <c r="BA1342" s="101"/>
    </row>
    <row r="1343" spans="33:70">
      <c r="AG1343" s="101"/>
      <c r="AH1343" s="101"/>
      <c r="AI1343" s="101"/>
      <c r="AJ1343" s="101"/>
      <c r="AK1343" s="101"/>
      <c r="AM1343" s="195"/>
      <c r="AT1343" s="101"/>
      <c r="AU1343" s="101"/>
      <c r="AV1343" s="101"/>
      <c r="AW1343" s="101"/>
      <c r="AX1343" s="101"/>
      <c r="AY1343" s="101"/>
      <c r="AZ1343" s="101"/>
      <c r="BA1343" s="101"/>
    </row>
    <row r="1344" spans="33:70">
      <c r="AG1344" s="101"/>
      <c r="AH1344" s="101"/>
      <c r="AI1344" s="101"/>
      <c r="AJ1344" s="101"/>
      <c r="AK1344" s="101"/>
      <c r="AM1344" s="195"/>
      <c r="AT1344" s="101"/>
      <c r="AU1344" s="101"/>
      <c r="AV1344" s="101"/>
      <c r="AW1344" s="101"/>
      <c r="AX1344" s="101"/>
      <c r="AY1344" s="101"/>
      <c r="AZ1344" s="101"/>
      <c r="BA1344" s="101"/>
      <c r="BB1344" s="101"/>
      <c r="BC1344" s="101"/>
      <c r="BD1344" s="101"/>
      <c r="BE1344" s="101"/>
      <c r="BF1344" s="101"/>
      <c r="BG1344" s="101"/>
      <c r="BH1344" s="101"/>
      <c r="BI1344" s="101"/>
      <c r="BJ1344" s="101"/>
      <c r="BK1344" s="101"/>
      <c r="BL1344" s="101"/>
      <c r="BM1344" s="101"/>
      <c r="BN1344" s="101"/>
      <c r="BO1344" s="101"/>
      <c r="BP1344" s="101"/>
      <c r="BQ1344" s="101"/>
      <c r="BR1344" s="101"/>
    </row>
    <row r="1345" spans="33:70">
      <c r="AG1345" s="101"/>
      <c r="AH1345" s="101"/>
      <c r="AI1345" s="101"/>
      <c r="AJ1345" s="101"/>
      <c r="AK1345" s="101"/>
      <c r="AM1345" s="195"/>
      <c r="AT1345" s="101"/>
      <c r="AU1345" s="101"/>
      <c r="AV1345" s="101"/>
      <c r="AW1345" s="101"/>
      <c r="AX1345" s="101"/>
      <c r="AY1345" s="101"/>
      <c r="AZ1345" s="101"/>
      <c r="BA1345" s="101"/>
      <c r="BB1345" s="101"/>
      <c r="BD1345" s="101"/>
    </row>
    <row r="1346" spans="33:70">
      <c r="AG1346" s="101"/>
      <c r="AH1346" s="101"/>
      <c r="AI1346" s="101"/>
      <c r="AJ1346" s="101"/>
      <c r="AK1346" s="101"/>
      <c r="AM1346" s="195"/>
      <c r="AT1346" s="101"/>
      <c r="AU1346" s="101"/>
      <c r="AV1346" s="101"/>
      <c r="AW1346" s="101"/>
      <c r="AX1346" s="101"/>
      <c r="AY1346" s="101"/>
      <c r="AZ1346" s="101"/>
      <c r="BA1346" s="101"/>
      <c r="BB1346" s="101"/>
      <c r="BC1346" s="101"/>
      <c r="BD1346" s="101"/>
      <c r="BE1346" s="101"/>
      <c r="BF1346" s="101"/>
      <c r="BG1346" s="101"/>
      <c r="BH1346" s="101"/>
      <c r="BI1346" s="101"/>
      <c r="BJ1346" s="101"/>
      <c r="BK1346" s="101"/>
      <c r="BL1346" s="101"/>
      <c r="BM1346" s="101"/>
      <c r="BN1346" s="101"/>
      <c r="BO1346" s="101"/>
      <c r="BP1346" s="101"/>
      <c r="BQ1346" s="101"/>
      <c r="BR1346" s="101"/>
    </row>
    <row r="1347" spans="33:70">
      <c r="AG1347" s="101"/>
      <c r="AH1347" s="101"/>
      <c r="AI1347" s="101"/>
      <c r="AJ1347" s="101"/>
      <c r="AK1347" s="101"/>
      <c r="AM1347" s="195"/>
      <c r="AT1347" s="101"/>
      <c r="AU1347" s="101"/>
      <c r="AV1347" s="101"/>
      <c r="AW1347" s="101"/>
      <c r="AX1347" s="101"/>
      <c r="AY1347" s="101"/>
      <c r="AZ1347" s="101"/>
      <c r="BA1347" s="101"/>
      <c r="BB1347" s="101"/>
      <c r="BC1347" s="101"/>
      <c r="BD1347" s="101"/>
      <c r="BE1347" s="101"/>
      <c r="BF1347" s="101"/>
      <c r="BG1347" s="101"/>
      <c r="BH1347" s="101"/>
      <c r="BI1347" s="101"/>
      <c r="BJ1347" s="101"/>
      <c r="BK1347" s="101"/>
      <c r="BL1347" s="101"/>
      <c r="BM1347" s="101"/>
      <c r="BN1347" s="101"/>
      <c r="BO1347" s="101"/>
      <c r="BP1347" s="101"/>
      <c r="BQ1347" s="101"/>
      <c r="BR1347" s="101"/>
    </row>
    <row r="1348" spans="33:70">
      <c r="AG1348" s="101"/>
      <c r="AH1348" s="101"/>
      <c r="AI1348" s="101"/>
      <c r="AJ1348" s="101"/>
      <c r="AK1348" s="101"/>
      <c r="AM1348" s="195"/>
      <c r="AT1348" s="101"/>
      <c r="AU1348" s="101"/>
      <c r="AV1348" s="101"/>
      <c r="AW1348" s="101"/>
      <c r="AX1348" s="101"/>
      <c r="AY1348" s="101"/>
      <c r="AZ1348" s="101"/>
      <c r="BA1348" s="101"/>
    </row>
    <row r="1349" spans="33:70">
      <c r="AG1349" s="101"/>
      <c r="AH1349" s="101"/>
      <c r="AI1349" s="101"/>
      <c r="AJ1349" s="101"/>
      <c r="AK1349" s="101"/>
      <c r="AM1349" s="195"/>
      <c r="AT1349" s="101"/>
      <c r="AU1349" s="101"/>
      <c r="AV1349" s="101"/>
      <c r="AW1349" s="101"/>
      <c r="AX1349" s="101"/>
      <c r="AY1349" s="101"/>
      <c r="AZ1349" s="101"/>
      <c r="BA1349" s="101"/>
    </row>
    <row r="1350" spans="33:70">
      <c r="AG1350" s="101"/>
      <c r="AH1350" s="101"/>
      <c r="AI1350" s="101"/>
      <c r="AJ1350" s="101"/>
      <c r="AK1350" s="101"/>
      <c r="AM1350" s="195"/>
      <c r="AT1350" s="101"/>
      <c r="AU1350" s="101"/>
      <c r="AV1350" s="101"/>
      <c r="AW1350" s="101"/>
      <c r="AX1350" s="101"/>
      <c r="AY1350" s="101"/>
      <c r="AZ1350" s="101"/>
      <c r="BA1350" s="101"/>
    </row>
    <row r="1351" spans="33:70">
      <c r="AG1351" s="101"/>
      <c r="AH1351" s="101"/>
      <c r="AI1351" s="101"/>
      <c r="AJ1351" s="101"/>
      <c r="AK1351" s="101"/>
      <c r="AM1351" s="195"/>
      <c r="AT1351" s="101"/>
      <c r="AU1351" s="101"/>
      <c r="AV1351" s="101"/>
      <c r="AW1351" s="101"/>
      <c r="AX1351" s="101"/>
      <c r="AY1351" s="101"/>
      <c r="AZ1351" s="101"/>
      <c r="BA1351" s="101"/>
    </row>
    <row r="1352" spans="33:70">
      <c r="AG1352" s="101"/>
      <c r="AH1352" s="101"/>
      <c r="AI1352" s="101"/>
      <c r="AJ1352" s="101"/>
      <c r="AK1352" s="101"/>
      <c r="AM1352" s="195"/>
      <c r="AT1352" s="101"/>
      <c r="AU1352" s="101"/>
      <c r="AV1352" s="101"/>
      <c r="AW1352" s="101"/>
      <c r="AX1352" s="101"/>
      <c r="AY1352" s="101"/>
      <c r="AZ1352" s="101"/>
      <c r="BA1352" s="101"/>
    </row>
    <row r="1353" spans="33:70">
      <c r="AG1353" s="101"/>
      <c r="AH1353" s="101"/>
      <c r="AI1353" s="101"/>
      <c r="AJ1353" s="101"/>
      <c r="AK1353" s="101"/>
      <c r="AM1353" s="195"/>
      <c r="AT1353" s="101"/>
      <c r="AU1353" s="101"/>
      <c r="AV1353" s="101"/>
      <c r="AW1353" s="101"/>
      <c r="AX1353" s="101"/>
      <c r="AY1353" s="101"/>
      <c r="AZ1353" s="101"/>
      <c r="BA1353" s="101"/>
    </row>
    <row r="1354" spans="33:70">
      <c r="AG1354" s="101"/>
      <c r="AH1354" s="101"/>
      <c r="AI1354" s="101"/>
      <c r="AJ1354" s="101"/>
      <c r="AK1354" s="101"/>
      <c r="AM1354" s="195"/>
      <c r="AT1354" s="101"/>
      <c r="AU1354" s="101"/>
      <c r="AV1354" s="101"/>
      <c r="AW1354" s="101"/>
      <c r="AX1354" s="101"/>
      <c r="AY1354" s="101"/>
      <c r="AZ1354" s="101"/>
      <c r="BA1354" s="101"/>
    </row>
    <row r="1355" spans="33:70">
      <c r="AG1355" s="101"/>
      <c r="AH1355" s="101"/>
      <c r="AI1355" s="101"/>
      <c r="AJ1355" s="101"/>
      <c r="AK1355" s="101"/>
      <c r="AM1355" s="195"/>
      <c r="AT1355" s="101"/>
      <c r="AU1355" s="101"/>
      <c r="AV1355" s="101"/>
      <c r="AW1355" s="101"/>
      <c r="AX1355" s="101"/>
      <c r="AY1355" s="101"/>
      <c r="AZ1355" s="101"/>
      <c r="BA1355" s="101"/>
    </row>
    <row r="1356" spans="33:70">
      <c r="AG1356" s="101"/>
      <c r="AH1356" s="101"/>
      <c r="AI1356" s="101"/>
      <c r="AJ1356" s="101"/>
      <c r="AK1356" s="101"/>
      <c r="AM1356" s="195"/>
      <c r="AT1356" s="101"/>
      <c r="AU1356" s="101"/>
      <c r="AV1356" s="101"/>
      <c r="AW1356" s="101"/>
      <c r="AX1356" s="101"/>
      <c r="AY1356" s="101"/>
      <c r="AZ1356" s="101"/>
      <c r="BA1356" s="101"/>
    </row>
    <row r="1357" spans="33:70">
      <c r="AG1357" s="101"/>
      <c r="AH1357" s="101"/>
      <c r="AI1357" s="101"/>
      <c r="AJ1357" s="101"/>
      <c r="AK1357" s="101"/>
      <c r="AM1357" s="195"/>
      <c r="AT1357" s="101"/>
      <c r="AU1357" s="101"/>
      <c r="AV1357" s="101"/>
      <c r="AW1357" s="101"/>
      <c r="AX1357" s="101"/>
      <c r="AY1357" s="101"/>
      <c r="AZ1357" s="101"/>
      <c r="BA1357" s="101"/>
    </row>
    <row r="1358" spans="33:70">
      <c r="AG1358" s="101"/>
      <c r="AH1358" s="101"/>
      <c r="AI1358" s="101"/>
      <c r="AJ1358" s="101"/>
      <c r="AK1358" s="101"/>
      <c r="AM1358" s="195"/>
      <c r="AT1358" s="101"/>
      <c r="AU1358" s="101"/>
      <c r="AV1358" s="101"/>
      <c r="AW1358" s="101"/>
      <c r="AX1358" s="101"/>
      <c r="AY1358" s="101"/>
      <c r="AZ1358" s="101"/>
      <c r="BA1358" s="101"/>
    </row>
    <row r="1359" spans="33:70">
      <c r="AG1359" s="101"/>
      <c r="AH1359" s="101"/>
      <c r="AI1359" s="101"/>
      <c r="AJ1359" s="101"/>
      <c r="AK1359" s="101"/>
      <c r="AM1359" s="195"/>
      <c r="AT1359" s="101"/>
      <c r="AU1359" s="101"/>
      <c r="AV1359" s="101"/>
      <c r="AW1359" s="101"/>
      <c r="AX1359" s="101"/>
      <c r="AY1359" s="101"/>
      <c r="AZ1359" s="101"/>
      <c r="BA1359" s="101"/>
    </row>
    <row r="1360" spans="33:70">
      <c r="AG1360" s="101"/>
      <c r="AH1360" s="101"/>
      <c r="AI1360" s="101"/>
      <c r="AJ1360" s="101"/>
      <c r="AK1360" s="101"/>
      <c r="AM1360" s="195"/>
      <c r="AT1360" s="101"/>
      <c r="AU1360" s="101"/>
      <c r="AV1360" s="101"/>
      <c r="AW1360" s="101"/>
      <c r="AX1360" s="101"/>
      <c r="AY1360" s="101"/>
      <c r="AZ1360" s="101"/>
      <c r="BA1360" s="101"/>
    </row>
    <row r="1361" spans="33:70">
      <c r="AG1361" s="101"/>
      <c r="AH1361" s="101"/>
      <c r="AI1361" s="101"/>
      <c r="AJ1361" s="101"/>
      <c r="AK1361" s="101"/>
      <c r="AM1361" s="195"/>
      <c r="AT1361" s="101"/>
      <c r="AU1361" s="101"/>
      <c r="AV1361" s="101"/>
      <c r="AW1361" s="101"/>
      <c r="AX1361" s="101"/>
      <c r="AY1361" s="101"/>
      <c r="AZ1361" s="101"/>
      <c r="BA1361" s="101"/>
    </row>
    <row r="1362" spans="33:70">
      <c r="AG1362" s="101"/>
      <c r="AH1362" s="101"/>
      <c r="AI1362" s="101"/>
      <c r="AJ1362" s="101"/>
      <c r="AK1362" s="101"/>
      <c r="AM1362" s="195"/>
      <c r="AT1362" s="101"/>
      <c r="AU1362" s="101"/>
      <c r="AV1362" s="101"/>
      <c r="AW1362" s="101"/>
      <c r="AX1362" s="101"/>
      <c r="AY1362" s="101"/>
      <c r="AZ1362" s="101"/>
      <c r="BA1362" s="101"/>
    </row>
    <row r="1363" spans="33:70">
      <c r="AG1363" s="101"/>
      <c r="AH1363" s="101"/>
      <c r="AI1363" s="101"/>
      <c r="AJ1363" s="101"/>
      <c r="AK1363" s="101"/>
      <c r="AM1363" s="195"/>
      <c r="AT1363" s="101"/>
      <c r="AU1363" s="101"/>
      <c r="AV1363" s="101"/>
      <c r="AW1363" s="101"/>
      <c r="AX1363" s="101"/>
      <c r="AY1363" s="101"/>
      <c r="AZ1363" s="101"/>
      <c r="BA1363" s="101"/>
    </row>
    <row r="1364" spans="33:70">
      <c r="AG1364" s="101"/>
      <c r="AH1364" s="101"/>
      <c r="AI1364" s="101"/>
      <c r="AJ1364" s="101"/>
      <c r="AK1364" s="101"/>
      <c r="AM1364" s="195"/>
      <c r="AT1364" s="101"/>
      <c r="AU1364" s="101"/>
      <c r="AV1364" s="101"/>
      <c r="AW1364" s="101"/>
      <c r="AX1364" s="101"/>
      <c r="AY1364" s="101"/>
      <c r="AZ1364" s="101"/>
      <c r="BA1364" s="101"/>
    </row>
    <row r="1365" spans="33:70">
      <c r="AG1365" s="101"/>
      <c r="AH1365" s="101"/>
      <c r="AI1365" s="101"/>
      <c r="AJ1365" s="101"/>
      <c r="AK1365" s="101"/>
      <c r="AM1365" s="195"/>
      <c r="AT1365" s="101"/>
      <c r="AU1365" s="101"/>
      <c r="AV1365" s="101"/>
      <c r="AW1365" s="101"/>
      <c r="AX1365" s="101"/>
      <c r="AY1365" s="101"/>
      <c r="AZ1365" s="101"/>
      <c r="BA1365" s="101"/>
      <c r="BB1365" s="101"/>
      <c r="BD1365" s="101"/>
      <c r="BE1365" s="101"/>
      <c r="BF1365" s="101"/>
      <c r="BG1365" s="101"/>
      <c r="BH1365" s="101"/>
      <c r="BI1365" s="101"/>
      <c r="BJ1365" s="101"/>
      <c r="BK1365" s="101"/>
      <c r="BL1365" s="101"/>
      <c r="BM1365" s="101"/>
      <c r="BN1365" s="101"/>
      <c r="BO1365" s="101"/>
      <c r="BP1365" s="101"/>
      <c r="BQ1365" s="101"/>
      <c r="BR1365" s="101"/>
    </row>
    <row r="1366" spans="33:70">
      <c r="AG1366" s="101"/>
      <c r="AH1366" s="101"/>
      <c r="AI1366" s="101"/>
      <c r="AJ1366" s="101"/>
      <c r="AK1366" s="101"/>
      <c r="AM1366" s="195"/>
      <c r="AT1366" s="101"/>
      <c r="AU1366" s="101"/>
      <c r="AV1366" s="101"/>
      <c r="AW1366" s="101"/>
      <c r="AX1366" s="101"/>
      <c r="AY1366" s="101"/>
      <c r="AZ1366" s="101"/>
      <c r="BA1366" s="101"/>
    </row>
    <row r="1367" spans="33:70">
      <c r="AG1367" s="101"/>
      <c r="AH1367" s="101"/>
      <c r="AI1367" s="101"/>
      <c r="AJ1367" s="101"/>
      <c r="AK1367" s="101"/>
      <c r="AM1367" s="195"/>
      <c r="AT1367" s="101"/>
      <c r="AU1367" s="101"/>
      <c r="AV1367" s="101"/>
      <c r="AW1367" s="101"/>
      <c r="AX1367" s="101"/>
      <c r="AY1367" s="101"/>
      <c r="AZ1367" s="101"/>
      <c r="BA1367" s="101"/>
    </row>
    <row r="1368" spans="33:70">
      <c r="AG1368" s="101"/>
      <c r="AH1368" s="101"/>
      <c r="AI1368" s="101"/>
      <c r="AJ1368" s="101"/>
      <c r="AK1368" s="101"/>
      <c r="AM1368" s="195"/>
      <c r="AT1368" s="101"/>
      <c r="AU1368" s="101"/>
      <c r="AV1368" s="101"/>
      <c r="AW1368" s="101"/>
      <c r="AX1368" s="101"/>
      <c r="AY1368" s="101"/>
      <c r="AZ1368" s="101"/>
      <c r="BA1368" s="101"/>
    </row>
    <row r="1369" spans="33:70">
      <c r="AG1369" s="101"/>
      <c r="AH1369" s="101"/>
      <c r="AI1369" s="101"/>
      <c r="AJ1369" s="101"/>
      <c r="AK1369" s="101"/>
      <c r="AM1369" s="195"/>
      <c r="AT1369" s="101"/>
      <c r="AU1369" s="101"/>
      <c r="AV1369" s="101"/>
      <c r="AW1369" s="101"/>
      <c r="AX1369" s="101"/>
      <c r="AY1369" s="101"/>
      <c r="AZ1369" s="101"/>
      <c r="BA1369" s="101"/>
      <c r="BB1369" s="101"/>
      <c r="BD1369" s="101"/>
    </row>
    <row r="1370" spans="33:70">
      <c r="AG1370" s="101"/>
      <c r="AH1370" s="101"/>
      <c r="AI1370" s="101"/>
      <c r="AJ1370" s="101"/>
      <c r="AK1370" s="101"/>
      <c r="AM1370" s="195"/>
      <c r="AT1370" s="101"/>
      <c r="AU1370" s="101"/>
      <c r="AV1370" s="101"/>
      <c r="AW1370" s="101"/>
      <c r="AX1370" s="101"/>
      <c r="AY1370" s="101"/>
      <c r="AZ1370" s="101"/>
      <c r="BA1370" s="101"/>
    </row>
    <row r="1371" spans="33:70">
      <c r="AG1371" s="101"/>
      <c r="AH1371" s="101"/>
      <c r="AI1371" s="101"/>
      <c r="AJ1371" s="101"/>
      <c r="AK1371" s="101"/>
      <c r="AM1371" s="195"/>
      <c r="AT1371" s="101"/>
      <c r="AU1371" s="101"/>
      <c r="AV1371" s="101"/>
      <c r="AW1371" s="101"/>
      <c r="AX1371" s="101"/>
      <c r="AY1371" s="101"/>
      <c r="AZ1371" s="101"/>
      <c r="BA1371" s="101"/>
      <c r="BB1371" s="101"/>
      <c r="BD1371" s="101"/>
      <c r="BE1371" s="101"/>
      <c r="BF1371" s="101"/>
      <c r="BG1371" s="101"/>
      <c r="BH1371" s="101"/>
      <c r="BI1371" s="101"/>
      <c r="BJ1371" s="101"/>
      <c r="BK1371" s="101"/>
      <c r="BL1371" s="101"/>
      <c r="BM1371" s="101"/>
      <c r="BN1371" s="101"/>
      <c r="BO1371" s="101"/>
      <c r="BP1371" s="101"/>
      <c r="BQ1371" s="101"/>
      <c r="BR1371" s="101"/>
    </row>
    <row r="1372" spans="33:70">
      <c r="AG1372" s="101"/>
      <c r="AH1372" s="101"/>
      <c r="AI1372" s="101"/>
      <c r="AJ1372" s="101"/>
      <c r="AK1372" s="101"/>
      <c r="AM1372" s="195"/>
      <c r="AT1372" s="101"/>
      <c r="AU1372" s="101"/>
      <c r="AV1372" s="101"/>
      <c r="AW1372" s="101"/>
      <c r="AX1372" s="101"/>
      <c r="AY1372" s="101"/>
      <c r="AZ1372" s="101"/>
      <c r="BA1372" s="101"/>
    </row>
    <row r="1373" spans="33:70">
      <c r="AG1373" s="101"/>
      <c r="AH1373" s="101"/>
      <c r="AI1373" s="101"/>
      <c r="AJ1373" s="101"/>
      <c r="AK1373" s="101"/>
      <c r="AM1373" s="195"/>
      <c r="AT1373" s="101"/>
      <c r="AU1373" s="101"/>
      <c r="AV1373" s="101"/>
      <c r="AW1373" s="101"/>
      <c r="AX1373" s="101"/>
      <c r="AY1373" s="101"/>
      <c r="AZ1373" s="101"/>
      <c r="BA1373" s="101"/>
    </row>
    <row r="1374" spans="33:70">
      <c r="AG1374" s="101"/>
      <c r="AH1374" s="101"/>
      <c r="AI1374" s="101"/>
      <c r="AJ1374" s="101"/>
      <c r="AK1374" s="101"/>
      <c r="AM1374" s="195"/>
      <c r="AT1374" s="101"/>
      <c r="AU1374" s="101"/>
      <c r="AV1374" s="101"/>
      <c r="AW1374" s="101"/>
      <c r="AX1374" s="101"/>
      <c r="AY1374" s="101"/>
      <c r="AZ1374" s="101"/>
      <c r="BA1374" s="101"/>
      <c r="BB1374" s="101"/>
    </row>
    <row r="1375" spans="33:70">
      <c r="AG1375" s="101"/>
      <c r="AH1375" s="101"/>
      <c r="AI1375" s="101"/>
      <c r="AJ1375" s="101"/>
      <c r="AK1375" s="101"/>
      <c r="AM1375" s="195"/>
      <c r="AT1375" s="101"/>
      <c r="AU1375" s="101"/>
      <c r="AV1375" s="101"/>
      <c r="AW1375" s="101"/>
      <c r="AX1375" s="101"/>
      <c r="AY1375" s="101"/>
      <c r="AZ1375" s="101"/>
      <c r="BA1375" s="101"/>
      <c r="BB1375" s="101"/>
    </row>
    <row r="1376" spans="33:70">
      <c r="AG1376" s="101"/>
      <c r="AH1376" s="101"/>
      <c r="AI1376" s="101"/>
      <c r="AJ1376" s="101"/>
      <c r="AK1376" s="101"/>
      <c r="AM1376" s="195"/>
      <c r="AT1376" s="101"/>
      <c r="AU1376" s="101"/>
      <c r="AV1376" s="101"/>
      <c r="AW1376" s="101"/>
      <c r="AX1376" s="101"/>
      <c r="AY1376" s="101"/>
      <c r="AZ1376" s="101"/>
      <c r="BA1376" s="101"/>
      <c r="BB1376" s="101"/>
      <c r="BC1376" s="101"/>
      <c r="BD1376" s="101"/>
      <c r="BE1376" s="101"/>
      <c r="BF1376" s="101"/>
      <c r="BG1376" s="101"/>
      <c r="BH1376" s="101"/>
      <c r="BI1376" s="101"/>
      <c r="BJ1376" s="101"/>
      <c r="BK1376" s="101"/>
      <c r="BL1376" s="101"/>
      <c r="BM1376" s="101"/>
      <c r="BN1376" s="101"/>
      <c r="BO1376" s="101"/>
      <c r="BP1376" s="101"/>
      <c r="BQ1376" s="101"/>
      <c r="BR1376" s="101"/>
    </row>
    <row r="1377" spans="33:70">
      <c r="AG1377" s="101"/>
      <c r="AH1377" s="101"/>
      <c r="AI1377" s="101"/>
      <c r="AJ1377" s="101"/>
      <c r="AK1377" s="101"/>
      <c r="AM1377" s="195"/>
      <c r="AT1377" s="101"/>
      <c r="AU1377" s="101"/>
      <c r="AV1377" s="101"/>
      <c r="AW1377" s="101"/>
      <c r="AX1377" s="101"/>
      <c r="AY1377" s="101"/>
      <c r="AZ1377" s="101"/>
      <c r="BA1377" s="101"/>
    </row>
    <row r="1378" spans="33:70">
      <c r="AG1378" s="101"/>
      <c r="AH1378" s="101"/>
      <c r="AI1378" s="101"/>
      <c r="AJ1378" s="101"/>
      <c r="AK1378" s="101"/>
      <c r="AM1378" s="195"/>
      <c r="AT1378" s="101"/>
      <c r="AU1378" s="101"/>
      <c r="AV1378" s="101"/>
      <c r="AW1378" s="101"/>
      <c r="AX1378" s="101"/>
      <c r="AY1378" s="101"/>
      <c r="AZ1378" s="101"/>
      <c r="BA1378" s="101"/>
    </row>
    <row r="1379" spans="33:70">
      <c r="AG1379" s="101"/>
      <c r="AH1379" s="101"/>
      <c r="AI1379" s="101"/>
      <c r="AJ1379" s="101"/>
      <c r="AK1379" s="101"/>
      <c r="AM1379" s="195"/>
      <c r="AT1379" s="101"/>
      <c r="AU1379" s="101"/>
      <c r="AV1379" s="101"/>
      <c r="AW1379" s="101"/>
      <c r="AX1379" s="101"/>
      <c r="AY1379" s="101"/>
      <c r="AZ1379" s="101"/>
      <c r="BA1379" s="101"/>
      <c r="BB1379" s="101"/>
      <c r="BD1379" s="101"/>
      <c r="BE1379" s="101"/>
      <c r="BF1379" s="101"/>
      <c r="BG1379" s="101"/>
      <c r="BH1379" s="101"/>
      <c r="BI1379" s="101"/>
      <c r="BJ1379" s="101"/>
      <c r="BK1379" s="101"/>
      <c r="BL1379" s="101"/>
      <c r="BM1379" s="101"/>
      <c r="BN1379" s="101"/>
      <c r="BO1379" s="101"/>
      <c r="BP1379" s="101"/>
      <c r="BQ1379" s="101"/>
      <c r="BR1379" s="101"/>
    </row>
    <row r="1380" spans="33:70">
      <c r="AG1380" s="101"/>
      <c r="AH1380" s="101"/>
      <c r="AI1380" s="101"/>
      <c r="AJ1380" s="101"/>
      <c r="AK1380" s="101"/>
      <c r="AM1380" s="195"/>
      <c r="AT1380" s="101"/>
      <c r="AU1380" s="101"/>
      <c r="AV1380" s="101"/>
      <c r="AW1380" s="101"/>
      <c r="AX1380" s="101"/>
      <c r="AY1380" s="101"/>
      <c r="AZ1380" s="101"/>
      <c r="BA1380" s="101"/>
      <c r="BB1380" s="101"/>
      <c r="BC1380" s="101"/>
      <c r="BD1380" s="101"/>
      <c r="BE1380" s="101"/>
      <c r="BF1380" s="101"/>
      <c r="BG1380" s="101"/>
      <c r="BH1380" s="101"/>
      <c r="BI1380" s="101"/>
      <c r="BJ1380" s="101"/>
      <c r="BK1380" s="101"/>
      <c r="BL1380" s="101"/>
      <c r="BM1380" s="101"/>
      <c r="BN1380" s="101"/>
      <c r="BO1380" s="101"/>
      <c r="BP1380" s="101"/>
      <c r="BQ1380" s="101"/>
      <c r="BR1380" s="101"/>
    </row>
    <row r="1381" spans="33:70">
      <c r="AG1381" s="101"/>
      <c r="AH1381" s="101"/>
      <c r="AI1381" s="101"/>
      <c r="AJ1381" s="101"/>
      <c r="AK1381" s="101"/>
      <c r="AM1381" s="195"/>
      <c r="AT1381" s="101"/>
      <c r="AU1381" s="101"/>
      <c r="AV1381" s="101"/>
      <c r="AW1381" s="101"/>
      <c r="AX1381" s="101"/>
      <c r="AY1381" s="101"/>
      <c r="AZ1381" s="101"/>
      <c r="BA1381" s="101"/>
    </row>
    <row r="1382" spans="33:70">
      <c r="AG1382" s="101"/>
      <c r="AH1382" s="101"/>
      <c r="AI1382" s="101"/>
      <c r="AJ1382" s="101"/>
      <c r="AK1382" s="101"/>
      <c r="AM1382" s="195"/>
      <c r="AT1382" s="101"/>
      <c r="AU1382" s="101"/>
      <c r="AV1382" s="101"/>
      <c r="AW1382" s="101"/>
      <c r="AX1382" s="101"/>
      <c r="AY1382" s="101"/>
      <c r="AZ1382" s="101"/>
      <c r="BA1382" s="101"/>
    </row>
    <row r="1383" spans="33:70">
      <c r="AG1383" s="101"/>
      <c r="AH1383" s="101"/>
      <c r="AI1383" s="101"/>
      <c r="AJ1383" s="101"/>
      <c r="AK1383" s="101"/>
      <c r="AM1383" s="195"/>
      <c r="AT1383" s="101"/>
      <c r="AU1383" s="101"/>
      <c r="AV1383" s="101"/>
      <c r="AW1383" s="101"/>
      <c r="AX1383" s="101"/>
      <c r="AY1383" s="101"/>
      <c r="AZ1383" s="101"/>
      <c r="BA1383" s="101"/>
    </row>
    <row r="1384" spans="33:70">
      <c r="AG1384" s="101"/>
      <c r="AH1384" s="101"/>
      <c r="AI1384" s="101"/>
      <c r="AJ1384" s="101"/>
      <c r="AK1384" s="101"/>
      <c r="AM1384" s="195"/>
      <c r="AT1384" s="101"/>
      <c r="AU1384" s="101"/>
      <c r="AV1384" s="101"/>
      <c r="AW1384" s="101"/>
      <c r="AX1384" s="101"/>
      <c r="AY1384" s="101"/>
      <c r="AZ1384" s="101"/>
      <c r="BA1384" s="101"/>
    </row>
    <row r="1385" spans="33:70">
      <c r="AG1385" s="101"/>
      <c r="AH1385" s="101"/>
      <c r="AI1385" s="101"/>
      <c r="AJ1385" s="101"/>
      <c r="AK1385" s="101"/>
      <c r="AM1385" s="195"/>
      <c r="AT1385" s="101"/>
      <c r="AU1385" s="101"/>
      <c r="AV1385" s="101"/>
      <c r="AW1385" s="101"/>
      <c r="AX1385" s="101"/>
      <c r="AY1385" s="101"/>
      <c r="AZ1385" s="101"/>
      <c r="BA1385" s="101"/>
      <c r="BB1385" s="101"/>
      <c r="BD1385" s="101"/>
      <c r="BE1385" s="101"/>
      <c r="BF1385" s="101"/>
      <c r="BG1385" s="101"/>
      <c r="BH1385" s="101"/>
      <c r="BI1385" s="101"/>
      <c r="BJ1385" s="101"/>
      <c r="BK1385" s="101"/>
      <c r="BL1385" s="101"/>
      <c r="BM1385" s="101"/>
      <c r="BN1385" s="101"/>
      <c r="BO1385" s="101"/>
      <c r="BP1385" s="101"/>
      <c r="BQ1385" s="101"/>
      <c r="BR1385" s="101"/>
    </row>
    <row r="1386" spans="33:70">
      <c r="AG1386" s="101"/>
      <c r="AH1386" s="101"/>
      <c r="AI1386" s="101"/>
      <c r="AJ1386" s="101"/>
      <c r="AK1386" s="101"/>
      <c r="AM1386" s="195"/>
      <c r="AT1386" s="101"/>
      <c r="AU1386" s="101"/>
      <c r="AV1386" s="101"/>
      <c r="AW1386" s="101"/>
      <c r="AX1386" s="101"/>
      <c r="AY1386" s="101"/>
      <c r="AZ1386" s="101"/>
      <c r="BA1386" s="101"/>
      <c r="BB1386" s="101"/>
      <c r="BD1386" s="101"/>
      <c r="BE1386" s="101"/>
      <c r="BF1386" s="101"/>
      <c r="BG1386" s="101"/>
      <c r="BH1386" s="101"/>
      <c r="BI1386" s="101"/>
      <c r="BJ1386" s="101"/>
      <c r="BK1386" s="101"/>
      <c r="BL1386" s="101"/>
      <c r="BM1386" s="101"/>
      <c r="BN1386" s="101"/>
      <c r="BO1386" s="101"/>
      <c r="BP1386" s="101"/>
      <c r="BQ1386" s="101"/>
      <c r="BR1386" s="101"/>
    </row>
    <row r="1387" spans="33:70">
      <c r="AG1387" s="101"/>
      <c r="AH1387" s="101"/>
      <c r="AI1387" s="101"/>
      <c r="AJ1387" s="101"/>
      <c r="AK1387" s="101"/>
      <c r="AM1387" s="195"/>
      <c r="AT1387" s="101"/>
      <c r="AU1387" s="101"/>
      <c r="AV1387" s="101"/>
      <c r="AW1387" s="101"/>
      <c r="AX1387" s="101"/>
      <c r="AY1387" s="101"/>
      <c r="AZ1387" s="101"/>
      <c r="BA1387" s="101"/>
    </row>
    <row r="1388" spans="33:70">
      <c r="AG1388" s="101"/>
      <c r="AH1388" s="101"/>
      <c r="AI1388" s="101"/>
      <c r="AJ1388" s="101"/>
      <c r="AK1388" s="101"/>
      <c r="AM1388" s="195"/>
      <c r="AT1388" s="101"/>
      <c r="AU1388" s="101"/>
      <c r="AV1388" s="101"/>
      <c r="AW1388" s="101"/>
      <c r="AX1388" s="101"/>
      <c r="AY1388" s="101"/>
      <c r="AZ1388" s="101"/>
      <c r="BA1388" s="101"/>
    </row>
    <row r="1389" spans="33:70">
      <c r="AG1389" s="101"/>
      <c r="AH1389" s="101"/>
      <c r="AI1389" s="101"/>
      <c r="AJ1389" s="101"/>
      <c r="AK1389" s="101"/>
      <c r="AM1389" s="195"/>
      <c r="AT1389" s="101"/>
      <c r="AU1389" s="101"/>
      <c r="AV1389" s="101"/>
      <c r="AW1389" s="101"/>
      <c r="AX1389" s="101"/>
      <c r="AY1389" s="101"/>
      <c r="AZ1389" s="101"/>
      <c r="BA1389" s="101"/>
    </row>
    <row r="1390" spans="33:70">
      <c r="AG1390" s="101"/>
      <c r="AH1390" s="101"/>
      <c r="AI1390" s="101"/>
      <c r="AJ1390" s="101"/>
      <c r="AK1390" s="101"/>
      <c r="AM1390" s="195"/>
      <c r="AT1390" s="101"/>
      <c r="AU1390" s="101"/>
      <c r="AV1390" s="101"/>
      <c r="AW1390" s="101"/>
      <c r="AX1390" s="101"/>
      <c r="AY1390" s="101"/>
      <c r="AZ1390" s="101"/>
      <c r="BA1390" s="101"/>
    </row>
    <row r="1391" spans="33:70">
      <c r="AG1391" s="101"/>
      <c r="AH1391" s="101"/>
      <c r="AI1391" s="101"/>
      <c r="AJ1391" s="101"/>
      <c r="AK1391" s="101"/>
      <c r="AM1391" s="195"/>
      <c r="AT1391" s="101"/>
      <c r="AU1391" s="101"/>
      <c r="AV1391" s="101"/>
      <c r="AW1391" s="101"/>
      <c r="AX1391" s="101"/>
      <c r="AY1391" s="101"/>
      <c r="AZ1391" s="101"/>
      <c r="BA1391" s="101"/>
    </row>
    <row r="1392" spans="33:70">
      <c r="AG1392" s="101"/>
      <c r="AH1392" s="101"/>
      <c r="AI1392" s="101"/>
      <c r="AJ1392" s="101"/>
      <c r="AK1392" s="101"/>
      <c r="AM1392" s="195"/>
      <c r="AT1392" s="101"/>
      <c r="AU1392" s="101"/>
      <c r="AV1392" s="101"/>
      <c r="AW1392" s="101"/>
      <c r="AX1392" s="101"/>
      <c r="AY1392" s="101"/>
      <c r="AZ1392" s="101"/>
      <c r="BA1392" s="101"/>
    </row>
    <row r="1393" spans="33:70">
      <c r="AG1393" s="101"/>
      <c r="AH1393" s="101"/>
      <c r="AI1393" s="101"/>
      <c r="AJ1393" s="101"/>
      <c r="AK1393" s="101"/>
      <c r="AM1393" s="195"/>
      <c r="AT1393" s="101"/>
      <c r="AU1393" s="101"/>
      <c r="AV1393" s="101"/>
      <c r="AW1393" s="101"/>
      <c r="AX1393" s="101"/>
      <c r="AY1393" s="101"/>
      <c r="AZ1393" s="101"/>
      <c r="BA1393" s="101"/>
    </row>
    <row r="1394" spans="33:70">
      <c r="AG1394" s="101"/>
      <c r="AH1394" s="101"/>
      <c r="AI1394" s="101"/>
      <c r="AJ1394" s="101"/>
      <c r="AK1394" s="101"/>
      <c r="AM1394" s="195"/>
      <c r="AT1394" s="101"/>
      <c r="AU1394" s="101"/>
      <c r="AV1394" s="101"/>
      <c r="AW1394" s="101"/>
      <c r="AX1394" s="101"/>
      <c r="AY1394" s="101"/>
      <c r="AZ1394" s="101"/>
      <c r="BA1394" s="101"/>
      <c r="BB1394" s="101"/>
      <c r="BD1394" s="101"/>
      <c r="BE1394" s="101"/>
      <c r="BF1394" s="101"/>
      <c r="BG1394" s="101"/>
      <c r="BH1394" s="101"/>
      <c r="BI1394" s="101"/>
      <c r="BJ1394" s="101"/>
      <c r="BK1394" s="101"/>
      <c r="BL1394" s="101"/>
      <c r="BM1394" s="101"/>
      <c r="BN1394" s="101"/>
      <c r="BO1394" s="101"/>
      <c r="BP1394" s="101"/>
      <c r="BQ1394" s="101"/>
      <c r="BR1394" s="101"/>
    </row>
    <row r="1395" spans="33:70">
      <c r="AG1395" s="101"/>
      <c r="AH1395" s="101"/>
      <c r="AI1395" s="101"/>
      <c r="AJ1395" s="101"/>
      <c r="AK1395" s="101"/>
      <c r="AM1395" s="195"/>
      <c r="AT1395" s="101"/>
      <c r="AU1395" s="101"/>
      <c r="AV1395" s="101"/>
      <c r="AW1395" s="101"/>
      <c r="AX1395" s="101"/>
      <c r="AY1395" s="101"/>
      <c r="AZ1395" s="101"/>
      <c r="BA1395" s="101"/>
    </row>
    <row r="1396" spans="33:70">
      <c r="AG1396" s="101"/>
      <c r="AH1396" s="101"/>
      <c r="AI1396" s="101"/>
      <c r="AJ1396" s="101"/>
      <c r="AK1396" s="101"/>
      <c r="AM1396" s="195"/>
      <c r="AT1396" s="101"/>
      <c r="AU1396" s="101"/>
      <c r="AV1396" s="101"/>
      <c r="AW1396" s="101"/>
      <c r="AX1396" s="101"/>
      <c r="AY1396" s="101"/>
      <c r="AZ1396" s="101"/>
      <c r="BA1396" s="101"/>
    </row>
    <row r="1397" spans="33:70">
      <c r="AG1397" s="101"/>
      <c r="AH1397" s="101"/>
      <c r="AI1397" s="101"/>
      <c r="AJ1397" s="101"/>
      <c r="AK1397" s="101"/>
      <c r="AM1397" s="195"/>
      <c r="AT1397" s="101"/>
      <c r="AU1397" s="101"/>
      <c r="AV1397" s="101"/>
      <c r="AW1397" s="101"/>
      <c r="AX1397" s="101"/>
      <c r="AY1397" s="101"/>
      <c r="AZ1397" s="101"/>
      <c r="BA1397" s="101"/>
    </row>
    <row r="1398" spans="33:70">
      <c r="AG1398" s="101"/>
      <c r="AH1398" s="101"/>
      <c r="AI1398" s="101"/>
      <c r="AJ1398" s="101"/>
      <c r="AK1398" s="101"/>
      <c r="AM1398" s="195"/>
      <c r="AT1398" s="101"/>
      <c r="AU1398" s="101"/>
      <c r="AV1398" s="101"/>
      <c r="AW1398" s="101"/>
      <c r="AX1398" s="101"/>
      <c r="AY1398" s="101"/>
      <c r="AZ1398" s="101"/>
      <c r="BA1398" s="101"/>
    </row>
    <row r="1399" spans="33:70">
      <c r="AG1399" s="101"/>
      <c r="AH1399" s="101"/>
      <c r="AI1399" s="101"/>
      <c r="AJ1399" s="101"/>
      <c r="AK1399" s="101"/>
      <c r="AM1399" s="195"/>
      <c r="AT1399" s="101"/>
      <c r="AU1399" s="101"/>
      <c r="AV1399" s="101"/>
      <c r="AW1399" s="101"/>
      <c r="AX1399" s="101"/>
      <c r="AY1399" s="101"/>
      <c r="AZ1399" s="101"/>
      <c r="BA1399" s="101"/>
    </row>
    <row r="1400" spans="33:70">
      <c r="AG1400" s="101"/>
      <c r="AH1400" s="101"/>
      <c r="AI1400" s="101"/>
      <c r="AJ1400" s="101"/>
      <c r="AK1400" s="101"/>
      <c r="AM1400" s="195"/>
      <c r="AT1400" s="101"/>
      <c r="AU1400" s="101"/>
      <c r="AV1400" s="101"/>
      <c r="AW1400" s="101"/>
      <c r="AX1400" s="101"/>
      <c r="AY1400" s="101"/>
      <c r="AZ1400" s="101"/>
      <c r="BA1400" s="101"/>
      <c r="BB1400" s="101"/>
      <c r="BC1400" s="101"/>
      <c r="BD1400" s="101"/>
      <c r="BE1400" s="101"/>
      <c r="BF1400" s="101"/>
      <c r="BG1400" s="101"/>
      <c r="BH1400" s="101"/>
      <c r="BI1400" s="101"/>
      <c r="BJ1400" s="101"/>
      <c r="BK1400" s="101"/>
      <c r="BL1400" s="101"/>
      <c r="BM1400" s="101"/>
      <c r="BN1400" s="101"/>
      <c r="BO1400" s="101"/>
      <c r="BP1400" s="101"/>
      <c r="BQ1400" s="101"/>
      <c r="BR1400" s="101"/>
    </row>
    <row r="1401" spans="33:70">
      <c r="AG1401" s="101"/>
      <c r="AH1401" s="101"/>
      <c r="AI1401" s="101"/>
      <c r="AJ1401" s="101"/>
      <c r="AK1401" s="101"/>
      <c r="AM1401" s="195"/>
      <c r="AT1401" s="101"/>
      <c r="AU1401" s="101"/>
      <c r="AV1401" s="101"/>
      <c r="AW1401" s="101"/>
      <c r="AX1401" s="101"/>
      <c r="AY1401" s="101"/>
      <c r="AZ1401" s="101"/>
      <c r="BA1401" s="101"/>
    </row>
    <row r="1402" spans="33:70">
      <c r="AG1402" s="101"/>
      <c r="AH1402" s="101"/>
      <c r="AI1402" s="101"/>
      <c r="AJ1402" s="101"/>
      <c r="AK1402" s="101"/>
      <c r="AM1402" s="195"/>
      <c r="AT1402" s="101"/>
      <c r="AU1402" s="101"/>
      <c r="AV1402" s="101"/>
      <c r="AW1402" s="101"/>
      <c r="AX1402" s="101"/>
      <c r="AY1402" s="101"/>
      <c r="AZ1402" s="101"/>
      <c r="BA1402" s="101"/>
    </row>
    <row r="1403" spans="33:70">
      <c r="AG1403" s="101"/>
      <c r="AH1403" s="101"/>
      <c r="AI1403" s="101"/>
      <c r="AJ1403" s="101"/>
      <c r="AK1403" s="101"/>
      <c r="AM1403" s="195"/>
      <c r="AT1403" s="101"/>
      <c r="AU1403" s="101"/>
      <c r="AV1403" s="101"/>
      <c r="AW1403" s="101"/>
      <c r="AX1403" s="101"/>
      <c r="AY1403" s="101"/>
      <c r="AZ1403" s="101"/>
      <c r="BA1403" s="101"/>
    </row>
    <row r="1404" spans="33:70">
      <c r="AG1404" s="101"/>
      <c r="AH1404" s="101"/>
      <c r="AI1404" s="101"/>
      <c r="AJ1404" s="101"/>
      <c r="AK1404" s="101"/>
      <c r="AM1404" s="195"/>
      <c r="AT1404" s="101"/>
      <c r="AU1404" s="101"/>
      <c r="AV1404" s="101"/>
      <c r="AW1404" s="101"/>
      <c r="AX1404" s="101"/>
      <c r="AY1404" s="101"/>
      <c r="AZ1404" s="101"/>
      <c r="BA1404" s="101"/>
    </row>
    <row r="1405" spans="33:70">
      <c r="AG1405" s="101"/>
      <c r="AH1405" s="101"/>
      <c r="AI1405" s="101"/>
      <c r="AJ1405" s="101"/>
      <c r="AK1405" s="101"/>
      <c r="AM1405" s="195"/>
      <c r="AT1405" s="101"/>
      <c r="AU1405" s="101"/>
      <c r="AV1405" s="101"/>
      <c r="AW1405" s="101"/>
      <c r="AX1405" s="101"/>
      <c r="AY1405" s="101"/>
      <c r="AZ1405" s="101"/>
      <c r="BA1405" s="101"/>
    </row>
    <row r="1406" spans="33:70">
      <c r="AG1406" s="101"/>
      <c r="AH1406" s="101"/>
      <c r="AI1406" s="101"/>
      <c r="AJ1406" s="101"/>
      <c r="AK1406" s="101"/>
      <c r="AM1406" s="195"/>
      <c r="AT1406" s="101"/>
      <c r="AU1406" s="101"/>
      <c r="AV1406" s="101"/>
      <c r="AW1406" s="101"/>
      <c r="AX1406" s="101"/>
      <c r="AY1406" s="101"/>
      <c r="AZ1406" s="101"/>
      <c r="BA1406" s="101"/>
    </row>
    <row r="1407" spans="33:70">
      <c r="AG1407" s="101"/>
      <c r="AH1407" s="101"/>
      <c r="AI1407" s="101"/>
      <c r="AJ1407" s="101"/>
      <c r="AK1407" s="101"/>
      <c r="AM1407" s="195"/>
      <c r="AT1407" s="101"/>
      <c r="AU1407" s="101"/>
      <c r="AV1407" s="101"/>
      <c r="AW1407" s="101"/>
      <c r="AX1407" s="101"/>
      <c r="AY1407" s="101"/>
      <c r="AZ1407" s="101"/>
      <c r="BA1407" s="101"/>
    </row>
    <row r="1408" spans="33:70">
      <c r="AG1408" s="101"/>
      <c r="AH1408" s="101"/>
      <c r="AI1408" s="101"/>
      <c r="AJ1408" s="101"/>
      <c r="AK1408" s="101"/>
      <c r="AM1408" s="195"/>
      <c r="AT1408" s="101"/>
      <c r="AU1408" s="101"/>
      <c r="AV1408" s="101"/>
      <c r="AW1408" s="101"/>
      <c r="AX1408" s="101"/>
      <c r="AY1408" s="101"/>
      <c r="AZ1408" s="101"/>
      <c r="BA1408" s="101"/>
    </row>
    <row r="1409" spans="33:70">
      <c r="AG1409" s="101"/>
      <c r="AH1409" s="101"/>
      <c r="AI1409" s="101"/>
      <c r="AJ1409" s="101"/>
      <c r="AK1409" s="101"/>
      <c r="AM1409" s="195"/>
      <c r="AT1409" s="101"/>
      <c r="AU1409" s="101"/>
      <c r="AV1409" s="101"/>
      <c r="AW1409" s="101"/>
      <c r="AX1409" s="101"/>
      <c r="AY1409" s="101"/>
      <c r="AZ1409" s="101"/>
      <c r="BA1409" s="101"/>
    </row>
    <row r="1410" spans="33:70">
      <c r="AG1410" s="101"/>
      <c r="AH1410" s="101"/>
      <c r="AI1410" s="101"/>
      <c r="AJ1410" s="101"/>
      <c r="AK1410" s="101"/>
      <c r="AM1410" s="195"/>
      <c r="AT1410" s="101"/>
      <c r="AU1410" s="101"/>
      <c r="AV1410" s="101"/>
      <c r="AW1410" s="101"/>
      <c r="AX1410" s="101"/>
      <c r="AY1410" s="101"/>
      <c r="AZ1410" s="101"/>
      <c r="BA1410" s="101"/>
    </row>
    <row r="1411" spans="33:70">
      <c r="AG1411" s="101"/>
      <c r="AH1411" s="101"/>
      <c r="AI1411" s="101"/>
      <c r="AJ1411" s="101"/>
      <c r="AK1411" s="101"/>
      <c r="AM1411" s="195"/>
      <c r="AT1411" s="101"/>
      <c r="AU1411" s="101"/>
      <c r="AV1411" s="101"/>
      <c r="AW1411" s="101"/>
      <c r="AX1411" s="101"/>
      <c r="AY1411" s="101"/>
      <c r="AZ1411" s="101"/>
      <c r="BA1411" s="101"/>
    </row>
    <row r="1412" spans="33:70">
      <c r="AG1412" s="101"/>
      <c r="AH1412" s="101"/>
      <c r="AI1412" s="101"/>
      <c r="AJ1412" s="101"/>
      <c r="AK1412" s="101"/>
      <c r="AM1412" s="195"/>
      <c r="AT1412" s="101"/>
      <c r="AU1412" s="101"/>
      <c r="AV1412" s="101"/>
      <c r="AW1412" s="101"/>
      <c r="AX1412" s="101"/>
      <c r="AY1412" s="101"/>
      <c r="AZ1412" s="101"/>
      <c r="BA1412" s="101"/>
    </row>
    <row r="1413" spans="33:70">
      <c r="AG1413" s="101"/>
      <c r="AH1413" s="101"/>
      <c r="AI1413" s="101"/>
      <c r="AJ1413" s="101"/>
      <c r="AK1413" s="101"/>
      <c r="AM1413" s="195"/>
      <c r="AT1413" s="101"/>
      <c r="AU1413" s="101"/>
      <c r="AV1413" s="101"/>
      <c r="AW1413" s="101"/>
      <c r="AX1413" s="101"/>
      <c r="AY1413" s="101"/>
      <c r="AZ1413" s="101"/>
      <c r="BA1413" s="101"/>
    </row>
    <row r="1414" spans="33:70">
      <c r="AG1414" s="101"/>
      <c r="AH1414" s="101"/>
      <c r="AI1414" s="101"/>
      <c r="AJ1414" s="101"/>
      <c r="AK1414" s="101"/>
      <c r="AM1414" s="195"/>
      <c r="AT1414" s="101"/>
      <c r="AU1414" s="101"/>
      <c r="AV1414" s="101"/>
      <c r="AW1414" s="101"/>
      <c r="AX1414" s="101"/>
      <c r="AY1414" s="101"/>
      <c r="AZ1414" s="101"/>
      <c r="BA1414" s="101"/>
      <c r="BB1414" s="101"/>
      <c r="BC1414" s="101"/>
      <c r="BD1414" s="101"/>
      <c r="BE1414" s="101"/>
      <c r="BF1414" s="101"/>
      <c r="BG1414" s="101"/>
      <c r="BH1414" s="101"/>
      <c r="BI1414" s="101"/>
      <c r="BJ1414" s="101"/>
      <c r="BK1414" s="101"/>
      <c r="BL1414" s="101"/>
      <c r="BM1414" s="101"/>
      <c r="BN1414" s="101"/>
      <c r="BO1414" s="101"/>
      <c r="BP1414" s="101"/>
      <c r="BQ1414" s="101"/>
      <c r="BR1414" s="101"/>
    </row>
    <row r="1415" spans="33:70">
      <c r="AG1415" s="101"/>
      <c r="AH1415" s="101"/>
      <c r="AI1415" s="101"/>
      <c r="AJ1415" s="101"/>
      <c r="AK1415" s="101"/>
      <c r="AM1415" s="195"/>
      <c r="AT1415" s="101"/>
      <c r="AU1415" s="101"/>
      <c r="AV1415" s="101"/>
      <c r="AW1415" s="101"/>
      <c r="AX1415" s="101"/>
      <c r="AY1415" s="101"/>
      <c r="AZ1415" s="101"/>
      <c r="BA1415" s="101"/>
    </row>
    <row r="1416" spans="33:70">
      <c r="AG1416" s="101"/>
      <c r="AH1416" s="101"/>
      <c r="AI1416" s="101"/>
      <c r="AJ1416" s="101"/>
      <c r="AK1416" s="101"/>
      <c r="AM1416" s="195"/>
      <c r="AT1416" s="101"/>
      <c r="AU1416" s="101"/>
      <c r="AV1416" s="101"/>
      <c r="AW1416" s="101"/>
      <c r="AX1416" s="101"/>
      <c r="AY1416" s="101"/>
      <c r="AZ1416" s="101"/>
      <c r="BA1416" s="101"/>
    </row>
    <row r="1417" spans="33:70">
      <c r="AG1417" s="101"/>
      <c r="AH1417" s="101"/>
      <c r="AI1417" s="101"/>
      <c r="AJ1417" s="101"/>
      <c r="AK1417" s="101"/>
      <c r="AM1417" s="195"/>
      <c r="AT1417" s="101"/>
      <c r="AU1417" s="101"/>
      <c r="AV1417" s="101"/>
      <c r="AW1417" s="101"/>
      <c r="AX1417" s="101"/>
      <c r="AY1417" s="101"/>
      <c r="AZ1417" s="101"/>
      <c r="BA1417" s="101"/>
    </row>
    <row r="1418" spans="33:70">
      <c r="AG1418" s="101"/>
      <c r="AH1418" s="101"/>
      <c r="AI1418" s="101"/>
      <c r="AJ1418" s="101"/>
      <c r="AK1418" s="101"/>
      <c r="AM1418" s="195"/>
      <c r="AT1418" s="101"/>
      <c r="AU1418" s="101"/>
      <c r="AV1418" s="101"/>
      <c r="AW1418" s="101"/>
      <c r="AX1418" s="101"/>
      <c r="AY1418" s="101"/>
      <c r="AZ1418" s="101"/>
      <c r="BA1418" s="101"/>
    </row>
    <row r="1419" spans="33:70">
      <c r="AG1419" s="101"/>
      <c r="AH1419" s="101"/>
      <c r="AI1419" s="101"/>
      <c r="AJ1419" s="101"/>
      <c r="AK1419" s="101"/>
      <c r="AM1419" s="195"/>
      <c r="AT1419" s="101"/>
      <c r="AU1419" s="101"/>
      <c r="AV1419" s="101"/>
      <c r="AW1419" s="101"/>
      <c r="AX1419" s="101"/>
      <c r="AY1419" s="101"/>
      <c r="AZ1419" s="101"/>
      <c r="BA1419" s="101"/>
    </row>
    <row r="1420" spans="33:70">
      <c r="AG1420" s="101"/>
      <c r="AH1420" s="101"/>
      <c r="AI1420" s="101"/>
      <c r="AJ1420" s="101"/>
      <c r="AK1420" s="101"/>
      <c r="AM1420" s="195"/>
      <c r="AT1420" s="101"/>
      <c r="AU1420" s="101"/>
      <c r="AV1420" s="101"/>
      <c r="AW1420" s="101"/>
      <c r="AX1420" s="101"/>
      <c r="AY1420" s="101"/>
      <c r="AZ1420" s="101"/>
      <c r="BA1420" s="101"/>
    </row>
    <row r="1421" spans="33:70">
      <c r="AG1421" s="101"/>
      <c r="AH1421" s="101"/>
      <c r="AI1421" s="101"/>
      <c r="AJ1421" s="101"/>
      <c r="AK1421" s="101"/>
      <c r="AM1421" s="195"/>
      <c r="AT1421" s="101"/>
      <c r="AU1421" s="101"/>
      <c r="AV1421" s="101"/>
      <c r="AW1421" s="101"/>
      <c r="AX1421" s="101"/>
      <c r="AY1421" s="101"/>
      <c r="AZ1421" s="101"/>
      <c r="BA1421" s="101"/>
    </row>
    <row r="1422" spans="33:70">
      <c r="AG1422" s="101"/>
      <c r="AH1422" s="101"/>
      <c r="AI1422" s="101"/>
      <c r="AJ1422" s="101"/>
      <c r="AK1422" s="101"/>
      <c r="AM1422" s="195"/>
      <c r="AT1422" s="101"/>
      <c r="AU1422" s="101"/>
      <c r="AV1422" s="101"/>
      <c r="AW1422" s="101"/>
      <c r="AX1422" s="101"/>
      <c r="AY1422" s="101"/>
      <c r="AZ1422" s="101"/>
      <c r="BA1422" s="101"/>
    </row>
    <row r="1423" spans="33:70">
      <c r="AG1423" s="101"/>
      <c r="AH1423" s="101"/>
      <c r="AI1423" s="101"/>
      <c r="AJ1423" s="101"/>
      <c r="AK1423" s="101"/>
      <c r="AM1423" s="195"/>
      <c r="AT1423" s="101"/>
      <c r="AU1423" s="101"/>
      <c r="AV1423" s="101"/>
      <c r="AW1423" s="101"/>
      <c r="AX1423" s="101"/>
      <c r="AY1423" s="101"/>
      <c r="AZ1423" s="101"/>
      <c r="BA1423" s="101"/>
    </row>
    <row r="1424" spans="33:70">
      <c r="AG1424" s="101"/>
      <c r="AH1424" s="101"/>
      <c r="AI1424" s="101"/>
      <c r="AJ1424" s="101"/>
      <c r="AK1424" s="101"/>
      <c r="AM1424" s="195"/>
      <c r="AT1424" s="101"/>
      <c r="AU1424" s="101"/>
      <c r="AV1424" s="101"/>
      <c r="AW1424" s="101"/>
      <c r="AX1424" s="101"/>
      <c r="AY1424" s="101"/>
      <c r="AZ1424" s="101"/>
      <c r="BA1424" s="101"/>
    </row>
    <row r="1425" spans="33:70">
      <c r="AG1425" s="101"/>
      <c r="AH1425" s="101"/>
      <c r="AI1425" s="101"/>
      <c r="AJ1425" s="101"/>
      <c r="AK1425" s="101"/>
      <c r="AM1425" s="195"/>
      <c r="AT1425" s="101"/>
      <c r="AU1425" s="101"/>
      <c r="AV1425" s="101"/>
      <c r="AW1425" s="101"/>
      <c r="AX1425" s="101"/>
      <c r="AY1425" s="101"/>
      <c r="AZ1425" s="101"/>
      <c r="BA1425" s="101"/>
    </row>
    <row r="1426" spans="33:70">
      <c r="AG1426" s="101"/>
      <c r="AH1426" s="101"/>
      <c r="AI1426" s="101"/>
      <c r="AJ1426" s="101"/>
      <c r="AK1426" s="101"/>
      <c r="AM1426" s="195"/>
      <c r="AT1426" s="101"/>
      <c r="AU1426" s="101"/>
      <c r="AV1426" s="101"/>
      <c r="AW1426" s="101"/>
      <c r="AX1426" s="101"/>
      <c r="AY1426" s="101"/>
      <c r="AZ1426" s="101"/>
      <c r="BA1426" s="101"/>
    </row>
    <row r="1427" spans="33:70">
      <c r="AG1427" s="101"/>
      <c r="AH1427" s="101"/>
      <c r="AI1427" s="101"/>
      <c r="AJ1427" s="101"/>
      <c r="AK1427" s="101"/>
      <c r="AM1427" s="195"/>
      <c r="AT1427" s="101"/>
      <c r="AU1427" s="101"/>
      <c r="AV1427" s="101"/>
      <c r="AW1427" s="101"/>
      <c r="AX1427" s="101"/>
      <c r="AY1427" s="101"/>
      <c r="AZ1427" s="101"/>
      <c r="BA1427" s="101"/>
    </row>
    <row r="1428" spans="33:70">
      <c r="AG1428" s="101"/>
      <c r="AH1428" s="101"/>
      <c r="AI1428" s="101"/>
      <c r="AJ1428" s="101"/>
      <c r="AK1428" s="101"/>
      <c r="AM1428" s="195"/>
      <c r="AT1428" s="101"/>
      <c r="AU1428" s="101"/>
      <c r="AV1428" s="101"/>
      <c r="AW1428" s="101"/>
      <c r="AX1428" s="101"/>
      <c r="AY1428" s="101"/>
      <c r="AZ1428" s="101"/>
      <c r="BA1428" s="101"/>
    </row>
    <row r="1429" spans="33:70">
      <c r="AG1429" s="101"/>
      <c r="AH1429" s="101"/>
      <c r="AI1429" s="101"/>
      <c r="AJ1429" s="101"/>
      <c r="AK1429" s="101"/>
      <c r="AM1429" s="195"/>
      <c r="AT1429" s="101"/>
      <c r="AU1429" s="101"/>
      <c r="AV1429" s="101"/>
      <c r="AW1429" s="101"/>
      <c r="AX1429" s="101"/>
      <c r="AY1429" s="101"/>
      <c r="AZ1429" s="101"/>
      <c r="BA1429" s="101"/>
    </row>
    <row r="1430" spans="33:70">
      <c r="AG1430" s="101"/>
      <c r="AH1430" s="101"/>
      <c r="AI1430" s="101"/>
      <c r="AJ1430" s="101"/>
      <c r="AK1430" s="101"/>
      <c r="AM1430" s="195"/>
      <c r="AT1430" s="101"/>
      <c r="AU1430" s="101"/>
      <c r="AV1430" s="101"/>
      <c r="AW1430" s="101"/>
      <c r="AX1430" s="101"/>
      <c r="AY1430" s="101"/>
      <c r="AZ1430" s="101"/>
      <c r="BA1430" s="101"/>
    </row>
    <row r="1431" spans="33:70">
      <c r="AG1431" s="101"/>
      <c r="AH1431" s="101"/>
      <c r="AI1431" s="101"/>
      <c r="AJ1431" s="101"/>
      <c r="AK1431" s="101"/>
      <c r="AM1431" s="195"/>
      <c r="AT1431" s="101"/>
      <c r="AU1431" s="101"/>
      <c r="AV1431" s="101"/>
      <c r="AW1431" s="101"/>
      <c r="AX1431" s="101"/>
      <c r="AY1431" s="101"/>
      <c r="AZ1431" s="101"/>
      <c r="BA1431" s="101"/>
      <c r="BB1431" s="101"/>
      <c r="BC1431" s="101"/>
      <c r="BD1431" s="101"/>
      <c r="BE1431" s="101"/>
      <c r="BF1431" s="101"/>
      <c r="BG1431" s="101"/>
      <c r="BH1431" s="101"/>
      <c r="BI1431" s="101"/>
      <c r="BJ1431" s="101"/>
      <c r="BK1431" s="101"/>
      <c r="BL1431" s="101"/>
      <c r="BM1431" s="101"/>
      <c r="BN1431" s="101"/>
      <c r="BO1431" s="101"/>
      <c r="BP1431" s="101"/>
      <c r="BQ1431" s="101"/>
      <c r="BR1431" s="101"/>
    </row>
    <row r="1432" spans="33:70">
      <c r="AG1432" s="101"/>
      <c r="AH1432" s="101"/>
      <c r="AI1432" s="101"/>
      <c r="AJ1432" s="101"/>
      <c r="AK1432" s="101"/>
      <c r="AM1432" s="195"/>
      <c r="AT1432" s="101"/>
      <c r="AU1432" s="101"/>
      <c r="AV1432" s="101"/>
      <c r="AW1432" s="101"/>
      <c r="AX1432" s="101"/>
      <c r="AY1432" s="101"/>
      <c r="AZ1432" s="101"/>
      <c r="BA1432" s="101"/>
    </row>
    <row r="1433" spans="33:70">
      <c r="AG1433" s="101"/>
      <c r="AH1433" s="101"/>
      <c r="AI1433" s="101"/>
      <c r="AJ1433" s="101"/>
      <c r="AK1433" s="101"/>
      <c r="AM1433" s="195"/>
      <c r="AT1433" s="101"/>
      <c r="AU1433" s="101"/>
      <c r="AV1433" s="101"/>
      <c r="AW1433" s="101"/>
      <c r="AX1433" s="101"/>
      <c r="AY1433" s="101"/>
      <c r="AZ1433" s="101"/>
      <c r="BA1433" s="101"/>
      <c r="BB1433" s="101"/>
    </row>
    <row r="1434" spans="33:70">
      <c r="AG1434" s="101"/>
      <c r="AH1434" s="101"/>
      <c r="AI1434" s="101"/>
      <c r="AJ1434" s="101"/>
      <c r="AK1434" s="101"/>
      <c r="AM1434" s="195"/>
      <c r="AT1434" s="101"/>
      <c r="AU1434" s="101"/>
      <c r="AV1434" s="101"/>
      <c r="AW1434" s="101"/>
      <c r="AX1434" s="101"/>
      <c r="AY1434" s="101"/>
      <c r="AZ1434" s="101"/>
      <c r="BA1434" s="101"/>
      <c r="BB1434" s="101"/>
    </row>
    <row r="1435" spans="33:70">
      <c r="AG1435" s="101"/>
      <c r="AH1435" s="101"/>
      <c r="AI1435" s="101"/>
      <c r="AJ1435" s="101"/>
      <c r="AK1435" s="101"/>
      <c r="AM1435" s="195"/>
      <c r="AT1435" s="101"/>
      <c r="AU1435" s="101"/>
      <c r="AV1435" s="101"/>
      <c r="AW1435" s="101"/>
      <c r="AX1435" s="101"/>
      <c r="AY1435" s="101"/>
      <c r="AZ1435" s="101"/>
      <c r="BA1435" s="101"/>
      <c r="BB1435" s="101"/>
    </row>
    <row r="1436" spans="33:70">
      <c r="AG1436" s="101"/>
      <c r="AH1436" s="101"/>
      <c r="AI1436" s="101"/>
      <c r="AJ1436" s="101"/>
      <c r="AK1436" s="101"/>
      <c r="AM1436" s="195"/>
      <c r="AT1436" s="101"/>
      <c r="AU1436" s="101"/>
      <c r="AV1436" s="101"/>
      <c r="AW1436" s="101"/>
      <c r="AX1436" s="101"/>
      <c r="AY1436" s="101"/>
      <c r="AZ1436" s="101"/>
      <c r="BA1436" s="101"/>
      <c r="BB1436" s="101"/>
      <c r="BD1436" s="101"/>
    </row>
    <row r="1437" spans="33:70">
      <c r="AG1437" s="101"/>
      <c r="AH1437" s="101"/>
      <c r="AI1437" s="101"/>
      <c r="AJ1437" s="101"/>
      <c r="AK1437" s="101"/>
      <c r="AM1437" s="195"/>
      <c r="AT1437" s="101"/>
      <c r="AU1437" s="101"/>
      <c r="AV1437" s="101"/>
      <c r="AW1437" s="101"/>
      <c r="AX1437" s="101"/>
      <c r="AY1437" s="101"/>
      <c r="AZ1437" s="101"/>
      <c r="BA1437" s="101"/>
      <c r="BB1437" s="101"/>
      <c r="BD1437" s="101"/>
    </row>
    <row r="1438" spans="33:70">
      <c r="AG1438" s="101"/>
      <c r="AH1438" s="101"/>
      <c r="AI1438" s="101"/>
      <c r="AJ1438" s="101"/>
      <c r="AK1438" s="101"/>
      <c r="AM1438" s="195"/>
      <c r="AT1438" s="101"/>
      <c r="AU1438" s="101"/>
      <c r="AV1438" s="101"/>
      <c r="AW1438" s="101"/>
      <c r="AX1438" s="101"/>
      <c r="AY1438" s="101"/>
      <c r="AZ1438" s="101"/>
      <c r="BA1438" s="101"/>
      <c r="BB1438" s="101"/>
      <c r="BC1438" s="101"/>
      <c r="BD1438" s="101"/>
      <c r="BE1438" s="101"/>
      <c r="BF1438" s="101"/>
      <c r="BG1438" s="101"/>
      <c r="BH1438" s="101"/>
      <c r="BI1438" s="101"/>
      <c r="BJ1438" s="101"/>
      <c r="BK1438" s="101"/>
      <c r="BL1438" s="101"/>
      <c r="BM1438" s="101"/>
      <c r="BN1438" s="101"/>
      <c r="BO1438" s="101"/>
      <c r="BP1438" s="101"/>
      <c r="BQ1438" s="101"/>
      <c r="BR1438" s="101"/>
    </row>
    <row r="1439" spans="33:70">
      <c r="AG1439" s="101"/>
      <c r="AH1439" s="101"/>
      <c r="AI1439" s="101"/>
      <c r="AJ1439" s="101"/>
      <c r="AK1439" s="101"/>
      <c r="AM1439" s="195"/>
      <c r="AT1439" s="101"/>
      <c r="AU1439" s="101"/>
      <c r="AV1439" s="101"/>
      <c r="AW1439" s="101"/>
      <c r="AX1439" s="101"/>
      <c r="AY1439" s="101"/>
      <c r="AZ1439" s="101"/>
      <c r="BA1439" s="101"/>
    </row>
    <row r="1440" spans="33:70">
      <c r="AG1440" s="101"/>
      <c r="AH1440" s="101"/>
      <c r="AI1440" s="101"/>
      <c r="AJ1440" s="101"/>
      <c r="AK1440" s="101"/>
      <c r="AM1440" s="195"/>
      <c r="AT1440" s="101"/>
      <c r="AU1440" s="101"/>
      <c r="AV1440" s="101"/>
      <c r="AW1440" s="101"/>
      <c r="AX1440" s="101"/>
      <c r="AY1440" s="101"/>
      <c r="AZ1440" s="101"/>
      <c r="BA1440" s="101"/>
    </row>
    <row r="1441" spans="33:70">
      <c r="AG1441" s="101"/>
      <c r="AH1441" s="101"/>
      <c r="AI1441" s="101"/>
      <c r="AJ1441" s="101"/>
      <c r="AK1441" s="101"/>
      <c r="AM1441" s="195"/>
      <c r="AT1441" s="101"/>
      <c r="AU1441" s="101"/>
      <c r="AV1441" s="101"/>
      <c r="AW1441" s="101"/>
      <c r="AX1441" s="101"/>
      <c r="AY1441" s="101"/>
      <c r="AZ1441" s="101"/>
      <c r="BA1441" s="101"/>
    </row>
    <row r="1442" spans="33:70">
      <c r="AG1442" s="101"/>
      <c r="AH1442" s="101"/>
      <c r="AI1442" s="101"/>
      <c r="AJ1442" s="101"/>
      <c r="AK1442" s="101"/>
      <c r="AM1442" s="195"/>
      <c r="AT1442" s="101"/>
      <c r="AU1442" s="101"/>
      <c r="AV1442" s="101"/>
      <c r="AW1442" s="101"/>
      <c r="AX1442" s="101"/>
      <c r="AY1442" s="101"/>
      <c r="AZ1442" s="101"/>
      <c r="BA1442" s="101"/>
      <c r="BB1442" s="101"/>
      <c r="BC1442" s="101"/>
      <c r="BD1442" s="101"/>
      <c r="BE1442" s="101"/>
      <c r="BF1442" s="101"/>
      <c r="BG1442" s="101"/>
      <c r="BH1442" s="101"/>
      <c r="BI1442" s="101"/>
      <c r="BJ1442" s="101"/>
      <c r="BK1442" s="101"/>
      <c r="BL1442" s="101"/>
      <c r="BM1442" s="101"/>
      <c r="BN1442" s="101"/>
      <c r="BO1442" s="101"/>
      <c r="BP1442" s="101"/>
      <c r="BQ1442" s="101"/>
      <c r="BR1442" s="101"/>
    </row>
    <row r="1443" spans="33:70">
      <c r="AG1443" s="101"/>
      <c r="AH1443" s="101"/>
      <c r="AI1443" s="101"/>
      <c r="AJ1443" s="101"/>
      <c r="AK1443" s="101"/>
      <c r="AM1443" s="195"/>
      <c r="AT1443" s="101"/>
      <c r="AU1443" s="101"/>
      <c r="AV1443" s="101"/>
      <c r="AW1443" s="101"/>
      <c r="AX1443" s="101"/>
      <c r="AY1443" s="101"/>
      <c r="AZ1443" s="101"/>
      <c r="BA1443" s="101"/>
      <c r="BB1443" s="101"/>
      <c r="BD1443" s="101"/>
    </row>
    <row r="1444" spans="33:70">
      <c r="AG1444" s="101"/>
      <c r="AH1444" s="101"/>
      <c r="AI1444" s="101"/>
      <c r="AJ1444" s="101"/>
      <c r="AK1444" s="101"/>
      <c r="AM1444" s="195"/>
      <c r="AT1444" s="101"/>
      <c r="AU1444" s="101"/>
      <c r="AV1444" s="101"/>
      <c r="AW1444" s="101"/>
      <c r="AX1444" s="101"/>
      <c r="AY1444" s="101"/>
      <c r="AZ1444" s="101"/>
      <c r="BA1444" s="101"/>
      <c r="BB1444" s="101"/>
      <c r="BD1444" s="101"/>
      <c r="BE1444" s="101"/>
      <c r="BF1444" s="101"/>
      <c r="BG1444" s="101"/>
      <c r="BH1444" s="101"/>
      <c r="BI1444" s="101"/>
      <c r="BJ1444" s="101"/>
      <c r="BK1444" s="101"/>
      <c r="BL1444" s="101"/>
      <c r="BM1444" s="101"/>
      <c r="BN1444" s="101"/>
      <c r="BO1444" s="101"/>
      <c r="BP1444" s="101"/>
      <c r="BQ1444" s="101"/>
      <c r="BR1444" s="101"/>
    </row>
    <row r="1445" spans="33:70">
      <c r="AG1445" s="101"/>
      <c r="AH1445" s="101"/>
      <c r="AI1445" s="101"/>
      <c r="AJ1445" s="101"/>
      <c r="AK1445" s="101"/>
      <c r="AM1445" s="195"/>
      <c r="AT1445" s="101"/>
      <c r="AU1445" s="101"/>
      <c r="AV1445" s="101"/>
      <c r="AW1445" s="101"/>
      <c r="AX1445" s="101"/>
      <c r="AY1445" s="101"/>
      <c r="AZ1445" s="101"/>
      <c r="BA1445" s="101"/>
      <c r="BB1445" s="101"/>
      <c r="BC1445" s="101"/>
      <c r="BD1445" s="101"/>
      <c r="BE1445" s="101"/>
      <c r="BF1445" s="101"/>
      <c r="BG1445" s="101"/>
      <c r="BH1445" s="101"/>
      <c r="BI1445" s="101"/>
      <c r="BJ1445" s="101"/>
      <c r="BK1445" s="101"/>
      <c r="BL1445" s="101"/>
      <c r="BM1445" s="101"/>
      <c r="BN1445" s="101"/>
      <c r="BO1445" s="101"/>
      <c r="BP1445" s="101"/>
      <c r="BQ1445" s="101"/>
      <c r="BR1445" s="101"/>
    </row>
    <row r="1446" spans="33:70">
      <c r="AG1446" s="101"/>
      <c r="AH1446" s="101"/>
      <c r="AI1446" s="101"/>
      <c r="AJ1446" s="101"/>
      <c r="AK1446" s="101"/>
      <c r="AM1446" s="195"/>
      <c r="AT1446" s="101"/>
      <c r="AU1446" s="101"/>
      <c r="AV1446" s="101"/>
      <c r="AW1446" s="101"/>
      <c r="AX1446" s="101"/>
      <c r="AY1446" s="101"/>
      <c r="AZ1446" s="101"/>
      <c r="BA1446" s="101"/>
      <c r="BB1446" s="101"/>
      <c r="BC1446" s="101"/>
      <c r="BD1446" s="101"/>
      <c r="BE1446" s="101"/>
      <c r="BF1446" s="101"/>
      <c r="BG1446" s="101"/>
      <c r="BH1446" s="101"/>
      <c r="BI1446" s="101"/>
      <c r="BJ1446" s="101"/>
      <c r="BK1446" s="101"/>
      <c r="BL1446" s="101"/>
      <c r="BM1446" s="101"/>
      <c r="BN1446" s="101"/>
      <c r="BO1446" s="101"/>
      <c r="BP1446" s="101"/>
      <c r="BQ1446" s="101"/>
      <c r="BR1446" s="101"/>
    </row>
    <row r="1447" spans="33:70">
      <c r="AG1447" s="101"/>
      <c r="AH1447" s="101"/>
      <c r="AI1447" s="101"/>
      <c r="AJ1447" s="101"/>
      <c r="AK1447" s="101"/>
      <c r="AM1447" s="195"/>
      <c r="AT1447" s="101"/>
      <c r="AU1447" s="101"/>
      <c r="AV1447" s="101"/>
      <c r="AW1447" s="101"/>
      <c r="AX1447" s="101"/>
      <c r="AY1447" s="101"/>
      <c r="AZ1447" s="101"/>
      <c r="BA1447" s="101"/>
      <c r="BB1447" s="101"/>
    </row>
    <row r="1448" spans="33:70">
      <c r="AG1448" s="101"/>
      <c r="AH1448" s="101"/>
      <c r="AI1448" s="101"/>
      <c r="AJ1448" s="101"/>
      <c r="AK1448" s="101"/>
      <c r="AM1448" s="195"/>
      <c r="AT1448" s="101"/>
      <c r="AU1448" s="101"/>
      <c r="AV1448" s="101"/>
      <c r="AW1448" s="101"/>
      <c r="AX1448" s="101"/>
      <c r="AY1448" s="101"/>
      <c r="AZ1448" s="101"/>
      <c r="BA1448" s="101"/>
    </row>
    <row r="1449" spans="33:70">
      <c r="AG1449" s="101"/>
      <c r="AH1449" s="101"/>
      <c r="AI1449" s="101"/>
      <c r="AJ1449" s="101"/>
      <c r="AK1449" s="101"/>
      <c r="AM1449" s="195"/>
      <c r="AT1449" s="101"/>
      <c r="AU1449" s="101"/>
      <c r="AV1449" s="101"/>
      <c r="AW1449" s="101"/>
      <c r="AX1449" s="101"/>
      <c r="AY1449" s="101"/>
      <c r="AZ1449" s="101"/>
      <c r="BA1449" s="101"/>
      <c r="BB1449" s="101"/>
      <c r="BD1449" s="101"/>
    </row>
    <row r="1450" spans="33:70">
      <c r="AG1450" s="101"/>
      <c r="AH1450" s="101"/>
      <c r="AI1450" s="101"/>
      <c r="AJ1450" s="101"/>
      <c r="AK1450" s="101"/>
      <c r="AM1450" s="195"/>
      <c r="AT1450" s="101"/>
      <c r="AU1450" s="101"/>
      <c r="AV1450" s="101"/>
      <c r="AW1450" s="101"/>
      <c r="AX1450" s="101"/>
      <c r="AY1450" s="101"/>
      <c r="AZ1450" s="101"/>
      <c r="BA1450" s="101"/>
      <c r="BB1450" s="101"/>
      <c r="BD1450" s="101"/>
      <c r="BE1450" s="101"/>
      <c r="BF1450" s="101"/>
      <c r="BG1450" s="101"/>
      <c r="BH1450" s="101"/>
      <c r="BI1450" s="101"/>
      <c r="BJ1450" s="101"/>
      <c r="BK1450" s="101"/>
      <c r="BL1450" s="101"/>
      <c r="BM1450" s="101"/>
      <c r="BN1450" s="101"/>
      <c r="BO1450" s="101"/>
      <c r="BP1450" s="101"/>
      <c r="BQ1450" s="101"/>
      <c r="BR1450" s="101"/>
    </row>
    <row r="1451" spans="33:70">
      <c r="AG1451" s="101"/>
      <c r="AH1451" s="101"/>
      <c r="AI1451" s="101"/>
      <c r="AJ1451" s="101"/>
      <c r="AK1451" s="101"/>
      <c r="AM1451" s="195"/>
      <c r="AT1451" s="101"/>
      <c r="AU1451" s="101"/>
      <c r="AV1451" s="101"/>
      <c r="AW1451" s="101"/>
      <c r="AX1451" s="101"/>
      <c r="AY1451" s="101"/>
      <c r="AZ1451" s="101"/>
      <c r="BA1451" s="101"/>
      <c r="BB1451" s="101"/>
      <c r="BC1451" s="101"/>
      <c r="BD1451" s="101"/>
      <c r="BE1451" s="101"/>
      <c r="BF1451" s="101"/>
      <c r="BG1451" s="101"/>
      <c r="BH1451" s="101"/>
      <c r="BI1451" s="101"/>
      <c r="BJ1451" s="101"/>
      <c r="BK1451" s="101"/>
      <c r="BL1451" s="101"/>
      <c r="BM1451" s="101"/>
      <c r="BN1451" s="101"/>
      <c r="BO1451" s="101"/>
      <c r="BP1451" s="101"/>
      <c r="BQ1451" s="101"/>
      <c r="BR1451" s="101"/>
    </row>
    <row r="1452" spans="33:70">
      <c r="AG1452" s="101"/>
      <c r="AH1452" s="101"/>
      <c r="AI1452" s="101"/>
      <c r="AJ1452" s="101"/>
      <c r="AK1452" s="101"/>
      <c r="AM1452" s="195"/>
      <c r="AT1452" s="101"/>
      <c r="AU1452" s="101"/>
      <c r="AV1452" s="101"/>
      <c r="AW1452" s="101"/>
      <c r="AX1452" s="101"/>
      <c r="AY1452" s="101"/>
      <c r="AZ1452" s="101"/>
      <c r="BA1452" s="101"/>
      <c r="BB1452" s="101"/>
      <c r="BC1452" s="101"/>
      <c r="BD1452" s="101"/>
      <c r="BE1452" s="101"/>
      <c r="BF1452" s="101"/>
      <c r="BG1452" s="101"/>
      <c r="BH1452" s="101"/>
      <c r="BI1452" s="101"/>
      <c r="BJ1452" s="101"/>
      <c r="BK1452" s="101"/>
      <c r="BL1452" s="101"/>
      <c r="BM1452" s="101"/>
      <c r="BN1452" s="101"/>
      <c r="BO1452" s="101"/>
      <c r="BP1452" s="101"/>
      <c r="BQ1452" s="101"/>
      <c r="BR1452" s="101"/>
    </row>
    <row r="1453" spans="33:70">
      <c r="AG1453" s="101"/>
      <c r="AH1453" s="101"/>
      <c r="AI1453" s="101"/>
      <c r="AJ1453" s="101"/>
      <c r="AK1453" s="101"/>
      <c r="AM1453" s="195"/>
      <c r="AT1453" s="101"/>
      <c r="AU1453" s="101"/>
      <c r="AV1453" s="101"/>
      <c r="AW1453" s="101"/>
      <c r="AX1453" s="101"/>
      <c r="AY1453" s="101"/>
      <c r="AZ1453" s="101"/>
      <c r="BA1453" s="101"/>
    </row>
    <row r="1454" spans="33:70">
      <c r="AG1454" s="101"/>
      <c r="AH1454" s="101"/>
      <c r="AI1454" s="101"/>
      <c r="AJ1454" s="101"/>
      <c r="AK1454" s="101"/>
      <c r="AM1454" s="195"/>
      <c r="AT1454" s="101"/>
      <c r="AU1454" s="101"/>
      <c r="AV1454" s="101"/>
      <c r="AW1454" s="101"/>
      <c r="AX1454" s="101"/>
      <c r="AY1454" s="101"/>
      <c r="AZ1454" s="101"/>
      <c r="BA1454" s="101"/>
    </row>
    <row r="1455" spans="33:70">
      <c r="AG1455" s="101"/>
      <c r="AH1455" s="101"/>
      <c r="AI1455" s="101"/>
      <c r="AJ1455" s="101"/>
      <c r="AK1455" s="101"/>
      <c r="AM1455" s="195"/>
      <c r="AT1455" s="101"/>
      <c r="AU1455" s="101"/>
      <c r="AV1455" s="101"/>
      <c r="AW1455" s="101"/>
      <c r="AX1455" s="101"/>
      <c r="AY1455" s="101"/>
      <c r="AZ1455" s="101"/>
      <c r="BA1455" s="101"/>
      <c r="BB1455" s="101"/>
      <c r="BD1455" s="101"/>
      <c r="BE1455" s="101"/>
      <c r="BF1455" s="101"/>
      <c r="BG1455" s="101"/>
      <c r="BH1455" s="101"/>
      <c r="BI1455" s="101"/>
      <c r="BJ1455" s="101"/>
      <c r="BK1455" s="101"/>
      <c r="BL1455" s="101"/>
      <c r="BM1455" s="101"/>
      <c r="BN1455" s="101"/>
      <c r="BO1455" s="101"/>
      <c r="BP1455" s="101"/>
      <c r="BQ1455" s="101"/>
      <c r="BR1455" s="101"/>
    </row>
    <row r="1456" spans="33:70">
      <c r="AG1456" s="101"/>
      <c r="AH1456" s="101"/>
      <c r="AI1456" s="101"/>
      <c r="AJ1456" s="101"/>
      <c r="AK1456" s="101"/>
      <c r="AM1456" s="195"/>
      <c r="AT1456" s="101"/>
      <c r="AU1456" s="101"/>
      <c r="AV1456" s="101"/>
      <c r="AW1456" s="101"/>
      <c r="AX1456" s="101"/>
      <c r="AY1456" s="101"/>
      <c r="AZ1456" s="101"/>
      <c r="BA1456" s="101"/>
      <c r="BB1456" s="101"/>
      <c r="BC1456" s="101"/>
      <c r="BD1456" s="101"/>
      <c r="BE1456" s="101"/>
      <c r="BF1456" s="101"/>
      <c r="BG1456" s="101"/>
      <c r="BH1456" s="101"/>
      <c r="BI1456" s="101"/>
      <c r="BJ1456" s="101"/>
      <c r="BK1456" s="101"/>
      <c r="BL1456" s="101"/>
      <c r="BM1456" s="101"/>
      <c r="BN1456" s="101"/>
      <c r="BO1456" s="101"/>
      <c r="BP1456" s="101"/>
      <c r="BQ1456" s="101"/>
      <c r="BR1456" s="101"/>
    </row>
    <row r="1457" spans="33:70">
      <c r="AG1457" s="101"/>
      <c r="AH1457" s="101"/>
      <c r="AI1457" s="101"/>
      <c r="AJ1457" s="101"/>
      <c r="AK1457" s="101"/>
      <c r="AM1457" s="195"/>
      <c r="AT1457" s="101"/>
      <c r="AU1457" s="101"/>
      <c r="AV1457" s="101"/>
      <c r="AW1457" s="101"/>
      <c r="AX1457" s="101"/>
      <c r="AY1457" s="101"/>
      <c r="AZ1457" s="101"/>
      <c r="BA1457" s="101"/>
      <c r="BB1457" s="101"/>
      <c r="BC1457" s="101"/>
      <c r="BD1457" s="101"/>
      <c r="BE1457" s="101"/>
      <c r="BF1457" s="101"/>
      <c r="BG1457" s="101"/>
      <c r="BH1457" s="101"/>
      <c r="BI1457" s="101"/>
      <c r="BJ1457" s="101"/>
      <c r="BK1457" s="101"/>
      <c r="BL1457" s="101"/>
      <c r="BM1457" s="101"/>
      <c r="BN1457" s="101"/>
      <c r="BO1457" s="101"/>
      <c r="BP1457" s="101"/>
      <c r="BQ1457" s="101"/>
      <c r="BR1457" s="101"/>
    </row>
    <row r="1458" spans="33:70">
      <c r="AG1458" s="101"/>
      <c r="AH1458" s="101"/>
      <c r="AI1458" s="101"/>
      <c r="AJ1458" s="101"/>
      <c r="AK1458" s="101"/>
      <c r="AM1458" s="195"/>
      <c r="AT1458" s="101"/>
      <c r="AU1458" s="101"/>
      <c r="AV1458" s="101"/>
      <c r="AW1458" s="101"/>
      <c r="AX1458" s="101"/>
      <c r="AY1458" s="101"/>
      <c r="AZ1458" s="101"/>
      <c r="BA1458" s="101"/>
    </row>
    <row r="1459" spans="33:70">
      <c r="AG1459" s="101"/>
      <c r="AH1459" s="101"/>
      <c r="AI1459" s="101"/>
      <c r="AJ1459" s="101"/>
      <c r="AK1459" s="101"/>
      <c r="AM1459" s="195"/>
      <c r="AT1459" s="101"/>
      <c r="AU1459" s="101"/>
      <c r="AV1459" s="101"/>
      <c r="AW1459" s="101"/>
      <c r="AX1459" s="101"/>
      <c r="AY1459" s="101"/>
      <c r="AZ1459" s="101"/>
      <c r="BA1459" s="101"/>
      <c r="BB1459" s="101"/>
      <c r="BC1459" s="101"/>
      <c r="BD1459" s="101"/>
      <c r="BE1459" s="101"/>
      <c r="BF1459" s="101"/>
      <c r="BG1459" s="101"/>
      <c r="BH1459" s="101"/>
      <c r="BI1459" s="101"/>
      <c r="BJ1459" s="101"/>
      <c r="BK1459" s="101"/>
      <c r="BL1459" s="101"/>
      <c r="BM1459" s="101"/>
      <c r="BN1459" s="101"/>
      <c r="BO1459" s="101"/>
      <c r="BP1459" s="101"/>
      <c r="BQ1459" s="101"/>
      <c r="BR1459" s="101"/>
    </row>
    <row r="1460" spans="33:70">
      <c r="AG1460" s="101"/>
      <c r="AH1460" s="101"/>
      <c r="AI1460" s="101"/>
      <c r="AJ1460" s="101"/>
      <c r="AK1460" s="101"/>
      <c r="AM1460" s="195"/>
      <c r="AT1460" s="101"/>
      <c r="AU1460" s="101"/>
      <c r="AV1460" s="101"/>
      <c r="AW1460" s="101"/>
      <c r="AX1460" s="101"/>
      <c r="AY1460" s="101"/>
      <c r="AZ1460" s="101"/>
      <c r="BA1460" s="101"/>
      <c r="BB1460" s="101"/>
    </row>
    <row r="1461" spans="33:70">
      <c r="AG1461" s="101"/>
      <c r="AH1461" s="101"/>
      <c r="AI1461" s="101"/>
      <c r="AJ1461" s="101"/>
      <c r="AK1461" s="101"/>
      <c r="AM1461" s="195"/>
      <c r="AT1461" s="101"/>
      <c r="AU1461" s="101"/>
      <c r="AV1461" s="101"/>
      <c r="AW1461" s="101"/>
      <c r="AX1461" s="101"/>
      <c r="AY1461" s="101"/>
      <c r="AZ1461" s="101"/>
      <c r="BA1461" s="101"/>
      <c r="BB1461" s="101"/>
    </row>
    <row r="1462" spans="33:70">
      <c r="AG1462" s="101"/>
      <c r="AH1462" s="101"/>
      <c r="AI1462" s="101"/>
      <c r="AJ1462" s="101"/>
      <c r="AK1462" s="101"/>
      <c r="AM1462" s="195"/>
      <c r="AT1462" s="101"/>
      <c r="AU1462" s="101"/>
      <c r="AV1462" s="101"/>
      <c r="AW1462" s="101"/>
      <c r="AX1462" s="101"/>
      <c r="AY1462" s="101"/>
      <c r="AZ1462" s="101"/>
      <c r="BA1462" s="101"/>
      <c r="BB1462" s="101"/>
    </row>
    <row r="1463" spans="33:70">
      <c r="AG1463" s="101"/>
      <c r="AH1463" s="101"/>
      <c r="AI1463" s="101"/>
      <c r="AJ1463" s="101"/>
      <c r="AK1463" s="101"/>
      <c r="AM1463" s="195"/>
      <c r="AT1463" s="101"/>
      <c r="AU1463" s="101"/>
      <c r="AV1463" s="101"/>
      <c r="AW1463" s="101"/>
      <c r="AX1463" s="101"/>
      <c r="AY1463" s="101"/>
      <c r="AZ1463" s="101"/>
      <c r="BA1463" s="101"/>
      <c r="BB1463" s="101"/>
      <c r="BC1463" s="101"/>
      <c r="BD1463" s="101"/>
      <c r="BE1463" s="101"/>
      <c r="BF1463" s="101"/>
      <c r="BG1463" s="101"/>
      <c r="BH1463" s="101"/>
      <c r="BI1463" s="101"/>
      <c r="BJ1463" s="101"/>
      <c r="BK1463" s="101"/>
      <c r="BL1463" s="101"/>
      <c r="BM1463" s="101"/>
      <c r="BN1463" s="101"/>
      <c r="BO1463" s="101"/>
      <c r="BP1463" s="101"/>
      <c r="BQ1463" s="101"/>
      <c r="BR1463" s="101"/>
    </row>
    <row r="1464" spans="33:70">
      <c r="AG1464" s="101"/>
      <c r="AH1464" s="101"/>
      <c r="AI1464" s="101"/>
      <c r="AJ1464" s="101"/>
      <c r="AK1464" s="101"/>
      <c r="AM1464" s="195"/>
      <c r="AT1464" s="101"/>
      <c r="AU1464" s="101"/>
      <c r="AV1464" s="101"/>
      <c r="AW1464" s="101"/>
      <c r="AX1464" s="101"/>
      <c r="AY1464" s="101"/>
      <c r="AZ1464" s="101"/>
      <c r="BA1464" s="101"/>
      <c r="BB1464" s="101"/>
      <c r="BC1464" s="101"/>
      <c r="BD1464" s="101"/>
      <c r="BE1464" s="101"/>
      <c r="BF1464" s="101"/>
      <c r="BG1464" s="101"/>
      <c r="BH1464" s="101"/>
      <c r="BI1464" s="101"/>
      <c r="BJ1464" s="101"/>
      <c r="BK1464" s="101"/>
      <c r="BL1464" s="101"/>
      <c r="BM1464" s="101"/>
      <c r="BN1464" s="101"/>
      <c r="BO1464" s="101"/>
      <c r="BP1464" s="101"/>
      <c r="BQ1464" s="101"/>
      <c r="BR1464" s="101"/>
    </row>
    <row r="1465" spans="33:70">
      <c r="AG1465" s="101"/>
      <c r="AH1465" s="101"/>
      <c r="AI1465" s="101"/>
      <c r="AJ1465" s="101"/>
      <c r="AK1465" s="101"/>
      <c r="AM1465" s="195"/>
      <c r="AT1465" s="101"/>
      <c r="AU1465" s="101"/>
      <c r="AV1465" s="101"/>
      <c r="AW1465" s="101"/>
      <c r="AX1465" s="101"/>
      <c r="AY1465" s="101"/>
      <c r="AZ1465" s="101"/>
      <c r="BA1465" s="101"/>
    </row>
    <row r="1466" spans="33:70">
      <c r="AG1466" s="101"/>
      <c r="AH1466" s="101"/>
      <c r="AI1466" s="101"/>
      <c r="AJ1466" s="101"/>
      <c r="AK1466" s="101"/>
      <c r="AM1466" s="195"/>
      <c r="AT1466" s="101"/>
      <c r="AU1466" s="101"/>
      <c r="AV1466" s="101"/>
      <c r="AW1466" s="101"/>
      <c r="AX1466" s="101"/>
      <c r="AY1466" s="101"/>
      <c r="AZ1466" s="101"/>
      <c r="BA1466" s="101"/>
      <c r="BB1466" s="101"/>
      <c r="BC1466" s="101"/>
      <c r="BD1466" s="101"/>
      <c r="BE1466" s="101"/>
      <c r="BF1466" s="101"/>
      <c r="BG1466" s="101"/>
      <c r="BH1466" s="101"/>
      <c r="BI1466" s="101"/>
      <c r="BJ1466" s="101"/>
      <c r="BK1466" s="101"/>
      <c r="BL1466" s="101"/>
      <c r="BM1466" s="101"/>
      <c r="BN1466" s="101"/>
      <c r="BO1466" s="101"/>
      <c r="BP1466" s="101"/>
      <c r="BQ1466" s="101"/>
      <c r="BR1466" s="101"/>
    </row>
    <row r="1467" spans="33:70">
      <c r="AG1467" s="101"/>
      <c r="AH1467" s="101"/>
      <c r="AI1467" s="101"/>
      <c r="AJ1467" s="101"/>
      <c r="AK1467" s="101"/>
      <c r="AM1467" s="195"/>
      <c r="AT1467" s="101"/>
      <c r="AU1467" s="101"/>
      <c r="AV1467" s="101"/>
      <c r="AW1467" s="101"/>
      <c r="AX1467" s="101"/>
      <c r="AY1467" s="101"/>
      <c r="AZ1467" s="101"/>
      <c r="BA1467" s="101"/>
      <c r="BB1467" s="101"/>
    </row>
    <row r="1468" spans="33:70">
      <c r="AG1468" s="101"/>
      <c r="AH1468" s="101"/>
      <c r="AI1468" s="101"/>
      <c r="AJ1468" s="101"/>
      <c r="AK1468" s="101"/>
      <c r="AM1468" s="195"/>
      <c r="AT1468" s="101"/>
      <c r="AU1468" s="101"/>
      <c r="AV1468" s="101"/>
      <c r="AW1468" s="101"/>
      <c r="AX1468" s="101"/>
      <c r="AY1468" s="101"/>
      <c r="AZ1468" s="101"/>
      <c r="BA1468" s="101"/>
      <c r="BB1468" s="101"/>
    </row>
    <row r="1469" spans="33:70">
      <c r="AG1469" s="101"/>
      <c r="AH1469" s="101"/>
      <c r="AI1469" s="101"/>
      <c r="AJ1469" s="101"/>
      <c r="AK1469" s="101"/>
      <c r="AM1469" s="195"/>
      <c r="AT1469" s="101"/>
      <c r="AU1469" s="101"/>
      <c r="AV1469" s="101"/>
      <c r="AW1469" s="101"/>
      <c r="AX1469" s="101"/>
      <c r="AY1469" s="101"/>
      <c r="AZ1469" s="101"/>
      <c r="BA1469" s="101"/>
    </row>
    <row r="1470" spans="33:70">
      <c r="AG1470" s="101"/>
      <c r="AH1470" s="101"/>
      <c r="AI1470" s="101"/>
      <c r="AJ1470" s="101"/>
      <c r="AK1470" s="101"/>
      <c r="AM1470" s="195"/>
      <c r="AT1470" s="101"/>
      <c r="AU1470" s="101"/>
      <c r="AV1470" s="101"/>
      <c r="AW1470" s="101"/>
      <c r="AX1470" s="101"/>
      <c r="AY1470" s="101"/>
      <c r="AZ1470" s="101"/>
      <c r="BA1470" s="101"/>
      <c r="BB1470" s="101"/>
      <c r="BD1470" s="101"/>
      <c r="BE1470" s="101"/>
      <c r="BF1470" s="101"/>
      <c r="BG1470" s="101"/>
      <c r="BH1470" s="101"/>
      <c r="BI1470" s="101"/>
      <c r="BJ1470" s="101"/>
      <c r="BK1470" s="101"/>
      <c r="BL1470" s="101"/>
      <c r="BM1470" s="101"/>
      <c r="BN1470" s="101"/>
      <c r="BO1470" s="101"/>
      <c r="BP1470" s="101"/>
      <c r="BQ1470" s="101"/>
      <c r="BR1470" s="101"/>
    </row>
    <row r="1471" spans="33:70">
      <c r="AG1471" s="101"/>
      <c r="AH1471" s="101"/>
      <c r="AI1471" s="101"/>
      <c r="AJ1471" s="101"/>
      <c r="AK1471" s="101"/>
      <c r="AM1471" s="195"/>
      <c r="AT1471" s="101"/>
      <c r="AU1471" s="101"/>
      <c r="AV1471" s="101"/>
      <c r="AW1471" s="101"/>
      <c r="AX1471" s="101"/>
      <c r="AY1471" s="101"/>
      <c r="AZ1471" s="101"/>
      <c r="BA1471" s="101"/>
      <c r="BB1471" s="101"/>
      <c r="BD1471" s="101"/>
    </row>
    <row r="1472" spans="33:70">
      <c r="AG1472" s="101"/>
      <c r="AH1472" s="101"/>
      <c r="AI1472" s="101"/>
      <c r="AJ1472" s="101"/>
      <c r="AK1472" s="101"/>
      <c r="AM1472" s="195"/>
      <c r="AT1472" s="101"/>
      <c r="AU1472" s="101"/>
      <c r="AV1472" s="101"/>
      <c r="AW1472" s="101"/>
      <c r="AX1472" s="101"/>
      <c r="AY1472" s="101"/>
      <c r="AZ1472" s="101"/>
      <c r="BA1472" s="101"/>
      <c r="BB1472" s="101"/>
      <c r="BD1472" s="101"/>
    </row>
    <row r="1473" spans="33:70">
      <c r="AG1473" s="101"/>
      <c r="AH1473" s="101"/>
      <c r="AI1473" s="101"/>
      <c r="AJ1473" s="101"/>
      <c r="AK1473" s="101"/>
      <c r="AM1473" s="195"/>
      <c r="AT1473" s="101"/>
      <c r="AU1473" s="101"/>
      <c r="AV1473" s="101"/>
      <c r="AW1473" s="101"/>
      <c r="AX1473" s="101"/>
      <c r="AY1473" s="101"/>
      <c r="AZ1473" s="101"/>
      <c r="BA1473" s="101"/>
      <c r="BB1473" s="101"/>
      <c r="BC1473" s="101"/>
      <c r="BD1473" s="101"/>
      <c r="BE1473" s="101"/>
      <c r="BF1473" s="101"/>
      <c r="BG1473" s="101"/>
      <c r="BH1473" s="101"/>
      <c r="BI1473" s="101"/>
      <c r="BJ1473" s="101"/>
      <c r="BK1473" s="101"/>
      <c r="BL1473" s="101"/>
      <c r="BM1473" s="101"/>
      <c r="BN1473" s="101"/>
      <c r="BO1473" s="101"/>
      <c r="BP1473" s="101"/>
      <c r="BQ1473" s="101"/>
      <c r="BR1473" s="101"/>
    </row>
    <row r="1474" spans="33:70">
      <c r="AG1474" s="101"/>
      <c r="AH1474" s="101"/>
      <c r="AI1474" s="101"/>
      <c r="AJ1474" s="101"/>
      <c r="AK1474" s="101"/>
      <c r="AM1474" s="195"/>
      <c r="AT1474" s="101"/>
      <c r="AU1474" s="101"/>
      <c r="AV1474" s="101"/>
      <c r="AW1474" s="101"/>
      <c r="AX1474" s="101"/>
      <c r="AY1474" s="101"/>
      <c r="AZ1474" s="101"/>
      <c r="BA1474" s="101"/>
      <c r="BB1474" s="101"/>
      <c r="BC1474" s="101"/>
      <c r="BD1474" s="101"/>
      <c r="BE1474" s="101"/>
      <c r="BF1474" s="101"/>
      <c r="BG1474" s="101"/>
      <c r="BH1474" s="101"/>
      <c r="BI1474" s="101"/>
      <c r="BJ1474" s="101"/>
      <c r="BK1474" s="101"/>
      <c r="BL1474" s="101"/>
      <c r="BM1474" s="101"/>
      <c r="BN1474" s="101"/>
      <c r="BO1474" s="101"/>
      <c r="BP1474" s="101"/>
      <c r="BQ1474" s="101"/>
      <c r="BR1474" s="101"/>
    </row>
    <row r="1475" spans="33:70">
      <c r="AG1475" s="101"/>
      <c r="AH1475" s="101"/>
      <c r="AI1475" s="101"/>
      <c r="AJ1475" s="101"/>
      <c r="AK1475" s="101"/>
      <c r="AM1475" s="195"/>
      <c r="AT1475" s="101"/>
      <c r="AU1475" s="101"/>
      <c r="AV1475" s="101"/>
      <c r="AW1475" s="101"/>
      <c r="AX1475" s="101"/>
      <c r="AY1475" s="101"/>
      <c r="AZ1475" s="101"/>
      <c r="BA1475" s="101"/>
      <c r="BB1475" s="101"/>
      <c r="BC1475" s="101"/>
      <c r="BD1475" s="101"/>
      <c r="BE1475" s="101"/>
      <c r="BF1475" s="101"/>
      <c r="BG1475" s="101"/>
      <c r="BH1475" s="101"/>
      <c r="BI1475" s="101"/>
      <c r="BJ1475" s="101"/>
      <c r="BK1475" s="101"/>
      <c r="BL1475" s="101"/>
      <c r="BM1475" s="101"/>
      <c r="BN1475" s="101"/>
      <c r="BO1475" s="101"/>
      <c r="BP1475" s="101"/>
      <c r="BQ1475" s="101"/>
      <c r="BR1475" s="101"/>
    </row>
    <row r="1476" spans="33:70">
      <c r="AG1476" s="101"/>
      <c r="AH1476" s="101"/>
      <c r="AI1476" s="101"/>
      <c r="AJ1476" s="101"/>
      <c r="AK1476" s="101"/>
      <c r="AM1476" s="195"/>
      <c r="AT1476" s="101"/>
      <c r="AU1476" s="101"/>
      <c r="AV1476" s="101"/>
      <c r="AW1476" s="101"/>
      <c r="AX1476" s="101"/>
      <c r="AY1476" s="101"/>
      <c r="AZ1476" s="101"/>
      <c r="BA1476" s="101"/>
      <c r="BB1476" s="101"/>
      <c r="BC1476" s="101"/>
      <c r="BD1476" s="101"/>
      <c r="BE1476" s="101"/>
      <c r="BF1476" s="101"/>
      <c r="BG1476" s="101"/>
      <c r="BH1476" s="101"/>
      <c r="BI1476" s="101"/>
      <c r="BJ1476" s="101"/>
      <c r="BK1476" s="101"/>
      <c r="BL1476" s="101"/>
      <c r="BM1476" s="101"/>
      <c r="BN1476" s="101"/>
      <c r="BO1476" s="101"/>
      <c r="BP1476" s="101"/>
      <c r="BQ1476" s="101"/>
      <c r="BR1476" s="101"/>
    </row>
    <row r="1477" spans="33:70">
      <c r="AG1477" s="101"/>
      <c r="AH1477" s="101"/>
      <c r="AI1477" s="101"/>
      <c r="AJ1477" s="101"/>
      <c r="AK1477" s="101"/>
      <c r="AM1477" s="195"/>
      <c r="AT1477" s="101"/>
      <c r="AU1477" s="101"/>
      <c r="AV1477" s="101"/>
      <c r="AW1477" s="101"/>
      <c r="AX1477" s="101"/>
      <c r="AY1477" s="101"/>
      <c r="AZ1477" s="101"/>
      <c r="BA1477" s="101"/>
      <c r="BB1477" s="101"/>
    </row>
    <row r="1478" spans="33:70">
      <c r="AG1478" s="101"/>
      <c r="AH1478" s="101"/>
      <c r="AI1478" s="101"/>
      <c r="AJ1478" s="101"/>
      <c r="AK1478" s="101"/>
      <c r="AM1478" s="195"/>
      <c r="AT1478" s="101"/>
      <c r="AU1478" s="101"/>
      <c r="AV1478" s="101"/>
      <c r="AW1478" s="101"/>
      <c r="AX1478" s="101"/>
      <c r="AY1478" s="101"/>
      <c r="AZ1478" s="101"/>
      <c r="BA1478" s="101"/>
    </row>
    <row r="1479" spans="33:70">
      <c r="AG1479" s="101"/>
      <c r="AH1479" s="101"/>
      <c r="AI1479" s="101"/>
      <c r="AJ1479" s="101"/>
      <c r="AK1479" s="101"/>
      <c r="AM1479" s="195"/>
      <c r="AT1479" s="101"/>
      <c r="AU1479" s="101"/>
      <c r="AV1479" s="101"/>
      <c r="AW1479" s="101"/>
      <c r="AX1479" s="101"/>
      <c r="AY1479" s="101"/>
      <c r="AZ1479" s="101"/>
      <c r="BA1479" s="101"/>
    </row>
    <row r="1480" spans="33:70">
      <c r="AG1480" s="101"/>
      <c r="AH1480" s="101"/>
      <c r="AI1480" s="101"/>
      <c r="AJ1480" s="101"/>
      <c r="AK1480" s="101"/>
      <c r="AM1480" s="195"/>
      <c r="AT1480" s="101"/>
      <c r="AU1480" s="101"/>
      <c r="AV1480" s="101"/>
      <c r="AW1480" s="101"/>
      <c r="AX1480" s="101"/>
      <c r="AY1480" s="101"/>
      <c r="AZ1480" s="101"/>
      <c r="BA1480" s="101"/>
      <c r="BB1480" s="101"/>
    </row>
    <row r="1481" spans="33:70">
      <c r="AG1481" s="101"/>
      <c r="AH1481" s="101"/>
      <c r="AI1481" s="101"/>
      <c r="AJ1481" s="101"/>
      <c r="AK1481" s="101"/>
      <c r="AM1481" s="195"/>
      <c r="AT1481" s="101"/>
      <c r="AU1481" s="101"/>
      <c r="AV1481" s="101"/>
      <c r="AW1481" s="101"/>
      <c r="AX1481" s="101"/>
      <c r="AY1481" s="101"/>
      <c r="AZ1481" s="101"/>
      <c r="BA1481" s="101"/>
      <c r="BB1481" s="101"/>
      <c r="BC1481" s="101"/>
      <c r="BD1481" s="101"/>
      <c r="BE1481" s="101"/>
      <c r="BF1481" s="101"/>
      <c r="BG1481" s="101"/>
      <c r="BH1481" s="101"/>
      <c r="BI1481" s="101"/>
      <c r="BJ1481" s="101"/>
      <c r="BK1481" s="101"/>
      <c r="BL1481" s="101"/>
      <c r="BM1481" s="101"/>
      <c r="BN1481" s="101"/>
      <c r="BO1481" s="101"/>
      <c r="BP1481" s="101"/>
      <c r="BQ1481" s="101"/>
      <c r="BR1481" s="101"/>
    </row>
    <row r="1482" spans="33:70">
      <c r="AG1482" s="101"/>
      <c r="AH1482" s="101"/>
      <c r="AI1482" s="101"/>
      <c r="AJ1482" s="101"/>
      <c r="AK1482" s="101"/>
      <c r="AM1482" s="195"/>
      <c r="AT1482" s="101"/>
      <c r="AU1482" s="101"/>
      <c r="AV1482" s="101"/>
      <c r="AW1482" s="101"/>
      <c r="AX1482" s="101"/>
      <c r="AY1482" s="101"/>
      <c r="AZ1482" s="101"/>
      <c r="BA1482" s="101"/>
      <c r="BB1482" s="101"/>
      <c r="BC1482" s="101"/>
      <c r="BD1482" s="101"/>
      <c r="BE1482" s="101"/>
      <c r="BF1482" s="101"/>
      <c r="BG1482" s="101"/>
      <c r="BH1482" s="101"/>
      <c r="BI1482" s="101"/>
      <c r="BJ1482" s="101"/>
      <c r="BK1482" s="101"/>
      <c r="BL1482" s="101"/>
      <c r="BM1482" s="101"/>
      <c r="BN1482" s="101"/>
      <c r="BO1482" s="101"/>
      <c r="BP1482" s="101"/>
      <c r="BQ1482" s="101"/>
      <c r="BR1482" s="101"/>
    </row>
    <row r="1483" spans="33:70">
      <c r="AG1483" s="101"/>
      <c r="AH1483" s="101"/>
      <c r="AI1483" s="101"/>
      <c r="AJ1483" s="101"/>
      <c r="AK1483" s="101"/>
      <c r="AM1483" s="195"/>
      <c r="AT1483" s="101"/>
      <c r="AU1483" s="101"/>
      <c r="AV1483" s="101"/>
      <c r="AW1483" s="101"/>
      <c r="AX1483" s="101"/>
      <c r="AY1483" s="101"/>
      <c r="AZ1483" s="101"/>
      <c r="BA1483" s="101"/>
    </row>
    <row r="1484" spans="33:70">
      <c r="AG1484" s="101"/>
      <c r="AH1484" s="101"/>
      <c r="AI1484" s="101"/>
      <c r="AJ1484" s="101"/>
      <c r="AK1484" s="101"/>
      <c r="AM1484" s="195"/>
      <c r="AT1484" s="101"/>
      <c r="AU1484" s="101"/>
      <c r="AV1484" s="101"/>
      <c r="AW1484" s="101"/>
      <c r="AX1484" s="101"/>
      <c r="AY1484" s="101"/>
      <c r="AZ1484" s="101"/>
      <c r="BA1484" s="101"/>
      <c r="BB1484" s="101"/>
      <c r="BD1484" s="101"/>
    </row>
    <row r="1485" spans="33:70">
      <c r="AG1485" s="101"/>
      <c r="AH1485" s="101"/>
      <c r="AI1485" s="101"/>
      <c r="AJ1485" s="101"/>
      <c r="AK1485" s="101"/>
      <c r="AM1485" s="195"/>
      <c r="AT1485" s="101"/>
      <c r="AU1485" s="101"/>
      <c r="AV1485" s="101"/>
      <c r="AW1485" s="101"/>
      <c r="AX1485" s="101"/>
      <c r="AY1485" s="101"/>
      <c r="AZ1485" s="101"/>
      <c r="BA1485" s="101"/>
      <c r="BB1485" s="101"/>
    </row>
    <row r="1486" spans="33:70">
      <c r="AG1486" s="101"/>
      <c r="AH1486" s="101"/>
      <c r="AI1486" s="101"/>
      <c r="AJ1486" s="101"/>
      <c r="AK1486" s="101"/>
      <c r="AM1486" s="195"/>
      <c r="AT1486" s="101"/>
      <c r="AU1486" s="101"/>
      <c r="AV1486" s="101"/>
      <c r="AW1486" s="101"/>
      <c r="AX1486" s="101"/>
      <c r="AY1486" s="101"/>
      <c r="AZ1486" s="101"/>
      <c r="BA1486" s="101"/>
    </row>
    <row r="1487" spans="33:70">
      <c r="AG1487" s="101"/>
      <c r="AH1487" s="101"/>
      <c r="AI1487" s="101"/>
      <c r="AJ1487" s="101"/>
      <c r="AK1487" s="101"/>
      <c r="AM1487" s="195"/>
      <c r="AT1487" s="101"/>
      <c r="AU1487" s="101"/>
      <c r="AV1487" s="101"/>
      <c r="AW1487" s="101"/>
      <c r="AX1487" s="101"/>
      <c r="AY1487" s="101"/>
      <c r="AZ1487" s="101"/>
      <c r="BA1487" s="101"/>
    </row>
    <row r="1488" spans="33:70">
      <c r="AG1488" s="101"/>
      <c r="AH1488" s="101"/>
      <c r="AI1488" s="101"/>
      <c r="AJ1488" s="101"/>
      <c r="AK1488" s="101"/>
      <c r="AM1488" s="195"/>
      <c r="AT1488" s="101"/>
      <c r="AU1488" s="101"/>
      <c r="AV1488" s="101"/>
      <c r="AW1488" s="101"/>
      <c r="AX1488" s="101"/>
      <c r="AY1488" s="101"/>
      <c r="AZ1488" s="101"/>
      <c r="BA1488" s="101"/>
    </row>
    <row r="1489" spans="33:70">
      <c r="AG1489" s="101"/>
      <c r="AH1489" s="101"/>
      <c r="AI1489" s="101"/>
      <c r="AJ1489" s="101"/>
      <c r="AK1489" s="101"/>
      <c r="AM1489" s="195"/>
      <c r="AT1489" s="101"/>
      <c r="AU1489" s="101"/>
      <c r="AV1489" s="101"/>
      <c r="AW1489" s="101"/>
      <c r="AX1489" s="101"/>
      <c r="AY1489" s="101"/>
      <c r="AZ1489" s="101"/>
      <c r="BA1489" s="101"/>
    </row>
    <row r="1490" spans="33:70">
      <c r="AG1490" s="101"/>
      <c r="AH1490" s="101"/>
      <c r="AI1490" s="101"/>
      <c r="AJ1490" s="101"/>
      <c r="AK1490" s="101"/>
      <c r="AM1490" s="195"/>
      <c r="AT1490" s="101"/>
      <c r="AU1490" s="101"/>
      <c r="AV1490" s="101"/>
      <c r="AW1490" s="101"/>
      <c r="AX1490" s="101"/>
      <c r="AY1490" s="101"/>
      <c r="AZ1490" s="101"/>
      <c r="BA1490" s="101"/>
      <c r="BB1490" s="101"/>
      <c r="BC1490" s="101"/>
      <c r="BD1490" s="101"/>
      <c r="BE1490" s="101"/>
      <c r="BF1490" s="101"/>
      <c r="BG1490" s="101"/>
      <c r="BH1490" s="101"/>
      <c r="BI1490" s="101"/>
      <c r="BJ1490" s="101"/>
      <c r="BK1490" s="101"/>
      <c r="BL1490" s="101"/>
      <c r="BM1490" s="101"/>
      <c r="BN1490" s="101"/>
      <c r="BO1490" s="101"/>
      <c r="BP1490" s="101"/>
      <c r="BQ1490" s="101"/>
      <c r="BR1490" s="101"/>
    </row>
    <row r="1491" spans="33:70">
      <c r="AG1491" s="101"/>
      <c r="AH1491" s="101"/>
      <c r="AI1491" s="101"/>
      <c r="AJ1491" s="101"/>
      <c r="AK1491" s="101"/>
      <c r="AM1491" s="195"/>
      <c r="AT1491" s="101"/>
      <c r="AU1491" s="101"/>
      <c r="AV1491" s="101"/>
      <c r="AW1491" s="101"/>
      <c r="AX1491" s="101"/>
      <c r="AY1491" s="101"/>
      <c r="AZ1491" s="101"/>
      <c r="BA1491" s="101"/>
    </row>
    <row r="1492" spans="33:70">
      <c r="AG1492" s="101"/>
      <c r="AH1492" s="101"/>
      <c r="AI1492" s="101"/>
      <c r="AJ1492" s="101"/>
      <c r="AK1492" s="101"/>
      <c r="AM1492" s="195"/>
      <c r="AT1492" s="101"/>
      <c r="AU1492" s="101"/>
      <c r="AV1492" s="101"/>
      <c r="AW1492" s="101"/>
      <c r="AX1492" s="101"/>
      <c r="AY1492" s="101"/>
      <c r="AZ1492" s="101"/>
      <c r="BA1492" s="101"/>
      <c r="BB1492" s="101"/>
      <c r="BC1492" s="101"/>
      <c r="BD1492" s="101"/>
      <c r="BE1492" s="101"/>
      <c r="BF1492" s="101"/>
      <c r="BG1492" s="101"/>
      <c r="BH1492" s="101"/>
      <c r="BI1492" s="101"/>
      <c r="BJ1492" s="101"/>
      <c r="BK1492" s="101"/>
      <c r="BL1492" s="101"/>
      <c r="BM1492" s="101"/>
      <c r="BN1492" s="101"/>
      <c r="BO1492" s="101"/>
      <c r="BP1492" s="101"/>
      <c r="BQ1492" s="101"/>
      <c r="BR1492" s="101"/>
    </row>
    <row r="1493" spans="33:70">
      <c r="AG1493" s="101"/>
      <c r="AH1493" s="101"/>
      <c r="AI1493" s="101"/>
      <c r="AJ1493" s="101"/>
      <c r="AK1493" s="101"/>
      <c r="AM1493" s="195"/>
      <c r="AT1493" s="101"/>
      <c r="AU1493" s="101"/>
      <c r="AV1493" s="101"/>
      <c r="AW1493" s="101"/>
      <c r="AX1493" s="101"/>
      <c r="AY1493" s="101"/>
      <c r="AZ1493" s="101"/>
      <c r="BA1493" s="101"/>
      <c r="BB1493" s="101"/>
      <c r="BD1493" s="101"/>
    </row>
    <row r="1494" spans="33:70">
      <c r="AG1494" s="101"/>
      <c r="AH1494" s="101"/>
      <c r="AI1494" s="101"/>
      <c r="AJ1494" s="101"/>
      <c r="AK1494" s="101"/>
      <c r="AM1494" s="195"/>
      <c r="AT1494" s="101"/>
      <c r="AU1494" s="101"/>
      <c r="AV1494" s="101"/>
      <c r="AW1494" s="101"/>
      <c r="AX1494" s="101"/>
      <c r="AY1494" s="101"/>
      <c r="AZ1494" s="101"/>
      <c r="BA1494" s="101"/>
      <c r="BB1494" s="101"/>
    </row>
    <row r="1495" spans="33:70">
      <c r="AG1495" s="101"/>
      <c r="AH1495" s="101"/>
      <c r="AI1495" s="101"/>
      <c r="AJ1495" s="101"/>
      <c r="AK1495" s="101"/>
      <c r="AM1495" s="195"/>
      <c r="AT1495" s="101"/>
      <c r="AU1495" s="101"/>
      <c r="AV1495" s="101"/>
      <c r="AW1495" s="101"/>
      <c r="AX1495" s="101"/>
      <c r="AY1495" s="101"/>
      <c r="AZ1495" s="101"/>
      <c r="BA1495" s="101"/>
      <c r="BB1495" s="101"/>
    </row>
    <row r="1496" spans="33:70">
      <c r="AG1496" s="101"/>
      <c r="AH1496" s="101"/>
      <c r="AI1496" s="101"/>
      <c r="AJ1496" s="101"/>
      <c r="AK1496" s="101"/>
      <c r="AM1496" s="195"/>
      <c r="AT1496" s="101"/>
      <c r="AU1496" s="101"/>
      <c r="AV1496" s="101"/>
      <c r="AW1496" s="101"/>
      <c r="AX1496" s="101"/>
      <c r="AY1496" s="101"/>
      <c r="AZ1496" s="101"/>
      <c r="BA1496" s="101"/>
      <c r="BB1496" s="101"/>
      <c r="BD1496" s="101"/>
    </row>
    <row r="1497" spans="33:70">
      <c r="AG1497" s="101"/>
      <c r="AH1497" s="101"/>
      <c r="AI1497" s="101"/>
      <c r="AJ1497" s="101"/>
      <c r="AK1497" s="101"/>
      <c r="AM1497" s="195"/>
      <c r="AT1497" s="101"/>
      <c r="AU1497" s="101"/>
      <c r="AV1497" s="101"/>
      <c r="AW1497" s="101"/>
      <c r="AX1497" s="101"/>
      <c r="AY1497" s="101"/>
      <c r="AZ1497" s="101"/>
      <c r="BA1497" s="101"/>
      <c r="BB1497" s="101"/>
      <c r="BC1497" s="101"/>
      <c r="BD1497" s="101"/>
      <c r="BE1497" s="101"/>
      <c r="BF1497" s="101"/>
      <c r="BG1497" s="101"/>
      <c r="BH1497" s="101"/>
      <c r="BI1497" s="101"/>
      <c r="BJ1497" s="101"/>
      <c r="BK1497" s="101"/>
      <c r="BL1497" s="101"/>
      <c r="BM1497" s="101"/>
      <c r="BN1497" s="101"/>
      <c r="BO1497" s="101"/>
      <c r="BP1497" s="101"/>
      <c r="BQ1497" s="101"/>
      <c r="BR1497" s="101"/>
    </row>
    <row r="1498" spans="33:70">
      <c r="AG1498" s="101"/>
      <c r="AH1498" s="101"/>
      <c r="AI1498" s="101"/>
      <c r="AJ1498" s="101"/>
      <c r="AK1498" s="101"/>
      <c r="AM1498" s="195"/>
      <c r="AT1498" s="101"/>
      <c r="AU1498" s="101"/>
      <c r="AV1498" s="101"/>
      <c r="AW1498" s="101"/>
      <c r="AX1498" s="101"/>
      <c r="AY1498" s="101"/>
      <c r="AZ1498" s="101"/>
      <c r="BA1498" s="101"/>
      <c r="BB1498" s="101"/>
    </row>
    <row r="1499" spans="33:70">
      <c r="AG1499" s="101"/>
      <c r="AH1499" s="101"/>
      <c r="AI1499" s="101"/>
      <c r="AJ1499" s="101"/>
      <c r="AK1499" s="101"/>
      <c r="AM1499" s="195"/>
      <c r="AT1499" s="101"/>
      <c r="AU1499" s="101"/>
      <c r="AV1499" s="101"/>
      <c r="AW1499" s="101"/>
      <c r="AX1499" s="101"/>
      <c r="AY1499" s="101"/>
      <c r="AZ1499" s="101"/>
      <c r="BA1499" s="101"/>
      <c r="BB1499" s="101"/>
      <c r="BD1499" s="101"/>
    </row>
    <row r="1500" spans="33:70">
      <c r="AG1500" s="101"/>
      <c r="AH1500" s="101"/>
      <c r="AI1500" s="101"/>
      <c r="AJ1500" s="101"/>
      <c r="AK1500" s="101"/>
      <c r="AM1500" s="195"/>
      <c r="AT1500" s="101"/>
      <c r="AU1500" s="101"/>
      <c r="AV1500" s="101"/>
      <c r="AW1500" s="101"/>
      <c r="AX1500" s="101"/>
      <c r="AY1500" s="101"/>
      <c r="AZ1500" s="101"/>
      <c r="BA1500" s="101"/>
      <c r="BB1500" s="101"/>
      <c r="BC1500" s="101"/>
      <c r="BD1500" s="101"/>
      <c r="BE1500" s="101"/>
      <c r="BF1500" s="101"/>
      <c r="BG1500" s="101"/>
      <c r="BH1500" s="101"/>
      <c r="BI1500" s="101"/>
      <c r="BJ1500" s="101"/>
      <c r="BK1500" s="101"/>
      <c r="BL1500" s="101"/>
      <c r="BM1500" s="101"/>
      <c r="BN1500" s="101"/>
      <c r="BO1500" s="101"/>
      <c r="BP1500" s="101"/>
      <c r="BQ1500" s="101"/>
      <c r="BR1500" s="101"/>
    </row>
    <row r="1501" spans="33:70">
      <c r="AG1501" s="101"/>
      <c r="AH1501" s="101"/>
      <c r="AI1501" s="101"/>
      <c r="AJ1501" s="101"/>
      <c r="AK1501" s="101"/>
      <c r="AM1501" s="195"/>
      <c r="AT1501" s="101"/>
      <c r="AU1501" s="101"/>
      <c r="AV1501" s="101"/>
      <c r="AW1501" s="101"/>
      <c r="AX1501" s="101"/>
      <c r="AY1501" s="101"/>
      <c r="AZ1501" s="101"/>
      <c r="BA1501" s="101"/>
      <c r="BB1501" s="101"/>
    </row>
    <row r="1502" spans="33:70">
      <c r="AG1502" s="101"/>
      <c r="AH1502" s="101"/>
      <c r="AI1502" s="101"/>
      <c r="AJ1502" s="101"/>
      <c r="AK1502" s="101"/>
      <c r="AM1502" s="195"/>
      <c r="AT1502" s="101"/>
      <c r="AU1502" s="101"/>
      <c r="AV1502" s="101"/>
      <c r="AW1502" s="101"/>
      <c r="AX1502" s="101"/>
      <c r="AY1502" s="101"/>
      <c r="AZ1502" s="101"/>
      <c r="BA1502" s="101"/>
      <c r="BB1502" s="101"/>
    </row>
    <row r="1503" spans="33:70">
      <c r="AG1503" s="101"/>
      <c r="AH1503" s="101"/>
      <c r="AI1503" s="101"/>
      <c r="AJ1503" s="101"/>
      <c r="AK1503" s="101"/>
      <c r="AM1503" s="195"/>
      <c r="AT1503" s="101"/>
      <c r="AU1503" s="101"/>
      <c r="AV1503" s="101"/>
      <c r="AW1503" s="101"/>
      <c r="AX1503" s="101"/>
      <c r="AY1503" s="101"/>
      <c r="AZ1503" s="101"/>
      <c r="BA1503" s="101"/>
      <c r="BB1503" s="101"/>
      <c r="BD1503" s="101"/>
      <c r="BE1503" s="101"/>
      <c r="BF1503" s="101"/>
      <c r="BG1503" s="101"/>
      <c r="BH1503" s="101"/>
      <c r="BI1503" s="101"/>
      <c r="BJ1503" s="101"/>
      <c r="BK1503" s="101"/>
      <c r="BL1503" s="101"/>
      <c r="BM1503" s="101"/>
      <c r="BN1503" s="101"/>
      <c r="BO1503" s="101"/>
      <c r="BP1503" s="101"/>
      <c r="BQ1503" s="101"/>
      <c r="BR1503" s="101"/>
    </row>
    <row r="1504" spans="33:70">
      <c r="AG1504" s="101"/>
      <c r="AH1504" s="101"/>
      <c r="AI1504" s="101"/>
      <c r="AJ1504" s="101"/>
      <c r="AK1504" s="101"/>
      <c r="AM1504" s="195"/>
      <c r="AT1504" s="101"/>
      <c r="AU1504" s="101"/>
      <c r="AV1504" s="101"/>
      <c r="AW1504" s="101"/>
      <c r="AX1504" s="101"/>
      <c r="AY1504" s="101"/>
      <c r="AZ1504" s="101"/>
      <c r="BA1504" s="101"/>
      <c r="BB1504" s="101"/>
    </row>
    <row r="1505" spans="33:70">
      <c r="AG1505" s="101"/>
      <c r="AH1505" s="101"/>
      <c r="AI1505" s="101"/>
      <c r="AJ1505" s="101"/>
      <c r="AK1505" s="101"/>
      <c r="AM1505" s="195"/>
      <c r="AT1505" s="101"/>
      <c r="AU1505" s="101"/>
      <c r="AV1505" s="101"/>
      <c r="AW1505" s="101"/>
      <c r="AX1505" s="101"/>
      <c r="AY1505" s="101"/>
      <c r="AZ1505" s="101"/>
      <c r="BA1505" s="101"/>
      <c r="BB1505" s="101"/>
      <c r="BD1505" s="101"/>
      <c r="BE1505" s="101"/>
      <c r="BF1505" s="101"/>
      <c r="BG1505" s="101"/>
      <c r="BH1505" s="101"/>
      <c r="BI1505" s="101"/>
      <c r="BJ1505" s="101"/>
      <c r="BK1505" s="101"/>
      <c r="BL1505" s="101"/>
      <c r="BM1505" s="101"/>
      <c r="BN1505" s="101"/>
      <c r="BO1505" s="101"/>
      <c r="BP1505" s="101"/>
      <c r="BQ1505" s="101"/>
      <c r="BR1505" s="101"/>
    </row>
    <row r="1506" spans="33:70">
      <c r="AG1506" s="101"/>
      <c r="AH1506" s="101"/>
      <c r="AI1506" s="101"/>
      <c r="AJ1506" s="101"/>
      <c r="AK1506" s="101"/>
      <c r="AM1506" s="195"/>
      <c r="AT1506" s="101"/>
      <c r="AU1506" s="101"/>
      <c r="AV1506" s="101"/>
      <c r="AW1506" s="101"/>
      <c r="AX1506" s="101"/>
      <c r="AY1506" s="101"/>
      <c r="AZ1506" s="101"/>
      <c r="BA1506" s="101"/>
    </row>
    <row r="1507" spans="33:70">
      <c r="AG1507" s="101"/>
      <c r="AH1507" s="101"/>
      <c r="AI1507" s="101"/>
      <c r="AJ1507" s="101"/>
      <c r="AK1507" s="101"/>
      <c r="AM1507" s="195"/>
      <c r="AT1507" s="101"/>
      <c r="AU1507" s="101"/>
      <c r="AV1507" s="101"/>
      <c r="AW1507" s="101"/>
      <c r="AX1507" s="101"/>
      <c r="AY1507" s="101"/>
      <c r="AZ1507" s="101"/>
      <c r="BA1507" s="101"/>
      <c r="BB1507" s="101"/>
      <c r="BD1507" s="101"/>
    </row>
    <row r="1508" spans="33:70">
      <c r="AG1508" s="101"/>
      <c r="AH1508" s="101"/>
      <c r="AI1508" s="101"/>
      <c r="AJ1508" s="101"/>
      <c r="AK1508" s="101"/>
      <c r="AM1508" s="195"/>
      <c r="AT1508" s="101"/>
      <c r="AU1508" s="101"/>
      <c r="AV1508" s="101"/>
      <c r="AW1508" s="101"/>
      <c r="AX1508" s="101"/>
      <c r="AY1508" s="101"/>
      <c r="AZ1508" s="101"/>
      <c r="BA1508" s="101"/>
    </row>
    <row r="1509" spans="33:70">
      <c r="AG1509" s="101"/>
      <c r="AH1509" s="101"/>
      <c r="AI1509" s="101"/>
      <c r="AJ1509" s="101"/>
      <c r="AK1509" s="101"/>
      <c r="AM1509" s="195"/>
      <c r="AT1509" s="101"/>
      <c r="AU1509" s="101"/>
      <c r="AV1509" s="101"/>
      <c r="AW1509" s="101"/>
      <c r="AX1509" s="101"/>
      <c r="AY1509" s="101"/>
      <c r="AZ1509" s="101"/>
      <c r="BA1509" s="101"/>
      <c r="BB1509" s="101"/>
    </row>
    <row r="1510" spans="33:70">
      <c r="AG1510" s="101"/>
      <c r="AH1510" s="101"/>
      <c r="AI1510" s="101"/>
      <c r="AJ1510" s="101"/>
      <c r="AK1510" s="101"/>
      <c r="AM1510" s="195"/>
      <c r="AT1510" s="101"/>
      <c r="AU1510" s="101"/>
      <c r="AV1510" s="101"/>
      <c r="AW1510" s="101"/>
      <c r="AX1510" s="101"/>
      <c r="AY1510" s="101"/>
      <c r="AZ1510" s="101"/>
      <c r="BA1510" s="101"/>
      <c r="BB1510" s="101"/>
      <c r="BC1510" s="101"/>
      <c r="BD1510" s="101"/>
      <c r="BE1510" s="101"/>
      <c r="BF1510" s="101"/>
      <c r="BG1510" s="101"/>
      <c r="BH1510" s="101"/>
      <c r="BI1510" s="101"/>
      <c r="BJ1510" s="101"/>
      <c r="BK1510" s="101"/>
      <c r="BL1510" s="101"/>
      <c r="BM1510" s="101"/>
      <c r="BN1510" s="101"/>
      <c r="BO1510" s="101"/>
      <c r="BP1510" s="101"/>
      <c r="BQ1510" s="101"/>
      <c r="BR1510" s="101"/>
    </row>
    <row r="1511" spans="33:70">
      <c r="AG1511" s="101"/>
      <c r="AH1511" s="101"/>
      <c r="AI1511" s="101"/>
      <c r="AJ1511" s="101"/>
      <c r="AK1511" s="101"/>
      <c r="AM1511" s="195"/>
      <c r="AT1511" s="101"/>
      <c r="AU1511" s="101"/>
      <c r="AV1511" s="101"/>
      <c r="AW1511" s="101"/>
      <c r="AX1511" s="101"/>
      <c r="AY1511" s="101"/>
      <c r="AZ1511" s="101"/>
      <c r="BA1511" s="101"/>
    </row>
    <row r="1512" spans="33:70">
      <c r="AG1512" s="101"/>
      <c r="AH1512" s="101"/>
      <c r="AI1512" s="101"/>
      <c r="AJ1512" s="101"/>
      <c r="AK1512" s="101"/>
      <c r="AM1512" s="195"/>
      <c r="AT1512" s="101"/>
      <c r="AU1512" s="101"/>
      <c r="AV1512" s="101"/>
      <c r="AW1512" s="101"/>
      <c r="AX1512" s="101"/>
      <c r="AY1512" s="101"/>
      <c r="AZ1512" s="101"/>
      <c r="BA1512" s="101"/>
      <c r="BB1512" s="101"/>
      <c r="BD1512" s="101"/>
    </row>
    <row r="1513" spans="33:70">
      <c r="AG1513" s="101"/>
      <c r="AH1513" s="101"/>
      <c r="AI1513" s="101"/>
      <c r="AJ1513" s="101"/>
      <c r="AK1513" s="101"/>
      <c r="AM1513" s="195"/>
      <c r="AT1513" s="101"/>
      <c r="AU1513" s="101"/>
      <c r="AV1513" s="101"/>
      <c r="AW1513" s="101"/>
      <c r="AX1513" s="101"/>
      <c r="AY1513" s="101"/>
      <c r="AZ1513" s="101"/>
      <c r="BA1513" s="101"/>
      <c r="BB1513" s="101"/>
      <c r="BC1513" s="101"/>
      <c r="BD1513" s="101"/>
      <c r="BE1513" s="101"/>
      <c r="BF1513" s="101"/>
      <c r="BG1513" s="101"/>
      <c r="BH1513" s="101"/>
      <c r="BI1513" s="101"/>
      <c r="BJ1513" s="101"/>
      <c r="BK1513" s="101"/>
      <c r="BL1513" s="101"/>
      <c r="BM1513" s="101"/>
      <c r="BN1513" s="101"/>
      <c r="BO1513" s="101"/>
      <c r="BP1513" s="101"/>
      <c r="BQ1513" s="101"/>
      <c r="BR1513" s="101"/>
    </row>
    <row r="1514" spans="33:70">
      <c r="AG1514" s="101"/>
      <c r="AH1514" s="101"/>
      <c r="AI1514" s="101"/>
      <c r="AJ1514" s="101"/>
      <c r="AK1514" s="101"/>
      <c r="AM1514" s="195"/>
      <c r="AT1514" s="101"/>
      <c r="AU1514" s="101"/>
      <c r="AV1514" s="101"/>
      <c r="AW1514" s="101"/>
      <c r="AX1514" s="101"/>
      <c r="AY1514" s="101"/>
      <c r="AZ1514" s="101"/>
      <c r="BA1514" s="101"/>
      <c r="BB1514" s="101"/>
      <c r="BC1514" s="101"/>
      <c r="BD1514" s="101"/>
      <c r="BE1514" s="101"/>
      <c r="BF1514" s="101"/>
      <c r="BG1514" s="101"/>
      <c r="BH1514" s="101"/>
      <c r="BI1514" s="101"/>
      <c r="BJ1514" s="101"/>
      <c r="BK1514" s="101"/>
      <c r="BL1514" s="101"/>
      <c r="BM1514" s="101"/>
      <c r="BN1514" s="101"/>
      <c r="BO1514" s="101"/>
      <c r="BP1514" s="101"/>
      <c r="BQ1514" s="101"/>
      <c r="BR1514" s="101"/>
    </row>
    <row r="1515" spans="33:70">
      <c r="AG1515" s="101"/>
      <c r="AH1515" s="101"/>
      <c r="AI1515" s="101"/>
      <c r="AJ1515" s="101"/>
      <c r="AK1515" s="101"/>
      <c r="AM1515" s="195"/>
      <c r="AT1515" s="101"/>
      <c r="AU1515" s="101"/>
      <c r="AV1515" s="101"/>
      <c r="AW1515" s="101"/>
      <c r="AX1515" s="101"/>
      <c r="AY1515" s="101"/>
      <c r="AZ1515" s="101"/>
      <c r="BA1515" s="101"/>
      <c r="BB1515" s="101"/>
      <c r="BC1515" s="101"/>
      <c r="BD1515" s="101"/>
      <c r="BE1515" s="101"/>
      <c r="BF1515" s="101"/>
      <c r="BG1515" s="101"/>
      <c r="BH1515" s="101"/>
      <c r="BI1515" s="101"/>
      <c r="BJ1515" s="101"/>
      <c r="BK1515" s="101"/>
      <c r="BL1515" s="101"/>
      <c r="BM1515" s="101"/>
      <c r="BN1515" s="101"/>
      <c r="BO1515" s="101"/>
      <c r="BP1515" s="101"/>
      <c r="BQ1515" s="101"/>
      <c r="BR1515" s="101"/>
    </row>
    <row r="1516" spans="33:70">
      <c r="AG1516" s="101"/>
      <c r="AH1516" s="101"/>
      <c r="AI1516" s="101"/>
      <c r="AJ1516" s="101"/>
      <c r="AK1516" s="101"/>
      <c r="AM1516" s="195"/>
      <c r="AT1516" s="101"/>
      <c r="AU1516" s="101"/>
      <c r="AV1516" s="101"/>
      <c r="AW1516" s="101"/>
      <c r="AX1516" s="101"/>
      <c r="AY1516" s="101"/>
      <c r="AZ1516" s="101"/>
      <c r="BA1516" s="101"/>
      <c r="BB1516" s="101"/>
    </row>
    <row r="1517" spans="33:70">
      <c r="AG1517" s="101"/>
      <c r="AH1517" s="101"/>
      <c r="AI1517" s="101"/>
      <c r="AJ1517" s="101"/>
      <c r="AK1517" s="101"/>
      <c r="AM1517" s="195"/>
      <c r="AT1517" s="101"/>
      <c r="AU1517" s="101"/>
      <c r="AV1517" s="101"/>
      <c r="AW1517" s="101"/>
      <c r="AX1517" s="101"/>
      <c r="AY1517" s="101"/>
      <c r="AZ1517" s="101"/>
      <c r="BA1517" s="101"/>
      <c r="BB1517" s="101"/>
    </row>
    <row r="1518" spans="33:70">
      <c r="AG1518" s="101"/>
      <c r="AH1518" s="101"/>
      <c r="AI1518" s="101"/>
      <c r="AJ1518" s="101"/>
      <c r="AK1518" s="101"/>
      <c r="AM1518" s="195"/>
      <c r="AT1518" s="101"/>
      <c r="AU1518" s="101"/>
      <c r="AV1518" s="101"/>
      <c r="AW1518" s="101"/>
      <c r="AX1518" s="101"/>
      <c r="AY1518" s="101"/>
      <c r="AZ1518" s="101"/>
      <c r="BA1518" s="101"/>
      <c r="BB1518" s="101"/>
      <c r="BD1518" s="101"/>
      <c r="BE1518" s="101"/>
      <c r="BF1518" s="101"/>
      <c r="BG1518" s="101"/>
      <c r="BH1518" s="101"/>
      <c r="BI1518" s="101"/>
      <c r="BJ1518" s="101"/>
      <c r="BK1518" s="101"/>
      <c r="BL1518" s="101"/>
      <c r="BM1518" s="101"/>
      <c r="BN1518" s="101"/>
      <c r="BO1518" s="101"/>
      <c r="BP1518" s="101"/>
      <c r="BQ1518" s="101"/>
      <c r="BR1518" s="101"/>
    </row>
    <row r="1519" spans="33:70">
      <c r="AG1519" s="101"/>
      <c r="AH1519" s="101"/>
      <c r="AI1519" s="101"/>
      <c r="AJ1519" s="101"/>
      <c r="AK1519" s="101"/>
      <c r="AM1519" s="195"/>
      <c r="AT1519" s="101"/>
      <c r="AU1519" s="101"/>
      <c r="AV1519" s="101"/>
      <c r="AW1519" s="101"/>
      <c r="AX1519" s="101"/>
      <c r="AY1519" s="101"/>
      <c r="AZ1519" s="101"/>
      <c r="BA1519" s="101"/>
      <c r="BB1519" s="101"/>
    </row>
    <row r="1520" spans="33:70">
      <c r="AG1520" s="101"/>
      <c r="AH1520" s="101"/>
      <c r="AI1520" s="101"/>
      <c r="AJ1520" s="101"/>
      <c r="AK1520" s="101"/>
      <c r="AM1520" s="195"/>
      <c r="AT1520" s="101"/>
      <c r="AU1520" s="101"/>
      <c r="AV1520" s="101"/>
      <c r="AW1520" s="101"/>
      <c r="AX1520" s="101"/>
      <c r="AY1520" s="101"/>
      <c r="AZ1520" s="101"/>
      <c r="BA1520" s="101"/>
      <c r="BB1520" s="101"/>
      <c r="BD1520" s="101"/>
      <c r="BE1520" s="101"/>
      <c r="BF1520" s="101"/>
      <c r="BG1520" s="101"/>
      <c r="BH1520" s="101"/>
      <c r="BI1520" s="101"/>
      <c r="BJ1520" s="101"/>
      <c r="BK1520" s="101"/>
      <c r="BL1520" s="101"/>
      <c r="BM1520" s="101"/>
      <c r="BN1520" s="101"/>
      <c r="BO1520" s="101"/>
      <c r="BP1520" s="101"/>
      <c r="BQ1520" s="101"/>
      <c r="BR1520" s="101"/>
    </row>
    <row r="1521" spans="33:70">
      <c r="AG1521" s="101"/>
      <c r="AH1521" s="101"/>
      <c r="AI1521" s="101"/>
      <c r="AJ1521" s="101"/>
      <c r="AK1521" s="101"/>
      <c r="AM1521" s="195"/>
      <c r="AT1521" s="101"/>
      <c r="AU1521" s="101"/>
      <c r="AV1521" s="101"/>
      <c r="AW1521" s="101"/>
      <c r="AX1521" s="101"/>
      <c r="AY1521" s="101"/>
      <c r="AZ1521" s="101"/>
      <c r="BA1521" s="101"/>
      <c r="BB1521" s="101"/>
    </row>
    <row r="1522" spans="33:70">
      <c r="AG1522" s="101"/>
      <c r="AH1522" s="101"/>
      <c r="AI1522" s="101"/>
      <c r="AJ1522" s="101"/>
      <c r="AK1522" s="101"/>
      <c r="AM1522" s="195"/>
      <c r="AT1522" s="101"/>
      <c r="AU1522" s="101"/>
      <c r="AV1522" s="101"/>
      <c r="AW1522" s="101"/>
      <c r="AX1522" s="101"/>
      <c r="AY1522" s="101"/>
      <c r="AZ1522" s="101"/>
      <c r="BA1522" s="101"/>
      <c r="BB1522" s="101"/>
    </row>
    <row r="1523" spans="33:70">
      <c r="AG1523" s="101"/>
      <c r="AH1523" s="101"/>
      <c r="AI1523" s="101"/>
      <c r="AJ1523" s="101"/>
      <c r="AK1523" s="101"/>
      <c r="AM1523" s="195"/>
      <c r="AT1523" s="101"/>
      <c r="AU1523" s="101"/>
      <c r="AV1523" s="101"/>
      <c r="AW1523" s="101"/>
      <c r="AX1523" s="101"/>
      <c r="AY1523" s="101"/>
      <c r="AZ1523" s="101"/>
      <c r="BA1523" s="101"/>
      <c r="BB1523" s="101"/>
      <c r="BD1523" s="101"/>
    </row>
    <row r="1524" spans="33:70">
      <c r="AG1524" s="101"/>
      <c r="AH1524" s="101"/>
      <c r="AI1524" s="101"/>
      <c r="AJ1524" s="101"/>
      <c r="AK1524" s="101"/>
      <c r="AM1524" s="195"/>
      <c r="AT1524" s="101"/>
      <c r="AU1524" s="101"/>
      <c r="AV1524" s="101"/>
      <c r="AW1524" s="101"/>
      <c r="AX1524" s="101"/>
      <c r="AY1524" s="101"/>
      <c r="AZ1524" s="101"/>
      <c r="BA1524" s="101"/>
      <c r="BB1524" s="101"/>
    </row>
    <row r="1525" spans="33:70">
      <c r="AG1525" s="101"/>
      <c r="AH1525" s="101"/>
      <c r="AI1525" s="101"/>
      <c r="AJ1525" s="101"/>
      <c r="AK1525" s="101"/>
      <c r="AM1525" s="195"/>
      <c r="AT1525" s="101"/>
      <c r="AU1525" s="101"/>
      <c r="AV1525" s="101"/>
      <c r="AW1525" s="101"/>
      <c r="AX1525" s="101"/>
      <c r="AY1525" s="101"/>
      <c r="AZ1525" s="101"/>
      <c r="BA1525" s="101"/>
      <c r="BB1525" s="101"/>
      <c r="BD1525" s="101"/>
    </row>
    <row r="1526" spans="33:70">
      <c r="AG1526" s="101"/>
      <c r="AH1526" s="101"/>
      <c r="AI1526" s="101"/>
      <c r="AJ1526" s="101"/>
      <c r="AK1526" s="101"/>
      <c r="AM1526" s="195"/>
      <c r="AT1526" s="101"/>
      <c r="AU1526" s="101"/>
      <c r="AV1526" s="101"/>
      <c r="AW1526" s="101"/>
      <c r="AX1526" s="101"/>
      <c r="AY1526" s="101"/>
      <c r="AZ1526" s="101"/>
      <c r="BA1526" s="101"/>
      <c r="BB1526" s="101"/>
    </row>
    <row r="1527" spans="33:70">
      <c r="AG1527" s="101"/>
      <c r="AH1527" s="101"/>
      <c r="AI1527" s="101"/>
      <c r="AJ1527" s="101"/>
      <c r="AK1527" s="101"/>
      <c r="AM1527" s="195"/>
      <c r="AT1527" s="101"/>
      <c r="AU1527" s="101"/>
      <c r="AV1527" s="101"/>
      <c r="AW1527" s="101"/>
      <c r="AX1527" s="101"/>
      <c r="AY1527" s="101"/>
      <c r="AZ1527" s="101"/>
      <c r="BA1527" s="101"/>
      <c r="BB1527" s="101"/>
    </row>
    <row r="1528" spans="33:70">
      <c r="AG1528" s="101"/>
      <c r="AH1528" s="101"/>
      <c r="AI1528" s="101"/>
      <c r="AJ1528" s="101"/>
      <c r="AK1528" s="101"/>
      <c r="AM1528" s="195"/>
      <c r="AT1528" s="101"/>
      <c r="AU1528" s="101"/>
      <c r="AV1528" s="101"/>
      <c r="AW1528" s="101"/>
      <c r="AX1528" s="101"/>
      <c r="AY1528" s="101"/>
      <c r="AZ1528" s="101"/>
      <c r="BA1528" s="101"/>
      <c r="BB1528" s="101"/>
    </row>
    <row r="1529" spans="33:70">
      <c r="AG1529" s="101"/>
      <c r="AH1529" s="101"/>
      <c r="AI1529" s="101"/>
      <c r="AJ1529" s="101"/>
      <c r="AK1529" s="101"/>
      <c r="AM1529" s="195"/>
      <c r="AT1529" s="101"/>
      <c r="AU1529" s="101"/>
      <c r="AV1529" s="101"/>
      <c r="AW1529" s="101"/>
      <c r="AX1529" s="101"/>
      <c r="AY1529" s="101"/>
      <c r="AZ1529" s="101"/>
      <c r="BA1529" s="101"/>
    </row>
    <row r="1530" spans="33:70">
      <c r="AG1530" s="101"/>
      <c r="AH1530" s="101"/>
      <c r="AI1530" s="101"/>
      <c r="AJ1530" s="101"/>
      <c r="AK1530" s="101"/>
      <c r="AM1530" s="195"/>
      <c r="AT1530" s="101"/>
      <c r="AU1530" s="101"/>
      <c r="AV1530" s="101"/>
      <c r="AW1530" s="101"/>
      <c r="AX1530" s="101"/>
      <c r="AY1530" s="101"/>
      <c r="AZ1530" s="101"/>
      <c r="BA1530" s="101"/>
      <c r="BB1530" s="101"/>
    </row>
    <row r="1531" spans="33:70">
      <c r="AG1531" s="101"/>
      <c r="AH1531" s="101"/>
      <c r="AI1531" s="101"/>
      <c r="AJ1531" s="101"/>
      <c r="AK1531" s="101"/>
      <c r="AM1531" s="195"/>
      <c r="AT1531" s="101"/>
      <c r="AU1531" s="101"/>
      <c r="AV1531" s="101"/>
      <c r="AW1531" s="101"/>
      <c r="AX1531" s="101"/>
      <c r="AY1531" s="101"/>
      <c r="AZ1531" s="101"/>
      <c r="BA1531" s="101"/>
      <c r="BB1531" s="101"/>
      <c r="BC1531" s="101"/>
      <c r="BD1531" s="101"/>
      <c r="BE1531" s="101"/>
      <c r="BF1531" s="101"/>
      <c r="BG1531" s="101"/>
      <c r="BH1531" s="101"/>
      <c r="BI1531" s="101"/>
      <c r="BJ1531" s="101"/>
      <c r="BK1531" s="101"/>
      <c r="BL1531" s="101"/>
      <c r="BM1531" s="101"/>
      <c r="BN1531" s="101"/>
      <c r="BO1531" s="101"/>
      <c r="BP1531" s="101"/>
      <c r="BQ1531" s="101"/>
      <c r="BR1531" s="101"/>
    </row>
    <row r="1532" spans="33:70">
      <c r="AG1532" s="101"/>
      <c r="AH1532" s="101"/>
      <c r="AI1532" s="101"/>
      <c r="AJ1532" s="101"/>
      <c r="AK1532" s="101"/>
      <c r="AM1532" s="195"/>
      <c r="AT1532" s="101"/>
      <c r="AU1532" s="101"/>
      <c r="AV1532" s="101"/>
      <c r="AW1532" s="101"/>
      <c r="AX1532" s="101"/>
      <c r="AY1532" s="101"/>
      <c r="AZ1532" s="101"/>
      <c r="BA1532" s="101"/>
    </row>
    <row r="1533" spans="33:70">
      <c r="AG1533" s="101"/>
      <c r="AH1533" s="101"/>
      <c r="AI1533" s="101"/>
      <c r="AJ1533" s="101"/>
      <c r="AK1533" s="101"/>
      <c r="AM1533" s="195"/>
      <c r="AT1533" s="101"/>
      <c r="AU1533" s="101"/>
      <c r="AV1533" s="101"/>
      <c r="AW1533" s="101"/>
      <c r="AX1533" s="101"/>
      <c r="AY1533" s="101"/>
      <c r="AZ1533" s="101"/>
      <c r="BA1533" s="101"/>
    </row>
    <row r="1534" spans="33:70">
      <c r="AG1534" s="101"/>
      <c r="AH1534" s="101"/>
      <c r="AI1534" s="101"/>
      <c r="AJ1534" s="101"/>
      <c r="AK1534" s="101"/>
      <c r="AM1534" s="195"/>
      <c r="AT1534" s="101"/>
      <c r="AU1534" s="101"/>
      <c r="AV1534" s="101"/>
      <c r="AW1534" s="101"/>
      <c r="AX1534" s="101"/>
      <c r="AY1534" s="101"/>
      <c r="AZ1534" s="101"/>
      <c r="BA1534" s="101"/>
    </row>
    <row r="1535" spans="33:70">
      <c r="AG1535" s="101"/>
      <c r="AH1535" s="101"/>
      <c r="AI1535" s="101"/>
      <c r="AJ1535" s="101"/>
      <c r="AK1535" s="101"/>
      <c r="AM1535" s="195"/>
      <c r="AT1535" s="101"/>
      <c r="AU1535" s="101"/>
      <c r="AV1535" s="101"/>
      <c r="AW1535" s="101"/>
      <c r="AX1535" s="101"/>
      <c r="AY1535" s="101"/>
      <c r="AZ1535" s="101"/>
      <c r="BA1535" s="101"/>
      <c r="BB1535" s="101"/>
    </row>
    <row r="1536" spans="33:70">
      <c r="AG1536" s="101"/>
      <c r="AH1536" s="101"/>
      <c r="AI1536" s="101"/>
      <c r="AJ1536" s="101"/>
      <c r="AK1536" s="101"/>
      <c r="AM1536" s="195"/>
      <c r="AT1536" s="101"/>
      <c r="AU1536" s="101"/>
      <c r="AV1536" s="101"/>
      <c r="AW1536" s="101"/>
      <c r="AX1536" s="101"/>
      <c r="AY1536" s="101"/>
      <c r="AZ1536" s="101"/>
      <c r="BA1536" s="101"/>
      <c r="BB1536" s="101"/>
    </row>
    <row r="1537" spans="33:70">
      <c r="AG1537" s="101"/>
      <c r="AH1537" s="101"/>
      <c r="AI1537" s="101"/>
      <c r="AJ1537" s="101"/>
      <c r="AK1537" s="101"/>
      <c r="AM1537" s="195"/>
      <c r="AT1537" s="101"/>
      <c r="AU1537" s="101"/>
      <c r="AV1537" s="101"/>
      <c r="AW1537" s="101"/>
      <c r="AX1537" s="101"/>
      <c r="AY1537" s="101"/>
      <c r="AZ1537" s="101"/>
      <c r="BA1537" s="101"/>
      <c r="BB1537" s="101"/>
    </row>
    <row r="1538" spans="33:70">
      <c r="AG1538" s="101"/>
      <c r="AH1538" s="101"/>
      <c r="AI1538" s="101"/>
      <c r="AJ1538" s="101"/>
      <c r="AK1538" s="101"/>
      <c r="AM1538" s="195"/>
      <c r="AT1538" s="101"/>
      <c r="AU1538" s="101"/>
      <c r="AV1538" s="101"/>
      <c r="AW1538" s="101"/>
      <c r="AX1538" s="101"/>
      <c r="AY1538" s="101"/>
      <c r="AZ1538" s="101"/>
      <c r="BA1538" s="101"/>
    </row>
    <row r="1539" spans="33:70">
      <c r="AG1539" s="101"/>
      <c r="AH1539" s="101"/>
      <c r="AI1539" s="101"/>
      <c r="AJ1539" s="101"/>
      <c r="AK1539" s="101"/>
      <c r="AM1539" s="195"/>
      <c r="AT1539" s="101"/>
      <c r="AU1539" s="101"/>
      <c r="AV1539" s="101"/>
      <c r="AW1539" s="101"/>
      <c r="AX1539" s="101"/>
      <c r="AY1539" s="101"/>
      <c r="AZ1539" s="101"/>
      <c r="BA1539" s="101"/>
      <c r="BB1539" s="101"/>
      <c r="BC1539" s="101"/>
      <c r="BD1539" s="101"/>
      <c r="BE1539" s="101"/>
      <c r="BF1539" s="101"/>
      <c r="BG1539" s="101"/>
      <c r="BH1539" s="101"/>
      <c r="BI1539" s="101"/>
      <c r="BJ1539" s="101"/>
      <c r="BK1539" s="101"/>
      <c r="BL1539" s="101"/>
      <c r="BM1539" s="101"/>
      <c r="BN1539" s="101"/>
      <c r="BO1539" s="101"/>
      <c r="BP1539" s="101"/>
      <c r="BQ1539" s="101"/>
      <c r="BR1539" s="101"/>
    </row>
    <row r="1540" spans="33:70">
      <c r="AG1540" s="101"/>
      <c r="AH1540" s="101"/>
      <c r="AI1540" s="101"/>
      <c r="AJ1540" s="101"/>
      <c r="AK1540" s="101"/>
      <c r="AM1540" s="195"/>
      <c r="AT1540" s="101"/>
      <c r="AU1540" s="101"/>
      <c r="AV1540" s="101"/>
      <c r="AW1540" s="101"/>
      <c r="AX1540" s="101"/>
      <c r="AY1540" s="101"/>
      <c r="AZ1540" s="101"/>
      <c r="BA1540" s="101"/>
      <c r="BB1540" s="101"/>
      <c r="BD1540" s="101"/>
      <c r="BE1540" s="101"/>
      <c r="BF1540" s="101"/>
      <c r="BG1540" s="101"/>
      <c r="BH1540" s="101"/>
      <c r="BI1540" s="101"/>
      <c r="BJ1540" s="101"/>
      <c r="BK1540" s="101"/>
      <c r="BL1540" s="101"/>
      <c r="BM1540" s="101"/>
      <c r="BN1540" s="101"/>
      <c r="BO1540" s="101"/>
      <c r="BP1540" s="101"/>
      <c r="BQ1540" s="101"/>
      <c r="BR1540" s="101"/>
    </row>
    <row r="1541" spans="33:70">
      <c r="AG1541" s="101"/>
      <c r="AH1541" s="101"/>
      <c r="AI1541" s="101"/>
      <c r="AJ1541" s="101"/>
      <c r="AK1541" s="101"/>
      <c r="AM1541" s="195"/>
      <c r="AT1541" s="101"/>
      <c r="AU1541" s="101"/>
      <c r="AV1541" s="101"/>
      <c r="AW1541" s="101"/>
      <c r="AX1541" s="101"/>
      <c r="AY1541" s="101"/>
      <c r="AZ1541" s="101"/>
      <c r="BA1541" s="101"/>
    </row>
    <row r="1542" spans="33:70">
      <c r="AG1542" s="101"/>
      <c r="AH1542" s="101"/>
      <c r="AI1542" s="101"/>
      <c r="AJ1542" s="101"/>
      <c r="AK1542" s="101"/>
      <c r="AM1542" s="195"/>
      <c r="AT1542" s="101"/>
      <c r="AU1542" s="101"/>
      <c r="AV1542" s="101"/>
      <c r="AW1542" s="101"/>
      <c r="AX1542" s="101"/>
      <c r="AY1542" s="101"/>
      <c r="AZ1542" s="101"/>
      <c r="BA1542" s="101"/>
      <c r="BB1542" s="101"/>
    </row>
    <row r="1543" spans="33:70">
      <c r="AG1543" s="101"/>
      <c r="AH1543" s="101"/>
      <c r="AI1543" s="101"/>
      <c r="AJ1543" s="101"/>
      <c r="AK1543" s="101"/>
      <c r="AM1543" s="195"/>
      <c r="AT1543" s="101"/>
      <c r="AU1543" s="101"/>
      <c r="AV1543" s="101"/>
      <c r="AW1543" s="101"/>
      <c r="AX1543" s="101"/>
      <c r="AY1543" s="101"/>
      <c r="AZ1543" s="101"/>
      <c r="BA1543" s="101"/>
    </row>
    <row r="1544" spans="33:70">
      <c r="AG1544" s="101"/>
      <c r="AH1544" s="101"/>
      <c r="AI1544" s="101"/>
      <c r="AJ1544" s="101"/>
      <c r="AK1544" s="101"/>
      <c r="AM1544" s="195"/>
      <c r="AT1544" s="101"/>
      <c r="AU1544" s="101"/>
      <c r="AV1544" s="101"/>
      <c r="AW1544" s="101"/>
      <c r="AX1544" s="101"/>
      <c r="AY1544" s="101"/>
      <c r="AZ1544" s="101"/>
      <c r="BA1544" s="101"/>
      <c r="BB1544" s="101"/>
      <c r="BC1544" s="101"/>
      <c r="BD1544" s="101"/>
      <c r="BE1544" s="101"/>
      <c r="BF1544" s="101"/>
      <c r="BG1544" s="101"/>
      <c r="BH1544" s="101"/>
      <c r="BI1544" s="101"/>
      <c r="BJ1544" s="101"/>
      <c r="BK1544" s="101"/>
      <c r="BL1544" s="101"/>
      <c r="BM1544" s="101"/>
      <c r="BN1544" s="101"/>
      <c r="BO1544" s="101"/>
      <c r="BP1544" s="101"/>
      <c r="BQ1544" s="101"/>
      <c r="BR1544" s="101"/>
    </row>
    <row r="1545" spans="33:70">
      <c r="AG1545" s="101"/>
      <c r="AH1545" s="101"/>
      <c r="AI1545" s="101"/>
      <c r="AJ1545" s="101"/>
      <c r="AK1545" s="101"/>
      <c r="AM1545" s="195"/>
      <c r="AT1545" s="101"/>
      <c r="AU1545" s="101"/>
      <c r="AV1545" s="101"/>
      <c r="AW1545" s="101"/>
      <c r="AX1545" s="101"/>
      <c r="AY1545" s="101"/>
      <c r="AZ1545" s="101"/>
      <c r="BA1545" s="101"/>
    </row>
    <row r="1546" spans="33:70">
      <c r="AG1546" s="101"/>
      <c r="AH1546" s="101"/>
      <c r="AI1546" s="101"/>
      <c r="AJ1546" s="101"/>
      <c r="AK1546" s="101"/>
      <c r="AM1546" s="195"/>
      <c r="AT1546" s="101"/>
      <c r="AU1546" s="101"/>
      <c r="AV1546" s="101"/>
      <c r="AW1546" s="101"/>
      <c r="AX1546" s="101"/>
      <c r="AY1546" s="101"/>
      <c r="AZ1546" s="101"/>
      <c r="BA1546" s="101"/>
      <c r="BB1546" s="101"/>
      <c r="BD1546" s="101"/>
    </row>
    <row r="1547" spans="33:70">
      <c r="AG1547" s="101"/>
      <c r="AH1547" s="101"/>
      <c r="AI1547" s="101"/>
      <c r="AJ1547" s="101"/>
      <c r="AK1547" s="101"/>
      <c r="AM1547" s="195"/>
      <c r="AT1547" s="101"/>
      <c r="AU1547" s="101"/>
      <c r="AV1547" s="101"/>
      <c r="AW1547" s="101"/>
      <c r="AX1547" s="101"/>
      <c r="AY1547" s="101"/>
      <c r="AZ1547" s="101"/>
      <c r="BA1547" s="101"/>
      <c r="BB1547" s="101"/>
      <c r="BD1547" s="101"/>
    </row>
    <row r="1548" spans="33:70">
      <c r="AG1548" s="101"/>
      <c r="AH1548" s="101"/>
      <c r="AI1548" s="101"/>
      <c r="AJ1548" s="101"/>
      <c r="AK1548" s="101"/>
      <c r="AM1548" s="195"/>
      <c r="AT1548" s="101"/>
      <c r="AU1548" s="101"/>
      <c r="AV1548" s="101"/>
      <c r="AW1548" s="101"/>
      <c r="AX1548" s="101"/>
      <c r="AY1548" s="101"/>
      <c r="AZ1548" s="101"/>
      <c r="BA1548" s="101"/>
      <c r="BB1548" s="101"/>
      <c r="BD1548" s="101"/>
    </row>
    <row r="1549" spans="33:70">
      <c r="AG1549" s="101"/>
      <c r="AH1549" s="101"/>
      <c r="AI1549" s="101"/>
      <c r="AJ1549" s="101"/>
      <c r="AK1549" s="101"/>
      <c r="AM1549" s="195"/>
      <c r="AT1549" s="101"/>
      <c r="AU1549" s="101"/>
      <c r="AV1549" s="101"/>
      <c r="AW1549" s="101"/>
      <c r="AX1549" s="101"/>
      <c r="AY1549" s="101"/>
      <c r="AZ1549" s="101"/>
      <c r="BA1549" s="101"/>
      <c r="BB1549" s="101"/>
    </row>
    <row r="1550" spans="33:70">
      <c r="AG1550" s="101"/>
      <c r="AH1550" s="101"/>
      <c r="AI1550" s="101"/>
      <c r="AJ1550" s="101"/>
      <c r="AK1550" s="101"/>
      <c r="AM1550" s="195"/>
      <c r="AT1550" s="101"/>
      <c r="AU1550" s="101"/>
      <c r="AV1550" s="101"/>
      <c r="AW1550" s="101"/>
      <c r="AX1550" s="101"/>
      <c r="AY1550" s="101"/>
      <c r="AZ1550" s="101"/>
      <c r="BA1550" s="101"/>
    </row>
    <row r="1551" spans="33:70">
      <c r="AG1551" s="101"/>
      <c r="AH1551" s="101"/>
      <c r="AI1551" s="101"/>
      <c r="AJ1551" s="101"/>
      <c r="AK1551" s="101"/>
      <c r="AM1551" s="195"/>
      <c r="AT1551" s="101"/>
      <c r="AU1551" s="101"/>
      <c r="AV1551" s="101"/>
      <c r="AW1551" s="101"/>
      <c r="AX1551" s="101"/>
      <c r="AY1551" s="101"/>
      <c r="AZ1551" s="101"/>
      <c r="BA1551" s="101"/>
      <c r="BB1551" s="101"/>
    </row>
    <row r="1552" spans="33:70">
      <c r="AG1552" s="101"/>
      <c r="AH1552" s="101"/>
      <c r="AI1552" s="101"/>
      <c r="AJ1552" s="101"/>
      <c r="AK1552" s="101"/>
      <c r="AM1552" s="195"/>
      <c r="AT1552" s="101"/>
      <c r="AU1552" s="101"/>
      <c r="AV1552" s="101"/>
      <c r="AW1552" s="101"/>
      <c r="AX1552" s="101"/>
      <c r="AY1552" s="101"/>
      <c r="AZ1552" s="101"/>
      <c r="BA1552" s="101"/>
      <c r="BB1552" s="101"/>
    </row>
    <row r="1553" spans="33:70">
      <c r="AG1553" s="101"/>
      <c r="AH1553" s="101"/>
      <c r="AI1553" s="101"/>
      <c r="AJ1553" s="101"/>
      <c r="AK1553" s="101"/>
      <c r="AM1553" s="195"/>
      <c r="AT1553" s="101"/>
      <c r="AU1553" s="101"/>
      <c r="AV1553" s="101"/>
      <c r="AW1553" s="101"/>
      <c r="AX1553" s="101"/>
      <c r="AY1553" s="101"/>
      <c r="AZ1553" s="101"/>
      <c r="BA1553" s="101"/>
      <c r="BB1553" s="101"/>
      <c r="BC1553" s="101"/>
      <c r="BD1553" s="101"/>
      <c r="BE1553" s="101"/>
      <c r="BF1553" s="101"/>
      <c r="BG1553" s="101"/>
      <c r="BH1553" s="101"/>
      <c r="BI1553" s="101"/>
      <c r="BJ1553" s="101"/>
      <c r="BK1553" s="101"/>
      <c r="BL1553" s="101"/>
      <c r="BM1553" s="101"/>
      <c r="BN1553" s="101"/>
      <c r="BO1553" s="101"/>
      <c r="BP1553" s="101"/>
      <c r="BQ1553" s="101"/>
      <c r="BR1553" s="101"/>
    </row>
    <row r="1554" spans="33:70">
      <c r="AG1554" s="101"/>
      <c r="AH1554" s="101"/>
      <c r="AI1554" s="101"/>
      <c r="AJ1554" s="101"/>
      <c r="AK1554" s="101"/>
      <c r="AM1554" s="195"/>
      <c r="AT1554" s="101"/>
      <c r="AU1554" s="101"/>
      <c r="AV1554" s="101"/>
      <c r="AW1554" s="101"/>
      <c r="AX1554" s="101"/>
      <c r="AY1554" s="101"/>
      <c r="AZ1554" s="101"/>
      <c r="BA1554" s="101"/>
    </row>
    <row r="1555" spans="33:70">
      <c r="AG1555" s="101"/>
      <c r="AH1555" s="101"/>
      <c r="AI1555" s="101"/>
      <c r="AJ1555" s="101"/>
      <c r="AK1555" s="101"/>
      <c r="AM1555" s="195"/>
      <c r="AT1555" s="101"/>
      <c r="AU1555" s="101"/>
      <c r="AV1555" s="101"/>
      <c r="AW1555" s="101"/>
      <c r="AX1555" s="101"/>
      <c r="AY1555" s="101"/>
      <c r="AZ1555" s="101"/>
      <c r="BA1555" s="101"/>
    </row>
    <row r="1556" spans="33:70">
      <c r="AG1556" s="101"/>
      <c r="AH1556" s="101"/>
      <c r="AI1556" s="101"/>
      <c r="AJ1556" s="101"/>
      <c r="AK1556" s="101"/>
      <c r="AM1556" s="195"/>
      <c r="AT1556" s="101"/>
      <c r="AU1556" s="101"/>
      <c r="AV1556" s="101"/>
      <c r="AW1556" s="101"/>
      <c r="AX1556" s="101"/>
      <c r="AY1556" s="101"/>
      <c r="AZ1556" s="101"/>
      <c r="BA1556" s="101"/>
      <c r="BB1556" s="101"/>
      <c r="BC1556" s="101"/>
      <c r="BD1556" s="101"/>
      <c r="BE1556" s="101"/>
      <c r="BF1556" s="101"/>
      <c r="BG1556" s="101"/>
      <c r="BH1556" s="101"/>
      <c r="BI1556" s="101"/>
      <c r="BJ1556" s="101"/>
      <c r="BK1556" s="101"/>
      <c r="BL1556" s="101"/>
      <c r="BM1556" s="101"/>
      <c r="BN1556" s="101"/>
      <c r="BO1556" s="101"/>
      <c r="BP1556" s="101"/>
      <c r="BQ1556" s="101"/>
      <c r="BR1556" s="101"/>
    </row>
    <row r="1557" spans="33:70">
      <c r="AG1557" s="101"/>
      <c r="AH1557" s="101"/>
      <c r="AI1557" s="101"/>
      <c r="AJ1557" s="101"/>
      <c r="AK1557" s="101"/>
      <c r="AM1557" s="195"/>
      <c r="AT1557" s="101"/>
      <c r="AU1557" s="101"/>
      <c r="AV1557" s="101"/>
      <c r="AW1557" s="101"/>
      <c r="AX1557" s="101"/>
      <c r="AY1557" s="101"/>
      <c r="AZ1557" s="101"/>
      <c r="BA1557" s="101"/>
      <c r="BB1557" s="101"/>
      <c r="BD1557" s="101"/>
      <c r="BE1557" s="101"/>
      <c r="BF1557" s="101"/>
      <c r="BG1557" s="101"/>
      <c r="BH1557" s="101"/>
      <c r="BI1557" s="101"/>
      <c r="BJ1557" s="101"/>
      <c r="BK1557" s="101"/>
      <c r="BL1557" s="101"/>
      <c r="BM1557" s="101"/>
      <c r="BN1557" s="101"/>
      <c r="BO1557" s="101"/>
      <c r="BP1557" s="101"/>
      <c r="BQ1557" s="101"/>
      <c r="BR1557" s="101"/>
    </row>
    <row r="1558" spans="33:70">
      <c r="AG1558" s="101"/>
      <c r="AH1558" s="101"/>
      <c r="AI1558" s="101"/>
      <c r="AJ1558" s="101"/>
      <c r="AK1558" s="101"/>
      <c r="AM1558" s="195"/>
      <c r="AT1558" s="101"/>
      <c r="AU1558" s="101"/>
      <c r="AV1558" s="101"/>
      <c r="AW1558" s="101"/>
      <c r="AX1558" s="101"/>
      <c r="AY1558" s="101"/>
      <c r="AZ1558" s="101"/>
      <c r="BA1558" s="101"/>
      <c r="BB1558" s="101"/>
      <c r="BD1558" s="101"/>
    </row>
    <row r="1559" spans="33:70">
      <c r="AG1559" s="101"/>
      <c r="AH1559" s="101"/>
      <c r="AI1559" s="101"/>
      <c r="AJ1559" s="101"/>
      <c r="AK1559" s="101"/>
      <c r="AM1559" s="195"/>
      <c r="AT1559" s="101"/>
      <c r="AU1559" s="101"/>
      <c r="AV1559" s="101"/>
      <c r="AW1559" s="101"/>
      <c r="AX1559" s="101"/>
      <c r="AY1559" s="101"/>
      <c r="AZ1559" s="101"/>
      <c r="BA1559" s="101"/>
    </row>
    <row r="1560" spans="33:70">
      <c r="AG1560" s="101"/>
      <c r="AH1560" s="101"/>
      <c r="AI1560" s="101"/>
      <c r="AJ1560" s="101"/>
      <c r="AK1560" s="101"/>
      <c r="AM1560" s="195"/>
      <c r="AT1560" s="101"/>
      <c r="AU1560" s="101"/>
      <c r="AV1560" s="101"/>
      <c r="AW1560" s="101"/>
      <c r="AX1560" s="101"/>
      <c r="AY1560" s="101"/>
      <c r="AZ1560" s="101"/>
      <c r="BA1560" s="101"/>
      <c r="BB1560" s="101"/>
    </row>
    <row r="1561" spans="33:70">
      <c r="AG1561" s="101"/>
      <c r="AH1561" s="101"/>
      <c r="AI1561" s="101"/>
      <c r="AJ1561" s="101"/>
      <c r="AK1561" s="101"/>
      <c r="AM1561" s="195"/>
      <c r="AT1561" s="101"/>
      <c r="AU1561" s="101"/>
      <c r="AV1561" s="101"/>
      <c r="AW1561" s="101"/>
      <c r="AX1561" s="101"/>
      <c r="AY1561" s="101"/>
      <c r="AZ1561" s="101"/>
      <c r="BA1561" s="101"/>
      <c r="BB1561" s="101"/>
    </row>
    <row r="1562" spans="33:70">
      <c r="AG1562" s="101"/>
      <c r="AH1562" s="101"/>
      <c r="AI1562" s="101"/>
      <c r="AJ1562" s="101"/>
      <c r="AK1562" s="101"/>
      <c r="AM1562" s="195"/>
      <c r="AT1562" s="101"/>
      <c r="AU1562" s="101"/>
      <c r="AV1562" s="101"/>
      <c r="AW1562" s="101"/>
      <c r="AX1562" s="101"/>
      <c r="AY1562" s="101"/>
      <c r="AZ1562" s="101"/>
      <c r="BA1562" s="101"/>
      <c r="BB1562" s="101"/>
      <c r="BD1562" s="101"/>
    </row>
    <row r="1563" spans="33:70">
      <c r="AG1563" s="101"/>
      <c r="AH1563" s="101"/>
      <c r="AI1563" s="101"/>
      <c r="AJ1563" s="101"/>
      <c r="AK1563" s="101"/>
      <c r="AM1563" s="195"/>
      <c r="AT1563" s="101"/>
      <c r="AU1563" s="101"/>
      <c r="AV1563" s="101"/>
      <c r="AW1563" s="101"/>
      <c r="AX1563" s="101"/>
      <c r="AY1563" s="101"/>
      <c r="AZ1563" s="101"/>
      <c r="BA1563" s="101"/>
      <c r="BB1563" s="101"/>
      <c r="BD1563" s="101"/>
      <c r="BE1563" s="101"/>
      <c r="BF1563" s="101"/>
      <c r="BG1563" s="101"/>
      <c r="BH1563" s="101"/>
      <c r="BI1563" s="101"/>
      <c r="BJ1563" s="101"/>
      <c r="BK1563" s="101"/>
      <c r="BL1563" s="101"/>
      <c r="BM1563" s="101"/>
      <c r="BN1563" s="101"/>
      <c r="BO1563" s="101"/>
      <c r="BP1563" s="101"/>
      <c r="BQ1563" s="101"/>
      <c r="BR1563" s="101"/>
    </row>
    <row r="1564" spans="33:70">
      <c r="AG1564" s="101"/>
      <c r="AH1564" s="101"/>
      <c r="AI1564" s="101"/>
      <c r="AJ1564" s="101"/>
      <c r="AK1564" s="101"/>
      <c r="AM1564" s="195"/>
      <c r="AT1564" s="101"/>
      <c r="AU1564" s="101"/>
      <c r="AV1564" s="101"/>
      <c r="AW1564" s="101"/>
      <c r="AX1564" s="101"/>
      <c r="AY1564" s="101"/>
      <c r="AZ1564" s="101"/>
      <c r="BA1564" s="101"/>
      <c r="BB1564" s="101"/>
    </row>
    <row r="1565" spans="33:70">
      <c r="AG1565" s="101"/>
      <c r="AH1565" s="101"/>
      <c r="AI1565" s="101"/>
      <c r="AJ1565" s="101"/>
      <c r="AK1565" s="101"/>
      <c r="AM1565" s="195"/>
      <c r="AT1565" s="101"/>
      <c r="AU1565" s="101"/>
      <c r="AV1565" s="101"/>
      <c r="AW1565" s="101"/>
      <c r="AX1565" s="101"/>
      <c r="AY1565" s="101"/>
      <c r="AZ1565" s="101"/>
      <c r="BA1565" s="101"/>
      <c r="BB1565" s="101"/>
    </row>
    <row r="1566" spans="33:70">
      <c r="AG1566" s="101"/>
      <c r="AH1566" s="101"/>
      <c r="AI1566" s="101"/>
      <c r="AJ1566" s="101"/>
      <c r="AK1566" s="101"/>
      <c r="AM1566" s="195"/>
      <c r="AT1566" s="101"/>
      <c r="AU1566" s="101"/>
      <c r="AV1566" s="101"/>
      <c r="AW1566" s="101"/>
      <c r="AX1566" s="101"/>
      <c r="AY1566" s="101"/>
      <c r="AZ1566" s="101"/>
      <c r="BA1566" s="101"/>
      <c r="BB1566" s="101"/>
    </row>
    <row r="1567" spans="33:70">
      <c r="AG1567" s="101"/>
      <c r="AH1567" s="101"/>
      <c r="AI1567" s="101"/>
      <c r="AJ1567" s="101"/>
      <c r="AK1567" s="101"/>
      <c r="AM1567" s="195"/>
      <c r="AT1567" s="101"/>
      <c r="AU1567" s="101"/>
      <c r="AV1567" s="101"/>
      <c r="AW1567" s="101"/>
      <c r="AX1567" s="101"/>
      <c r="AY1567" s="101"/>
      <c r="AZ1567" s="101"/>
      <c r="BA1567" s="101"/>
      <c r="BB1567" s="101"/>
      <c r="BD1567" s="101"/>
    </row>
    <row r="1568" spans="33:70">
      <c r="AG1568" s="101"/>
      <c r="AH1568" s="101"/>
      <c r="AI1568" s="101"/>
      <c r="AJ1568" s="101"/>
      <c r="AK1568" s="101"/>
      <c r="AM1568" s="195"/>
      <c r="AT1568" s="101"/>
      <c r="AU1568" s="101"/>
      <c r="AV1568" s="101"/>
      <c r="AW1568" s="101"/>
      <c r="AX1568" s="101"/>
      <c r="AY1568" s="101"/>
      <c r="AZ1568" s="101"/>
      <c r="BA1568" s="101"/>
      <c r="BB1568" s="101"/>
      <c r="BD1568" s="101"/>
      <c r="BE1568" s="101"/>
      <c r="BF1568" s="101"/>
      <c r="BG1568" s="101"/>
      <c r="BH1568" s="101"/>
      <c r="BI1568" s="101"/>
      <c r="BJ1568" s="101"/>
      <c r="BK1568" s="101"/>
      <c r="BL1568" s="101"/>
      <c r="BM1568" s="101"/>
      <c r="BN1568" s="101"/>
      <c r="BO1568" s="101"/>
      <c r="BP1568" s="101"/>
      <c r="BQ1568" s="101"/>
      <c r="BR1568" s="101"/>
    </row>
    <row r="1569" spans="33:70">
      <c r="AG1569" s="101"/>
      <c r="AH1569" s="101"/>
      <c r="AI1569" s="101"/>
      <c r="AJ1569" s="101"/>
      <c r="AK1569" s="101"/>
      <c r="AM1569" s="195"/>
      <c r="AT1569" s="101"/>
      <c r="AU1569" s="101"/>
      <c r="AV1569" s="101"/>
      <c r="AW1569" s="101"/>
      <c r="AX1569" s="101"/>
      <c r="AY1569" s="101"/>
      <c r="AZ1569" s="101"/>
      <c r="BA1569" s="101"/>
    </row>
    <row r="1570" spans="33:70">
      <c r="AG1570" s="101"/>
      <c r="AH1570" s="101"/>
      <c r="AI1570" s="101"/>
      <c r="AJ1570" s="101"/>
      <c r="AK1570" s="101"/>
      <c r="AM1570" s="195"/>
      <c r="AT1570" s="101"/>
      <c r="AU1570" s="101"/>
      <c r="AV1570" s="101"/>
      <c r="AW1570" s="101"/>
      <c r="AX1570" s="101"/>
      <c r="AY1570" s="101"/>
      <c r="AZ1570" s="101"/>
      <c r="BA1570" s="101"/>
      <c r="BB1570" s="101"/>
    </row>
    <row r="1571" spans="33:70">
      <c r="AG1571" s="101"/>
      <c r="AH1571" s="101"/>
      <c r="AI1571" s="101"/>
      <c r="AJ1571" s="101"/>
      <c r="AK1571" s="101"/>
      <c r="AM1571" s="195"/>
      <c r="AT1571" s="101"/>
      <c r="AU1571" s="101"/>
      <c r="AV1571" s="101"/>
      <c r="AW1571" s="101"/>
      <c r="AX1571" s="101"/>
      <c r="AY1571" s="101"/>
      <c r="AZ1571" s="101"/>
      <c r="BA1571" s="101"/>
      <c r="BB1571" s="101"/>
    </row>
    <row r="1572" spans="33:70">
      <c r="AG1572" s="101"/>
      <c r="AH1572" s="101"/>
      <c r="AI1572" s="101"/>
      <c r="AJ1572" s="101"/>
      <c r="AK1572" s="101"/>
      <c r="AM1572" s="195"/>
      <c r="AT1572" s="101"/>
      <c r="AU1572" s="101"/>
      <c r="AV1572" s="101"/>
      <c r="AW1572" s="101"/>
      <c r="AX1572" s="101"/>
      <c r="AY1572" s="101"/>
      <c r="AZ1572" s="101"/>
      <c r="BA1572" s="101"/>
      <c r="BB1572" s="101"/>
      <c r="BD1572" s="101"/>
    </row>
    <row r="1573" spans="33:70">
      <c r="AG1573" s="101"/>
      <c r="AH1573" s="101"/>
      <c r="AI1573" s="101"/>
      <c r="AJ1573" s="101"/>
      <c r="AK1573" s="101"/>
      <c r="AM1573" s="195"/>
      <c r="AT1573" s="101"/>
      <c r="AU1573" s="101"/>
      <c r="AV1573" s="101"/>
      <c r="AW1573" s="101"/>
      <c r="AX1573" s="101"/>
      <c r="AY1573" s="101"/>
      <c r="AZ1573" s="101"/>
      <c r="BA1573" s="101"/>
      <c r="BB1573" s="101"/>
    </row>
    <row r="1574" spans="33:70">
      <c r="AG1574" s="101"/>
      <c r="AH1574" s="101"/>
      <c r="AI1574" s="101"/>
      <c r="AJ1574" s="101"/>
      <c r="AK1574" s="101"/>
      <c r="AM1574" s="195"/>
      <c r="AT1574" s="101"/>
      <c r="AU1574" s="101"/>
      <c r="AV1574" s="101"/>
      <c r="AW1574" s="101"/>
      <c r="AX1574" s="101"/>
      <c r="AY1574" s="101"/>
      <c r="AZ1574" s="101"/>
      <c r="BA1574" s="101"/>
    </row>
    <row r="1575" spans="33:70">
      <c r="AG1575" s="101"/>
      <c r="AH1575" s="101"/>
      <c r="AI1575" s="101"/>
      <c r="AJ1575" s="101"/>
      <c r="AK1575" s="101"/>
      <c r="AM1575" s="195"/>
      <c r="AT1575" s="101"/>
      <c r="AU1575" s="101"/>
      <c r="AV1575" s="101"/>
      <c r="AW1575" s="101"/>
      <c r="AX1575" s="101"/>
      <c r="AY1575" s="101"/>
      <c r="AZ1575" s="101"/>
      <c r="BA1575" s="101"/>
    </row>
    <row r="1576" spans="33:70">
      <c r="AG1576" s="101"/>
      <c r="AH1576" s="101"/>
      <c r="AI1576" s="101"/>
      <c r="AJ1576" s="101"/>
      <c r="AK1576" s="101"/>
      <c r="AM1576" s="195"/>
      <c r="AT1576" s="101"/>
      <c r="AU1576" s="101"/>
      <c r="AV1576" s="101"/>
      <c r="AW1576" s="101"/>
      <c r="AX1576" s="101"/>
      <c r="AY1576" s="101"/>
      <c r="AZ1576" s="101"/>
      <c r="BA1576" s="101"/>
      <c r="BB1576" s="101"/>
      <c r="BC1576" s="101"/>
      <c r="BD1576" s="101"/>
      <c r="BE1576" s="101"/>
      <c r="BF1576" s="101"/>
      <c r="BG1576" s="101"/>
      <c r="BH1576" s="101"/>
      <c r="BI1576" s="101"/>
      <c r="BJ1576" s="101"/>
      <c r="BK1576" s="101"/>
      <c r="BL1576" s="101"/>
      <c r="BM1576" s="101"/>
      <c r="BN1576" s="101"/>
      <c r="BO1576" s="101"/>
      <c r="BP1576" s="101"/>
      <c r="BQ1576" s="101"/>
      <c r="BR1576" s="101"/>
    </row>
    <row r="1577" spans="33:70">
      <c r="AG1577" s="101"/>
      <c r="AH1577" s="101"/>
      <c r="AI1577" s="101"/>
      <c r="AJ1577" s="101"/>
      <c r="AK1577" s="101"/>
      <c r="AM1577" s="195"/>
      <c r="AT1577" s="101"/>
      <c r="AU1577" s="101"/>
      <c r="AV1577" s="101"/>
      <c r="AW1577" s="101"/>
      <c r="AX1577" s="101"/>
      <c r="AY1577" s="101"/>
      <c r="AZ1577" s="101"/>
      <c r="BA1577" s="101"/>
    </row>
    <row r="1578" spans="33:70">
      <c r="AG1578" s="101"/>
      <c r="AH1578" s="101"/>
      <c r="AI1578" s="101"/>
      <c r="AJ1578" s="101"/>
      <c r="AK1578" s="101"/>
      <c r="AM1578" s="195"/>
      <c r="AT1578" s="101"/>
      <c r="AU1578" s="101"/>
      <c r="AV1578" s="101"/>
      <c r="AW1578" s="101"/>
      <c r="AX1578" s="101"/>
      <c r="AY1578" s="101"/>
      <c r="AZ1578" s="101"/>
      <c r="BA1578" s="101"/>
      <c r="BB1578" s="101"/>
      <c r="BC1578" s="101"/>
      <c r="BD1578" s="101"/>
      <c r="BE1578" s="101"/>
      <c r="BF1578" s="101"/>
      <c r="BG1578" s="101"/>
      <c r="BH1578" s="101"/>
      <c r="BI1578" s="101"/>
      <c r="BJ1578" s="101"/>
      <c r="BK1578" s="101"/>
      <c r="BL1578" s="101"/>
      <c r="BM1578" s="101"/>
      <c r="BN1578" s="101"/>
      <c r="BO1578" s="101"/>
      <c r="BP1578" s="101"/>
      <c r="BQ1578" s="101"/>
      <c r="BR1578" s="101"/>
    </row>
    <row r="1579" spans="33:70">
      <c r="AG1579" s="101"/>
      <c r="AH1579" s="101"/>
      <c r="AI1579" s="101"/>
      <c r="AJ1579" s="101"/>
      <c r="AK1579" s="101"/>
      <c r="AM1579" s="195"/>
      <c r="AT1579" s="101"/>
      <c r="AU1579" s="101"/>
      <c r="AV1579" s="101"/>
      <c r="AW1579" s="101"/>
      <c r="AX1579" s="101"/>
      <c r="AY1579" s="101"/>
      <c r="AZ1579" s="101"/>
      <c r="BA1579" s="101"/>
      <c r="BB1579" s="101"/>
      <c r="BD1579" s="101"/>
      <c r="BE1579" s="101"/>
      <c r="BF1579" s="101"/>
      <c r="BG1579" s="101"/>
      <c r="BH1579" s="101"/>
      <c r="BI1579" s="101"/>
      <c r="BJ1579" s="101"/>
      <c r="BK1579" s="101"/>
      <c r="BL1579" s="101"/>
      <c r="BM1579" s="101"/>
      <c r="BN1579" s="101"/>
      <c r="BO1579" s="101"/>
      <c r="BP1579" s="101"/>
      <c r="BQ1579" s="101"/>
      <c r="BR1579" s="101"/>
    </row>
    <row r="1580" spans="33:70">
      <c r="AG1580" s="101"/>
      <c r="AH1580" s="101"/>
      <c r="AI1580" s="101"/>
      <c r="AJ1580" s="101"/>
      <c r="AK1580" s="101"/>
      <c r="AM1580" s="195"/>
      <c r="AT1580" s="101"/>
      <c r="AU1580" s="101"/>
      <c r="AV1580" s="101"/>
      <c r="AW1580" s="101"/>
      <c r="AX1580" s="101"/>
      <c r="AY1580" s="101"/>
      <c r="AZ1580" s="101"/>
      <c r="BA1580" s="101"/>
      <c r="BB1580" s="101"/>
      <c r="BC1580" s="101"/>
      <c r="BD1580" s="101"/>
      <c r="BE1580" s="101"/>
      <c r="BF1580" s="101"/>
      <c r="BG1580" s="101"/>
      <c r="BH1580" s="101"/>
      <c r="BI1580" s="101"/>
      <c r="BJ1580" s="101"/>
      <c r="BK1580" s="101"/>
      <c r="BL1580" s="101"/>
      <c r="BM1580" s="101"/>
      <c r="BN1580" s="101"/>
      <c r="BO1580" s="101"/>
      <c r="BP1580" s="101"/>
      <c r="BQ1580" s="101"/>
      <c r="BR1580" s="101"/>
    </row>
    <row r="1581" spans="33:70">
      <c r="AG1581" s="101"/>
      <c r="AH1581" s="101"/>
      <c r="AI1581" s="101"/>
      <c r="AJ1581" s="101"/>
      <c r="AK1581" s="101"/>
      <c r="AM1581" s="195"/>
      <c r="AT1581" s="101"/>
      <c r="AU1581" s="101"/>
      <c r="AV1581" s="101"/>
      <c r="AW1581" s="101"/>
      <c r="AX1581" s="101"/>
      <c r="AY1581" s="101"/>
      <c r="AZ1581" s="101"/>
      <c r="BA1581" s="101"/>
      <c r="BB1581" s="101"/>
      <c r="BD1581" s="101"/>
      <c r="BE1581" s="101"/>
      <c r="BF1581" s="101"/>
      <c r="BG1581" s="101"/>
      <c r="BH1581" s="101"/>
      <c r="BI1581" s="101"/>
      <c r="BJ1581" s="101"/>
      <c r="BK1581" s="101"/>
      <c r="BL1581" s="101"/>
      <c r="BM1581" s="101"/>
      <c r="BN1581" s="101"/>
      <c r="BO1581" s="101"/>
      <c r="BP1581" s="101"/>
      <c r="BQ1581" s="101"/>
      <c r="BR1581" s="101"/>
    </row>
    <row r="1582" spans="33:70">
      <c r="AG1582" s="101"/>
      <c r="AH1582" s="101"/>
      <c r="AI1582" s="101"/>
      <c r="AJ1582" s="101"/>
      <c r="AK1582" s="101"/>
      <c r="AM1582" s="195"/>
      <c r="AT1582" s="101"/>
      <c r="AU1582" s="101"/>
      <c r="AV1582" s="101"/>
      <c r="AW1582" s="101"/>
      <c r="AX1582" s="101"/>
      <c r="AY1582" s="101"/>
      <c r="AZ1582" s="101"/>
      <c r="BA1582" s="101"/>
      <c r="BB1582" s="101"/>
      <c r="BC1582" s="101"/>
      <c r="BD1582" s="101"/>
      <c r="BE1582" s="101"/>
      <c r="BF1582" s="101"/>
      <c r="BG1582" s="101"/>
      <c r="BH1582" s="101"/>
      <c r="BI1582" s="101"/>
      <c r="BJ1582" s="101"/>
      <c r="BK1582" s="101"/>
      <c r="BL1582" s="101"/>
      <c r="BM1582" s="101"/>
      <c r="BN1582" s="101"/>
      <c r="BO1582" s="101"/>
      <c r="BP1582" s="101"/>
      <c r="BQ1582" s="101"/>
      <c r="BR1582" s="101"/>
    </row>
    <row r="1583" spans="33:70">
      <c r="AG1583" s="101"/>
      <c r="AH1583" s="101"/>
      <c r="AI1583" s="101"/>
      <c r="AJ1583" s="101"/>
      <c r="AK1583" s="101"/>
      <c r="AM1583" s="195"/>
      <c r="AT1583" s="101"/>
      <c r="AU1583" s="101"/>
      <c r="AV1583" s="101"/>
      <c r="AW1583" s="101"/>
      <c r="AX1583" s="101"/>
      <c r="AY1583" s="101"/>
      <c r="AZ1583" s="101"/>
      <c r="BA1583" s="101"/>
      <c r="BB1583" s="101"/>
      <c r="BD1583" s="101"/>
    </row>
    <row r="1584" spans="33:70">
      <c r="AG1584" s="101"/>
      <c r="AH1584" s="101"/>
      <c r="AI1584" s="101"/>
      <c r="AJ1584" s="101"/>
      <c r="AK1584" s="101"/>
      <c r="AM1584" s="195"/>
      <c r="AT1584" s="101"/>
      <c r="AU1584" s="101"/>
      <c r="AV1584" s="101"/>
      <c r="AW1584" s="101"/>
      <c r="AX1584" s="101"/>
      <c r="AY1584" s="101"/>
      <c r="AZ1584" s="101"/>
      <c r="BA1584" s="101"/>
      <c r="BB1584" s="101"/>
      <c r="BC1584" s="101"/>
      <c r="BD1584" s="101"/>
      <c r="BE1584" s="101"/>
      <c r="BF1584" s="101"/>
      <c r="BG1584" s="101"/>
      <c r="BH1584" s="101"/>
      <c r="BI1584" s="101"/>
      <c r="BJ1584" s="101"/>
      <c r="BK1584" s="101"/>
      <c r="BL1584" s="101"/>
      <c r="BM1584" s="101"/>
      <c r="BN1584" s="101"/>
      <c r="BO1584" s="101"/>
      <c r="BP1584" s="101"/>
      <c r="BQ1584" s="101"/>
      <c r="BR1584" s="101"/>
    </row>
    <row r="1585" spans="33:70">
      <c r="AG1585" s="101"/>
      <c r="AH1585" s="101"/>
      <c r="AI1585" s="101"/>
      <c r="AJ1585" s="101"/>
      <c r="AK1585" s="101"/>
      <c r="AM1585" s="195"/>
      <c r="AT1585" s="101"/>
      <c r="AU1585" s="101"/>
      <c r="AV1585" s="101"/>
      <c r="AW1585" s="101"/>
      <c r="AX1585" s="101"/>
      <c r="AY1585" s="101"/>
      <c r="AZ1585" s="101"/>
      <c r="BA1585" s="101"/>
      <c r="BB1585" s="101"/>
      <c r="BD1585" s="101"/>
    </row>
    <row r="1586" spans="33:70">
      <c r="AG1586" s="101"/>
      <c r="AH1586" s="101"/>
      <c r="AI1586" s="101"/>
      <c r="AJ1586" s="101"/>
      <c r="AK1586" s="101"/>
      <c r="AM1586" s="195"/>
      <c r="AT1586" s="101"/>
      <c r="AU1586" s="101"/>
      <c r="AV1586" s="101"/>
      <c r="AW1586" s="101"/>
      <c r="AX1586" s="101"/>
      <c r="AY1586" s="101"/>
      <c r="AZ1586" s="101"/>
      <c r="BA1586" s="101"/>
      <c r="BB1586" s="101"/>
      <c r="BC1586" s="101"/>
      <c r="BD1586" s="101"/>
      <c r="BE1586" s="101"/>
      <c r="BF1586" s="101"/>
      <c r="BG1586" s="101"/>
      <c r="BH1586" s="101"/>
      <c r="BI1586" s="101"/>
      <c r="BJ1586" s="101"/>
      <c r="BK1586" s="101"/>
      <c r="BL1586" s="101"/>
      <c r="BM1586" s="101"/>
      <c r="BN1586" s="101"/>
      <c r="BO1586" s="101"/>
      <c r="BP1586" s="101"/>
      <c r="BQ1586" s="101"/>
      <c r="BR1586" s="101"/>
    </row>
    <row r="1587" spans="33:70">
      <c r="AG1587" s="101"/>
      <c r="AH1587" s="101"/>
      <c r="AI1587" s="101"/>
      <c r="AJ1587" s="101"/>
      <c r="AK1587" s="101"/>
      <c r="AM1587" s="195"/>
      <c r="AT1587" s="101"/>
      <c r="AU1587" s="101"/>
      <c r="AV1587" s="101"/>
      <c r="AW1587" s="101"/>
      <c r="AX1587" s="101"/>
      <c r="AY1587" s="101"/>
      <c r="AZ1587" s="101"/>
      <c r="BA1587" s="101"/>
      <c r="BB1587" s="101"/>
      <c r="BC1587" s="101"/>
      <c r="BD1587" s="101"/>
      <c r="BE1587" s="101"/>
      <c r="BF1587" s="101"/>
      <c r="BG1587" s="101"/>
      <c r="BH1587" s="101"/>
      <c r="BI1587" s="101"/>
      <c r="BJ1587" s="101"/>
      <c r="BK1587" s="101"/>
      <c r="BL1587" s="101"/>
      <c r="BM1587" s="101"/>
      <c r="BN1587" s="101"/>
      <c r="BO1587" s="101"/>
      <c r="BP1587" s="101"/>
      <c r="BQ1587" s="101"/>
      <c r="BR1587" s="101"/>
    </row>
    <row r="1588" spans="33:70">
      <c r="AG1588" s="101"/>
      <c r="AH1588" s="101"/>
      <c r="AI1588" s="101"/>
      <c r="AJ1588" s="101"/>
      <c r="AK1588" s="101"/>
      <c r="AM1588" s="195"/>
      <c r="AT1588" s="101"/>
      <c r="AU1588" s="101"/>
      <c r="AV1588" s="101"/>
      <c r="AW1588" s="101"/>
      <c r="AX1588" s="101"/>
      <c r="AY1588" s="101"/>
      <c r="AZ1588" s="101"/>
      <c r="BA1588" s="101"/>
      <c r="BB1588" s="101"/>
      <c r="BC1588" s="101"/>
      <c r="BD1588" s="101"/>
      <c r="BE1588" s="101"/>
      <c r="BF1588" s="101"/>
      <c r="BG1588" s="101"/>
      <c r="BH1588" s="101"/>
      <c r="BI1588" s="101"/>
      <c r="BJ1588" s="101"/>
      <c r="BK1588" s="101"/>
      <c r="BL1588" s="101"/>
      <c r="BM1588" s="101"/>
      <c r="BN1588" s="101"/>
      <c r="BO1588" s="101"/>
      <c r="BP1588" s="101"/>
      <c r="BQ1588" s="101"/>
      <c r="BR1588" s="101"/>
    </row>
    <row r="1589" spans="33:70">
      <c r="AG1589" s="101"/>
      <c r="AH1589" s="101"/>
      <c r="AI1589" s="101"/>
      <c r="AJ1589" s="101"/>
      <c r="AK1589" s="101"/>
      <c r="AM1589" s="195"/>
      <c r="AT1589" s="101"/>
      <c r="AU1589" s="101"/>
      <c r="AV1589" s="101"/>
      <c r="AW1589" s="101"/>
      <c r="AX1589" s="101"/>
      <c r="AY1589" s="101"/>
      <c r="AZ1589" s="101"/>
      <c r="BA1589" s="101"/>
      <c r="BB1589" s="101"/>
      <c r="BC1589" s="101"/>
      <c r="BD1589" s="101"/>
      <c r="BE1589" s="101"/>
      <c r="BF1589" s="101"/>
      <c r="BG1589" s="101"/>
      <c r="BH1589" s="101"/>
      <c r="BI1589" s="101"/>
      <c r="BJ1589" s="101"/>
      <c r="BK1589" s="101"/>
      <c r="BL1589" s="101"/>
      <c r="BM1589" s="101"/>
      <c r="BN1589" s="101"/>
      <c r="BO1589" s="101"/>
      <c r="BP1589" s="101"/>
      <c r="BQ1589" s="101"/>
      <c r="BR1589" s="101"/>
    </row>
    <row r="1590" spans="33:70">
      <c r="AG1590" s="101"/>
      <c r="AH1590" s="101"/>
      <c r="AI1590" s="101"/>
      <c r="AJ1590" s="101"/>
      <c r="AK1590" s="101"/>
      <c r="AM1590" s="195"/>
      <c r="AT1590" s="101"/>
      <c r="AU1590" s="101"/>
      <c r="AV1590" s="101"/>
      <c r="AW1590" s="101"/>
      <c r="AX1590" s="101"/>
      <c r="AY1590" s="101"/>
      <c r="AZ1590" s="101"/>
      <c r="BA1590" s="101"/>
      <c r="BB1590" s="101"/>
      <c r="BD1590" s="101"/>
    </row>
    <row r="1591" spans="33:70">
      <c r="AG1591" s="101"/>
      <c r="AH1591" s="101"/>
      <c r="AI1591" s="101"/>
      <c r="AJ1591" s="101"/>
      <c r="AK1591" s="101"/>
      <c r="AM1591" s="195"/>
      <c r="AT1591" s="101"/>
      <c r="AU1591" s="101"/>
      <c r="AV1591" s="101"/>
      <c r="AW1591" s="101"/>
      <c r="AX1591" s="101"/>
      <c r="AY1591" s="101"/>
      <c r="AZ1591" s="101"/>
      <c r="BA1591" s="101"/>
    </row>
    <row r="1592" spans="33:70">
      <c r="AG1592" s="101"/>
      <c r="AH1592" s="101"/>
      <c r="AI1592" s="101"/>
      <c r="AJ1592" s="101"/>
      <c r="AK1592" s="101"/>
      <c r="AM1592" s="195"/>
      <c r="AT1592" s="101"/>
      <c r="AU1592" s="101"/>
      <c r="AV1592" s="101"/>
      <c r="AW1592" s="101"/>
      <c r="AX1592" s="101"/>
      <c r="AY1592" s="101"/>
      <c r="AZ1592" s="101"/>
      <c r="BA1592" s="101"/>
    </row>
    <row r="1593" spans="33:70">
      <c r="AG1593" s="101"/>
      <c r="AH1593" s="101"/>
      <c r="AI1593" s="101"/>
      <c r="AJ1593" s="101"/>
      <c r="AK1593" s="101"/>
      <c r="AM1593" s="195"/>
      <c r="AT1593" s="101"/>
      <c r="AU1593" s="101"/>
      <c r="AV1593" s="101"/>
      <c r="AW1593" s="101"/>
      <c r="AX1593" s="101"/>
      <c r="AY1593" s="101"/>
      <c r="AZ1593" s="101"/>
      <c r="BA1593" s="101"/>
    </row>
    <row r="1594" spans="33:70">
      <c r="AG1594" s="101"/>
      <c r="AH1594" s="101"/>
      <c r="AI1594" s="101"/>
      <c r="AJ1594" s="101"/>
      <c r="AK1594" s="101"/>
      <c r="AM1594" s="195"/>
      <c r="AT1594" s="101"/>
      <c r="AU1594" s="101"/>
      <c r="AV1594" s="101"/>
      <c r="AW1594" s="101"/>
      <c r="AX1594" s="101"/>
      <c r="AY1594" s="101"/>
      <c r="AZ1594" s="101"/>
      <c r="BA1594" s="101"/>
      <c r="BB1594" s="101"/>
    </row>
    <row r="1595" spans="33:70">
      <c r="AG1595" s="101"/>
      <c r="AH1595" s="101"/>
      <c r="AI1595" s="101"/>
      <c r="AJ1595" s="101"/>
      <c r="AK1595" s="101"/>
      <c r="AM1595" s="195"/>
      <c r="AT1595" s="101"/>
      <c r="AU1595" s="101"/>
      <c r="AV1595" s="101"/>
      <c r="AW1595" s="101"/>
      <c r="AX1595" s="101"/>
      <c r="AY1595" s="101"/>
      <c r="AZ1595" s="101"/>
      <c r="BA1595" s="101"/>
      <c r="BB1595" s="101"/>
      <c r="BD1595" s="101"/>
    </row>
    <row r="1596" spans="33:70">
      <c r="AG1596" s="101"/>
      <c r="AH1596" s="101"/>
      <c r="AI1596" s="101"/>
      <c r="AJ1596" s="101"/>
      <c r="AK1596" s="101"/>
      <c r="AM1596" s="195"/>
      <c r="AT1596" s="101"/>
      <c r="AU1596" s="101"/>
      <c r="AV1596" s="101"/>
      <c r="AW1596" s="101"/>
      <c r="AX1596" s="101"/>
      <c r="AY1596" s="101"/>
      <c r="AZ1596" s="101"/>
      <c r="BA1596" s="101"/>
      <c r="BB1596" s="101"/>
      <c r="BC1596" s="101"/>
      <c r="BD1596" s="101"/>
      <c r="BE1596" s="101"/>
      <c r="BF1596" s="101"/>
      <c r="BG1596" s="101"/>
      <c r="BH1596" s="101"/>
      <c r="BI1596" s="101"/>
      <c r="BJ1596" s="101"/>
      <c r="BK1596" s="101"/>
      <c r="BL1596" s="101"/>
      <c r="BM1596" s="101"/>
      <c r="BN1596" s="101"/>
      <c r="BO1596" s="101"/>
      <c r="BP1596" s="101"/>
      <c r="BQ1596" s="101"/>
      <c r="BR1596" s="101"/>
    </row>
    <row r="1597" spans="33:70">
      <c r="AG1597" s="101"/>
      <c r="AH1597" s="101"/>
      <c r="AI1597" s="101"/>
      <c r="AJ1597" s="101"/>
      <c r="AK1597" s="101"/>
      <c r="AM1597" s="195"/>
      <c r="AT1597" s="101"/>
      <c r="AU1597" s="101"/>
      <c r="AV1597" s="101"/>
      <c r="AW1597" s="101"/>
      <c r="AX1597" s="101"/>
      <c r="AY1597" s="101"/>
      <c r="AZ1597" s="101"/>
      <c r="BA1597" s="101"/>
      <c r="BB1597" s="101"/>
    </row>
    <row r="1598" spans="33:70">
      <c r="AG1598" s="101"/>
      <c r="AH1598" s="101"/>
      <c r="AI1598" s="101"/>
      <c r="AJ1598" s="101"/>
      <c r="AK1598" s="101"/>
      <c r="AM1598" s="195"/>
      <c r="AT1598" s="101"/>
      <c r="AU1598" s="101"/>
      <c r="AV1598" s="101"/>
      <c r="AW1598" s="101"/>
      <c r="AX1598" s="101"/>
      <c r="AY1598" s="101"/>
      <c r="AZ1598" s="101"/>
      <c r="BA1598" s="101"/>
      <c r="BB1598" s="101"/>
      <c r="BD1598" s="101"/>
    </row>
    <row r="1599" spans="33:70">
      <c r="AG1599" s="101"/>
      <c r="AH1599" s="101"/>
      <c r="AI1599" s="101"/>
      <c r="AJ1599" s="101"/>
      <c r="AK1599" s="101"/>
      <c r="AM1599" s="195"/>
      <c r="AT1599" s="101"/>
      <c r="AU1599" s="101"/>
      <c r="AV1599" s="101"/>
      <c r="AW1599" s="101"/>
      <c r="AX1599" s="101"/>
      <c r="AY1599" s="101"/>
      <c r="AZ1599" s="101"/>
      <c r="BA1599" s="101"/>
    </row>
    <row r="1600" spans="33:70">
      <c r="AG1600" s="101"/>
      <c r="AH1600" s="101"/>
      <c r="AI1600" s="101"/>
      <c r="AJ1600" s="101"/>
      <c r="AK1600" s="101"/>
      <c r="AM1600" s="195"/>
      <c r="AT1600" s="101"/>
      <c r="AU1600" s="101"/>
      <c r="AV1600" s="101"/>
      <c r="AW1600" s="101"/>
      <c r="AX1600" s="101"/>
      <c r="AY1600" s="101"/>
      <c r="AZ1600" s="101"/>
      <c r="BA1600" s="101"/>
      <c r="BB1600" s="101"/>
      <c r="BD1600" s="101"/>
    </row>
    <row r="1601" spans="33:70">
      <c r="AG1601" s="101"/>
      <c r="AH1601" s="101"/>
      <c r="AI1601" s="101"/>
      <c r="AJ1601" s="101"/>
      <c r="AK1601" s="101"/>
      <c r="AM1601" s="195"/>
      <c r="AT1601" s="101"/>
      <c r="AU1601" s="101"/>
      <c r="AV1601" s="101"/>
      <c r="AW1601" s="101"/>
      <c r="AX1601" s="101"/>
      <c r="AY1601" s="101"/>
      <c r="AZ1601" s="101"/>
      <c r="BA1601" s="101"/>
    </row>
    <row r="1602" spans="33:70">
      <c r="AG1602" s="101"/>
      <c r="AH1602" s="101"/>
      <c r="AI1602" s="101"/>
      <c r="AJ1602" s="101"/>
      <c r="AK1602" s="101"/>
      <c r="AM1602" s="195"/>
      <c r="AT1602" s="101"/>
      <c r="AU1602" s="101"/>
      <c r="AV1602" s="101"/>
      <c r="AW1602" s="101"/>
      <c r="AX1602" s="101"/>
      <c r="AY1602" s="101"/>
      <c r="AZ1602" s="101"/>
      <c r="BA1602" s="101"/>
      <c r="BB1602" s="101"/>
    </row>
    <row r="1603" spans="33:70">
      <c r="AG1603" s="101"/>
      <c r="AH1603" s="101"/>
      <c r="AI1603" s="101"/>
      <c r="AJ1603" s="101"/>
      <c r="AK1603" s="101"/>
      <c r="AM1603" s="195"/>
      <c r="AT1603" s="101"/>
      <c r="AU1603" s="101"/>
      <c r="AV1603" s="101"/>
      <c r="AW1603" s="101"/>
      <c r="AX1603" s="101"/>
      <c r="AY1603" s="101"/>
      <c r="AZ1603" s="101"/>
      <c r="BA1603" s="101"/>
      <c r="BB1603" s="101"/>
      <c r="BC1603" s="101"/>
      <c r="BD1603" s="101"/>
      <c r="BE1603" s="101"/>
      <c r="BF1603" s="101"/>
      <c r="BG1603" s="101"/>
      <c r="BH1603" s="101"/>
      <c r="BI1603" s="101"/>
      <c r="BJ1603" s="101"/>
      <c r="BK1603" s="101"/>
      <c r="BL1603" s="101"/>
      <c r="BM1603" s="101"/>
      <c r="BN1603" s="101"/>
      <c r="BO1603" s="101"/>
      <c r="BP1603" s="101"/>
      <c r="BQ1603" s="101"/>
      <c r="BR1603" s="101"/>
    </row>
    <row r="1604" spans="33:70">
      <c r="AG1604" s="101"/>
      <c r="AH1604" s="101"/>
      <c r="AI1604" s="101"/>
      <c r="AJ1604" s="101"/>
      <c r="AK1604" s="101"/>
      <c r="AM1604" s="195"/>
      <c r="AT1604" s="101"/>
      <c r="AU1604" s="101"/>
      <c r="AV1604" s="101"/>
      <c r="AW1604" s="101"/>
      <c r="AX1604" s="101"/>
      <c r="AY1604" s="101"/>
      <c r="AZ1604" s="101"/>
      <c r="BA1604" s="101"/>
    </row>
    <row r="1605" spans="33:70">
      <c r="AG1605" s="101"/>
      <c r="AH1605" s="101"/>
      <c r="AI1605" s="101"/>
      <c r="AJ1605" s="101"/>
      <c r="AK1605" s="101"/>
      <c r="AM1605" s="195"/>
      <c r="AT1605" s="101"/>
      <c r="AU1605" s="101"/>
      <c r="AV1605" s="101"/>
      <c r="AW1605" s="101"/>
      <c r="AX1605" s="101"/>
      <c r="AY1605" s="101"/>
      <c r="AZ1605" s="101"/>
      <c r="BA1605" s="101"/>
      <c r="BB1605" s="101"/>
    </row>
    <row r="1606" spans="33:70">
      <c r="AG1606" s="101"/>
      <c r="AH1606" s="101"/>
      <c r="AI1606" s="101"/>
      <c r="AJ1606" s="101"/>
      <c r="AK1606" s="101"/>
      <c r="AM1606" s="195"/>
      <c r="AT1606" s="101"/>
      <c r="AU1606" s="101"/>
      <c r="AV1606" s="101"/>
      <c r="AW1606" s="101"/>
      <c r="AX1606" s="101"/>
      <c r="AY1606" s="101"/>
      <c r="AZ1606" s="101"/>
      <c r="BA1606" s="101"/>
    </row>
    <row r="1607" spans="33:70">
      <c r="AG1607" s="101"/>
      <c r="AH1607" s="101"/>
      <c r="AI1607" s="101"/>
      <c r="AJ1607" s="101"/>
      <c r="AK1607" s="101"/>
      <c r="AM1607" s="195"/>
      <c r="AT1607" s="101"/>
      <c r="AU1607" s="101"/>
      <c r="AV1607" s="101"/>
      <c r="AW1607" s="101"/>
      <c r="AX1607" s="101"/>
      <c r="AY1607" s="101"/>
      <c r="AZ1607" s="101"/>
      <c r="BA1607" s="101"/>
      <c r="BB1607" s="101"/>
      <c r="BD1607" s="101"/>
    </row>
    <row r="1608" spans="33:70">
      <c r="AG1608" s="101"/>
      <c r="AH1608" s="101"/>
      <c r="AI1608" s="101"/>
      <c r="AJ1608" s="101"/>
      <c r="AK1608" s="101"/>
      <c r="AM1608" s="195"/>
      <c r="AT1608" s="101"/>
      <c r="AU1608" s="101"/>
      <c r="AV1608" s="101"/>
      <c r="AW1608" s="101"/>
      <c r="AX1608" s="101"/>
      <c r="AY1608" s="101"/>
      <c r="AZ1608" s="101"/>
      <c r="BA1608" s="101"/>
      <c r="BB1608" s="101"/>
    </row>
    <row r="1609" spans="33:70">
      <c r="AG1609" s="101"/>
      <c r="AH1609" s="101"/>
      <c r="AI1609" s="101"/>
      <c r="AJ1609" s="101"/>
      <c r="AK1609" s="101"/>
      <c r="AM1609" s="195"/>
      <c r="AT1609" s="101"/>
      <c r="AU1609" s="101"/>
      <c r="AV1609" s="101"/>
      <c r="AW1609" s="101"/>
      <c r="AX1609" s="101"/>
      <c r="AY1609" s="101"/>
      <c r="AZ1609" s="101"/>
      <c r="BA1609" s="101"/>
    </row>
    <row r="1610" spans="33:70">
      <c r="AG1610" s="101"/>
      <c r="AH1610" s="101"/>
      <c r="AI1610" s="101"/>
      <c r="AJ1610" s="101"/>
      <c r="AK1610" s="101"/>
      <c r="AM1610" s="195"/>
      <c r="AT1610" s="101"/>
      <c r="AU1610" s="101"/>
      <c r="AV1610" s="101"/>
      <c r="AW1610" s="101"/>
      <c r="AX1610" s="101"/>
      <c r="AY1610" s="101"/>
      <c r="AZ1610" s="101"/>
      <c r="BA1610" s="101"/>
    </row>
    <row r="1611" spans="33:70">
      <c r="AG1611" s="101"/>
      <c r="AH1611" s="101"/>
      <c r="AI1611" s="101"/>
      <c r="AJ1611" s="101"/>
      <c r="AK1611" s="101"/>
      <c r="AM1611" s="195"/>
      <c r="AT1611" s="101"/>
      <c r="AU1611" s="101"/>
      <c r="AV1611" s="101"/>
      <c r="AW1611" s="101"/>
      <c r="AX1611" s="101"/>
      <c r="AY1611" s="101"/>
      <c r="AZ1611" s="101"/>
      <c r="BA1611" s="101"/>
      <c r="BB1611" s="101"/>
      <c r="BD1611" s="101"/>
      <c r="BE1611" s="101"/>
      <c r="BF1611" s="101"/>
      <c r="BG1611" s="101"/>
      <c r="BH1611" s="101"/>
      <c r="BI1611" s="101"/>
      <c r="BJ1611" s="101"/>
      <c r="BK1611" s="101"/>
      <c r="BL1611" s="101"/>
      <c r="BM1611" s="101"/>
      <c r="BN1611" s="101"/>
      <c r="BO1611" s="101"/>
      <c r="BP1611" s="101"/>
      <c r="BQ1611" s="101"/>
      <c r="BR1611" s="101"/>
    </row>
    <row r="1612" spans="33:70">
      <c r="AG1612" s="101"/>
      <c r="AH1612" s="101"/>
      <c r="AI1612" s="101"/>
      <c r="AJ1612" s="101"/>
      <c r="AK1612" s="101"/>
      <c r="AM1612" s="195"/>
      <c r="AT1612" s="101"/>
      <c r="AU1612" s="101"/>
      <c r="AV1612" s="101"/>
      <c r="AW1612" s="101"/>
      <c r="AX1612" s="101"/>
      <c r="AY1612" s="101"/>
      <c r="AZ1612" s="101"/>
      <c r="BA1612" s="101"/>
      <c r="BB1612" s="101"/>
    </row>
    <row r="1613" spans="33:70">
      <c r="AG1613" s="101"/>
      <c r="AH1613" s="101"/>
      <c r="AI1613" s="101"/>
      <c r="AJ1613" s="101"/>
      <c r="AK1613" s="101"/>
      <c r="AM1613" s="195"/>
      <c r="AT1613" s="101"/>
      <c r="AU1613" s="101"/>
      <c r="AV1613" s="101"/>
      <c r="AW1613" s="101"/>
      <c r="AX1613" s="101"/>
      <c r="AY1613" s="101"/>
      <c r="AZ1613" s="101"/>
      <c r="BA1613" s="101"/>
      <c r="BB1613" s="101"/>
    </row>
    <row r="1614" spans="33:70">
      <c r="AG1614" s="101"/>
      <c r="AH1614" s="101"/>
      <c r="AI1614" s="101"/>
      <c r="AJ1614" s="101"/>
      <c r="AK1614" s="101"/>
      <c r="AM1614" s="195"/>
      <c r="AT1614" s="101"/>
      <c r="AU1614" s="101"/>
      <c r="AV1614" s="101"/>
      <c r="AW1614" s="101"/>
      <c r="AX1614" s="101"/>
      <c r="AY1614" s="101"/>
      <c r="AZ1614" s="101"/>
      <c r="BA1614" s="101"/>
      <c r="BB1614" s="101"/>
    </row>
    <row r="1615" spans="33:70">
      <c r="AG1615" s="101"/>
      <c r="AH1615" s="101"/>
      <c r="AI1615" s="101"/>
      <c r="AJ1615" s="101"/>
      <c r="AK1615" s="101"/>
      <c r="AM1615" s="195"/>
      <c r="AT1615" s="101"/>
      <c r="AU1615" s="101"/>
      <c r="AV1615" s="101"/>
      <c r="AW1615" s="101"/>
      <c r="AX1615" s="101"/>
      <c r="AY1615" s="101"/>
      <c r="AZ1615" s="101"/>
      <c r="BA1615" s="101"/>
      <c r="BB1615" s="101"/>
      <c r="BD1615" s="101"/>
    </row>
    <row r="1616" spans="33:70">
      <c r="AG1616" s="101"/>
      <c r="AH1616" s="101"/>
      <c r="AI1616" s="101"/>
      <c r="AJ1616" s="101"/>
      <c r="AK1616" s="101"/>
      <c r="AM1616" s="195"/>
      <c r="AT1616" s="101"/>
      <c r="AU1616" s="101"/>
      <c r="AV1616" s="101"/>
      <c r="AW1616" s="101"/>
      <c r="AX1616" s="101"/>
      <c r="AY1616" s="101"/>
      <c r="AZ1616" s="101"/>
      <c r="BA1616" s="101"/>
      <c r="BB1616" s="101"/>
    </row>
    <row r="1617" spans="33:70">
      <c r="AG1617" s="101"/>
      <c r="AH1617" s="101"/>
      <c r="AI1617" s="101"/>
      <c r="AJ1617" s="101"/>
      <c r="AK1617" s="101"/>
      <c r="AM1617" s="195"/>
      <c r="AT1617" s="101"/>
      <c r="AU1617" s="101"/>
      <c r="AV1617" s="101"/>
      <c r="AW1617" s="101"/>
      <c r="AX1617" s="101"/>
      <c r="AY1617" s="101"/>
      <c r="AZ1617" s="101"/>
      <c r="BA1617" s="101"/>
      <c r="BB1617" s="101"/>
    </row>
    <row r="1618" spans="33:70">
      <c r="AG1618" s="101"/>
      <c r="AH1618" s="101"/>
      <c r="AI1618" s="101"/>
      <c r="AJ1618" s="101"/>
      <c r="AK1618" s="101"/>
      <c r="AM1618" s="195"/>
      <c r="AT1618" s="101"/>
      <c r="AU1618" s="101"/>
      <c r="AV1618" s="101"/>
      <c r="AW1618" s="101"/>
      <c r="AX1618" s="101"/>
      <c r="AY1618" s="101"/>
      <c r="AZ1618" s="101"/>
      <c r="BA1618" s="101"/>
      <c r="BB1618" s="101"/>
      <c r="BC1618" s="101"/>
      <c r="BD1618" s="101"/>
      <c r="BE1618" s="101"/>
      <c r="BF1618" s="101"/>
      <c r="BG1618" s="101"/>
      <c r="BH1618" s="101"/>
      <c r="BI1618" s="101"/>
      <c r="BJ1618" s="101"/>
      <c r="BK1618" s="101"/>
      <c r="BL1618" s="101"/>
      <c r="BM1618" s="101"/>
      <c r="BN1618" s="101"/>
      <c r="BO1618" s="101"/>
      <c r="BP1618" s="101"/>
      <c r="BQ1618" s="101"/>
      <c r="BR1618" s="101"/>
    </row>
    <row r="1619" spans="33:70">
      <c r="AG1619" s="101"/>
      <c r="AH1619" s="101"/>
      <c r="AI1619" s="101"/>
      <c r="AJ1619" s="101"/>
      <c r="AK1619" s="101"/>
      <c r="AM1619" s="195"/>
      <c r="AT1619" s="101"/>
      <c r="AU1619" s="101"/>
      <c r="AV1619" s="101"/>
      <c r="AW1619" s="101"/>
      <c r="AX1619" s="101"/>
      <c r="AY1619" s="101"/>
      <c r="AZ1619" s="101"/>
      <c r="BA1619" s="101"/>
      <c r="BB1619" s="101"/>
      <c r="BD1619" s="101"/>
      <c r="BE1619" s="101"/>
      <c r="BF1619" s="101"/>
      <c r="BG1619" s="101"/>
      <c r="BH1619" s="101"/>
      <c r="BI1619" s="101"/>
      <c r="BJ1619" s="101"/>
      <c r="BK1619" s="101"/>
      <c r="BL1619" s="101"/>
      <c r="BM1619" s="101"/>
      <c r="BN1619" s="101"/>
      <c r="BO1619" s="101"/>
      <c r="BP1619" s="101"/>
      <c r="BQ1619" s="101"/>
      <c r="BR1619" s="101"/>
    </row>
    <row r="1620" spans="33:70">
      <c r="AG1620" s="101"/>
      <c r="AH1620" s="101"/>
      <c r="AI1620" s="101"/>
      <c r="AJ1620" s="101"/>
      <c r="AK1620" s="101"/>
      <c r="AM1620" s="195"/>
      <c r="AT1620" s="101"/>
      <c r="AU1620" s="101"/>
      <c r="AV1620" s="101"/>
      <c r="AW1620" s="101"/>
      <c r="AX1620" s="101"/>
      <c r="AY1620" s="101"/>
      <c r="AZ1620" s="101"/>
      <c r="BA1620" s="101"/>
      <c r="BB1620" s="101"/>
      <c r="BD1620" s="101"/>
    </row>
    <row r="1621" spans="33:70">
      <c r="AG1621" s="101"/>
      <c r="AH1621" s="101"/>
      <c r="AI1621" s="101"/>
      <c r="AJ1621" s="101"/>
      <c r="AK1621" s="101"/>
      <c r="AM1621" s="195"/>
      <c r="AT1621" s="101"/>
      <c r="AU1621" s="101"/>
      <c r="AV1621" s="101"/>
      <c r="AW1621" s="101"/>
      <c r="AX1621" s="101"/>
      <c r="AY1621" s="101"/>
      <c r="AZ1621" s="101"/>
      <c r="BA1621" s="101"/>
      <c r="BB1621" s="101"/>
      <c r="BC1621" s="101"/>
      <c r="BD1621" s="101"/>
      <c r="BE1621" s="101"/>
      <c r="BF1621" s="101"/>
      <c r="BG1621" s="101"/>
      <c r="BH1621" s="101"/>
      <c r="BI1621" s="101"/>
      <c r="BJ1621" s="101"/>
      <c r="BK1621" s="101"/>
      <c r="BL1621" s="101"/>
      <c r="BM1621" s="101"/>
      <c r="BN1621" s="101"/>
      <c r="BO1621" s="101"/>
      <c r="BP1621" s="101"/>
      <c r="BQ1621" s="101"/>
      <c r="BR1621" s="101"/>
    </row>
    <row r="1622" spans="33:70">
      <c r="AG1622" s="101"/>
      <c r="AH1622" s="101"/>
      <c r="AI1622" s="101"/>
      <c r="AJ1622" s="101"/>
      <c r="AK1622" s="101"/>
      <c r="AM1622" s="195"/>
      <c r="AT1622" s="101"/>
      <c r="AU1622" s="101"/>
      <c r="AV1622" s="101"/>
      <c r="AW1622" s="101"/>
      <c r="AX1622" s="101"/>
      <c r="AY1622" s="101"/>
      <c r="AZ1622" s="101"/>
      <c r="BA1622" s="101"/>
    </row>
    <row r="1623" spans="33:70">
      <c r="AG1623" s="101"/>
      <c r="AH1623" s="101"/>
      <c r="AI1623" s="101"/>
      <c r="AJ1623" s="101"/>
      <c r="AK1623" s="101"/>
      <c r="AM1623" s="195"/>
      <c r="AT1623" s="101"/>
      <c r="AU1623" s="101"/>
      <c r="AV1623" s="101"/>
      <c r="AW1623" s="101"/>
      <c r="AX1623" s="101"/>
      <c r="AY1623" s="101"/>
      <c r="AZ1623" s="101"/>
      <c r="BA1623" s="101"/>
    </row>
    <row r="1624" spans="33:70">
      <c r="AG1624" s="101"/>
      <c r="AH1624" s="101"/>
      <c r="AI1624" s="101"/>
      <c r="AJ1624" s="101"/>
      <c r="AK1624" s="101"/>
      <c r="AM1624" s="195"/>
      <c r="AT1624" s="101"/>
      <c r="AU1624" s="101"/>
      <c r="AV1624" s="101"/>
      <c r="AW1624" s="101"/>
      <c r="AX1624" s="101"/>
      <c r="AY1624" s="101"/>
      <c r="AZ1624" s="101"/>
      <c r="BA1624" s="101"/>
      <c r="BB1624" s="101"/>
      <c r="BD1624" s="101"/>
      <c r="BE1624" s="101"/>
      <c r="BF1624" s="101"/>
      <c r="BG1624" s="101"/>
      <c r="BH1624" s="101"/>
      <c r="BI1624" s="101"/>
      <c r="BJ1624" s="101"/>
      <c r="BK1624" s="101"/>
      <c r="BL1624" s="101"/>
      <c r="BM1624" s="101"/>
      <c r="BN1624" s="101"/>
      <c r="BO1624" s="101"/>
      <c r="BP1624" s="101"/>
      <c r="BQ1624" s="101"/>
      <c r="BR1624" s="101"/>
    </row>
    <row r="1625" spans="33:70">
      <c r="AG1625" s="101"/>
      <c r="AH1625" s="101"/>
      <c r="AI1625" s="101"/>
      <c r="AJ1625" s="101"/>
      <c r="AK1625" s="101"/>
      <c r="AM1625" s="195"/>
      <c r="AT1625" s="101"/>
      <c r="AU1625" s="101"/>
      <c r="AV1625" s="101"/>
      <c r="AW1625" s="101"/>
      <c r="AX1625" s="101"/>
      <c r="AY1625" s="101"/>
      <c r="AZ1625" s="101"/>
      <c r="BA1625" s="101"/>
      <c r="BB1625" s="101"/>
    </row>
    <row r="1626" spans="33:70">
      <c r="AG1626" s="101"/>
      <c r="AH1626" s="101"/>
      <c r="AI1626" s="101"/>
      <c r="AJ1626" s="101"/>
      <c r="AK1626" s="101"/>
      <c r="AM1626" s="195"/>
      <c r="AT1626" s="101"/>
      <c r="AU1626" s="101"/>
      <c r="AV1626" s="101"/>
      <c r="AW1626" s="101"/>
      <c r="AX1626" s="101"/>
      <c r="AY1626" s="101"/>
      <c r="AZ1626" s="101"/>
      <c r="BA1626" s="101"/>
      <c r="BB1626" s="101"/>
      <c r="BC1626" s="101"/>
      <c r="BD1626" s="101"/>
      <c r="BE1626" s="101"/>
      <c r="BF1626" s="101"/>
      <c r="BG1626" s="101"/>
      <c r="BH1626" s="101"/>
      <c r="BI1626" s="101"/>
      <c r="BJ1626" s="101"/>
      <c r="BK1626" s="101"/>
      <c r="BL1626" s="101"/>
      <c r="BM1626" s="101"/>
      <c r="BN1626" s="101"/>
      <c r="BO1626" s="101"/>
      <c r="BP1626" s="101"/>
      <c r="BQ1626" s="101"/>
      <c r="BR1626" s="101"/>
    </row>
    <row r="1627" spans="33:70">
      <c r="AG1627" s="101"/>
      <c r="AH1627" s="101"/>
      <c r="AI1627" s="101"/>
      <c r="AJ1627" s="101"/>
      <c r="AK1627" s="101"/>
      <c r="AM1627" s="195"/>
      <c r="AT1627" s="101"/>
      <c r="AU1627" s="101"/>
      <c r="AV1627" s="101"/>
      <c r="AW1627" s="101"/>
      <c r="AX1627" s="101"/>
      <c r="AY1627" s="101"/>
      <c r="AZ1627" s="101"/>
      <c r="BA1627" s="101"/>
    </row>
    <row r="1628" spans="33:70">
      <c r="AG1628" s="101"/>
      <c r="AH1628" s="101"/>
      <c r="AI1628" s="101"/>
      <c r="AJ1628" s="101"/>
      <c r="AK1628" s="101"/>
      <c r="AM1628" s="195"/>
      <c r="AT1628" s="101"/>
      <c r="AU1628" s="101"/>
      <c r="AV1628" s="101"/>
      <c r="AW1628" s="101"/>
      <c r="AX1628" s="101"/>
      <c r="AY1628" s="101"/>
      <c r="AZ1628" s="101"/>
      <c r="BA1628" s="101"/>
      <c r="BB1628" s="101"/>
      <c r="BC1628" s="101"/>
      <c r="BD1628" s="101"/>
      <c r="BE1628" s="101"/>
      <c r="BF1628" s="101"/>
      <c r="BG1628" s="101"/>
      <c r="BH1628" s="101"/>
      <c r="BI1628" s="101"/>
      <c r="BJ1628" s="101"/>
      <c r="BK1628" s="101"/>
      <c r="BL1628" s="101"/>
      <c r="BM1628" s="101"/>
      <c r="BN1628" s="101"/>
      <c r="BO1628" s="101"/>
      <c r="BP1628" s="101"/>
      <c r="BQ1628" s="101"/>
      <c r="BR1628" s="101"/>
    </row>
    <row r="1629" spans="33:70">
      <c r="AG1629" s="101"/>
      <c r="AH1629" s="101"/>
      <c r="AI1629" s="101"/>
      <c r="AJ1629" s="101"/>
      <c r="AK1629" s="101"/>
      <c r="AM1629" s="195"/>
      <c r="AT1629" s="101"/>
      <c r="AU1629" s="101"/>
      <c r="AV1629" s="101"/>
      <c r="AW1629" s="101"/>
      <c r="AX1629" s="101"/>
      <c r="AY1629" s="101"/>
      <c r="AZ1629" s="101"/>
      <c r="BA1629" s="101"/>
    </row>
    <row r="1630" spans="33:70">
      <c r="AG1630" s="101"/>
      <c r="AH1630" s="101"/>
      <c r="AI1630" s="101"/>
      <c r="AJ1630" s="101"/>
      <c r="AK1630" s="101"/>
      <c r="AM1630" s="195"/>
      <c r="AT1630" s="101"/>
      <c r="AU1630" s="101"/>
      <c r="AV1630" s="101"/>
      <c r="AW1630" s="101"/>
      <c r="AX1630" s="101"/>
      <c r="AY1630" s="101"/>
      <c r="AZ1630" s="101"/>
      <c r="BA1630" s="101"/>
    </row>
    <row r="1631" spans="33:70">
      <c r="AG1631" s="101"/>
      <c r="AH1631" s="101"/>
      <c r="AI1631" s="101"/>
      <c r="AJ1631" s="101"/>
      <c r="AK1631" s="101"/>
      <c r="AM1631" s="195"/>
      <c r="AT1631" s="101"/>
      <c r="AU1631" s="101"/>
      <c r="AV1631" s="101"/>
      <c r="AW1631" s="101"/>
      <c r="AX1631" s="101"/>
      <c r="AY1631" s="101"/>
      <c r="AZ1631" s="101"/>
      <c r="BA1631" s="101"/>
    </row>
    <row r="1632" spans="33:70">
      <c r="AG1632" s="101"/>
      <c r="AH1632" s="101"/>
      <c r="AI1632" s="101"/>
      <c r="AJ1632" s="101"/>
      <c r="AK1632" s="101"/>
      <c r="AM1632" s="195"/>
      <c r="AT1632" s="101"/>
      <c r="AU1632" s="101"/>
      <c r="AV1632" s="101"/>
      <c r="AW1632" s="101"/>
      <c r="AX1632" s="101"/>
      <c r="AY1632" s="101"/>
      <c r="AZ1632" s="101"/>
      <c r="BA1632" s="101"/>
    </row>
    <row r="1633" spans="33:70">
      <c r="AG1633" s="101"/>
      <c r="AH1633" s="101"/>
      <c r="AI1633" s="101"/>
      <c r="AJ1633" s="101"/>
      <c r="AK1633" s="101"/>
      <c r="AM1633" s="195"/>
      <c r="AT1633" s="101"/>
      <c r="AU1633" s="101"/>
      <c r="AV1633" s="101"/>
      <c r="AW1633" s="101"/>
      <c r="AX1633" s="101"/>
      <c r="AY1633" s="101"/>
      <c r="AZ1633" s="101"/>
      <c r="BA1633" s="101"/>
    </row>
    <row r="1634" spans="33:70">
      <c r="AG1634" s="101"/>
      <c r="AH1634" s="101"/>
      <c r="AI1634" s="101"/>
      <c r="AJ1634" s="101"/>
      <c r="AK1634" s="101"/>
      <c r="AM1634" s="195"/>
      <c r="AT1634" s="101"/>
      <c r="AU1634" s="101"/>
      <c r="AV1634" s="101"/>
      <c r="AW1634" s="101"/>
      <c r="AX1634" s="101"/>
      <c r="AY1634" s="101"/>
      <c r="AZ1634" s="101"/>
      <c r="BA1634" s="101"/>
      <c r="BB1634" s="101"/>
      <c r="BD1634" s="101"/>
    </row>
    <row r="1635" spans="33:70">
      <c r="AG1635" s="101"/>
      <c r="AH1635" s="101"/>
      <c r="AI1635" s="101"/>
      <c r="AJ1635" s="101"/>
      <c r="AK1635" s="101"/>
      <c r="AM1635" s="195"/>
      <c r="AT1635" s="101"/>
      <c r="AU1635" s="101"/>
      <c r="AV1635" s="101"/>
      <c r="AW1635" s="101"/>
      <c r="AX1635" s="101"/>
      <c r="AY1635" s="101"/>
      <c r="AZ1635" s="101"/>
      <c r="BA1635" s="101"/>
      <c r="BB1635" s="101"/>
      <c r="BD1635" s="101"/>
    </row>
    <row r="1636" spans="33:70">
      <c r="AG1636" s="101"/>
      <c r="AH1636" s="101"/>
      <c r="AI1636" s="101"/>
      <c r="AJ1636" s="101"/>
      <c r="AK1636" s="101"/>
      <c r="AM1636" s="195"/>
      <c r="AT1636" s="101"/>
      <c r="AU1636" s="101"/>
      <c r="AV1636" s="101"/>
      <c r="AW1636" s="101"/>
      <c r="AX1636" s="101"/>
      <c r="AY1636" s="101"/>
      <c r="AZ1636" s="101"/>
      <c r="BA1636" s="101"/>
      <c r="BB1636" s="101"/>
      <c r="BC1636" s="101"/>
      <c r="BD1636" s="101"/>
      <c r="BE1636" s="101"/>
      <c r="BF1636" s="101"/>
      <c r="BG1636" s="101"/>
      <c r="BH1636" s="101"/>
      <c r="BI1636" s="101"/>
      <c r="BJ1636" s="101"/>
      <c r="BK1636" s="101"/>
      <c r="BL1636" s="101"/>
      <c r="BM1636" s="101"/>
      <c r="BN1636" s="101"/>
      <c r="BO1636" s="101"/>
      <c r="BP1636" s="101"/>
      <c r="BQ1636" s="101"/>
      <c r="BR1636" s="101"/>
    </row>
    <row r="1637" spans="33:70">
      <c r="AG1637" s="101"/>
      <c r="AH1637" s="101"/>
      <c r="AI1637" s="101"/>
      <c r="AJ1637" s="101"/>
      <c r="AK1637" s="101"/>
      <c r="AM1637" s="195"/>
      <c r="AT1637" s="101"/>
      <c r="AU1637" s="101"/>
      <c r="AV1637" s="101"/>
      <c r="AW1637" s="101"/>
      <c r="AX1637" s="101"/>
      <c r="AY1637" s="101"/>
      <c r="AZ1637" s="101"/>
      <c r="BA1637" s="101"/>
    </row>
    <row r="1638" spans="33:70">
      <c r="AG1638" s="101"/>
      <c r="AH1638" s="101"/>
      <c r="AI1638" s="101"/>
      <c r="AJ1638" s="101"/>
      <c r="AK1638" s="101"/>
      <c r="AM1638" s="195"/>
      <c r="AT1638" s="101"/>
      <c r="AU1638" s="101"/>
      <c r="AV1638" s="101"/>
      <c r="AW1638" s="101"/>
      <c r="AX1638" s="101"/>
      <c r="AY1638" s="101"/>
      <c r="AZ1638" s="101"/>
      <c r="BA1638" s="101"/>
      <c r="BB1638" s="101"/>
      <c r="BD1638" s="101"/>
      <c r="BE1638" s="101"/>
      <c r="BF1638" s="101"/>
      <c r="BG1638" s="101"/>
      <c r="BH1638" s="101"/>
      <c r="BI1638" s="101"/>
      <c r="BJ1638" s="101"/>
      <c r="BK1638" s="101"/>
      <c r="BL1638" s="101"/>
      <c r="BM1638" s="101"/>
      <c r="BN1638" s="101"/>
      <c r="BO1638" s="101"/>
      <c r="BP1638" s="101"/>
      <c r="BQ1638" s="101"/>
      <c r="BR1638" s="101"/>
    </row>
    <row r="1639" spans="33:70">
      <c r="AG1639" s="101"/>
      <c r="AH1639" s="101"/>
      <c r="AI1639" s="101"/>
      <c r="AJ1639" s="101"/>
      <c r="AK1639" s="101"/>
      <c r="AM1639" s="195"/>
      <c r="AT1639" s="101"/>
      <c r="AU1639" s="101"/>
      <c r="AV1639" s="101"/>
      <c r="AW1639" s="101"/>
      <c r="AX1639" s="101"/>
      <c r="AY1639" s="101"/>
      <c r="AZ1639" s="101"/>
      <c r="BA1639" s="101"/>
      <c r="BB1639" s="7"/>
    </row>
    <row r="1640" spans="33:70">
      <c r="AG1640" s="101"/>
      <c r="AH1640" s="101"/>
      <c r="AI1640" s="101"/>
      <c r="AJ1640" s="101"/>
      <c r="AK1640" s="101"/>
      <c r="AM1640" s="195"/>
      <c r="AT1640" s="101"/>
      <c r="AU1640" s="101"/>
      <c r="AV1640" s="101"/>
      <c r="AW1640" s="101"/>
      <c r="AX1640" s="101"/>
      <c r="AY1640" s="101"/>
      <c r="AZ1640" s="101"/>
      <c r="BA1640" s="101"/>
      <c r="BB1640" s="101"/>
    </row>
    <row r="1641" spans="33:70">
      <c r="AG1641" s="101"/>
      <c r="AH1641" s="101"/>
      <c r="AI1641" s="101"/>
      <c r="AJ1641" s="101"/>
      <c r="AK1641" s="101"/>
      <c r="AM1641" s="195"/>
      <c r="AT1641" s="101"/>
      <c r="AU1641" s="101"/>
      <c r="AV1641" s="101"/>
      <c r="AW1641" s="101"/>
      <c r="AX1641" s="101"/>
      <c r="AY1641" s="101"/>
      <c r="AZ1641" s="101"/>
      <c r="BA1641" s="101"/>
      <c r="BB1641" s="101"/>
      <c r="BD1641" s="101"/>
      <c r="BE1641" s="101"/>
      <c r="BF1641" s="101"/>
      <c r="BG1641" s="101"/>
      <c r="BH1641" s="101"/>
      <c r="BI1641" s="101"/>
      <c r="BJ1641" s="101"/>
      <c r="BK1641" s="101"/>
      <c r="BL1641" s="101"/>
      <c r="BM1641" s="101"/>
      <c r="BN1641" s="101"/>
      <c r="BO1641" s="101"/>
      <c r="BP1641" s="101"/>
      <c r="BQ1641" s="101"/>
      <c r="BR1641" s="101"/>
    </row>
    <row r="1642" spans="33:70">
      <c r="AG1642" s="101"/>
      <c r="AH1642" s="101"/>
      <c r="AI1642" s="101"/>
      <c r="AJ1642" s="101"/>
      <c r="AK1642" s="101"/>
      <c r="AM1642" s="195"/>
      <c r="AT1642" s="101"/>
      <c r="AU1642" s="101"/>
      <c r="AV1642" s="101"/>
      <c r="AW1642" s="101"/>
      <c r="AX1642" s="101"/>
      <c r="AY1642" s="101"/>
      <c r="AZ1642" s="101"/>
      <c r="BA1642" s="101"/>
      <c r="BB1642" s="101"/>
    </row>
    <row r="1643" spans="33:70">
      <c r="AG1643" s="101"/>
      <c r="AH1643" s="101"/>
      <c r="AI1643" s="101"/>
      <c r="AJ1643" s="101"/>
      <c r="AK1643" s="101"/>
      <c r="AM1643" s="195"/>
      <c r="AT1643" s="101"/>
      <c r="AU1643" s="101"/>
      <c r="AV1643" s="101"/>
      <c r="AW1643" s="101"/>
      <c r="AX1643" s="101"/>
      <c r="AY1643" s="101"/>
      <c r="AZ1643" s="101"/>
      <c r="BA1643" s="101"/>
      <c r="BB1643" s="101"/>
    </row>
    <row r="1644" spans="33:70">
      <c r="AG1644" s="101"/>
      <c r="AH1644" s="101"/>
      <c r="AI1644" s="101"/>
      <c r="AJ1644" s="101"/>
      <c r="AK1644" s="101"/>
      <c r="AM1644" s="195"/>
      <c r="AT1644" s="101"/>
      <c r="AU1644" s="101"/>
      <c r="AV1644" s="101"/>
      <c r="AW1644" s="101"/>
      <c r="AX1644" s="101"/>
      <c r="AY1644" s="101"/>
      <c r="AZ1644" s="101"/>
      <c r="BA1644" s="101"/>
    </row>
    <row r="1645" spans="33:70">
      <c r="AG1645" s="101"/>
      <c r="AH1645" s="101"/>
      <c r="AI1645" s="101"/>
      <c r="AJ1645" s="101"/>
      <c r="AK1645" s="101"/>
      <c r="AM1645" s="195"/>
      <c r="AT1645" s="101"/>
      <c r="AU1645" s="101"/>
      <c r="AV1645" s="101"/>
      <c r="AW1645" s="101"/>
      <c r="AX1645" s="101"/>
      <c r="AY1645" s="101"/>
      <c r="AZ1645" s="101"/>
      <c r="BA1645" s="101"/>
    </row>
    <row r="1646" spans="33:70">
      <c r="AG1646" s="101"/>
      <c r="AH1646" s="101"/>
      <c r="AI1646" s="101"/>
      <c r="AJ1646" s="101"/>
      <c r="AK1646" s="101"/>
      <c r="AM1646" s="195"/>
      <c r="AT1646" s="101"/>
      <c r="AU1646" s="101"/>
      <c r="AV1646" s="101"/>
      <c r="AW1646" s="101"/>
      <c r="AX1646" s="101"/>
      <c r="AY1646" s="101"/>
      <c r="AZ1646" s="101"/>
      <c r="BA1646" s="101"/>
    </row>
    <row r="1647" spans="33:70">
      <c r="AG1647" s="101"/>
      <c r="AH1647" s="101"/>
      <c r="AI1647" s="101"/>
      <c r="AJ1647" s="101"/>
      <c r="AK1647" s="101"/>
      <c r="AM1647" s="195"/>
      <c r="AT1647" s="101"/>
      <c r="AU1647" s="101"/>
      <c r="AV1647" s="101"/>
      <c r="AW1647" s="101"/>
      <c r="AX1647" s="101"/>
      <c r="AY1647" s="101"/>
      <c r="AZ1647" s="101"/>
      <c r="BA1647" s="101"/>
    </row>
    <row r="1648" spans="33:70">
      <c r="AG1648" s="101"/>
      <c r="AH1648" s="101"/>
      <c r="AI1648" s="101"/>
      <c r="AJ1648" s="101"/>
      <c r="AK1648" s="101"/>
      <c r="AM1648" s="195"/>
      <c r="AT1648" s="101"/>
      <c r="AU1648" s="101"/>
      <c r="AV1648" s="101"/>
      <c r="AW1648" s="101"/>
      <c r="AX1648" s="101"/>
      <c r="AY1648" s="101"/>
      <c r="AZ1648" s="101"/>
      <c r="BA1648" s="101"/>
    </row>
    <row r="1649" spans="33:70">
      <c r="AG1649" s="101"/>
      <c r="AH1649" s="101"/>
      <c r="AI1649" s="101"/>
      <c r="AJ1649" s="101"/>
      <c r="AK1649" s="101"/>
      <c r="AM1649" s="195"/>
      <c r="AT1649" s="101"/>
      <c r="AU1649" s="101"/>
      <c r="AV1649" s="101"/>
      <c r="AW1649" s="101"/>
      <c r="AX1649" s="101"/>
      <c r="AY1649" s="101"/>
      <c r="AZ1649" s="101"/>
      <c r="BA1649" s="101"/>
    </row>
    <row r="1650" spans="33:70">
      <c r="AG1650" s="101"/>
      <c r="AH1650" s="101"/>
      <c r="AI1650" s="101"/>
      <c r="AJ1650" s="101"/>
      <c r="AK1650" s="101"/>
      <c r="AM1650" s="195"/>
      <c r="AT1650" s="101"/>
      <c r="AU1650" s="101"/>
      <c r="AV1650" s="101"/>
      <c r="AW1650" s="101"/>
      <c r="AX1650" s="101"/>
      <c r="AY1650" s="101"/>
      <c r="AZ1650" s="101"/>
      <c r="BA1650" s="101"/>
    </row>
    <row r="1651" spans="33:70">
      <c r="AG1651" s="101"/>
      <c r="AH1651" s="101"/>
      <c r="AI1651" s="101"/>
      <c r="AJ1651" s="101"/>
      <c r="AK1651" s="101"/>
      <c r="AM1651" s="195"/>
      <c r="AT1651" s="101"/>
      <c r="AU1651" s="101"/>
      <c r="AV1651" s="101"/>
      <c r="AW1651" s="101"/>
      <c r="AX1651" s="101"/>
      <c r="AY1651" s="101"/>
      <c r="AZ1651" s="101"/>
      <c r="BA1651" s="101"/>
      <c r="BB1651" s="101"/>
    </row>
    <row r="1652" spans="33:70">
      <c r="AG1652" s="101"/>
      <c r="AH1652" s="101"/>
      <c r="AI1652" s="101"/>
      <c r="AJ1652" s="101"/>
      <c r="AK1652" s="101"/>
      <c r="AM1652" s="195"/>
      <c r="AT1652" s="101"/>
      <c r="AU1652" s="101"/>
      <c r="AV1652" s="101"/>
      <c r="AW1652" s="101"/>
      <c r="AX1652" s="101"/>
      <c r="AY1652" s="101"/>
      <c r="AZ1652" s="101"/>
      <c r="BA1652" s="101"/>
      <c r="BB1652" s="101"/>
      <c r="BC1652" s="101"/>
      <c r="BD1652" s="101"/>
      <c r="BE1652" s="101"/>
      <c r="BF1652" s="101"/>
      <c r="BG1652" s="101"/>
      <c r="BH1652" s="101"/>
      <c r="BI1652" s="101"/>
      <c r="BJ1652" s="101"/>
      <c r="BK1652" s="101"/>
      <c r="BL1652" s="101"/>
      <c r="BM1652" s="101"/>
      <c r="BN1652" s="101"/>
      <c r="BO1652" s="101"/>
      <c r="BP1652" s="101"/>
      <c r="BQ1652" s="101"/>
      <c r="BR1652" s="101"/>
    </row>
    <row r="1653" spans="33:70">
      <c r="AG1653" s="101"/>
      <c r="AH1653" s="101"/>
      <c r="AI1653" s="101"/>
      <c r="AJ1653" s="101"/>
      <c r="AK1653" s="101"/>
      <c r="AM1653" s="195"/>
      <c r="AT1653" s="101"/>
      <c r="AU1653" s="101"/>
      <c r="AV1653" s="101"/>
      <c r="AW1653" s="101"/>
      <c r="AX1653" s="101"/>
      <c r="AY1653" s="101"/>
      <c r="AZ1653" s="101"/>
      <c r="BA1653" s="101"/>
    </row>
    <row r="1654" spans="33:70">
      <c r="AG1654" s="101"/>
      <c r="AH1654" s="101"/>
      <c r="AI1654" s="101"/>
      <c r="AJ1654" s="101"/>
      <c r="AK1654" s="101"/>
      <c r="AM1654" s="195"/>
      <c r="AT1654" s="101"/>
      <c r="AU1654" s="101"/>
      <c r="AV1654" s="101"/>
      <c r="AW1654" s="101"/>
      <c r="AX1654" s="101"/>
      <c r="AY1654" s="101"/>
      <c r="AZ1654" s="101"/>
      <c r="BA1654" s="101"/>
    </row>
    <row r="1655" spans="33:70">
      <c r="AG1655" s="101"/>
      <c r="AH1655" s="101"/>
      <c r="AI1655" s="101"/>
      <c r="AJ1655" s="101"/>
      <c r="AK1655" s="101"/>
      <c r="AM1655" s="195"/>
      <c r="AT1655" s="101"/>
      <c r="AU1655" s="101"/>
      <c r="AV1655" s="101"/>
      <c r="AW1655" s="101"/>
      <c r="AX1655" s="101"/>
      <c r="AY1655" s="101"/>
      <c r="AZ1655" s="101"/>
      <c r="BA1655" s="101"/>
    </row>
    <row r="1656" spans="33:70">
      <c r="AG1656" s="101"/>
      <c r="AH1656" s="101"/>
      <c r="AI1656" s="101"/>
      <c r="AJ1656" s="101"/>
      <c r="AK1656" s="101"/>
      <c r="AM1656" s="195"/>
      <c r="AT1656" s="101"/>
      <c r="AU1656" s="101"/>
      <c r="AV1656" s="101"/>
      <c r="AW1656" s="101"/>
      <c r="AX1656" s="101"/>
      <c r="AY1656" s="101"/>
      <c r="AZ1656" s="101"/>
      <c r="BA1656" s="101"/>
    </row>
    <row r="1657" spans="33:70">
      <c r="AG1657" s="101"/>
      <c r="AH1657" s="101"/>
      <c r="AI1657" s="101"/>
      <c r="AJ1657" s="101"/>
      <c r="AK1657" s="101"/>
      <c r="AM1657" s="195"/>
      <c r="AT1657" s="101"/>
      <c r="AU1657" s="101"/>
      <c r="AV1657" s="101"/>
      <c r="AW1657" s="101"/>
      <c r="AX1657" s="101"/>
      <c r="AY1657" s="101"/>
      <c r="AZ1657" s="101"/>
      <c r="BA1657" s="101"/>
      <c r="BB1657" s="101"/>
      <c r="BC1657" s="101"/>
      <c r="BD1657" s="101"/>
      <c r="BE1657" s="101"/>
      <c r="BF1657" s="101"/>
      <c r="BG1657" s="101"/>
      <c r="BH1657" s="101"/>
      <c r="BI1657" s="101"/>
      <c r="BJ1657" s="101"/>
      <c r="BK1657" s="101"/>
      <c r="BL1657" s="101"/>
      <c r="BM1657" s="101"/>
      <c r="BN1657" s="101"/>
      <c r="BO1657" s="101"/>
      <c r="BP1657" s="101"/>
      <c r="BQ1657" s="101"/>
      <c r="BR1657" s="101"/>
    </row>
    <row r="1658" spans="33:70">
      <c r="AG1658" s="101"/>
      <c r="AH1658" s="101"/>
      <c r="AI1658" s="101"/>
      <c r="AJ1658" s="101"/>
      <c r="AK1658" s="101"/>
      <c r="AM1658" s="195"/>
      <c r="AT1658" s="101"/>
      <c r="AU1658" s="101"/>
      <c r="AV1658" s="101"/>
      <c r="AW1658" s="101"/>
      <c r="AX1658" s="101"/>
      <c r="AY1658" s="101"/>
      <c r="AZ1658" s="101"/>
      <c r="BA1658" s="101"/>
    </row>
    <row r="1659" spans="33:70">
      <c r="AG1659" s="101"/>
      <c r="AH1659" s="101"/>
      <c r="AI1659" s="101"/>
      <c r="AJ1659" s="101"/>
      <c r="AK1659" s="101"/>
      <c r="AM1659" s="195"/>
      <c r="AT1659" s="101"/>
      <c r="AU1659" s="101"/>
      <c r="AV1659" s="101"/>
      <c r="AW1659" s="101"/>
      <c r="AX1659" s="101"/>
      <c r="AY1659" s="101"/>
      <c r="AZ1659" s="101"/>
      <c r="BA1659" s="101"/>
    </row>
    <row r="1660" spans="33:70">
      <c r="AG1660" s="101"/>
      <c r="AH1660" s="101"/>
      <c r="AI1660" s="101"/>
      <c r="AJ1660" s="101"/>
      <c r="AK1660" s="101"/>
      <c r="AM1660" s="195"/>
      <c r="AT1660" s="101"/>
      <c r="AU1660" s="101"/>
      <c r="AV1660" s="101"/>
      <c r="AW1660" s="101"/>
      <c r="AX1660" s="101"/>
      <c r="AY1660" s="101"/>
      <c r="AZ1660" s="101"/>
      <c r="BA1660" s="101"/>
      <c r="BB1660" s="101"/>
      <c r="BD1660" s="101"/>
    </row>
    <row r="1661" spans="33:70">
      <c r="AG1661" s="101"/>
      <c r="AH1661" s="101"/>
      <c r="AI1661" s="101"/>
      <c r="AJ1661" s="101"/>
      <c r="AK1661" s="101"/>
      <c r="AM1661" s="195"/>
      <c r="AT1661" s="101"/>
      <c r="AU1661" s="101"/>
      <c r="AV1661" s="101"/>
      <c r="AW1661" s="101"/>
      <c r="AX1661" s="101"/>
      <c r="AY1661" s="101"/>
      <c r="AZ1661" s="101"/>
      <c r="BA1661" s="101"/>
      <c r="BB1661" s="101"/>
      <c r="BD1661" s="101"/>
      <c r="BE1661" s="101"/>
      <c r="BF1661" s="101"/>
      <c r="BG1661" s="101"/>
      <c r="BH1661" s="101"/>
      <c r="BI1661" s="101"/>
      <c r="BJ1661" s="101"/>
      <c r="BK1661" s="101"/>
      <c r="BL1661" s="101"/>
      <c r="BM1661" s="101"/>
      <c r="BN1661" s="101"/>
      <c r="BO1661" s="101"/>
      <c r="BP1661" s="101"/>
      <c r="BQ1661" s="101"/>
      <c r="BR1661" s="101"/>
    </row>
    <row r="1662" spans="33:70">
      <c r="AG1662" s="101"/>
      <c r="AH1662" s="101"/>
      <c r="AI1662" s="101"/>
      <c r="AJ1662" s="101"/>
      <c r="AK1662" s="101"/>
      <c r="AM1662" s="195"/>
      <c r="AT1662" s="101"/>
      <c r="AU1662" s="101"/>
      <c r="AV1662" s="101"/>
      <c r="AW1662" s="101"/>
      <c r="AX1662" s="101"/>
      <c r="AY1662" s="101"/>
      <c r="AZ1662" s="101"/>
      <c r="BA1662" s="101"/>
      <c r="BB1662" s="101"/>
      <c r="BC1662" s="101"/>
      <c r="BD1662" s="101"/>
      <c r="BE1662" s="101"/>
      <c r="BF1662" s="101"/>
      <c r="BG1662" s="101"/>
      <c r="BH1662" s="101"/>
      <c r="BI1662" s="101"/>
      <c r="BJ1662" s="101"/>
      <c r="BK1662" s="101"/>
      <c r="BL1662" s="101"/>
      <c r="BM1662" s="101"/>
      <c r="BN1662" s="101"/>
      <c r="BO1662" s="101"/>
      <c r="BP1662" s="101"/>
      <c r="BQ1662" s="101"/>
      <c r="BR1662" s="101"/>
    </row>
    <row r="1663" spans="33:70">
      <c r="AG1663" s="101"/>
      <c r="AH1663" s="101"/>
      <c r="AI1663" s="101"/>
      <c r="AJ1663" s="101"/>
      <c r="AK1663" s="101"/>
      <c r="AM1663" s="195"/>
      <c r="AT1663" s="101"/>
      <c r="AU1663" s="101"/>
      <c r="AV1663" s="101"/>
      <c r="AW1663" s="101"/>
      <c r="AX1663" s="101"/>
      <c r="AY1663" s="101"/>
      <c r="AZ1663" s="101"/>
      <c r="BA1663" s="101"/>
      <c r="BB1663" s="101"/>
    </row>
    <row r="1664" spans="33:70">
      <c r="AG1664" s="101"/>
      <c r="AH1664" s="101"/>
      <c r="AI1664" s="101"/>
      <c r="AJ1664" s="101"/>
      <c r="AK1664" s="101"/>
      <c r="AM1664" s="195"/>
      <c r="AT1664" s="101"/>
      <c r="AU1664" s="101"/>
      <c r="AV1664" s="101"/>
      <c r="AW1664" s="101"/>
      <c r="AX1664" s="101"/>
      <c r="AY1664" s="101"/>
      <c r="AZ1664" s="101"/>
      <c r="BA1664" s="101"/>
    </row>
    <row r="1665" spans="33:70">
      <c r="AG1665" s="101"/>
      <c r="AH1665" s="101"/>
      <c r="AI1665" s="101"/>
      <c r="AJ1665" s="101"/>
      <c r="AK1665" s="101"/>
      <c r="AM1665" s="195"/>
      <c r="AT1665" s="101"/>
      <c r="AU1665" s="101"/>
      <c r="AV1665" s="101"/>
      <c r="AW1665" s="101"/>
      <c r="AX1665" s="101"/>
      <c r="AY1665" s="101"/>
      <c r="AZ1665" s="101"/>
      <c r="BA1665" s="101"/>
      <c r="BB1665" s="101"/>
    </row>
    <row r="1666" spans="33:70">
      <c r="AG1666" s="101"/>
      <c r="AH1666" s="101"/>
      <c r="AI1666" s="101"/>
      <c r="AJ1666" s="101"/>
      <c r="AK1666" s="101"/>
      <c r="AM1666" s="195"/>
      <c r="AT1666" s="101"/>
      <c r="AU1666" s="101"/>
      <c r="AV1666" s="101"/>
      <c r="AW1666" s="101"/>
      <c r="AX1666" s="101"/>
      <c r="AY1666" s="101"/>
      <c r="AZ1666" s="101"/>
      <c r="BA1666" s="101"/>
      <c r="BB1666" s="101"/>
    </row>
    <row r="1667" spans="33:70">
      <c r="AG1667" s="101"/>
      <c r="AH1667" s="101"/>
      <c r="AI1667" s="101"/>
      <c r="AJ1667" s="101"/>
      <c r="AK1667" s="101"/>
      <c r="AM1667" s="195"/>
      <c r="AT1667" s="101"/>
      <c r="AU1667" s="101"/>
      <c r="AV1667" s="101"/>
      <c r="AW1667" s="101"/>
      <c r="AX1667" s="101"/>
      <c r="AY1667" s="101"/>
      <c r="AZ1667" s="101"/>
      <c r="BA1667" s="101"/>
    </row>
    <row r="1668" spans="33:70">
      <c r="AG1668" s="101"/>
      <c r="AH1668" s="101"/>
      <c r="AI1668" s="101"/>
      <c r="AJ1668" s="101"/>
      <c r="AK1668" s="101"/>
      <c r="AM1668" s="195"/>
      <c r="AT1668" s="101"/>
      <c r="AU1668" s="101"/>
      <c r="AV1668" s="101"/>
      <c r="AW1668" s="101"/>
      <c r="AX1668" s="101"/>
      <c r="AY1668" s="101"/>
      <c r="AZ1668" s="101"/>
      <c r="BA1668" s="101"/>
      <c r="BB1668" s="101"/>
      <c r="BD1668" s="101"/>
    </row>
    <row r="1669" spans="33:70">
      <c r="AG1669" s="101"/>
      <c r="AH1669" s="101"/>
      <c r="AI1669" s="101"/>
      <c r="AJ1669" s="101"/>
      <c r="AK1669" s="101"/>
      <c r="AM1669" s="195"/>
      <c r="AT1669" s="101"/>
      <c r="AU1669" s="101"/>
      <c r="AV1669" s="101"/>
      <c r="AW1669" s="101"/>
      <c r="AX1669" s="101"/>
      <c r="AY1669" s="101"/>
      <c r="AZ1669" s="101"/>
      <c r="BA1669" s="101"/>
    </row>
    <row r="1670" spans="33:70">
      <c r="AG1670" s="101"/>
      <c r="AH1670" s="101"/>
      <c r="AI1670" s="101"/>
      <c r="AJ1670" s="101"/>
      <c r="AK1670" s="101"/>
      <c r="AM1670" s="195"/>
      <c r="AT1670" s="101"/>
      <c r="AU1670" s="101"/>
      <c r="AV1670" s="101"/>
      <c r="AW1670" s="101"/>
      <c r="AX1670" s="101"/>
      <c r="AY1670" s="101"/>
      <c r="AZ1670" s="101"/>
      <c r="BA1670" s="101"/>
    </row>
    <row r="1671" spans="33:70">
      <c r="AG1671" s="101"/>
      <c r="AH1671" s="101"/>
      <c r="AI1671" s="101"/>
      <c r="AJ1671" s="101"/>
      <c r="AK1671" s="101"/>
      <c r="AM1671" s="195"/>
      <c r="AT1671" s="101"/>
      <c r="AU1671" s="101"/>
      <c r="AV1671" s="101"/>
      <c r="AW1671" s="101"/>
      <c r="AX1671" s="101"/>
      <c r="AY1671" s="101"/>
      <c r="AZ1671" s="101"/>
      <c r="BA1671" s="101"/>
    </row>
    <row r="1672" spans="33:70">
      <c r="AG1672" s="101"/>
      <c r="AH1672" s="101"/>
      <c r="AI1672" s="101"/>
      <c r="AJ1672" s="101"/>
      <c r="AK1672" s="101"/>
      <c r="AM1672" s="195"/>
      <c r="AT1672" s="101"/>
      <c r="AU1672" s="101"/>
      <c r="AV1672" s="101"/>
      <c r="AW1672" s="101"/>
      <c r="AX1672" s="101"/>
      <c r="AY1672" s="101"/>
      <c r="AZ1672" s="101"/>
      <c r="BA1672" s="101"/>
      <c r="BB1672" s="101"/>
      <c r="BD1672" s="101"/>
    </row>
    <row r="1673" spans="33:70">
      <c r="AG1673" s="101"/>
      <c r="AH1673" s="101"/>
      <c r="AI1673" s="101"/>
      <c r="AJ1673" s="101"/>
      <c r="AK1673" s="101"/>
      <c r="AM1673" s="195"/>
      <c r="AT1673" s="101"/>
      <c r="AU1673" s="101"/>
      <c r="AV1673" s="101"/>
      <c r="AW1673" s="101"/>
      <c r="AX1673" s="101"/>
      <c r="AY1673" s="101"/>
      <c r="AZ1673" s="101"/>
      <c r="BA1673" s="101"/>
      <c r="BB1673" s="101"/>
    </row>
    <row r="1674" spans="33:70">
      <c r="AG1674" s="101"/>
      <c r="AH1674" s="101"/>
      <c r="AI1674" s="101"/>
      <c r="AJ1674" s="101"/>
      <c r="AK1674" s="101"/>
      <c r="AM1674" s="195"/>
      <c r="AT1674" s="101"/>
      <c r="AU1674" s="101"/>
      <c r="AV1674" s="101"/>
      <c r="AW1674" s="101"/>
      <c r="AX1674" s="101"/>
      <c r="AY1674" s="101"/>
      <c r="AZ1674" s="101"/>
      <c r="BA1674" s="101"/>
      <c r="BB1674" s="101"/>
      <c r="BC1674" s="101"/>
      <c r="BD1674" s="101"/>
      <c r="BE1674" s="101"/>
      <c r="BF1674" s="101"/>
      <c r="BG1674" s="101"/>
      <c r="BH1674" s="101"/>
      <c r="BI1674" s="101"/>
      <c r="BJ1674" s="101"/>
      <c r="BK1674" s="101"/>
      <c r="BL1674" s="101"/>
      <c r="BM1674" s="101"/>
      <c r="BN1674" s="101"/>
      <c r="BO1674" s="101"/>
      <c r="BP1674" s="101"/>
      <c r="BQ1674" s="101"/>
      <c r="BR1674" s="101"/>
    </row>
    <row r="1675" spans="33:70">
      <c r="AG1675" s="101"/>
      <c r="AH1675" s="101"/>
      <c r="AI1675" s="101"/>
      <c r="AJ1675" s="101"/>
      <c r="AK1675" s="101"/>
      <c r="AM1675" s="195"/>
      <c r="AT1675" s="101"/>
      <c r="AU1675" s="101"/>
      <c r="AV1675" s="101"/>
      <c r="AW1675" s="101"/>
      <c r="AX1675" s="101"/>
      <c r="AY1675" s="101"/>
      <c r="AZ1675" s="101"/>
      <c r="BA1675" s="101"/>
      <c r="BB1675" s="101"/>
      <c r="BC1675" s="101"/>
      <c r="BD1675" s="101"/>
      <c r="BE1675" s="101"/>
      <c r="BF1675" s="101"/>
      <c r="BG1675" s="101"/>
      <c r="BH1675" s="101"/>
      <c r="BI1675" s="101"/>
      <c r="BJ1675" s="101"/>
      <c r="BK1675" s="101"/>
      <c r="BL1675" s="101"/>
      <c r="BM1675" s="101"/>
      <c r="BN1675" s="101"/>
      <c r="BO1675" s="101"/>
      <c r="BP1675" s="101"/>
      <c r="BQ1675" s="101"/>
      <c r="BR1675" s="101"/>
    </row>
    <row r="1676" spans="33:70">
      <c r="AG1676" s="101"/>
      <c r="AH1676" s="101"/>
      <c r="AI1676" s="101"/>
      <c r="AJ1676" s="101"/>
      <c r="AK1676" s="101"/>
      <c r="AM1676" s="195"/>
      <c r="AT1676" s="101"/>
      <c r="AU1676" s="101"/>
      <c r="AV1676" s="101"/>
      <c r="AW1676" s="101"/>
      <c r="AX1676" s="101"/>
      <c r="AY1676" s="101"/>
      <c r="AZ1676" s="101"/>
      <c r="BA1676" s="101"/>
      <c r="BB1676" s="101"/>
      <c r="BC1676" s="101"/>
      <c r="BD1676" s="101"/>
      <c r="BE1676" s="101"/>
      <c r="BF1676" s="101"/>
      <c r="BG1676" s="101"/>
      <c r="BH1676" s="101"/>
      <c r="BI1676" s="101"/>
      <c r="BJ1676" s="101"/>
      <c r="BK1676" s="101"/>
      <c r="BL1676" s="101"/>
      <c r="BM1676" s="101"/>
      <c r="BN1676" s="101"/>
      <c r="BO1676" s="101"/>
      <c r="BP1676" s="101"/>
      <c r="BQ1676" s="101"/>
      <c r="BR1676" s="101"/>
    </row>
    <row r="1677" spans="33:70">
      <c r="AG1677" s="101"/>
      <c r="AH1677" s="101"/>
      <c r="AI1677" s="101"/>
      <c r="AJ1677" s="101"/>
      <c r="AK1677" s="101"/>
      <c r="AM1677" s="195"/>
      <c r="AT1677" s="101"/>
      <c r="AU1677" s="101"/>
      <c r="AV1677" s="101"/>
      <c r="AW1677" s="101"/>
      <c r="AX1677" s="101"/>
      <c r="AY1677" s="101"/>
      <c r="AZ1677" s="101"/>
      <c r="BA1677" s="101"/>
      <c r="BB1677" s="101"/>
      <c r="BC1677" s="101"/>
      <c r="BD1677" s="101"/>
      <c r="BE1677" s="101"/>
      <c r="BF1677" s="101"/>
      <c r="BG1677" s="101"/>
      <c r="BH1677" s="101"/>
      <c r="BI1677" s="101"/>
      <c r="BJ1677" s="101"/>
      <c r="BK1677" s="101"/>
      <c r="BL1677" s="101"/>
      <c r="BM1677" s="101"/>
      <c r="BN1677" s="101"/>
      <c r="BO1677" s="101"/>
      <c r="BP1677" s="101"/>
      <c r="BQ1677" s="101"/>
      <c r="BR1677" s="101"/>
    </row>
    <row r="1678" spans="33:70">
      <c r="AG1678" s="101"/>
      <c r="AH1678" s="101"/>
      <c r="AI1678" s="101"/>
      <c r="AJ1678" s="101"/>
      <c r="AK1678" s="101"/>
      <c r="AM1678" s="195"/>
      <c r="AT1678" s="101"/>
      <c r="AU1678" s="101"/>
      <c r="AV1678" s="101"/>
      <c r="AW1678" s="101"/>
      <c r="AX1678" s="101"/>
      <c r="AY1678" s="101"/>
      <c r="AZ1678" s="101"/>
      <c r="BA1678" s="101"/>
      <c r="BB1678" s="101"/>
      <c r="BD1678" s="101"/>
    </row>
    <row r="1679" spans="33:70">
      <c r="AG1679" s="101"/>
      <c r="AH1679" s="101"/>
      <c r="AI1679" s="101"/>
      <c r="AJ1679" s="101"/>
      <c r="AK1679" s="101"/>
      <c r="AM1679" s="195"/>
      <c r="AT1679" s="101"/>
      <c r="AU1679" s="101"/>
      <c r="AV1679" s="101"/>
      <c r="AW1679" s="101"/>
      <c r="AX1679" s="101"/>
      <c r="AY1679" s="101"/>
      <c r="AZ1679" s="101"/>
      <c r="BA1679" s="101"/>
      <c r="BB1679" s="101"/>
      <c r="BC1679" s="101"/>
      <c r="BD1679" s="101"/>
      <c r="BE1679" s="101"/>
      <c r="BF1679" s="101"/>
      <c r="BG1679" s="101"/>
      <c r="BH1679" s="101"/>
      <c r="BI1679" s="101"/>
      <c r="BJ1679" s="101"/>
      <c r="BK1679" s="101"/>
      <c r="BL1679" s="101"/>
      <c r="BM1679" s="101"/>
      <c r="BN1679" s="101"/>
      <c r="BO1679" s="101"/>
      <c r="BP1679" s="101"/>
      <c r="BQ1679" s="101"/>
      <c r="BR1679" s="101"/>
    </row>
    <row r="1680" spans="33:70">
      <c r="AG1680" s="101"/>
      <c r="AH1680" s="101"/>
      <c r="AI1680" s="101"/>
      <c r="AJ1680" s="101"/>
      <c r="AK1680" s="101"/>
      <c r="AM1680" s="195"/>
      <c r="AT1680" s="101"/>
      <c r="AU1680" s="101"/>
      <c r="AV1680" s="101"/>
      <c r="AW1680" s="101"/>
      <c r="AX1680" s="101"/>
      <c r="AY1680" s="101"/>
      <c r="AZ1680" s="101"/>
      <c r="BA1680" s="101"/>
      <c r="BB1680" s="101"/>
      <c r="BC1680" s="101"/>
      <c r="BD1680" s="101"/>
      <c r="BE1680" s="101"/>
      <c r="BF1680" s="101"/>
      <c r="BG1680" s="101"/>
      <c r="BH1680" s="101"/>
      <c r="BI1680" s="101"/>
      <c r="BJ1680" s="101"/>
      <c r="BK1680" s="101"/>
      <c r="BL1680" s="101"/>
      <c r="BM1680" s="101"/>
      <c r="BN1680" s="101"/>
      <c r="BO1680" s="101"/>
      <c r="BP1680" s="101"/>
      <c r="BQ1680" s="101"/>
      <c r="BR1680" s="101"/>
    </row>
    <row r="1681" spans="33:70">
      <c r="AG1681" s="101"/>
      <c r="AH1681" s="101"/>
      <c r="AI1681" s="101"/>
      <c r="AJ1681" s="101"/>
      <c r="AK1681" s="101"/>
      <c r="AM1681" s="195"/>
      <c r="AT1681" s="101"/>
      <c r="AU1681" s="101"/>
      <c r="AV1681" s="101"/>
      <c r="AW1681" s="101"/>
      <c r="AX1681" s="101"/>
      <c r="AY1681" s="101"/>
      <c r="AZ1681" s="101"/>
      <c r="BA1681" s="101"/>
      <c r="BB1681" s="101"/>
      <c r="BD1681" s="101"/>
    </row>
    <row r="1682" spans="33:70">
      <c r="AG1682" s="101"/>
      <c r="AH1682" s="101"/>
      <c r="AI1682" s="101"/>
      <c r="AJ1682" s="101"/>
      <c r="AK1682" s="101"/>
      <c r="AM1682" s="195"/>
      <c r="AT1682" s="101"/>
      <c r="AU1682" s="101"/>
      <c r="AV1682" s="101"/>
      <c r="AW1682" s="101"/>
      <c r="AX1682" s="101"/>
      <c r="AY1682" s="101"/>
      <c r="AZ1682" s="101"/>
      <c r="BA1682" s="101"/>
      <c r="BB1682" s="101"/>
      <c r="BD1682" s="101"/>
    </row>
    <row r="1683" spans="33:70">
      <c r="AG1683" s="101"/>
      <c r="AH1683" s="101"/>
      <c r="AI1683" s="101"/>
      <c r="AJ1683" s="101"/>
      <c r="AK1683" s="101"/>
      <c r="AM1683" s="195"/>
      <c r="AT1683" s="101"/>
      <c r="AU1683" s="101"/>
      <c r="AV1683" s="101"/>
      <c r="AW1683" s="101"/>
      <c r="AX1683" s="101"/>
      <c r="AY1683" s="101"/>
      <c r="AZ1683" s="101"/>
      <c r="BA1683" s="101"/>
      <c r="BB1683" s="101"/>
      <c r="BD1683" s="101"/>
      <c r="BE1683" s="101"/>
      <c r="BF1683" s="101"/>
      <c r="BG1683" s="101"/>
      <c r="BH1683" s="101"/>
      <c r="BI1683" s="101"/>
      <c r="BJ1683" s="101"/>
      <c r="BK1683" s="101"/>
      <c r="BL1683" s="101"/>
      <c r="BM1683" s="101"/>
      <c r="BN1683" s="101"/>
      <c r="BO1683" s="101"/>
      <c r="BP1683" s="101"/>
      <c r="BQ1683" s="101"/>
      <c r="BR1683" s="101"/>
    </row>
    <row r="1684" spans="33:70">
      <c r="AG1684" s="101"/>
      <c r="AH1684" s="101"/>
      <c r="AI1684" s="101"/>
      <c r="AJ1684" s="101"/>
      <c r="AK1684" s="101"/>
      <c r="AM1684" s="195"/>
      <c r="AT1684" s="101"/>
      <c r="AU1684" s="101"/>
      <c r="AV1684" s="101"/>
      <c r="AW1684" s="101"/>
      <c r="AX1684" s="101"/>
      <c r="AY1684" s="101"/>
      <c r="AZ1684" s="101"/>
      <c r="BA1684" s="101"/>
      <c r="BB1684" s="101"/>
      <c r="BC1684" s="101"/>
      <c r="BD1684" s="101"/>
      <c r="BE1684" s="101"/>
      <c r="BF1684" s="101"/>
      <c r="BG1684" s="101"/>
      <c r="BH1684" s="101"/>
      <c r="BI1684" s="101"/>
      <c r="BJ1684" s="101"/>
      <c r="BK1684" s="101"/>
      <c r="BL1684" s="101"/>
      <c r="BM1684" s="101"/>
      <c r="BN1684" s="101"/>
      <c r="BO1684" s="101"/>
      <c r="BP1684" s="101"/>
      <c r="BQ1684" s="101"/>
      <c r="BR1684" s="101"/>
    </row>
    <row r="1685" spans="33:70">
      <c r="AG1685" s="101"/>
      <c r="AH1685" s="101"/>
      <c r="AI1685" s="101"/>
      <c r="AJ1685" s="101"/>
      <c r="AK1685" s="101"/>
      <c r="AM1685" s="195"/>
      <c r="AT1685" s="101"/>
      <c r="AU1685" s="101"/>
      <c r="AV1685" s="101"/>
      <c r="AW1685" s="101"/>
      <c r="AX1685" s="101"/>
      <c r="AY1685" s="101"/>
      <c r="AZ1685" s="101"/>
      <c r="BA1685" s="101"/>
      <c r="BB1685" s="101"/>
      <c r="BC1685" s="101"/>
      <c r="BD1685" s="101"/>
      <c r="BE1685" s="101"/>
      <c r="BF1685" s="101"/>
      <c r="BG1685" s="101"/>
      <c r="BH1685" s="101"/>
      <c r="BI1685" s="101"/>
      <c r="BJ1685" s="101"/>
      <c r="BK1685" s="101"/>
      <c r="BL1685" s="101"/>
      <c r="BM1685" s="101"/>
      <c r="BN1685" s="101"/>
      <c r="BO1685" s="101"/>
      <c r="BP1685" s="101"/>
      <c r="BQ1685" s="101"/>
      <c r="BR1685" s="101"/>
    </row>
    <row r="1686" spans="33:70">
      <c r="AG1686" s="101"/>
      <c r="AH1686" s="101"/>
      <c r="AI1686" s="101"/>
      <c r="AJ1686" s="101"/>
      <c r="AK1686" s="101"/>
      <c r="AM1686" s="195"/>
      <c r="AT1686" s="101"/>
      <c r="AU1686" s="101"/>
      <c r="AV1686" s="101"/>
      <c r="AW1686" s="101"/>
      <c r="AX1686" s="101"/>
      <c r="AY1686" s="101"/>
      <c r="AZ1686" s="101"/>
      <c r="BA1686" s="101"/>
      <c r="BB1686" s="101"/>
    </row>
    <row r="1687" spans="33:70">
      <c r="AG1687" s="101"/>
      <c r="AH1687" s="101"/>
      <c r="AI1687" s="101"/>
      <c r="AJ1687" s="101"/>
      <c r="AK1687" s="101"/>
      <c r="AM1687" s="195"/>
      <c r="AT1687" s="101"/>
      <c r="AU1687" s="101"/>
      <c r="AV1687" s="101"/>
      <c r="AW1687" s="101"/>
      <c r="AX1687" s="101"/>
      <c r="AY1687" s="101"/>
      <c r="AZ1687" s="101"/>
      <c r="BA1687" s="101"/>
      <c r="BB1687" s="101"/>
    </row>
    <row r="1688" spans="33:70">
      <c r="AG1688" s="101"/>
      <c r="AH1688" s="101"/>
      <c r="AI1688" s="101"/>
      <c r="AJ1688" s="101"/>
      <c r="AK1688" s="101"/>
      <c r="AM1688" s="195"/>
      <c r="AT1688" s="101"/>
      <c r="AU1688" s="101"/>
      <c r="AV1688" s="101"/>
      <c r="AW1688" s="101"/>
      <c r="AX1688" s="101"/>
      <c r="AY1688" s="101"/>
      <c r="AZ1688" s="101"/>
      <c r="BA1688" s="101"/>
      <c r="BB1688" s="101"/>
    </row>
    <row r="1689" spans="33:70">
      <c r="AG1689" s="101"/>
      <c r="AH1689" s="101"/>
      <c r="AI1689" s="101"/>
      <c r="AJ1689" s="101"/>
      <c r="AK1689" s="101"/>
      <c r="AM1689" s="195"/>
      <c r="AT1689" s="101"/>
      <c r="AU1689" s="101"/>
      <c r="AV1689" s="101"/>
      <c r="AW1689" s="101"/>
      <c r="AX1689" s="101"/>
      <c r="AY1689" s="101"/>
      <c r="AZ1689" s="101"/>
      <c r="BA1689" s="101"/>
      <c r="BB1689" s="101"/>
      <c r="BD1689" s="101"/>
    </row>
    <row r="1690" spans="33:70">
      <c r="AG1690" s="101"/>
      <c r="AH1690" s="101"/>
      <c r="AI1690" s="101"/>
      <c r="AJ1690" s="101"/>
      <c r="AK1690" s="101"/>
      <c r="AM1690" s="195"/>
      <c r="AT1690" s="101"/>
      <c r="AU1690" s="101"/>
      <c r="AV1690" s="101"/>
      <c r="AW1690" s="101"/>
      <c r="AX1690" s="101"/>
      <c r="AY1690" s="101"/>
      <c r="AZ1690" s="101"/>
      <c r="BA1690" s="101"/>
      <c r="BB1690" s="101"/>
      <c r="BC1690" s="101"/>
      <c r="BD1690" s="101"/>
      <c r="BE1690" s="101"/>
      <c r="BF1690" s="101"/>
      <c r="BG1690" s="101"/>
      <c r="BH1690" s="101"/>
      <c r="BI1690" s="101"/>
      <c r="BJ1690" s="101"/>
      <c r="BK1690" s="101"/>
      <c r="BL1690" s="101"/>
      <c r="BM1690" s="101"/>
      <c r="BN1690" s="101"/>
      <c r="BO1690" s="101"/>
      <c r="BP1690" s="101"/>
      <c r="BQ1690" s="101"/>
      <c r="BR1690" s="101"/>
    </row>
    <row r="1691" spans="33:70">
      <c r="AG1691" s="101"/>
      <c r="AH1691" s="101"/>
      <c r="AI1691" s="101"/>
      <c r="AJ1691" s="101"/>
      <c r="AK1691" s="101"/>
      <c r="AM1691" s="195"/>
      <c r="AT1691" s="101"/>
      <c r="AU1691" s="101"/>
      <c r="AV1691" s="101"/>
      <c r="AW1691" s="101"/>
      <c r="AX1691" s="101"/>
      <c r="AY1691" s="101"/>
      <c r="AZ1691" s="101"/>
      <c r="BA1691" s="101"/>
      <c r="BB1691" s="101"/>
      <c r="BC1691" s="101"/>
      <c r="BD1691" s="101"/>
      <c r="BE1691" s="101"/>
      <c r="BF1691" s="101"/>
      <c r="BG1691" s="101"/>
      <c r="BH1691" s="101"/>
      <c r="BI1691" s="101"/>
      <c r="BJ1691" s="101"/>
      <c r="BK1691" s="101"/>
      <c r="BL1691" s="101"/>
      <c r="BM1691" s="101"/>
      <c r="BN1691" s="101"/>
      <c r="BO1691" s="101"/>
      <c r="BP1691" s="101"/>
      <c r="BQ1691" s="101"/>
      <c r="BR1691" s="101"/>
    </row>
    <row r="1692" spans="33:70">
      <c r="AG1692" s="101"/>
      <c r="AH1692" s="101"/>
      <c r="AI1692" s="101"/>
      <c r="AJ1692" s="101"/>
      <c r="AK1692" s="101"/>
      <c r="AM1692" s="195"/>
      <c r="AT1692" s="101"/>
      <c r="AU1692" s="101"/>
      <c r="AV1692" s="101"/>
      <c r="AW1692" s="101"/>
      <c r="AX1692" s="101"/>
      <c r="AY1692" s="101"/>
      <c r="AZ1692" s="101"/>
      <c r="BA1692" s="101"/>
    </row>
    <row r="1693" spans="33:70">
      <c r="AG1693" s="101"/>
      <c r="AH1693" s="101"/>
      <c r="AI1693" s="101"/>
      <c r="AJ1693" s="101"/>
      <c r="AK1693" s="101"/>
      <c r="AM1693" s="195"/>
      <c r="AT1693" s="101"/>
      <c r="AU1693" s="101"/>
      <c r="AV1693" s="101"/>
      <c r="AW1693" s="101"/>
      <c r="AX1693" s="101"/>
      <c r="AY1693" s="101"/>
      <c r="AZ1693" s="101"/>
      <c r="BA1693" s="101"/>
      <c r="BB1693" s="101"/>
      <c r="BD1693" s="101"/>
    </row>
    <row r="1694" spans="33:70">
      <c r="AG1694" s="101"/>
      <c r="AH1694" s="101"/>
      <c r="AI1694" s="101"/>
      <c r="AJ1694" s="101"/>
      <c r="AK1694" s="101"/>
      <c r="AM1694" s="195"/>
      <c r="AT1694" s="101"/>
      <c r="AU1694" s="101"/>
      <c r="AV1694" s="101"/>
      <c r="AW1694" s="101"/>
      <c r="AX1694" s="101"/>
      <c r="AY1694" s="101"/>
      <c r="AZ1694" s="101"/>
      <c r="BA1694" s="101"/>
      <c r="BB1694" s="101"/>
    </row>
    <row r="1695" spans="33:70">
      <c r="AG1695" s="101"/>
      <c r="AH1695" s="101"/>
      <c r="AI1695" s="101"/>
      <c r="AJ1695" s="101"/>
      <c r="AK1695" s="101"/>
      <c r="AM1695" s="195"/>
      <c r="AT1695" s="101"/>
      <c r="AU1695" s="101"/>
      <c r="AV1695" s="101"/>
      <c r="AW1695" s="101"/>
      <c r="AX1695" s="101"/>
      <c r="AY1695" s="101"/>
      <c r="AZ1695" s="101"/>
      <c r="BA1695" s="101"/>
      <c r="BB1695" s="101"/>
    </row>
    <row r="1696" spans="33:70">
      <c r="AG1696" s="101"/>
      <c r="AH1696" s="101"/>
      <c r="AI1696" s="101"/>
      <c r="AJ1696" s="101"/>
      <c r="AK1696" s="101"/>
      <c r="AM1696" s="195"/>
      <c r="AT1696" s="101"/>
      <c r="AU1696" s="101"/>
      <c r="AV1696" s="101"/>
      <c r="AW1696" s="101"/>
      <c r="AX1696" s="101"/>
      <c r="AY1696" s="101"/>
      <c r="AZ1696" s="101"/>
      <c r="BA1696" s="101"/>
    </row>
    <row r="1697" spans="33:70">
      <c r="AG1697" s="101"/>
      <c r="AH1697" s="101"/>
      <c r="AI1697" s="101"/>
      <c r="AJ1697" s="101"/>
      <c r="AK1697" s="101"/>
      <c r="AM1697" s="195"/>
      <c r="AT1697" s="101"/>
      <c r="AU1697" s="101"/>
      <c r="AV1697" s="101"/>
      <c r="AW1697" s="101"/>
      <c r="AX1697" s="101"/>
      <c r="AY1697" s="101"/>
      <c r="AZ1697" s="101"/>
      <c r="BA1697" s="101"/>
    </row>
    <row r="1698" spans="33:70">
      <c r="AG1698" s="101"/>
      <c r="AH1698" s="101"/>
      <c r="AI1698" s="101"/>
      <c r="AJ1698" s="101"/>
      <c r="AK1698" s="101"/>
      <c r="AM1698" s="195"/>
      <c r="AT1698" s="101"/>
      <c r="AU1698" s="101"/>
      <c r="AV1698" s="101"/>
      <c r="AW1698" s="101"/>
      <c r="AX1698" s="101"/>
      <c r="AY1698" s="101"/>
      <c r="AZ1698" s="101"/>
      <c r="BA1698" s="101"/>
    </row>
    <row r="1699" spans="33:70">
      <c r="AG1699" s="101"/>
      <c r="AH1699" s="101"/>
      <c r="AI1699" s="101"/>
      <c r="AJ1699" s="101"/>
      <c r="AK1699" s="101"/>
      <c r="AM1699" s="195"/>
      <c r="AT1699" s="101"/>
      <c r="AU1699" s="101"/>
      <c r="AV1699" s="101"/>
      <c r="AW1699" s="101"/>
      <c r="AX1699" s="101"/>
      <c r="AY1699" s="101"/>
      <c r="AZ1699" s="101"/>
      <c r="BA1699" s="101"/>
    </row>
    <row r="1700" spans="33:70">
      <c r="AG1700" s="101"/>
      <c r="AH1700" s="101"/>
      <c r="AI1700" s="101"/>
      <c r="AJ1700" s="101"/>
      <c r="AK1700" s="101"/>
      <c r="AM1700" s="195"/>
      <c r="AT1700" s="101"/>
      <c r="AU1700" s="101"/>
      <c r="AV1700" s="101"/>
      <c r="AW1700" s="101"/>
      <c r="AX1700" s="101"/>
      <c r="AY1700" s="101"/>
      <c r="AZ1700" s="101"/>
      <c r="BA1700" s="101"/>
    </row>
    <row r="1701" spans="33:70">
      <c r="AG1701" s="101"/>
      <c r="AH1701" s="101"/>
      <c r="AI1701" s="101"/>
      <c r="AJ1701" s="101"/>
      <c r="AK1701" s="101"/>
      <c r="AM1701" s="195"/>
      <c r="AT1701" s="101"/>
      <c r="AU1701" s="101"/>
      <c r="AV1701" s="101"/>
      <c r="AW1701" s="101"/>
      <c r="AX1701" s="101"/>
      <c r="AY1701" s="101"/>
      <c r="AZ1701" s="101"/>
      <c r="BA1701" s="101"/>
    </row>
    <row r="1702" spans="33:70">
      <c r="AG1702" s="101"/>
      <c r="AH1702" s="101"/>
      <c r="AI1702" s="101"/>
      <c r="AJ1702" s="101"/>
      <c r="AK1702" s="101"/>
      <c r="AM1702" s="195"/>
      <c r="AT1702" s="101"/>
      <c r="AU1702" s="101"/>
      <c r="AV1702" s="101"/>
      <c r="AW1702" s="101"/>
      <c r="AX1702" s="101"/>
      <c r="AY1702" s="101"/>
      <c r="AZ1702" s="101"/>
      <c r="BA1702" s="101"/>
    </row>
    <row r="1703" spans="33:70">
      <c r="AG1703" s="101"/>
      <c r="AH1703" s="101"/>
      <c r="AI1703" s="101"/>
      <c r="AJ1703" s="101"/>
      <c r="AK1703" s="101"/>
      <c r="AM1703" s="195"/>
      <c r="AT1703" s="101"/>
      <c r="AU1703" s="101"/>
      <c r="AV1703" s="101"/>
      <c r="AW1703" s="101"/>
      <c r="AX1703" s="101"/>
      <c r="AY1703" s="101"/>
      <c r="AZ1703" s="101"/>
      <c r="BA1703" s="101"/>
    </row>
    <row r="1704" spans="33:70">
      <c r="AG1704" s="101"/>
      <c r="AH1704" s="101"/>
      <c r="AI1704" s="101"/>
      <c r="AJ1704" s="101"/>
      <c r="AK1704" s="101"/>
      <c r="AM1704" s="195"/>
      <c r="AT1704" s="101"/>
      <c r="AU1704" s="101"/>
      <c r="AV1704" s="101"/>
      <c r="AW1704" s="101"/>
      <c r="AX1704" s="101"/>
      <c r="AY1704" s="101"/>
      <c r="AZ1704" s="101"/>
      <c r="BA1704" s="101"/>
      <c r="BB1704" s="101"/>
    </row>
    <row r="1705" spans="33:70">
      <c r="AG1705" s="101"/>
      <c r="AH1705" s="101"/>
      <c r="AI1705" s="101"/>
      <c r="AJ1705" s="101"/>
      <c r="AK1705" s="101"/>
      <c r="AM1705" s="195"/>
      <c r="AT1705" s="101"/>
      <c r="AU1705" s="101"/>
      <c r="AV1705" s="101"/>
      <c r="AW1705" s="101"/>
      <c r="AX1705" s="101"/>
      <c r="AY1705" s="101"/>
      <c r="AZ1705" s="101"/>
      <c r="BA1705" s="101"/>
      <c r="BB1705" s="101"/>
      <c r="BC1705" s="101"/>
      <c r="BD1705" s="101"/>
      <c r="BE1705" s="101"/>
      <c r="BF1705" s="101"/>
      <c r="BG1705" s="101"/>
      <c r="BH1705" s="101"/>
      <c r="BI1705" s="101"/>
      <c r="BJ1705" s="101"/>
      <c r="BK1705" s="101"/>
      <c r="BL1705" s="101"/>
      <c r="BM1705" s="101"/>
      <c r="BN1705" s="101"/>
      <c r="BO1705" s="101"/>
      <c r="BP1705" s="101"/>
      <c r="BQ1705" s="101"/>
      <c r="BR1705" s="101"/>
    </row>
    <row r="1706" spans="33:70">
      <c r="AG1706" s="101"/>
      <c r="AH1706" s="101"/>
      <c r="AI1706" s="101"/>
      <c r="AJ1706" s="101"/>
      <c r="AK1706" s="101"/>
      <c r="AM1706" s="195"/>
      <c r="AT1706" s="101"/>
      <c r="AU1706" s="101"/>
      <c r="AV1706" s="101"/>
      <c r="AW1706" s="101"/>
      <c r="AX1706" s="101"/>
      <c r="AY1706" s="101"/>
      <c r="AZ1706" s="101"/>
      <c r="BA1706" s="101"/>
      <c r="BB1706" s="101"/>
    </row>
    <row r="1707" spans="33:70">
      <c r="AG1707" s="101"/>
      <c r="AH1707" s="101"/>
      <c r="AI1707" s="101"/>
      <c r="AJ1707" s="101"/>
      <c r="AK1707" s="101"/>
      <c r="AM1707" s="195"/>
      <c r="AT1707" s="101"/>
      <c r="AU1707" s="101"/>
      <c r="AV1707" s="101"/>
      <c r="AW1707" s="101"/>
      <c r="AX1707" s="101"/>
      <c r="AY1707" s="101"/>
      <c r="AZ1707" s="101"/>
      <c r="BA1707" s="101"/>
      <c r="BB1707" s="101"/>
    </row>
    <row r="1708" spans="33:70">
      <c r="AG1708" s="101"/>
      <c r="AH1708" s="101"/>
      <c r="AI1708" s="101"/>
      <c r="AJ1708" s="101"/>
      <c r="AK1708" s="101"/>
      <c r="AM1708" s="195"/>
      <c r="AT1708" s="101"/>
      <c r="AU1708" s="101"/>
      <c r="AV1708" s="101"/>
      <c r="AW1708" s="101"/>
      <c r="AX1708" s="101"/>
      <c r="AY1708" s="101"/>
      <c r="AZ1708" s="101"/>
      <c r="BA1708" s="101"/>
      <c r="BB1708" s="101"/>
      <c r="BD1708" s="101"/>
    </row>
    <row r="1709" spans="33:70">
      <c r="AG1709" s="101"/>
      <c r="AH1709" s="101"/>
      <c r="AI1709" s="101"/>
      <c r="AJ1709" s="101"/>
      <c r="AK1709" s="101"/>
      <c r="AM1709" s="195"/>
      <c r="AT1709" s="101"/>
      <c r="AU1709" s="101"/>
      <c r="AV1709" s="101"/>
      <c r="AW1709" s="101"/>
      <c r="AX1709" s="101"/>
      <c r="AY1709" s="101"/>
      <c r="AZ1709" s="101"/>
      <c r="BA1709" s="101"/>
      <c r="BB1709" s="101"/>
    </row>
    <row r="1710" spans="33:70">
      <c r="AG1710" s="101"/>
      <c r="AH1710" s="101"/>
      <c r="AI1710" s="101"/>
      <c r="AJ1710" s="101"/>
      <c r="AK1710" s="101"/>
      <c r="AM1710" s="195"/>
      <c r="AT1710" s="101"/>
      <c r="AU1710" s="101"/>
      <c r="AV1710" s="101"/>
      <c r="AW1710" s="101"/>
      <c r="AX1710" s="101"/>
      <c r="AY1710" s="101"/>
      <c r="AZ1710" s="101"/>
      <c r="BA1710" s="101"/>
    </row>
    <row r="1711" spans="33:70">
      <c r="AG1711" s="101"/>
      <c r="AH1711" s="101"/>
      <c r="AI1711" s="101"/>
      <c r="AJ1711" s="101"/>
      <c r="AK1711" s="101"/>
      <c r="AM1711" s="195"/>
      <c r="AT1711" s="101"/>
      <c r="AU1711" s="101"/>
      <c r="AV1711" s="101"/>
      <c r="AW1711" s="101"/>
      <c r="AX1711" s="101"/>
      <c r="AY1711" s="101"/>
      <c r="AZ1711" s="101"/>
      <c r="BA1711" s="101"/>
      <c r="BB1711" s="101"/>
      <c r="BD1711" s="101"/>
    </row>
    <row r="1712" spans="33:70">
      <c r="AG1712" s="101"/>
      <c r="AH1712" s="101"/>
      <c r="AI1712" s="101"/>
      <c r="AJ1712" s="101"/>
      <c r="AK1712" s="101"/>
      <c r="AM1712" s="195"/>
      <c r="AT1712" s="101"/>
      <c r="AU1712" s="101"/>
      <c r="AV1712" s="101"/>
      <c r="AW1712" s="101"/>
      <c r="AX1712" s="101"/>
      <c r="AY1712" s="101"/>
      <c r="AZ1712" s="101"/>
      <c r="BA1712" s="101"/>
      <c r="BB1712" s="101"/>
      <c r="BD1712" s="101"/>
      <c r="BE1712" s="101"/>
      <c r="BF1712" s="101"/>
      <c r="BG1712" s="101"/>
      <c r="BH1712" s="101"/>
      <c r="BI1712" s="101"/>
      <c r="BJ1712" s="101"/>
      <c r="BK1712" s="101"/>
      <c r="BL1712" s="101"/>
      <c r="BM1712" s="101"/>
      <c r="BN1712" s="101"/>
      <c r="BO1712" s="101"/>
      <c r="BP1712" s="101"/>
      <c r="BQ1712" s="101"/>
      <c r="BR1712" s="101"/>
    </row>
    <row r="1713" spans="33:70">
      <c r="AG1713" s="101"/>
      <c r="AH1713" s="101"/>
      <c r="AI1713" s="101"/>
      <c r="AJ1713" s="101"/>
      <c r="AK1713" s="101"/>
      <c r="AM1713" s="195"/>
      <c r="AT1713" s="101"/>
      <c r="AU1713" s="101"/>
      <c r="AV1713" s="101"/>
      <c r="AW1713" s="101"/>
      <c r="AX1713" s="101"/>
      <c r="AY1713" s="101"/>
      <c r="AZ1713" s="101"/>
      <c r="BA1713" s="101"/>
      <c r="BB1713" s="101"/>
      <c r="BC1713" s="101"/>
      <c r="BD1713" s="101"/>
      <c r="BE1713" s="101"/>
      <c r="BF1713" s="101"/>
      <c r="BG1713" s="101"/>
      <c r="BH1713" s="101"/>
      <c r="BI1713" s="101"/>
      <c r="BJ1713" s="101"/>
      <c r="BK1713" s="101"/>
      <c r="BL1713" s="101"/>
      <c r="BM1713" s="101"/>
      <c r="BN1713" s="101"/>
      <c r="BO1713" s="101"/>
      <c r="BP1713" s="101"/>
      <c r="BQ1713" s="101"/>
      <c r="BR1713" s="101"/>
    </row>
    <row r="1714" spans="33:70">
      <c r="AG1714" s="101"/>
      <c r="AH1714" s="101"/>
      <c r="AI1714" s="101"/>
      <c r="AJ1714" s="101"/>
      <c r="AK1714" s="101"/>
      <c r="AM1714" s="195"/>
      <c r="AT1714" s="101"/>
      <c r="AU1714" s="101"/>
      <c r="AV1714" s="101"/>
      <c r="AW1714" s="101"/>
      <c r="AX1714" s="101"/>
      <c r="AY1714" s="101"/>
      <c r="AZ1714" s="101"/>
      <c r="BA1714" s="101"/>
      <c r="BB1714" s="101"/>
    </row>
    <row r="1715" spans="33:70">
      <c r="AG1715" s="101"/>
      <c r="AH1715" s="101"/>
      <c r="AI1715" s="101"/>
      <c r="AJ1715" s="101"/>
      <c r="AK1715" s="101"/>
      <c r="AM1715" s="195"/>
      <c r="AT1715" s="101"/>
      <c r="AU1715" s="101"/>
      <c r="AV1715" s="101"/>
      <c r="AW1715" s="101"/>
      <c r="AX1715" s="101"/>
      <c r="AY1715" s="101"/>
      <c r="AZ1715" s="101"/>
      <c r="BA1715" s="101"/>
    </row>
    <row r="1716" spans="33:70">
      <c r="AG1716" s="101"/>
      <c r="AH1716" s="101"/>
      <c r="AI1716" s="101"/>
      <c r="AJ1716" s="101"/>
      <c r="AK1716" s="101"/>
      <c r="AM1716" s="195"/>
      <c r="AT1716" s="101"/>
      <c r="AU1716" s="101"/>
      <c r="AV1716" s="101"/>
      <c r="AW1716" s="101"/>
      <c r="AX1716" s="101"/>
      <c r="AY1716" s="101"/>
      <c r="AZ1716" s="101"/>
      <c r="BA1716" s="101"/>
      <c r="BB1716" s="101"/>
    </row>
    <row r="1717" spans="33:70">
      <c r="AG1717" s="101"/>
      <c r="AH1717" s="101"/>
      <c r="AI1717" s="101"/>
      <c r="AJ1717" s="101"/>
      <c r="AK1717" s="101"/>
      <c r="AM1717" s="195"/>
      <c r="AT1717" s="101"/>
      <c r="AU1717" s="101"/>
      <c r="AV1717" s="101"/>
      <c r="AW1717" s="101"/>
      <c r="AX1717" s="101"/>
      <c r="AY1717" s="101"/>
      <c r="AZ1717" s="101"/>
      <c r="BA1717" s="101"/>
      <c r="BB1717" s="101"/>
    </row>
    <row r="1718" spans="33:70">
      <c r="AG1718" s="101"/>
      <c r="AH1718" s="101"/>
      <c r="AI1718" s="101"/>
      <c r="AJ1718" s="101"/>
      <c r="AK1718" s="101"/>
      <c r="AM1718" s="195"/>
      <c r="AT1718" s="101"/>
      <c r="AU1718" s="101"/>
      <c r="AV1718" s="101"/>
      <c r="AW1718" s="101"/>
      <c r="AX1718" s="101"/>
      <c r="AY1718" s="101"/>
      <c r="AZ1718" s="101"/>
      <c r="BA1718" s="101"/>
      <c r="BB1718" s="101"/>
    </row>
    <row r="1719" spans="33:70">
      <c r="AG1719" s="101"/>
      <c r="AH1719" s="101"/>
      <c r="AI1719" s="101"/>
      <c r="AJ1719" s="101"/>
      <c r="AK1719" s="101"/>
      <c r="AM1719" s="195"/>
      <c r="AT1719" s="101"/>
      <c r="AU1719" s="101"/>
      <c r="AV1719" s="101"/>
      <c r="AW1719" s="101"/>
      <c r="AX1719" s="101"/>
      <c r="AY1719" s="101"/>
      <c r="AZ1719" s="101"/>
      <c r="BA1719" s="101"/>
      <c r="BB1719" s="101"/>
    </row>
    <row r="1720" spans="33:70">
      <c r="AG1720" s="101"/>
      <c r="AH1720" s="101"/>
      <c r="AI1720" s="101"/>
      <c r="AJ1720" s="101"/>
      <c r="AK1720" s="101"/>
      <c r="AM1720" s="195"/>
      <c r="AT1720" s="101"/>
      <c r="AU1720" s="101"/>
      <c r="AV1720" s="101"/>
      <c r="AW1720" s="101"/>
      <c r="AX1720" s="101"/>
      <c r="AY1720" s="101"/>
      <c r="AZ1720" s="101"/>
      <c r="BA1720" s="101"/>
      <c r="BB1720" s="101"/>
    </row>
    <row r="1721" spans="33:70">
      <c r="AG1721" s="101"/>
      <c r="AH1721" s="101"/>
      <c r="AI1721" s="101"/>
      <c r="AJ1721" s="101"/>
      <c r="AK1721" s="101"/>
      <c r="AM1721" s="195"/>
      <c r="AT1721" s="101"/>
      <c r="AU1721" s="101"/>
      <c r="AV1721" s="101"/>
      <c r="AW1721" s="101"/>
      <c r="AX1721" s="101"/>
      <c r="AY1721" s="101"/>
      <c r="AZ1721" s="101"/>
      <c r="BA1721" s="101"/>
      <c r="BB1721" s="101"/>
      <c r="BD1721" s="101"/>
      <c r="BE1721" s="101"/>
      <c r="BF1721" s="101"/>
      <c r="BG1721" s="101"/>
      <c r="BH1721" s="101"/>
      <c r="BI1721" s="101"/>
      <c r="BJ1721" s="101"/>
      <c r="BK1721" s="101"/>
      <c r="BL1721" s="101"/>
      <c r="BM1721" s="101"/>
      <c r="BN1721" s="101"/>
      <c r="BO1721" s="101"/>
      <c r="BP1721" s="101"/>
      <c r="BQ1721" s="101"/>
      <c r="BR1721" s="101"/>
    </row>
    <row r="1722" spans="33:70">
      <c r="AG1722" s="101"/>
      <c r="AH1722" s="101"/>
      <c r="AI1722" s="101"/>
      <c r="AJ1722" s="101"/>
      <c r="AK1722" s="101"/>
      <c r="AM1722" s="195"/>
      <c r="AT1722" s="101"/>
      <c r="AU1722" s="101"/>
      <c r="AV1722" s="101"/>
      <c r="AW1722" s="101"/>
      <c r="AX1722" s="101"/>
      <c r="AY1722" s="101"/>
      <c r="AZ1722" s="101"/>
      <c r="BA1722" s="101"/>
    </row>
    <row r="1723" spans="33:70">
      <c r="AG1723" s="101"/>
      <c r="AH1723" s="101"/>
      <c r="AI1723" s="101"/>
      <c r="AJ1723" s="101"/>
      <c r="AK1723" s="101"/>
      <c r="AM1723" s="195"/>
      <c r="AT1723" s="101"/>
      <c r="AU1723" s="101"/>
      <c r="AV1723" s="101"/>
      <c r="AW1723" s="101"/>
      <c r="AX1723" s="101"/>
      <c r="AY1723" s="101"/>
      <c r="AZ1723" s="101"/>
      <c r="BA1723" s="101"/>
      <c r="BB1723" s="101"/>
    </row>
    <row r="1724" spans="33:70">
      <c r="AG1724" s="101"/>
      <c r="AH1724" s="101"/>
      <c r="AI1724" s="101"/>
      <c r="AJ1724" s="101"/>
      <c r="AK1724" s="101"/>
      <c r="AM1724" s="195"/>
      <c r="AT1724" s="101"/>
      <c r="AU1724" s="101"/>
      <c r="AV1724" s="101"/>
      <c r="AW1724" s="101"/>
      <c r="AX1724" s="101"/>
      <c r="AY1724" s="101"/>
      <c r="AZ1724" s="101"/>
      <c r="BA1724" s="101"/>
      <c r="BB1724" s="101"/>
    </row>
    <row r="1725" spans="33:70">
      <c r="AG1725" s="101"/>
      <c r="AH1725" s="101"/>
      <c r="AI1725" s="101"/>
      <c r="AJ1725" s="101"/>
      <c r="AK1725" s="101"/>
      <c r="AM1725" s="195"/>
      <c r="AT1725" s="101"/>
      <c r="AU1725" s="101"/>
      <c r="AV1725" s="101"/>
      <c r="AW1725" s="101"/>
      <c r="AX1725" s="101"/>
      <c r="AY1725" s="101"/>
      <c r="AZ1725" s="101"/>
      <c r="BA1725" s="101"/>
    </row>
    <row r="1726" spans="33:70">
      <c r="AG1726" s="101"/>
      <c r="AH1726" s="101"/>
      <c r="AI1726" s="101"/>
      <c r="AJ1726" s="101"/>
      <c r="AK1726" s="101"/>
      <c r="AM1726" s="195"/>
      <c r="AT1726" s="101"/>
      <c r="AU1726" s="101"/>
      <c r="AV1726" s="101"/>
      <c r="AW1726" s="101"/>
      <c r="AX1726" s="101"/>
      <c r="AY1726" s="101"/>
      <c r="AZ1726" s="101"/>
      <c r="BA1726" s="101"/>
      <c r="BB1726" s="101"/>
      <c r="BD1726" s="101"/>
      <c r="BE1726" s="101"/>
      <c r="BF1726" s="101"/>
      <c r="BG1726" s="101"/>
      <c r="BH1726" s="101"/>
      <c r="BI1726" s="101"/>
      <c r="BJ1726" s="101"/>
      <c r="BK1726" s="101"/>
      <c r="BL1726" s="101"/>
      <c r="BM1726" s="101"/>
      <c r="BN1726" s="101"/>
      <c r="BO1726" s="101"/>
      <c r="BP1726" s="101"/>
      <c r="BQ1726" s="101"/>
      <c r="BR1726" s="101"/>
    </row>
    <row r="1727" spans="33:70">
      <c r="AG1727" s="101"/>
      <c r="AH1727" s="101"/>
      <c r="AI1727" s="101"/>
      <c r="AJ1727" s="101"/>
      <c r="AK1727" s="101"/>
      <c r="AM1727" s="195"/>
      <c r="AT1727" s="101"/>
      <c r="AU1727" s="101"/>
      <c r="AV1727" s="101"/>
      <c r="AW1727" s="101"/>
      <c r="AX1727" s="101"/>
      <c r="AY1727" s="101"/>
      <c r="AZ1727" s="101"/>
      <c r="BA1727" s="101"/>
      <c r="BB1727" s="101"/>
    </row>
    <row r="1728" spans="33:70">
      <c r="AG1728" s="101"/>
      <c r="AH1728" s="101"/>
      <c r="AI1728" s="101"/>
      <c r="AJ1728" s="101"/>
      <c r="AK1728" s="101"/>
      <c r="AM1728" s="195"/>
      <c r="AT1728" s="101"/>
      <c r="AU1728" s="101"/>
      <c r="AV1728" s="101"/>
      <c r="AW1728" s="101"/>
      <c r="AX1728" s="101"/>
      <c r="AY1728" s="101"/>
      <c r="AZ1728" s="101"/>
      <c r="BA1728" s="101"/>
    </row>
    <row r="1729" spans="33:70">
      <c r="AG1729" s="101"/>
      <c r="AH1729" s="101"/>
      <c r="AI1729" s="101"/>
      <c r="AJ1729" s="101"/>
      <c r="AK1729" s="101"/>
      <c r="AM1729" s="195"/>
      <c r="AT1729" s="101"/>
      <c r="AU1729" s="101"/>
      <c r="AV1729" s="101"/>
      <c r="AW1729" s="101"/>
      <c r="AX1729" s="101"/>
      <c r="AY1729" s="101"/>
      <c r="AZ1729" s="101"/>
      <c r="BA1729" s="101"/>
    </row>
    <row r="1730" spans="33:70">
      <c r="AG1730" s="101"/>
      <c r="AH1730" s="101"/>
      <c r="AI1730" s="101"/>
      <c r="AJ1730" s="101"/>
      <c r="AK1730" s="101"/>
      <c r="AM1730" s="195"/>
      <c r="AT1730" s="101"/>
      <c r="AU1730" s="101"/>
      <c r="AV1730" s="101"/>
      <c r="AW1730" s="101"/>
      <c r="AX1730" s="101"/>
      <c r="AY1730" s="101"/>
      <c r="AZ1730" s="101"/>
      <c r="BA1730" s="101"/>
    </row>
    <row r="1731" spans="33:70">
      <c r="AG1731" s="101"/>
      <c r="AH1731" s="101"/>
      <c r="AI1731" s="101"/>
      <c r="AJ1731" s="101"/>
      <c r="AK1731" s="101"/>
      <c r="AM1731" s="195"/>
      <c r="AT1731" s="101"/>
      <c r="AU1731" s="101"/>
      <c r="AV1731" s="101"/>
      <c r="AW1731" s="101"/>
      <c r="AX1731" s="101"/>
      <c r="AY1731" s="101"/>
      <c r="AZ1731" s="101"/>
      <c r="BA1731" s="101"/>
      <c r="BB1731" s="101"/>
      <c r="BD1731" s="101"/>
      <c r="BE1731" s="101"/>
      <c r="BF1731" s="101"/>
      <c r="BG1731" s="101"/>
      <c r="BH1731" s="101"/>
      <c r="BI1731" s="101"/>
      <c r="BJ1731" s="101"/>
      <c r="BK1731" s="101"/>
      <c r="BL1731" s="101"/>
      <c r="BM1731" s="101"/>
      <c r="BN1731" s="101"/>
      <c r="BO1731" s="101"/>
      <c r="BP1731" s="101"/>
      <c r="BQ1731" s="101"/>
      <c r="BR1731" s="101"/>
    </row>
    <row r="1732" spans="33:70">
      <c r="AG1732" s="101"/>
      <c r="AH1732" s="101"/>
      <c r="AI1732" s="101"/>
      <c r="AJ1732" s="101"/>
      <c r="AK1732" s="101"/>
      <c r="AM1732" s="195"/>
      <c r="AT1732" s="101"/>
      <c r="AU1732" s="101"/>
      <c r="AV1732" s="101"/>
      <c r="AW1732" s="101"/>
      <c r="AX1732" s="101"/>
      <c r="AY1732" s="101"/>
      <c r="AZ1732" s="101"/>
      <c r="BA1732" s="101"/>
    </row>
    <row r="1733" spans="33:70">
      <c r="AG1733" s="101"/>
      <c r="AH1733" s="101"/>
      <c r="AI1733" s="101"/>
      <c r="AJ1733" s="101"/>
      <c r="AK1733" s="101"/>
      <c r="AM1733" s="195"/>
      <c r="AT1733" s="101"/>
      <c r="AU1733" s="101"/>
      <c r="AV1733" s="101"/>
      <c r="AW1733" s="101"/>
      <c r="AX1733" s="101"/>
      <c r="AY1733" s="101"/>
      <c r="AZ1733" s="101"/>
      <c r="BA1733" s="101"/>
      <c r="BB1733" s="101"/>
      <c r="BD1733" s="101"/>
    </row>
    <row r="1734" spans="33:70">
      <c r="AG1734" s="101"/>
      <c r="AH1734" s="101"/>
      <c r="AI1734" s="101"/>
      <c r="AJ1734" s="101"/>
      <c r="AK1734" s="101"/>
      <c r="AM1734" s="195"/>
      <c r="AT1734" s="101"/>
      <c r="AU1734" s="101"/>
      <c r="AV1734" s="101"/>
      <c r="AW1734" s="101"/>
      <c r="AX1734" s="101"/>
      <c r="AY1734" s="101"/>
      <c r="AZ1734" s="101"/>
      <c r="BA1734" s="101"/>
    </row>
    <row r="1735" spans="33:70">
      <c r="AG1735" s="101"/>
      <c r="AH1735" s="101"/>
      <c r="AI1735" s="101"/>
      <c r="AJ1735" s="101"/>
      <c r="AK1735" s="101"/>
      <c r="AM1735" s="195"/>
      <c r="AT1735" s="101"/>
      <c r="AU1735" s="101"/>
      <c r="AV1735" s="101"/>
      <c r="AW1735" s="101"/>
      <c r="AX1735" s="101"/>
      <c r="AY1735" s="101"/>
      <c r="AZ1735" s="101"/>
      <c r="BA1735" s="101"/>
    </row>
    <row r="1736" spans="33:70">
      <c r="AG1736" s="101"/>
      <c r="AH1736" s="101"/>
      <c r="AI1736" s="101"/>
      <c r="AJ1736" s="101"/>
      <c r="AK1736" s="101"/>
      <c r="AM1736" s="195"/>
      <c r="AT1736" s="101"/>
      <c r="AU1736" s="101"/>
      <c r="AV1736" s="101"/>
      <c r="AW1736" s="101"/>
      <c r="AX1736" s="101"/>
      <c r="AY1736" s="101"/>
      <c r="AZ1736" s="101"/>
      <c r="BA1736" s="101"/>
      <c r="BB1736" s="101"/>
      <c r="BC1736" s="101"/>
      <c r="BD1736" s="101"/>
      <c r="BE1736" s="101"/>
      <c r="BF1736" s="101"/>
      <c r="BG1736" s="101"/>
      <c r="BH1736" s="101"/>
      <c r="BI1736" s="101"/>
      <c r="BJ1736" s="101"/>
      <c r="BK1736" s="101"/>
      <c r="BL1736" s="101"/>
      <c r="BM1736" s="101"/>
      <c r="BN1736" s="101"/>
      <c r="BO1736" s="101"/>
      <c r="BP1736" s="101"/>
      <c r="BQ1736" s="101"/>
      <c r="BR1736" s="101"/>
    </row>
    <row r="1737" spans="33:70">
      <c r="AG1737" s="101"/>
      <c r="AH1737" s="101"/>
      <c r="AI1737" s="101"/>
      <c r="AJ1737" s="101"/>
      <c r="AK1737" s="101"/>
      <c r="AM1737" s="195"/>
      <c r="AT1737" s="101"/>
      <c r="AU1737" s="101"/>
      <c r="AV1737" s="101"/>
      <c r="AW1737" s="101"/>
      <c r="AX1737" s="101"/>
      <c r="AY1737" s="101"/>
      <c r="AZ1737" s="101"/>
      <c r="BA1737" s="101"/>
      <c r="BB1737" s="101"/>
      <c r="BC1737" s="101"/>
      <c r="BD1737" s="101"/>
      <c r="BE1737" s="101"/>
      <c r="BF1737" s="101"/>
      <c r="BG1737" s="101"/>
      <c r="BH1737" s="101"/>
      <c r="BI1737" s="101"/>
      <c r="BJ1737" s="101"/>
      <c r="BK1737" s="101"/>
      <c r="BL1737" s="101"/>
      <c r="BM1737" s="101"/>
      <c r="BN1737" s="101"/>
      <c r="BO1737" s="101"/>
      <c r="BP1737" s="101"/>
      <c r="BQ1737" s="101"/>
      <c r="BR1737" s="101"/>
    </row>
    <row r="1738" spans="33:70">
      <c r="AG1738" s="101"/>
      <c r="AH1738" s="101"/>
      <c r="AI1738" s="101"/>
      <c r="AJ1738" s="101"/>
      <c r="AK1738" s="101"/>
      <c r="AM1738" s="195"/>
      <c r="AT1738" s="101"/>
      <c r="AU1738" s="101"/>
      <c r="AV1738" s="101"/>
      <c r="AW1738" s="101"/>
      <c r="AX1738" s="101"/>
      <c r="AY1738" s="101"/>
      <c r="AZ1738" s="101"/>
      <c r="BA1738" s="101"/>
    </row>
    <row r="1739" spans="33:70">
      <c r="AG1739" s="101"/>
      <c r="AH1739" s="101"/>
      <c r="AI1739" s="101"/>
      <c r="AJ1739" s="101"/>
      <c r="AK1739" s="101"/>
      <c r="AM1739" s="195"/>
      <c r="AT1739" s="101"/>
      <c r="AU1739" s="101"/>
      <c r="AV1739" s="101"/>
      <c r="AW1739" s="101"/>
      <c r="AX1739" s="101"/>
      <c r="AY1739" s="101"/>
      <c r="AZ1739" s="101"/>
      <c r="BA1739" s="101"/>
    </row>
    <row r="1740" spans="33:70">
      <c r="AG1740" s="101"/>
      <c r="AH1740" s="101"/>
      <c r="AI1740" s="101"/>
      <c r="AJ1740" s="101"/>
      <c r="AK1740" s="101"/>
      <c r="AM1740" s="195"/>
      <c r="AT1740" s="101"/>
      <c r="AU1740" s="101"/>
      <c r="AV1740" s="101"/>
      <c r="AW1740" s="101"/>
      <c r="AX1740" s="101"/>
      <c r="AY1740" s="101"/>
      <c r="AZ1740" s="101"/>
      <c r="BA1740" s="101"/>
      <c r="BB1740" s="101"/>
    </row>
    <row r="1741" spans="33:70">
      <c r="AG1741" s="101"/>
      <c r="AH1741" s="101"/>
      <c r="AI1741" s="101"/>
      <c r="AJ1741" s="101"/>
      <c r="AK1741" s="101"/>
      <c r="AM1741" s="195"/>
      <c r="AT1741" s="101"/>
      <c r="AU1741" s="101"/>
      <c r="AV1741" s="101"/>
      <c r="AW1741" s="101"/>
      <c r="AX1741" s="101"/>
      <c r="AY1741" s="101"/>
      <c r="AZ1741" s="101"/>
      <c r="BA1741" s="101"/>
    </row>
    <row r="1742" spans="33:70">
      <c r="AG1742" s="101"/>
      <c r="AH1742" s="101"/>
      <c r="AI1742" s="101"/>
      <c r="AJ1742" s="101"/>
      <c r="AK1742" s="101"/>
      <c r="AM1742" s="195"/>
      <c r="AT1742" s="101"/>
      <c r="AU1742" s="101"/>
      <c r="AV1742" s="101"/>
      <c r="AW1742" s="101"/>
      <c r="AX1742" s="101"/>
      <c r="AY1742" s="101"/>
      <c r="AZ1742" s="101"/>
      <c r="BA1742" s="101"/>
    </row>
    <row r="1743" spans="33:70">
      <c r="AG1743" s="101"/>
      <c r="AH1743" s="101"/>
      <c r="AI1743" s="101"/>
      <c r="AJ1743" s="101"/>
      <c r="AK1743" s="101"/>
      <c r="AM1743" s="195"/>
      <c r="AT1743" s="101"/>
      <c r="AU1743" s="101"/>
      <c r="AV1743" s="101"/>
      <c r="AW1743" s="101"/>
      <c r="AX1743" s="101"/>
      <c r="AY1743" s="101"/>
      <c r="AZ1743" s="101"/>
      <c r="BA1743" s="101"/>
    </row>
    <row r="1744" spans="33:70">
      <c r="AG1744" s="101"/>
      <c r="AH1744" s="101"/>
      <c r="AI1744" s="101"/>
      <c r="AJ1744" s="101"/>
      <c r="AK1744" s="101"/>
      <c r="AM1744" s="195"/>
      <c r="AT1744" s="101"/>
      <c r="AU1744" s="101"/>
      <c r="AV1744" s="101"/>
      <c r="AW1744" s="101"/>
      <c r="AX1744" s="101"/>
      <c r="AY1744" s="101"/>
      <c r="AZ1744" s="101"/>
      <c r="BA1744" s="101"/>
    </row>
    <row r="1745" spans="33:70">
      <c r="AG1745" s="101"/>
      <c r="AH1745" s="101"/>
      <c r="AI1745" s="101"/>
      <c r="AJ1745" s="101"/>
      <c r="AK1745" s="101"/>
      <c r="AM1745" s="195"/>
      <c r="AT1745" s="101"/>
      <c r="AU1745" s="101"/>
      <c r="AV1745" s="101"/>
      <c r="AW1745" s="101"/>
      <c r="AX1745" s="101"/>
      <c r="AY1745" s="101"/>
      <c r="AZ1745" s="101"/>
      <c r="BA1745" s="101"/>
    </row>
    <row r="1746" spans="33:70">
      <c r="AG1746" s="101"/>
      <c r="AH1746" s="101"/>
      <c r="AI1746" s="101"/>
      <c r="AJ1746" s="101"/>
      <c r="AK1746" s="101"/>
      <c r="AM1746" s="195"/>
      <c r="AT1746" s="101"/>
      <c r="AU1746" s="101"/>
      <c r="AV1746" s="101"/>
      <c r="AW1746" s="101"/>
      <c r="AX1746" s="101"/>
      <c r="AY1746" s="101"/>
      <c r="AZ1746" s="101"/>
      <c r="BA1746" s="101"/>
      <c r="BB1746" s="101"/>
    </row>
    <row r="1747" spans="33:70">
      <c r="AG1747" s="101"/>
      <c r="AH1747" s="101"/>
      <c r="AI1747" s="101"/>
      <c r="AJ1747" s="101"/>
      <c r="AK1747" s="101"/>
      <c r="AM1747" s="195"/>
      <c r="AT1747" s="101"/>
      <c r="AU1747" s="101"/>
      <c r="AV1747" s="101"/>
      <c r="AW1747" s="101"/>
      <c r="AX1747" s="101"/>
      <c r="AY1747" s="101"/>
      <c r="AZ1747" s="101"/>
      <c r="BA1747" s="101"/>
    </row>
    <row r="1748" spans="33:70">
      <c r="AG1748" s="101"/>
      <c r="AH1748" s="101"/>
      <c r="AI1748" s="101"/>
      <c r="AJ1748" s="101"/>
      <c r="AK1748" s="101"/>
      <c r="AM1748" s="195"/>
      <c r="AT1748" s="101"/>
      <c r="AU1748" s="101"/>
      <c r="AV1748" s="101"/>
      <c r="AW1748" s="101"/>
      <c r="AX1748" s="101"/>
      <c r="AY1748" s="101"/>
      <c r="AZ1748" s="101"/>
      <c r="BA1748" s="101"/>
    </row>
    <row r="1749" spans="33:70">
      <c r="AG1749" s="101"/>
      <c r="AH1749" s="101"/>
      <c r="AI1749" s="101"/>
      <c r="AJ1749" s="101"/>
      <c r="AK1749" s="101"/>
      <c r="AM1749" s="195"/>
      <c r="AT1749" s="101"/>
      <c r="AU1749" s="101"/>
      <c r="AV1749" s="101"/>
      <c r="AW1749" s="101"/>
      <c r="AX1749" s="101"/>
      <c r="AY1749" s="101"/>
      <c r="AZ1749" s="101"/>
      <c r="BA1749" s="101"/>
      <c r="BB1749" s="101"/>
      <c r="BC1749" s="101"/>
      <c r="BD1749" s="101"/>
      <c r="BE1749" s="101"/>
      <c r="BF1749" s="101"/>
      <c r="BG1749" s="101"/>
      <c r="BH1749" s="101"/>
      <c r="BI1749" s="101"/>
      <c r="BJ1749" s="101"/>
      <c r="BK1749" s="101"/>
      <c r="BL1749" s="101"/>
      <c r="BM1749" s="101"/>
      <c r="BN1749" s="101"/>
      <c r="BO1749" s="101"/>
      <c r="BP1749" s="101"/>
      <c r="BQ1749" s="101"/>
      <c r="BR1749" s="101"/>
    </row>
    <row r="1750" spans="33:70">
      <c r="AG1750" s="101"/>
      <c r="AH1750" s="101"/>
      <c r="AI1750" s="101"/>
      <c r="AJ1750" s="101"/>
      <c r="AK1750" s="101"/>
      <c r="AM1750" s="195"/>
      <c r="AT1750" s="101"/>
      <c r="AU1750" s="101"/>
      <c r="AV1750" s="101"/>
      <c r="AW1750" s="101"/>
      <c r="AX1750" s="101"/>
      <c r="AY1750" s="101"/>
      <c r="AZ1750" s="101"/>
      <c r="BA1750" s="101"/>
    </row>
    <row r="1751" spans="33:70">
      <c r="AG1751" s="101"/>
      <c r="AH1751" s="101"/>
      <c r="AI1751" s="101"/>
      <c r="AJ1751" s="101"/>
      <c r="AK1751" s="101"/>
      <c r="AM1751" s="195"/>
      <c r="AT1751" s="101"/>
      <c r="AU1751" s="101"/>
      <c r="AV1751" s="101"/>
      <c r="AW1751" s="101"/>
      <c r="AX1751" s="101"/>
      <c r="AY1751" s="101"/>
      <c r="AZ1751" s="101"/>
      <c r="BA1751" s="101"/>
    </row>
    <row r="1752" spans="33:70">
      <c r="AG1752" s="101"/>
      <c r="AH1752" s="101"/>
      <c r="AI1752" s="101"/>
      <c r="AJ1752" s="101"/>
      <c r="AK1752" s="101"/>
      <c r="AM1752" s="195"/>
      <c r="AT1752" s="101"/>
      <c r="AU1752" s="101"/>
      <c r="AV1752" s="101"/>
      <c r="AW1752" s="101"/>
      <c r="AX1752" s="101"/>
      <c r="AY1752" s="101"/>
      <c r="AZ1752" s="101"/>
      <c r="BA1752" s="101"/>
    </row>
    <row r="1753" spans="33:70">
      <c r="AG1753" s="101"/>
      <c r="AH1753" s="101"/>
      <c r="AI1753" s="101"/>
      <c r="AJ1753" s="101"/>
      <c r="AK1753" s="101"/>
      <c r="AM1753" s="195"/>
      <c r="AT1753" s="101"/>
      <c r="AU1753" s="101"/>
      <c r="AV1753" s="101"/>
      <c r="AW1753" s="101"/>
      <c r="AX1753" s="101"/>
      <c r="AY1753" s="101"/>
      <c r="AZ1753" s="101"/>
      <c r="BA1753" s="101"/>
    </row>
    <row r="1754" spans="33:70">
      <c r="AG1754" s="101"/>
      <c r="AH1754" s="101"/>
      <c r="AI1754" s="101"/>
      <c r="AJ1754" s="101"/>
      <c r="AK1754" s="101"/>
      <c r="AM1754" s="195"/>
      <c r="AT1754" s="101"/>
      <c r="AU1754" s="101"/>
      <c r="AV1754" s="101"/>
      <c r="AW1754" s="101"/>
      <c r="AX1754" s="101"/>
      <c r="AY1754" s="101"/>
      <c r="AZ1754" s="101"/>
      <c r="BA1754" s="101"/>
    </row>
    <row r="1755" spans="33:70">
      <c r="AG1755" s="101"/>
      <c r="AH1755" s="101"/>
      <c r="AI1755" s="101"/>
      <c r="AJ1755" s="101"/>
      <c r="AK1755" s="101"/>
      <c r="AM1755" s="195"/>
      <c r="AT1755" s="101"/>
      <c r="AU1755" s="101"/>
      <c r="AV1755" s="101"/>
      <c r="AW1755" s="101"/>
      <c r="AX1755" s="101"/>
      <c r="AY1755" s="101"/>
      <c r="AZ1755" s="101"/>
      <c r="BA1755" s="101"/>
      <c r="BB1755" s="101"/>
      <c r="BC1755" s="101"/>
      <c r="BD1755" s="101"/>
      <c r="BE1755" s="101"/>
      <c r="BF1755" s="101"/>
      <c r="BG1755" s="101"/>
      <c r="BH1755" s="101"/>
      <c r="BI1755" s="101"/>
      <c r="BJ1755" s="101"/>
      <c r="BK1755" s="101"/>
      <c r="BL1755" s="101"/>
      <c r="BM1755" s="101"/>
      <c r="BN1755" s="101"/>
      <c r="BO1755" s="101"/>
      <c r="BP1755" s="101"/>
      <c r="BQ1755" s="101"/>
      <c r="BR1755" s="101"/>
    </row>
    <row r="1756" spans="33:70">
      <c r="AG1756" s="101"/>
      <c r="AH1756" s="101"/>
      <c r="AI1756" s="101"/>
      <c r="AJ1756" s="101"/>
      <c r="AK1756" s="101"/>
      <c r="AM1756" s="195"/>
      <c r="AT1756" s="101"/>
      <c r="AU1756" s="101"/>
      <c r="AV1756" s="101"/>
      <c r="AW1756" s="101"/>
      <c r="AX1756" s="101"/>
      <c r="AY1756" s="101"/>
      <c r="AZ1756" s="101"/>
      <c r="BA1756" s="101"/>
      <c r="BB1756" s="101"/>
      <c r="BC1756" s="101"/>
      <c r="BD1756" s="101"/>
      <c r="BE1756" s="101"/>
      <c r="BF1756" s="101"/>
      <c r="BG1756" s="101"/>
      <c r="BH1756" s="101"/>
      <c r="BI1756" s="101"/>
      <c r="BJ1756" s="101"/>
      <c r="BK1756" s="101"/>
      <c r="BL1756" s="101"/>
      <c r="BM1756" s="101"/>
      <c r="BN1756" s="101"/>
      <c r="BO1756" s="101"/>
      <c r="BP1756" s="101"/>
      <c r="BQ1756" s="101"/>
      <c r="BR1756" s="101"/>
    </row>
    <row r="1757" spans="33:70">
      <c r="AG1757" s="101"/>
      <c r="AH1757" s="101"/>
      <c r="AI1757" s="101"/>
      <c r="AJ1757" s="101"/>
      <c r="AK1757" s="101"/>
      <c r="AM1757" s="195"/>
      <c r="AT1757" s="101"/>
      <c r="AU1757" s="101"/>
      <c r="AV1757" s="101"/>
      <c r="AW1757" s="101"/>
      <c r="AX1757" s="101"/>
      <c r="AY1757" s="101"/>
      <c r="AZ1757" s="101"/>
      <c r="BA1757" s="101"/>
      <c r="BB1757" s="101"/>
    </row>
    <row r="1758" spans="33:70">
      <c r="AG1758" s="101"/>
      <c r="AH1758" s="101"/>
      <c r="AI1758" s="101"/>
      <c r="AJ1758" s="101"/>
      <c r="AK1758" s="101"/>
      <c r="AM1758" s="195"/>
      <c r="AT1758" s="101"/>
      <c r="AU1758" s="101"/>
      <c r="AV1758" s="101"/>
      <c r="AW1758" s="101"/>
      <c r="AX1758" s="101"/>
      <c r="AY1758" s="101"/>
      <c r="AZ1758" s="101"/>
      <c r="BA1758" s="101"/>
      <c r="BB1758" s="101"/>
    </row>
    <row r="1759" spans="33:70">
      <c r="AG1759" s="101"/>
      <c r="AH1759" s="101"/>
      <c r="AI1759" s="101"/>
      <c r="AJ1759" s="101"/>
      <c r="AK1759" s="101"/>
      <c r="AM1759" s="195"/>
      <c r="AT1759" s="101"/>
      <c r="AU1759" s="101"/>
      <c r="AV1759" s="101"/>
      <c r="AW1759" s="101"/>
      <c r="AX1759" s="101"/>
      <c r="AY1759" s="101"/>
      <c r="AZ1759" s="101"/>
      <c r="BA1759" s="101"/>
    </row>
    <row r="1760" spans="33:70">
      <c r="AG1760" s="101"/>
      <c r="AH1760" s="101"/>
      <c r="AI1760" s="101"/>
      <c r="AJ1760" s="101"/>
      <c r="AK1760" s="101"/>
      <c r="AM1760" s="195"/>
      <c r="AT1760" s="101"/>
      <c r="AU1760" s="101"/>
      <c r="AV1760" s="101"/>
      <c r="AW1760" s="101"/>
      <c r="AX1760" s="101"/>
      <c r="AY1760" s="101"/>
      <c r="AZ1760" s="101"/>
      <c r="BA1760" s="101"/>
    </row>
    <row r="1761" spans="33:70">
      <c r="AG1761" s="101"/>
      <c r="AH1761" s="101"/>
      <c r="AI1761" s="101"/>
      <c r="AJ1761" s="101"/>
      <c r="AK1761" s="101"/>
      <c r="AM1761" s="195"/>
      <c r="AT1761" s="101"/>
      <c r="AU1761" s="101"/>
      <c r="AV1761" s="101"/>
      <c r="AW1761" s="101"/>
      <c r="AX1761" s="101"/>
      <c r="AY1761" s="101"/>
      <c r="AZ1761" s="101"/>
      <c r="BA1761" s="101"/>
      <c r="BB1761" s="101"/>
      <c r="BC1761" s="101"/>
      <c r="BD1761" s="101"/>
      <c r="BE1761" s="101"/>
      <c r="BF1761" s="101"/>
      <c r="BG1761" s="101"/>
      <c r="BH1761" s="101"/>
      <c r="BI1761" s="101"/>
      <c r="BJ1761" s="101"/>
      <c r="BK1761" s="101"/>
      <c r="BL1761" s="101"/>
      <c r="BM1761" s="101"/>
      <c r="BN1761" s="101"/>
      <c r="BO1761" s="101"/>
      <c r="BP1761" s="101"/>
      <c r="BQ1761" s="101"/>
      <c r="BR1761" s="101"/>
    </row>
    <row r="1762" spans="33:70">
      <c r="AG1762" s="101"/>
      <c r="AH1762" s="101"/>
      <c r="AI1762" s="101"/>
      <c r="AJ1762" s="101"/>
      <c r="AK1762" s="101"/>
      <c r="AM1762" s="195"/>
      <c r="AT1762" s="101"/>
      <c r="AU1762" s="101"/>
      <c r="AV1762" s="101"/>
      <c r="AW1762" s="101"/>
      <c r="AX1762" s="101"/>
      <c r="AY1762" s="101"/>
      <c r="AZ1762" s="101"/>
      <c r="BA1762" s="101"/>
      <c r="BB1762" s="101"/>
      <c r="BD1762" s="101"/>
      <c r="BE1762" s="101"/>
      <c r="BF1762" s="101"/>
      <c r="BG1762" s="101"/>
      <c r="BH1762" s="101"/>
      <c r="BI1762" s="101"/>
      <c r="BJ1762" s="101"/>
      <c r="BK1762" s="101"/>
      <c r="BL1762" s="101"/>
      <c r="BM1762" s="101"/>
      <c r="BN1762" s="101"/>
      <c r="BO1762" s="101"/>
      <c r="BP1762" s="101"/>
      <c r="BQ1762" s="101"/>
      <c r="BR1762" s="101"/>
    </row>
    <row r="1763" spans="33:70">
      <c r="AG1763" s="101"/>
      <c r="AH1763" s="101"/>
      <c r="AI1763" s="101"/>
      <c r="AJ1763" s="101"/>
      <c r="AK1763" s="101"/>
      <c r="AM1763" s="195"/>
      <c r="AT1763" s="101"/>
      <c r="AU1763" s="101"/>
      <c r="AV1763" s="101"/>
      <c r="AW1763" s="101"/>
      <c r="AX1763" s="101"/>
      <c r="AY1763" s="101"/>
      <c r="AZ1763" s="101"/>
      <c r="BA1763" s="101"/>
    </row>
    <row r="1764" spans="33:70">
      <c r="AG1764" s="101"/>
      <c r="AH1764" s="101"/>
      <c r="AI1764" s="101"/>
      <c r="AJ1764" s="101"/>
      <c r="AK1764" s="101"/>
      <c r="AM1764" s="195"/>
      <c r="AT1764" s="101"/>
      <c r="AU1764" s="101"/>
      <c r="AV1764" s="101"/>
      <c r="AW1764" s="101"/>
      <c r="AX1764" s="101"/>
      <c r="AY1764" s="101"/>
      <c r="AZ1764" s="101"/>
      <c r="BA1764" s="101"/>
      <c r="BB1764" s="101"/>
    </row>
    <row r="1765" spans="33:70">
      <c r="AG1765" s="101"/>
      <c r="AH1765" s="101"/>
      <c r="AI1765" s="101"/>
      <c r="AJ1765" s="101"/>
      <c r="AK1765" s="101"/>
      <c r="AM1765" s="195"/>
      <c r="AT1765" s="101"/>
      <c r="AU1765" s="101"/>
      <c r="AV1765" s="101"/>
      <c r="AW1765" s="101"/>
      <c r="AX1765" s="101"/>
      <c r="AY1765" s="101"/>
      <c r="AZ1765" s="101"/>
      <c r="BA1765" s="101"/>
    </row>
    <row r="1766" spans="33:70">
      <c r="AG1766" s="101"/>
      <c r="AH1766" s="101"/>
      <c r="AI1766" s="101"/>
      <c r="AJ1766" s="101"/>
      <c r="AK1766" s="101"/>
      <c r="AM1766" s="195"/>
      <c r="AT1766" s="101"/>
      <c r="AU1766" s="101"/>
      <c r="AV1766" s="101"/>
      <c r="AW1766" s="101"/>
      <c r="AX1766" s="101"/>
      <c r="AY1766" s="101"/>
      <c r="AZ1766" s="101"/>
      <c r="BA1766" s="101"/>
      <c r="BB1766" s="101"/>
    </row>
    <row r="1767" spans="33:70">
      <c r="AG1767" s="101"/>
      <c r="AH1767" s="101"/>
      <c r="AI1767" s="101"/>
      <c r="AJ1767" s="101"/>
      <c r="AK1767" s="101"/>
      <c r="AM1767" s="195"/>
      <c r="AT1767" s="101"/>
      <c r="AU1767" s="101"/>
      <c r="AV1767" s="101"/>
      <c r="AW1767" s="101"/>
      <c r="AX1767" s="101"/>
      <c r="AY1767" s="101"/>
      <c r="AZ1767" s="101"/>
      <c r="BA1767" s="101"/>
    </row>
    <row r="1768" spans="33:70">
      <c r="AG1768" s="101"/>
      <c r="AH1768" s="101"/>
      <c r="AI1768" s="101"/>
      <c r="AJ1768" s="101"/>
      <c r="AK1768" s="101"/>
      <c r="AM1768" s="195"/>
      <c r="AT1768" s="101"/>
      <c r="AU1768" s="101"/>
      <c r="AV1768" s="101"/>
      <c r="AW1768" s="101"/>
      <c r="AX1768" s="101"/>
      <c r="AY1768" s="101"/>
      <c r="AZ1768" s="101"/>
      <c r="BA1768" s="101"/>
      <c r="BB1768" s="101"/>
    </row>
    <row r="1769" spans="33:70">
      <c r="AG1769" s="101"/>
      <c r="AH1769" s="101"/>
      <c r="AI1769" s="101"/>
      <c r="AJ1769" s="101"/>
      <c r="AK1769" s="101"/>
      <c r="AM1769" s="195"/>
      <c r="AT1769" s="101"/>
      <c r="AU1769" s="101"/>
      <c r="AV1769" s="101"/>
      <c r="AW1769" s="101"/>
      <c r="AX1769" s="101"/>
      <c r="AY1769" s="101"/>
      <c r="AZ1769" s="101"/>
      <c r="BA1769" s="101"/>
      <c r="BB1769" s="101"/>
      <c r="BC1769" s="101"/>
      <c r="BD1769" s="101"/>
      <c r="BE1769" s="101"/>
      <c r="BF1769" s="101"/>
      <c r="BG1769" s="101"/>
      <c r="BH1769" s="101"/>
      <c r="BI1769" s="101"/>
      <c r="BJ1769" s="101"/>
      <c r="BK1769" s="101"/>
      <c r="BL1769" s="101"/>
      <c r="BM1769" s="101"/>
      <c r="BN1769" s="101"/>
      <c r="BO1769" s="101"/>
      <c r="BP1769" s="101"/>
      <c r="BQ1769" s="101"/>
      <c r="BR1769" s="101"/>
    </row>
    <row r="1770" spans="33:70">
      <c r="AG1770" s="101"/>
      <c r="AH1770" s="101"/>
      <c r="AI1770" s="101"/>
      <c r="AJ1770" s="101"/>
      <c r="AK1770" s="101"/>
      <c r="AM1770" s="195"/>
      <c r="AT1770" s="101"/>
      <c r="AU1770" s="101"/>
      <c r="AV1770" s="101"/>
      <c r="AW1770" s="101"/>
      <c r="AX1770" s="101"/>
      <c r="AY1770" s="101"/>
      <c r="AZ1770" s="101"/>
      <c r="BA1770" s="101"/>
    </row>
    <row r="1771" spans="33:70">
      <c r="AG1771" s="101"/>
      <c r="AH1771" s="101"/>
      <c r="AI1771" s="101"/>
      <c r="AJ1771" s="101"/>
      <c r="AK1771" s="101"/>
      <c r="AM1771" s="195"/>
      <c r="AT1771" s="101"/>
      <c r="AU1771" s="101"/>
      <c r="AV1771" s="101"/>
      <c r="AW1771" s="101"/>
      <c r="AX1771" s="101"/>
      <c r="AY1771" s="101"/>
      <c r="AZ1771" s="101"/>
      <c r="BA1771" s="101"/>
    </row>
    <row r="1772" spans="33:70">
      <c r="AG1772" s="101"/>
      <c r="AH1772" s="101"/>
      <c r="AI1772" s="101"/>
      <c r="AJ1772" s="101"/>
      <c r="AK1772" s="101"/>
      <c r="AM1772" s="195"/>
      <c r="AT1772" s="101"/>
      <c r="AU1772" s="101"/>
      <c r="AV1772" s="101"/>
      <c r="AW1772" s="101"/>
      <c r="AX1772" s="101"/>
      <c r="AY1772" s="101"/>
      <c r="AZ1772" s="101"/>
      <c r="BA1772" s="101"/>
    </row>
    <row r="1773" spans="33:70">
      <c r="AG1773" s="101"/>
      <c r="AH1773" s="101"/>
      <c r="AI1773" s="101"/>
      <c r="AJ1773" s="101"/>
      <c r="AK1773" s="101"/>
      <c r="AM1773" s="195"/>
      <c r="AT1773" s="101"/>
      <c r="AU1773" s="101"/>
      <c r="AV1773" s="101"/>
      <c r="AW1773" s="101"/>
      <c r="AX1773" s="101"/>
      <c r="AY1773" s="101"/>
      <c r="AZ1773" s="101"/>
      <c r="BA1773" s="101"/>
    </row>
    <row r="1774" spans="33:70">
      <c r="AG1774" s="101"/>
      <c r="AH1774" s="101"/>
      <c r="AI1774" s="101"/>
      <c r="AJ1774" s="101"/>
      <c r="AK1774" s="101"/>
      <c r="AM1774" s="195"/>
      <c r="AT1774" s="101"/>
      <c r="AU1774" s="101"/>
      <c r="AV1774" s="101"/>
      <c r="AW1774" s="101"/>
      <c r="AX1774" s="101"/>
      <c r="AY1774" s="101"/>
      <c r="AZ1774" s="101"/>
      <c r="BA1774" s="101"/>
    </row>
    <row r="1775" spans="33:70">
      <c r="AG1775" s="101"/>
      <c r="AH1775" s="101"/>
      <c r="AI1775" s="101"/>
      <c r="AJ1775" s="101"/>
      <c r="AK1775" s="101"/>
      <c r="AM1775" s="195"/>
      <c r="AT1775" s="101"/>
      <c r="AU1775" s="101"/>
      <c r="AV1775" s="101"/>
      <c r="AW1775" s="101"/>
      <c r="AX1775" s="101"/>
      <c r="AY1775" s="101"/>
      <c r="AZ1775" s="101"/>
      <c r="BA1775" s="101"/>
    </row>
    <row r="1776" spans="33:70">
      <c r="AG1776" s="101"/>
      <c r="AH1776" s="101"/>
      <c r="AI1776" s="101"/>
      <c r="AJ1776" s="101"/>
      <c r="AK1776" s="101"/>
      <c r="AM1776" s="195"/>
      <c r="AT1776" s="101"/>
      <c r="AU1776" s="101"/>
      <c r="AV1776" s="101"/>
      <c r="AW1776" s="101"/>
      <c r="AX1776" s="101"/>
      <c r="AY1776" s="101"/>
      <c r="AZ1776" s="101"/>
      <c r="BA1776" s="101"/>
    </row>
    <row r="1777" spans="33:54">
      <c r="AG1777" s="101"/>
      <c r="AH1777" s="101"/>
      <c r="AI1777" s="101"/>
      <c r="AJ1777" s="101"/>
      <c r="AK1777" s="101"/>
      <c r="AM1777" s="195"/>
      <c r="AT1777" s="101"/>
      <c r="AU1777" s="101"/>
      <c r="AV1777" s="101"/>
      <c r="AW1777" s="101"/>
      <c r="AX1777" s="101"/>
      <c r="AY1777" s="101"/>
      <c r="AZ1777" s="101"/>
      <c r="BA1777" s="101"/>
    </row>
    <row r="1778" spans="33:54">
      <c r="AG1778" s="101"/>
      <c r="AH1778" s="101"/>
      <c r="AI1778" s="101"/>
      <c r="AJ1778" s="101"/>
      <c r="AK1778" s="101"/>
      <c r="AM1778" s="195"/>
      <c r="AT1778" s="101"/>
      <c r="AU1778" s="101"/>
      <c r="AV1778" s="101"/>
      <c r="AW1778" s="101"/>
      <c r="AX1778" s="101"/>
      <c r="AY1778" s="101"/>
      <c r="AZ1778" s="101"/>
      <c r="BA1778" s="101"/>
    </row>
    <row r="1779" spans="33:54">
      <c r="AG1779" s="101"/>
      <c r="AH1779" s="101"/>
      <c r="AI1779" s="101"/>
      <c r="AJ1779" s="101"/>
      <c r="AK1779" s="101"/>
      <c r="AM1779" s="195"/>
      <c r="AT1779" s="101"/>
      <c r="AU1779" s="101"/>
      <c r="AV1779" s="101"/>
      <c r="AW1779" s="101"/>
      <c r="AX1779" s="101"/>
      <c r="AY1779" s="101"/>
      <c r="AZ1779" s="101"/>
      <c r="BA1779" s="101"/>
    </row>
    <row r="1780" spans="33:54">
      <c r="AG1780" s="101"/>
      <c r="AH1780" s="101"/>
      <c r="AI1780" s="101"/>
      <c r="AJ1780" s="101"/>
      <c r="AK1780" s="101"/>
      <c r="AM1780" s="195"/>
      <c r="AT1780" s="101"/>
      <c r="AU1780" s="101"/>
      <c r="AV1780" s="101"/>
      <c r="AW1780" s="101"/>
      <c r="AX1780" s="101"/>
      <c r="AY1780" s="101"/>
      <c r="AZ1780" s="101"/>
      <c r="BA1780" s="101"/>
      <c r="BB1780" s="101"/>
    </row>
    <row r="1781" spans="33:54">
      <c r="AG1781" s="101"/>
      <c r="AH1781" s="101"/>
      <c r="AI1781" s="101"/>
      <c r="AJ1781" s="101"/>
      <c r="AK1781" s="101"/>
      <c r="AM1781" s="195"/>
      <c r="AT1781" s="101"/>
      <c r="AU1781" s="101"/>
      <c r="AV1781" s="101"/>
      <c r="AW1781" s="101"/>
      <c r="AX1781" s="101"/>
      <c r="AY1781" s="101"/>
      <c r="AZ1781" s="101"/>
      <c r="BA1781" s="101"/>
    </row>
    <row r="1782" spans="33:54">
      <c r="AG1782" s="101"/>
      <c r="AH1782" s="101"/>
      <c r="AI1782" s="101"/>
      <c r="AJ1782" s="101"/>
      <c r="AK1782" s="101"/>
      <c r="AM1782" s="195"/>
      <c r="AT1782" s="101"/>
      <c r="AU1782" s="101"/>
      <c r="AV1782" s="101"/>
      <c r="AW1782" s="101"/>
      <c r="AX1782" s="101"/>
      <c r="AY1782" s="101"/>
      <c r="AZ1782" s="101"/>
      <c r="BA1782" s="101"/>
    </row>
    <row r="1783" spans="33:54">
      <c r="AG1783" s="101"/>
      <c r="AH1783" s="101"/>
      <c r="AI1783" s="101"/>
      <c r="AJ1783" s="101"/>
      <c r="AK1783" s="101"/>
      <c r="AM1783" s="195"/>
      <c r="AT1783" s="101"/>
      <c r="AU1783" s="101"/>
      <c r="AV1783" s="101"/>
      <c r="AW1783" s="101"/>
      <c r="AX1783" s="101"/>
      <c r="AY1783" s="101"/>
      <c r="AZ1783" s="101"/>
      <c r="BA1783" s="101"/>
    </row>
    <row r="1784" spans="33:54">
      <c r="AG1784" s="101"/>
      <c r="AH1784" s="101"/>
      <c r="AI1784" s="101"/>
      <c r="AJ1784" s="101"/>
      <c r="AK1784" s="101"/>
      <c r="AM1784" s="195"/>
      <c r="AT1784" s="101"/>
      <c r="AU1784" s="101"/>
      <c r="AV1784" s="101"/>
      <c r="AW1784" s="101"/>
      <c r="AX1784" s="101"/>
      <c r="AY1784" s="101"/>
      <c r="AZ1784" s="101"/>
      <c r="BA1784" s="101"/>
    </row>
    <row r="1785" spans="33:54">
      <c r="AG1785" s="101"/>
      <c r="AH1785" s="101"/>
      <c r="AI1785" s="101"/>
      <c r="AJ1785" s="101"/>
      <c r="AK1785" s="101"/>
      <c r="AM1785" s="195"/>
      <c r="AT1785" s="101"/>
      <c r="AU1785" s="101"/>
      <c r="AV1785" s="101"/>
      <c r="AW1785" s="101"/>
      <c r="AX1785" s="101"/>
      <c r="AY1785" s="101"/>
      <c r="AZ1785" s="101"/>
      <c r="BA1785" s="101"/>
      <c r="BB1785" s="101"/>
    </row>
    <row r="1786" spans="33:54">
      <c r="AG1786" s="101"/>
      <c r="AH1786" s="101"/>
      <c r="AI1786" s="101"/>
      <c r="AJ1786" s="101"/>
      <c r="AK1786" s="101"/>
      <c r="AM1786" s="195"/>
      <c r="AT1786" s="101"/>
      <c r="AU1786" s="101"/>
      <c r="AV1786" s="101"/>
      <c r="AW1786" s="101"/>
      <c r="AX1786" s="101"/>
      <c r="AY1786" s="101"/>
      <c r="AZ1786" s="101"/>
      <c r="BA1786" s="101"/>
    </row>
    <row r="1787" spans="33:54">
      <c r="AG1787" s="101"/>
      <c r="AH1787" s="101"/>
      <c r="AI1787" s="101"/>
      <c r="AJ1787" s="101"/>
      <c r="AK1787" s="101"/>
      <c r="AM1787" s="195"/>
      <c r="AT1787" s="101"/>
      <c r="AU1787" s="101"/>
      <c r="AV1787" s="101"/>
      <c r="AW1787" s="101"/>
      <c r="AX1787" s="101"/>
      <c r="AY1787" s="101"/>
      <c r="AZ1787" s="101"/>
      <c r="BA1787" s="101"/>
    </row>
    <row r="1788" spans="33:54">
      <c r="AG1788" s="101"/>
      <c r="AH1788" s="101"/>
      <c r="AI1788" s="101"/>
      <c r="AJ1788" s="101"/>
      <c r="AK1788" s="101"/>
      <c r="AM1788" s="195"/>
      <c r="AT1788" s="101"/>
      <c r="AU1788" s="101"/>
      <c r="AV1788" s="101"/>
      <c r="AW1788" s="101"/>
      <c r="AX1788" s="101"/>
      <c r="AY1788" s="101"/>
      <c r="AZ1788" s="101"/>
      <c r="BA1788" s="101"/>
    </row>
    <row r="1789" spans="33:54">
      <c r="AG1789" s="101"/>
      <c r="AH1789" s="101"/>
      <c r="AI1789" s="101"/>
      <c r="AJ1789" s="101"/>
      <c r="AK1789" s="101"/>
      <c r="AM1789" s="195"/>
      <c r="AT1789" s="101"/>
      <c r="AU1789" s="101"/>
      <c r="AV1789" s="101"/>
      <c r="AW1789" s="101"/>
      <c r="AX1789" s="101"/>
      <c r="AY1789" s="101"/>
      <c r="AZ1789" s="101"/>
      <c r="BA1789" s="101"/>
    </row>
    <row r="1790" spans="33:54">
      <c r="AG1790" s="101"/>
      <c r="AH1790" s="101"/>
      <c r="AI1790" s="101"/>
      <c r="AJ1790" s="101"/>
      <c r="AK1790" s="101"/>
      <c r="AM1790" s="195"/>
      <c r="AT1790" s="101"/>
      <c r="AU1790" s="101"/>
      <c r="AV1790" s="101"/>
      <c r="AW1790" s="101"/>
      <c r="AX1790" s="101"/>
      <c r="AY1790" s="101"/>
      <c r="AZ1790" s="101"/>
      <c r="BA1790" s="101"/>
    </row>
    <row r="1791" spans="33:54">
      <c r="AG1791" s="101"/>
      <c r="AH1791" s="101"/>
      <c r="AI1791" s="101"/>
      <c r="AJ1791" s="101"/>
      <c r="AK1791" s="101"/>
      <c r="AM1791" s="195"/>
      <c r="AT1791" s="101"/>
      <c r="AU1791" s="101"/>
      <c r="AV1791" s="101"/>
      <c r="AW1791" s="101"/>
      <c r="AX1791" s="101"/>
      <c r="AY1791" s="101"/>
      <c r="AZ1791" s="101"/>
      <c r="BA1791" s="101"/>
    </row>
    <row r="1792" spans="33:54">
      <c r="AG1792" s="101"/>
      <c r="AH1792" s="101"/>
      <c r="AI1792" s="101"/>
      <c r="AJ1792" s="101"/>
      <c r="AK1792" s="101"/>
      <c r="AM1792" s="195"/>
      <c r="AT1792" s="101"/>
      <c r="AU1792" s="101"/>
      <c r="AV1792" s="101"/>
      <c r="AW1792" s="101"/>
      <c r="AX1792" s="101"/>
      <c r="AY1792" s="101"/>
      <c r="AZ1792" s="101"/>
      <c r="BA1792" s="101"/>
    </row>
    <row r="1793" spans="33:70">
      <c r="AG1793" s="101"/>
      <c r="AH1793" s="101"/>
      <c r="AI1793" s="101"/>
      <c r="AJ1793" s="101"/>
      <c r="AK1793" s="101"/>
      <c r="AM1793" s="195"/>
      <c r="AT1793" s="101"/>
      <c r="AU1793" s="101"/>
      <c r="AV1793" s="101"/>
      <c r="AW1793" s="101"/>
      <c r="AX1793" s="101"/>
      <c r="AY1793" s="101"/>
      <c r="AZ1793" s="101"/>
      <c r="BA1793" s="101"/>
    </row>
    <row r="1794" spans="33:70">
      <c r="AG1794" s="101"/>
      <c r="AH1794" s="101"/>
      <c r="AI1794" s="101"/>
      <c r="AJ1794" s="101"/>
      <c r="AK1794" s="101"/>
      <c r="AM1794" s="195"/>
      <c r="AT1794" s="101"/>
      <c r="AU1794" s="101"/>
      <c r="AV1794" s="101"/>
      <c r="AW1794" s="101"/>
      <c r="AX1794" s="101"/>
      <c r="AY1794" s="101"/>
      <c r="AZ1794" s="101"/>
      <c r="BA1794" s="101"/>
      <c r="BB1794" s="101"/>
    </row>
    <row r="1795" spans="33:70">
      <c r="AG1795" s="101"/>
      <c r="AH1795" s="101"/>
      <c r="AI1795" s="101"/>
      <c r="AJ1795" s="101"/>
      <c r="AK1795" s="101"/>
      <c r="AM1795" s="195"/>
      <c r="AT1795" s="101"/>
      <c r="AU1795" s="101"/>
      <c r="AV1795" s="101"/>
      <c r="AW1795" s="101"/>
      <c r="AX1795" s="101"/>
      <c r="AY1795" s="101"/>
      <c r="AZ1795" s="101"/>
      <c r="BA1795" s="101"/>
    </row>
    <row r="1796" spans="33:70">
      <c r="AG1796" s="101"/>
      <c r="AH1796" s="101"/>
      <c r="AI1796" s="101"/>
      <c r="AJ1796" s="101"/>
      <c r="AK1796" s="101"/>
      <c r="AM1796" s="195"/>
      <c r="AT1796" s="101"/>
      <c r="AU1796" s="101"/>
      <c r="AV1796" s="101"/>
      <c r="AW1796" s="101"/>
      <c r="AX1796" s="101"/>
      <c r="AY1796" s="101"/>
      <c r="AZ1796" s="101"/>
      <c r="BA1796" s="101"/>
      <c r="BB1796" s="101"/>
      <c r="BD1796" s="101"/>
    </row>
    <row r="1797" spans="33:70">
      <c r="AG1797" s="101"/>
      <c r="AH1797" s="101"/>
      <c r="AI1797" s="101"/>
      <c r="AJ1797" s="101"/>
      <c r="AK1797" s="101"/>
      <c r="AM1797" s="195"/>
      <c r="AT1797" s="101"/>
      <c r="AU1797" s="101"/>
      <c r="AV1797" s="101"/>
      <c r="AW1797" s="101"/>
      <c r="AX1797" s="101"/>
      <c r="AY1797" s="101"/>
      <c r="AZ1797" s="101"/>
      <c r="BA1797" s="101"/>
      <c r="BB1797" s="101"/>
      <c r="BC1797" s="101"/>
      <c r="BD1797" s="101"/>
      <c r="BE1797" s="101"/>
      <c r="BF1797" s="101"/>
      <c r="BG1797" s="101"/>
      <c r="BH1797" s="101"/>
      <c r="BI1797" s="101"/>
      <c r="BJ1797" s="101"/>
      <c r="BK1797" s="101"/>
      <c r="BL1797" s="101"/>
      <c r="BM1797" s="101"/>
      <c r="BN1797" s="101"/>
      <c r="BO1797" s="101"/>
      <c r="BP1797" s="101"/>
      <c r="BQ1797" s="101"/>
      <c r="BR1797" s="101"/>
    </row>
    <row r="1798" spans="33:70">
      <c r="AG1798" s="101"/>
      <c r="AH1798" s="101"/>
      <c r="AI1798" s="101"/>
      <c r="AJ1798" s="101"/>
      <c r="AK1798" s="101"/>
      <c r="AM1798" s="195"/>
      <c r="AT1798" s="101"/>
      <c r="AU1798" s="101"/>
      <c r="AV1798" s="101"/>
      <c r="AW1798" s="101"/>
      <c r="AX1798" s="101"/>
      <c r="AY1798" s="101"/>
      <c r="AZ1798" s="101"/>
      <c r="BA1798" s="101"/>
    </row>
    <row r="1799" spans="33:70">
      <c r="AG1799" s="101"/>
      <c r="AH1799" s="101"/>
      <c r="AI1799" s="101"/>
      <c r="AJ1799" s="101"/>
      <c r="AK1799" s="101"/>
      <c r="AM1799" s="195"/>
      <c r="AT1799" s="101"/>
      <c r="AU1799" s="101"/>
      <c r="AV1799" s="101"/>
      <c r="AW1799" s="101"/>
      <c r="AX1799" s="101"/>
      <c r="AY1799" s="101"/>
      <c r="AZ1799" s="101"/>
      <c r="BA1799" s="101"/>
    </row>
    <row r="1800" spans="33:70">
      <c r="AG1800" s="101"/>
      <c r="AH1800" s="101"/>
      <c r="AI1800" s="101"/>
      <c r="AJ1800" s="101"/>
      <c r="AK1800" s="101"/>
      <c r="AM1800" s="195"/>
      <c r="AT1800" s="101"/>
      <c r="AU1800" s="101"/>
      <c r="AV1800" s="101"/>
      <c r="AW1800" s="101"/>
      <c r="AX1800" s="101"/>
      <c r="AY1800" s="101"/>
      <c r="AZ1800" s="101"/>
      <c r="BA1800" s="101"/>
    </row>
    <row r="1801" spans="33:70">
      <c r="AG1801" s="101"/>
      <c r="AH1801" s="101"/>
      <c r="AI1801" s="101"/>
      <c r="AJ1801" s="101"/>
      <c r="AK1801" s="101"/>
      <c r="AM1801" s="195"/>
      <c r="AT1801" s="101"/>
      <c r="AU1801" s="101"/>
      <c r="AV1801" s="101"/>
      <c r="AW1801" s="101"/>
      <c r="AX1801" s="101"/>
      <c r="AY1801" s="101"/>
      <c r="AZ1801" s="101"/>
      <c r="BA1801" s="101"/>
      <c r="BB1801" s="101"/>
      <c r="BD1801" s="101"/>
    </row>
    <row r="1802" spans="33:70">
      <c r="AG1802" s="101"/>
      <c r="AH1802" s="101"/>
      <c r="AI1802" s="101"/>
      <c r="AJ1802" s="101"/>
      <c r="AK1802" s="101"/>
      <c r="AM1802" s="195"/>
      <c r="AT1802" s="101"/>
      <c r="AU1802" s="101"/>
      <c r="AV1802" s="101"/>
      <c r="AW1802" s="101"/>
      <c r="AX1802" s="101"/>
      <c r="AY1802" s="101"/>
      <c r="AZ1802" s="101"/>
      <c r="BA1802" s="101"/>
      <c r="BB1802" s="101"/>
      <c r="BC1802" s="101"/>
      <c r="BD1802" s="101"/>
      <c r="BE1802" s="101"/>
      <c r="BF1802" s="101"/>
      <c r="BG1802" s="101"/>
      <c r="BH1802" s="101"/>
      <c r="BI1802" s="101"/>
      <c r="BJ1802" s="101"/>
      <c r="BK1802" s="101"/>
      <c r="BL1802" s="101"/>
      <c r="BM1802" s="101"/>
      <c r="BN1802" s="101"/>
      <c r="BO1802" s="101"/>
      <c r="BP1802" s="101"/>
      <c r="BQ1802" s="101"/>
      <c r="BR1802" s="101"/>
    </row>
    <row r="1803" spans="33:70">
      <c r="AG1803" s="101"/>
      <c r="AH1803" s="101"/>
      <c r="AI1803" s="101"/>
      <c r="AJ1803" s="101"/>
      <c r="AK1803" s="101"/>
      <c r="AM1803" s="195"/>
      <c r="AT1803" s="101"/>
      <c r="AU1803" s="101"/>
      <c r="AV1803" s="101"/>
      <c r="AW1803" s="101"/>
      <c r="AX1803" s="101"/>
      <c r="AY1803" s="101"/>
      <c r="AZ1803" s="101"/>
      <c r="BA1803" s="101"/>
    </row>
    <row r="1804" spans="33:70">
      <c r="AG1804" s="101"/>
      <c r="AH1804" s="101"/>
      <c r="AI1804" s="101"/>
      <c r="AJ1804" s="101"/>
      <c r="AK1804" s="101"/>
      <c r="AM1804" s="195"/>
      <c r="AT1804" s="101"/>
      <c r="AU1804" s="101"/>
      <c r="AV1804" s="101"/>
      <c r="AW1804" s="101"/>
      <c r="AX1804" s="101"/>
      <c r="AY1804" s="101"/>
      <c r="AZ1804" s="101"/>
      <c r="BA1804" s="101"/>
    </row>
    <row r="1805" spans="33:70">
      <c r="AG1805" s="101"/>
      <c r="AH1805" s="101"/>
      <c r="AI1805" s="101"/>
      <c r="AJ1805" s="101"/>
      <c r="AK1805" s="101"/>
      <c r="AM1805" s="195"/>
      <c r="AT1805" s="101"/>
      <c r="AU1805" s="101"/>
      <c r="AV1805" s="101"/>
      <c r="AW1805" s="101"/>
      <c r="AX1805" s="101"/>
      <c r="AY1805" s="101"/>
      <c r="AZ1805" s="101"/>
      <c r="BA1805" s="101"/>
    </row>
    <row r="1806" spans="33:70">
      <c r="AG1806" s="101"/>
      <c r="AH1806" s="101"/>
      <c r="AI1806" s="101"/>
      <c r="AJ1806" s="101"/>
      <c r="AK1806" s="101"/>
      <c r="AM1806" s="195"/>
      <c r="AT1806" s="101"/>
      <c r="AU1806" s="101"/>
      <c r="AV1806" s="101"/>
      <c r="AW1806" s="101"/>
      <c r="AX1806" s="101"/>
      <c r="AY1806" s="101"/>
      <c r="AZ1806" s="101"/>
      <c r="BA1806" s="101"/>
    </row>
    <row r="1807" spans="33:70">
      <c r="AG1807" s="101"/>
      <c r="AH1807" s="101"/>
      <c r="AI1807" s="101"/>
      <c r="AJ1807" s="101"/>
      <c r="AK1807" s="101"/>
      <c r="AM1807" s="195"/>
      <c r="AT1807" s="101"/>
      <c r="AU1807" s="101"/>
      <c r="AV1807" s="101"/>
      <c r="AW1807" s="101"/>
      <c r="AX1807" s="101"/>
      <c r="AY1807" s="101"/>
      <c r="AZ1807" s="101"/>
      <c r="BA1807" s="101"/>
      <c r="BB1807" s="101"/>
      <c r="BD1807" s="101"/>
    </row>
    <row r="1808" spans="33:70">
      <c r="AG1808" s="101"/>
      <c r="AH1808" s="101"/>
      <c r="AI1808" s="101"/>
      <c r="AJ1808" s="101"/>
      <c r="AK1808" s="101"/>
      <c r="AM1808" s="195"/>
      <c r="AT1808" s="101"/>
      <c r="AU1808" s="101"/>
      <c r="AV1808" s="101"/>
      <c r="AW1808" s="101"/>
      <c r="AX1808" s="101"/>
      <c r="AY1808" s="101"/>
      <c r="AZ1808" s="101"/>
      <c r="BA1808" s="101"/>
    </row>
    <row r="1809" spans="33:70">
      <c r="AG1809" s="101"/>
      <c r="AH1809" s="101"/>
      <c r="AI1809" s="101"/>
      <c r="AJ1809" s="101"/>
      <c r="AK1809" s="101"/>
      <c r="AM1809" s="195"/>
      <c r="AT1809" s="101"/>
      <c r="AU1809" s="101"/>
      <c r="AV1809" s="101"/>
      <c r="AW1809" s="101"/>
      <c r="AX1809" s="101"/>
      <c r="AY1809" s="101"/>
      <c r="AZ1809" s="101"/>
      <c r="BA1809" s="101"/>
    </row>
    <row r="1810" spans="33:70">
      <c r="AG1810" s="101"/>
      <c r="AH1810" s="101"/>
      <c r="AI1810" s="101"/>
      <c r="AJ1810" s="101"/>
      <c r="AK1810" s="101"/>
      <c r="AM1810" s="195"/>
      <c r="AT1810" s="101"/>
      <c r="AU1810" s="101"/>
      <c r="AV1810" s="101"/>
      <c r="AW1810" s="101"/>
      <c r="AX1810" s="101"/>
      <c r="AY1810" s="101"/>
      <c r="AZ1810" s="101"/>
      <c r="BA1810" s="101"/>
    </row>
    <row r="1811" spans="33:70">
      <c r="AG1811" s="101"/>
      <c r="AH1811" s="101"/>
      <c r="AI1811" s="101"/>
      <c r="AJ1811" s="101"/>
      <c r="AK1811" s="101"/>
      <c r="AM1811" s="195"/>
      <c r="AT1811" s="101"/>
      <c r="AU1811" s="101"/>
      <c r="AV1811" s="101"/>
      <c r="AW1811" s="101"/>
      <c r="AX1811" s="101"/>
      <c r="AY1811" s="101"/>
      <c r="AZ1811" s="101"/>
      <c r="BA1811" s="101"/>
    </row>
    <row r="1812" spans="33:70">
      <c r="AG1812" s="101"/>
      <c r="AH1812" s="101"/>
      <c r="AI1812" s="101"/>
      <c r="AJ1812" s="101"/>
      <c r="AK1812" s="101"/>
      <c r="AM1812" s="195"/>
      <c r="AT1812" s="101"/>
      <c r="AU1812" s="101"/>
      <c r="AV1812" s="101"/>
      <c r="AW1812" s="101"/>
      <c r="AX1812" s="101"/>
      <c r="AY1812" s="101"/>
      <c r="AZ1812" s="101"/>
      <c r="BA1812" s="101"/>
    </row>
    <row r="1813" spans="33:70">
      <c r="AG1813" s="101"/>
      <c r="AH1813" s="101"/>
      <c r="AI1813" s="101"/>
      <c r="AJ1813" s="101"/>
      <c r="AK1813" s="101"/>
      <c r="AM1813" s="195"/>
      <c r="AT1813" s="101"/>
      <c r="AU1813" s="101"/>
      <c r="AV1813" s="101"/>
      <c r="AW1813" s="101"/>
      <c r="AX1813" s="101"/>
      <c r="AY1813" s="101"/>
      <c r="AZ1813" s="101"/>
      <c r="BA1813" s="101"/>
    </row>
    <row r="1814" spans="33:70">
      <c r="AG1814" s="101"/>
      <c r="AH1814" s="101"/>
      <c r="AI1814" s="101"/>
      <c r="AJ1814" s="101"/>
      <c r="AK1814" s="101"/>
      <c r="AM1814" s="195"/>
      <c r="AT1814" s="101"/>
      <c r="AU1814" s="101"/>
      <c r="AV1814" s="101"/>
      <c r="AW1814" s="101"/>
      <c r="AX1814" s="101"/>
      <c r="AY1814" s="101"/>
      <c r="AZ1814" s="101"/>
      <c r="BA1814" s="101"/>
      <c r="BB1814" s="101"/>
      <c r="BD1814" s="101"/>
      <c r="BE1814" s="101"/>
      <c r="BF1814" s="101"/>
      <c r="BG1814" s="101"/>
      <c r="BH1814" s="101"/>
      <c r="BI1814" s="101"/>
      <c r="BJ1814" s="101"/>
      <c r="BK1814" s="101"/>
      <c r="BL1814" s="101"/>
      <c r="BM1814" s="101"/>
      <c r="BN1814" s="101"/>
      <c r="BO1814" s="101"/>
      <c r="BP1814" s="101"/>
      <c r="BQ1814" s="101"/>
      <c r="BR1814" s="101"/>
    </row>
    <row r="1815" spans="33:70">
      <c r="AG1815" s="101"/>
      <c r="AH1815" s="101"/>
      <c r="AI1815" s="101"/>
      <c r="AJ1815" s="101"/>
      <c r="AK1815" s="101"/>
      <c r="AM1815" s="195"/>
      <c r="AT1815" s="101"/>
      <c r="AU1815" s="101"/>
      <c r="AV1815" s="101"/>
      <c r="AW1815" s="101"/>
      <c r="AX1815" s="101"/>
      <c r="AY1815" s="101"/>
      <c r="AZ1815" s="101"/>
      <c r="BA1815" s="101"/>
      <c r="BB1815" s="101"/>
    </row>
    <row r="1816" spans="33:70">
      <c r="AG1816" s="101"/>
      <c r="AH1816" s="101"/>
      <c r="AI1816" s="101"/>
      <c r="AJ1816" s="101"/>
      <c r="AK1816" s="101"/>
      <c r="AM1816" s="195"/>
      <c r="AT1816" s="101"/>
      <c r="AU1816" s="101"/>
      <c r="AV1816" s="101"/>
      <c r="AW1816" s="101"/>
      <c r="AX1816" s="101"/>
      <c r="AY1816" s="101"/>
      <c r="AZ1816" s="101"/>
      <c r="BA1816" s="101"/>
    </row>
    <row r="1817" spans="33:70">
      <c r="AG1817" s="101"/>
      <c r="AH1817" s="101"/>
      <c r="AI1817" s="101"/>
      <c r="AJ1817" s="101"/>
      <c r="AK1817" s="101"/>
      <c r="AM1817" s="195"/>
      <c r="AT1817" s="101"/>
      <c r="AU1817" s="101"/>
      <c r="AV1817" s="101"/>
      <c r="AW1817" s="101"/>
      <c r="AX1817" s="101"/>
      <c r="AY1817" s="101"/>
      <c r="AZ1817" s="101"/>
      <c r="BA1817" s="101"/>
      <c r="BB1817" s="101"/>
    </row>
    <row r="1818" spans="33:70">
      <c r="AG1818" s="101"/>
      <c r="AH1818" s="101"/>
      <c r="AI1818" s="101"/>
      <c r="AJ1818" s="101"/>
      <c r="AK1818" s="101"/>
      <c r="AM1818" s="195"/>
      <c r="AT1818" s="101"/>
      <c r="AU1818" s="101"/>
      <c r="AV1818" s="101"/>
      <c r="AW1818" s="101"/>
      <c r="AX1818" s="101"/>
      <c r="AY1818" s="101"/>
      <c r="AZ1818" s="101"/>
      <c r="BA1818" s="101"/>
    </row>
    <row r="1819" spans="33:70">
      <c r="AG1819" s="101"/>
      <c r="AH1819" s="101"/>
      <c r="AI1819" s="101"/>
      <c r="AJ1819" s="101"/>
      <c r="AK1819" s="101"/>
      <c r="AM1819" s="195"/>
      <c r="AT1819" s="101"/>
      <c r="AU1819" s="101"/>
      <c r="AV1819" s="101"/>
      <c r="AW1819" s="101"/>
      <c r="AX1819" s="101"/>
      <c r="AY1819" s="101"/>
      <c r="AZ1819" s="101"/>
      <c r="BA1819" s="101"/>
    </row>
    <row r="1820" spans="33:70">
      <c r="AG1820" s="101"/>
      <c r="AH1820" s="101"/>
      <c r="AI1820" s="101"/>
      <c r="AJ1820" s="101"/>
      <c r="AK1820" s="101"/>
      <c r="AM1820" s="195"/>
      <c r="AT1820" s="101"/>
      <c r="AU1820" s="101"/>
      <c r="AV1820" s="101"/>
      <c r="AW1820" s="101"/>
      <c r="AX1820" s="101"/>
      <c r="AY1820" s="101"/>
      <c r="AZ1820" s="101"/>
      <c r="BA1820" s="101"/>
    </row>
    <row r="1821" spans="33:70">
      <c r="AG1821" s="101"/>
      <c r="AH1821" s="101"/>
      <c r="AI1821" s="101"/>
      <c r="AJ1821" s="101"/>
      <c r="AK1821" s="101"/>
      <c r="AM1821" s="195"/>
      <c r="AT1821" s="101"/>
      <c r="AU1821" s="101"/>
      <c r="AV1821" s="101"/>
      <c r="AW1821" s="101"/>
      <c r="AX1821" s="101"/>
      <c r="AY1821" s="101"/>
      <c r="AZ1821" s="101"/>
      <c r="BA1821" s="101"/>
    </row>
    <row r="1822" spans="33:70">
      <c r="AG1822" s="101"/>
      <c r="AH1822" s="101"/>
      <c r="AI1822" s="101"/>
      <c r="AJ1822" s="101"/>
      <c r="AK1822" s="101"/>
      <c r="AM1822" s="195"/>
      <c r="AT1822" s="101"/>
      <c r="AU1822" s="101"/>
      <c r="AV1822" s="101"/>
      <c r="AW1822" s="101"/>
      <c r="AX1822" s="101"/>
      <c r="AY1822" s="101"/>
      <c r="AZ1822" s="101"/>
      <c r="BA1822" s="101"/>
    </row>
    <row r="1823" spans="33:70">
      <c r="AG1823" s="101"/>
      <c r="AH1823" s="101"/>
      <c r="AI1823" s="101"/>
      <c r="AJ1823" s="101"/>
      <c r="AK1823" s="101"/>
      <c r="AM1823" s="195"/>
      <c r="AT1823" s="101"/>
      <c r="AU1823" s="101"/>
      <c r="AV1823" s="101"/>
      <c r="AW1823" s="101"/>
      <c r="AX1823" s="101"/>
      <c r="AY1823" s="101"/>
      <c r="AZ1823" s="101"/>
      <c r="BA1823" s="101"/>
    </row>
    <row r="1824" spans="33:70">
      <c r="AG1824" s="101"/>
      <c r="AH1824" s="101"/>
      <c r="AI1824" s="101"/>
      <c r="AJ1824" s="101"/>
      <c r="AK1824" s="101"/>
      <c r="AM1824" s="195"/>
      <c r="AT1824" s="101"/>
      <c r="AU1824" s="101"/>
      <c r="AV1824" s="101"/>
      <c r="AW1824" s="101"/>
      <c r="AX1824" s="101"/>
      <c r="AY1824" s="101"/>
      <c r="AZ1824" s="101"/>
      <c r="BA1824" s="101"/>
    </row>
    <row r="1825" spans="33:70">
      <c r="AG1825" s="101"/>
      <c r="AH1825" s="101"/>
      <c r="AI1825" s="101"/>
      <c r="AJ1825" s="101"/>
      <c r="AK1825" s="101"/>
      <c r="AM1825" s="195"/>
      <c r="AT1825" s="101"/>
      <c r="AU1825" s="101"/>
      <c r="AV1825" s="101"/>
      <c r="AW1825" s="101"/>
      <c r="AX1825" s="101"/>
      <c r="AY1825" s="101"/>
      <c r="AZ1825" s="101"/>
      <c r="BA1825" s="101"/>
    </row>
    <row r="1826" spans="33:70">
      <c r="AG1826" s="101"/>
      <c r="AH1826" s="101"/>
      <c r="AI1826" s="101"/>
      <c r="AJ1826" s="101"/>
      <c r="AK1826" s="101"/>
      <c r="AM1826" s="195"/>
      <c r="AT1826" s="101"/>
      <c r="AU1826" s="101"/>
      <c r="AV1826" s="101"/>
      <c r="AW1826" s="101"/>
      <c r="AX1826" s="101"/>
      <c r="AY1826" s="101"/>
      <c r="AZ1826" s="101"/>
      <c r="BA1826" s="101"/>
    </row>
    <row r="1827" spans="33:70">
      <c r="AG1827" s="101"/>
      <c r="AH1827" s="101"/>
      <c r="AI1827" s="101"/>
      <c r="AJ1827" s="101"/>
      <c r="AK1827" s="101"/>
      <c r="AM1827" s="195"/>
      <c r="AT1827" s="101"/>
      <c r="AU1827" s="101"/>
      <c r="AV1827" s="101"/>
      <c r="AW1827" s="101"/>
      <c r="AX1827" s="101"/>
      <c r="AY1827" s="101"/>
      <c r="AZ1827" s="101"/>
      <c r="BA1827" s="101"/>
      <c r="BB1827" s="101"/>
      <c r="BC1827" s="101"/>
      <c r="BD1827" s="101"/>
      <c r="BE1827" s="101"/>
      <c r="BF1827" s="101"/>
      <c r="BG1827" s="101"/>
      <c r="BH1827" s="101"/>
      <c r="BI1827" s="101"/>
      <c r="BJ1827" s="101"/>
      <c r="BK1827" s="101"/>
      <c r="BL1827" s="101"/>
      <c r="BM1827" s="101"/>
      <c r="BN1827" s="101"/>
      <c r="BO1827" s="101"/>
      <c r="BP1827" s="101"/>
      <c r="BQ1827" s="101"/>
      <c r="BR1827" s="101"/>
    </row>
    <row r="1828" spans="33:70">
      <c r="AG1828" s="101"/>
      <c r="AH1828" s="101"/>
      <c r="AI1828" s="101"/>
      <c r="AJ1828" s="101"/>
      <c r="AK1828" s="101"/>
      <c r="AM1828" s="195"/>
      <c r="AT1828" s="101"/>
      <c r="AU1828" s="101"/>
      <c r="AV1828" s="101"/>
      <c r="AW1828" s="101"/>
      <c r="AX1828" s="101"/>
      <c r="AY1828" s="101"/>
      <c r="AZ1828" s="101"/>
      <c r="BA1828" s="101"/>
    </row>
    <row r="1829" spans="33:70">
      <c r="AG1829" s="101"/>
      <c r="AH1829" s="101"/>
      <c r="AI1829" s="101"/>
      <c r="AJ1829" s="101"/>
      <c r="AK1829" s="101"/>
      <c r="AM1829" s="195"/>
      <c r="AT1829" s="101"/>
      <c r="AU1829" s="101"/>
      <c r="AV1829" s="101"/>
      <c r="AW1829" s="101"/>
      <c r="AX1829" s="101"/>
      <c r="AY1829" s="101"/>
      <c r="AZ1829" s="101"/>
      <c r="BA1829" s="101"/>
    </row>
    <row r="1830" spans="33:70">
      <c r="AG1830" s="101"/>
      <c r="AH1830" s="101"/>
      <c r="AI1830" s="101"/>
      <c r="AJ1830" s="101"/>
      <c r="AK1830" s="101"/>
      <c r="AM1830" s="195"/>
      <c r="AT1830" s="101"/>
      <c r="AU1830" s="101"/>
      <c r="AV1830" s="101"/>
      <c r="AW1830" s="101"/>
      <c r="AX1830" s="101"/>
      <c r="AY1830" s="101"/>
      <c r="AZ1830" s="101"/>
      <c r="BA1830" s="101"/>
    </row>
    <row r="1831" spans="33:70">
      <c r="AG1831" s="101"/>
      <c r="AH1831" s="101"/>
      <c r="AI1831" s="101"/>
      <c r="AJ1831" s="101"/>
      <c r="AK1831" s="101"/>
      <c r="AM1831" s="195"/>
      <c r="AT1831" s="101"/>
      <c r="AU1831" s="101"/>
      <c r="AV1831" s="101"/>
      <c r="AW1831" s="101"/>
      <c r="AX1831" s="101"/>
      <c r="AY1831" s="101"/>
      <c r="AZ1831" s="101"/>
      <c r="BA1831" s="101"/>
    </row>
    <row r="1832" spans="33:70">
      <c r="AG1832" s="101"/>
      <c r="AH1832" s="101"/>
      <c r="AI1832" s="101"/>
      <c r="AJ1832" s="101"/>
      <c r="AK1832" s="101"/>
      <c r="AM1832" s="195"/>
      <c r="AT1832" s="101"/>
      <c r="AU1832" s="101"/>
      <c r="AV1832" s="101"/>
      <c r="AW1832" s="101"/>
      <c r="AX1832" s="101"/>
      <c r="AY1832" s="101"/>
      <c r="AZ1832" s="101"/>
      <c r="BA1832" s="101"/>
    </row>
    <row r="1833" spans="33:70">
      <c r="AG1833" s="101"/>
      <c r="AH1833" s="101"/>
      <c r="AI1833" s="101"/>
      <c r="AJ1833" s="101"/>
      <c r="AK1833" s="101"/>
      <c r="AM1833" s="195"/>
      <c r="AT1833" s="101"/>
      <c r="AU1833" s="101"/>
      <c r="AV1833" s="101"/>
      <c r="AW1833" s="101"/>
      <c r="AX1833" s="101"/>
      <c r="AY1833" s="101"/>
      <c r="AZ1833" s="101"/>
      <c r="BA1833" s="101"/>
    </row>
    <row r="1834" spans="33:70">
      <c r="AG1834" s="101"/>
      <c r="AH1834" s="101"/>
      <c r="AI1834" s="101"/>
      <c r="AJ1834" s="101"/>
      <c r="AK1834" s="101"/>
      <c r="AM1834" s="195"/>
      <c r="AT1834" s="101"/>
      <c r="AU1834" s="101"/>
      <c r="AV1834" s="101"/>
      <c r="AW1834" s="101"/>
      <c r="AX1834" s="101"/>
      <c r="AY1834" s="101"/>
      <c r="AZ1834" s="101"/>
      <c r="BA1834" s="101"/>
    </row>
    <row r="1835" spans="33:70">
      <c r="AG1835" s="101"/>
      <c r="AH1835" s="101"/>
      <c r="AI1835" s="101"/>
      <c r="AJ1835" s="101"/>
      <c r="AK1835" s="101"/>
      <c r="AM1835" s="195"/>
      <c r="AT1835" s="101"/>
      <c r="AU1835" s="101"/>
      <c r="AV1835" s="101"/>
      <c r="AW1835" s="101"/>
      <c r="AX1835" s="101"/>
      <c r="AY1835" s="101"/>
      <c r="AZ1835" s="101"/>
      <c r="BA1835" s="101"/>
    </row>
    <row r="1836" spans="33:70">
      <c r="AG1836" s="101"/>
      <c r="AH1836" s="101"/>
      <c r="AI1836" s="101"/>
      <c r="AJ1836" s="101"/>
      <c r="AK1836" s="101"/>
      <c r="AM1836" s="195"/>
      <c r="AT1836" s="101"/>
      <c r="AU1836" s="101"/>
      <c r="AV1836" s="101"/>
      <c r="AW1836" s="101"/>
      <c r="AX1836" s="101"/>
      <c r="AY1836" s="101"/>
      <c r="AZ1836" s="101"/>
      <c r="BA1836" s="101"/>
    </row>
    <row r="1837" spans="33:70">
      <c r="AG1837" s="101"/>
      <c r="AH1837" s="101"/>
      <c r="AI1837" s="101"/>
      <c r="AJ1837" s="101"/>
      <c r="AK1837" s="101"/>
      <c r="AM1837" s="195"/>
      <c r="AT1837" s="101"/>
      <c r="AU1837" s="101"/>
      <c r="AV1837" s="101"/>
      <c r="AW1837" s="101"/>
      <c r="AX1837" s="101"/>
      <c r="AY1837" s="101"/>
      <c r="AZ1837" s="101"/>
      <c r="BA1837" s="101"/>
    </row>
    <row r="1838" spans="33:70">
      <c r="AG1838" s="101"/>
      <c r="AH1838" s="101"/>
      <c r="AI1838" s="101"/>
      <c r="AJ1838" s="101"/>
      <c r="AK1838" s="101"/>
      <c r="AM1838" s="195"/>
      <c r="AT1838" s="101"/>
      <c r="AU1838" s="101"/>
      <c r="AV1838" s="101"/>
      <c r="AW1838" s="101"/>
      <c r="AX1838" s="101"/>
      <c r="AY1838" s="101"/>
      <c r="AZ1838" s="101"/>
      <c r="BA1838" s="101"/>
    </row>
    <row r="1839" spans="33:70">
      <c r="AG1839" s="101"/>
      <c r="AH1839" s="101"/>
      <c r="AI1839" s="101"/>
      <c r="AJ1839" s="101"/>
      <c r="AK1839" s="101"/>
      <c r="AM1839" s="195"/>
      <c r="AT1839" s="101"/>
      <c r="AU1839" s="101"/>
      <c r="AV1839" s="101"/>
      <c r="AW1839" s="101"/>
      <c r="AX1839" s="101"/>
      <c r="AY1839" s="101"/>
      <c r="AZ1839" s="101"/>
      <c r="BA1839" s="101"/>
    </row>
    <row r="1840" spans="33:70">
      <c r="AG1840" s="101"/>
      <c r="AH1840" s="101"/>
      <c r="AI1840" s="101"/>
      <c r="AJ1840" s="101"/>
      <c r="AK1840" s="101"/>
      <c r="AM1840" s="195"/>
      <c r="AT1840" s="101"/>
      <c r="AU1840" s="101"/>
      <c r="AV1840" s="101"/>
      <c r="AW1840" s="101"/>
      <c r="AX1840" s="101"/>
      <c r="AY1840" s="101"/>
      <c r="AZ1840" s="101"/>
      <c r="BA1840" s="101"/>
    </row>
    <row r="1841" spans="33:70">
      <c r="AG1841" s="101"/>
      <c r="AH1841" s="101"/>
      <c r="AI1841" s="101"/>
      <c r="AJ1841" s="101"/>
      <c r="AK1841" s="101"/>
      <c r="AM1841" s="195"/>
      <c r="AT1841" s="101"/>
      <c r="AU1841" s="101"/>
      <c r="AV1841" s="101"/>
      <c r="AW1841" s="101"/>
      <c r="AX1841" s="101"/>
      <c r="AY1841" s="101"/>
      <c r="AZ1841" s="101"/>
      <c r="BA1841" s="101"/>
    </row>
    <row r="1842" spans="33:70">
      <c r="AG1842" s="101"/>
      <c r="AH1842" s="101"/>
      <c r="AI1842" s="101"/>
      <c r="AJ1842" s="101"/>
      <c r="AK1842" s="101"/>
      <c r="AM1842" s="195"/>
      <c r="AT1842" s="101"/>
      <c r="AU1842" s="101"/>
      <c r="AV1842" s="101"/>
      <c r="AW1842" s="101"/>
      <c r="AX1842" s="101"/>
      <c r="AY1842" s="101"/>
      <c r="AZ1842" s="101"/>
      <c r="BA1842" s="101"/>
    </row>
    <row r="1843" spans="33:70">
      <c r="AG1843" s="101"/>
      <c r="AH1843" s="101"/>
      <c r="AI1843" s="101"/>
      <c r="AJ1843" s="101"/>
      <c r="AK1843" s="101"/>
      <c r="AM1843" s="195"/>
      <c r="AT1843" s="101"/>
      <c r="AU1843" s="101"/>
      <c r="AV1843" s="101"/>
      <c r="AW1843" s="101"/>
      <c r="AX1843" s="101"/>
      <c r="AY1843" s="101"/>
      <c r="AZ1843" s="101"/>
      <c r="BA1843" s="101"/>
    </row>
    <row r="1844" spans="33:70">
      <c r="AG1844" s="101"/>
      <c r="AH1844" s="101"/>
      <c r="AI1844" s="101"/>
      <c r="AJ1844" s="101"/>
      <c r="AK1844" s="101"/>
      <c r="AM1844" s="195"/>
      <c r="AT1844" s="101"/>
      <c r="AU1844" s="101"/>
      <c r="AV1844" s="101"/>
      <c r="AW1844" s="101"/>
      <c r="AX1844" s="101"/>
      <c r="AY1844" s="101"/>
      <c r="AZ1844" s="101"/>
      <c r="BA1844" s="101"/>
    </row>
    <row r="1845" spans="33:70">
      <c r="AG1845" s="101"/>
      <c r="AH1845" s="101"/>
      <c r="AI1845" s="101"/>
      <c r="AJ1845" s="101"/>
      <c r="AK1845" s="101"/>
      <c r="AM1845" s="195"/>
      <c r="AT1845" s="101"/>
      <c r="AU1845" s="101"/>
      <c r="AV1845" s="101"/>
      <c r="AW1845" s="101"/>
      <c r="AX1845" s="101"/>
      <c r="AY1845" s="101"/>
      <c r="AZ1845" s="101"/>
      <c r="BA1845" s="101"/>
    </row>
    <row r="1846" spans="33:70">
      <c r="AG1846" s="101"/>
      <c r="AH1846" s="101"/>
      <c r="AI1846" s="101"/>
      <c r="AJ1846" s="101"/>
      <c r="AK1846" s="101"/>
      <c r="AM1846" s="195"/>
      <c r="AT1846" s="101"/>
      <c r="AU1846" s="101"/>
      <c r="AV1846" s="101"/>
      <c r="AW1846" s="101"/>
      <c r="AX1846" s="101"/>
      <c r="AY1846" s="101"/>
      <c r="AZ1846" s="101"/>
      <c r="BA1846" s="101"/>
      <c r="BB1846" s="101"/>
    </row>
    <row r="1847" spans="33:70">
      <c r="AG1847" s="101"/>
      <c r="AH1847" s="101"/>
      <c r="AI1847" s="101"/>
      <c r="AJ1847" s="101"/>
      <c r="AK1847" s="101"/>
      <c r="AM1847" s="195"/>
      <c r="AT1847" s="101"/>
      <c r="AU1847" s="101"/>
      <c r="AV1847" s="101"/>
      <c r="AW1847" s="101"/>
      <c r="AX1847" s="101"/>
      <c r="AY1847" s="101"/>
      <c r="AZ1847" s="101"/>
      <c r="BA1847" s="101"/>
    </row>
    <row r="1848" spans="33:70">
      <c r="AG1848" s="101"/>
      <c r="AH1848" s="101"/>
      <c r="AI1848" s="101"/>
      <c r="AJ1848" s="101"/>
      <c r="AK1848" s="101"/>
      <c r="AM1848" s="195"/>
      <c r="AT1848" s="101"/>
      <c r="AU1848" s="101"/>
      <c r="AV1848" s="101"/>
      <c r="AW1848" s="101"/>
      <c r="AX1848" s="101"/>
      <c r="AY1848" s="101"/>
      <c r="AZ1848" s="101"/>
      <c r="BA1848" s="101"/>
      <c r="BB1848" s="101"/>
      <c r="BC1848" s="101"/>
      <c r="BD1848" s="101"/>
      <c r="BE1848" s="101"/>
      <c r="BF1848" s="101"/>
      <c r="BG1848" s="101"/>
      <c r="BH1848" s="101"/>
      <c r="BI1848" s="101"/>
      <c r="BJ1848" s="101"/>
      <c r="BK1848" s="101"/>
      <c r="BL1848" s="101"/>
      <c r="BM1848" s="101"/>
      <c r="BN1848" s="101"/>
      <c r="BO1848" s="101"/>
      <c r="BP1848" s="101"/>
      <c r="BQ1848" s="101"/>
      <c r="BR1848" s="101"/>
    </row>
    <row r="1849" spans="33:70">
      <c r="AG1849" s="101"/>
      <c r="AH1849" s="101"/>
      <c r="AI1849" s="101"/>
      <c r="AJ1849" s="101"/>
      <c r="AK1849" s="101"/>
      <c r="AM1849" s="195"/>
      <c r="AT1849" s="101"/>
      <c r="AU1849" s="101"/>
      <c r="AV1849" s="101"/>
      <c r="AW1849" s="101"/>
      <c r="AX1849" s="101"/>
      <c r="AY1849" s="101"/>
      <c r="AZ1849" s="101"/>
      <c r="BA1849" s="101"/>
      <c r="BB1849" s="101"/>
    </row>
    <row r="1850" spans="33:70">
      <c r="AG1850" s="101"/>
      <c r="AH1850" s="101"/>
      <c r="AI1850" s="101"/>
      <c r="AJ1850" s="101"/>
      <c r="AK1850" s="101"/>
      <c r="AM1850" s="195"/>
      <c r="AT1850" s="101"/>
      <c r="AU1850" s="101"/>
      <c r="AV1850" s="101"/>
      <c r="AW1850" s="101"/>
      <c r="AX1850" s="101"/>
      <c r="AY1850" s="101"/>
      <c r="AZ1850" s="101"/>
      <c r="BA1850" s="101"/>
    </row>
    <row r="1851" spans="33:70">
      <c r="AG1851" s="101"/>
      <c r="AH1851" s="101"/>
      <c r="AI1851" s="101"/>
      <c r="AJ1851" s="101"/>
      <c r="AK1851" s="101"/>
      <c r="AM1851" s="195"/>
      <c r="AT1851" s="101"/>
      <c r="AU1851" s="101"/>
      <c r="AV1851" s="101"/>
      <c r="AW1851" s="101"/>
      <c r="AX1851" s="101"/>
      <c r="AY1851" s="101"/>
      <c r="AZ1851" s="101"/>
      <c r="BA1851" s="101"/>
    </row>
    <row r="1852" spans="33:70">
      <c r="AG1852" s="101"/>
      <c r="AH1852" s="101"/>
      <c r="AI1852" s="101"/>
      <c r="AJ1852" s="101"/>
      <c r="AK1852" s="101"/>
      <c r="AM1852" s="195"/>
      <c r="AT1852" s="101"/>
      <c r="AU1852" s="101"/>
      <c r="AV1852" s="101"/>
      <c r="AW1852" s="101"/>
      <c r="AX1852" s="101"/>
      <c r="AY1852" s="101"/>
      <c r="AZ1852" s="101"/>
      <c r="BA1852" s="101"/>
    </row>
    <row r="1853" spans="33:70">
      <c r="AG1853" s="101"/>
      <c r="AH1853" s="101"/>
      <c r="AI1853" s="101"/>
      <c r="AJ1853" s="101"/>
      <c r="AK1853" s="101"/>
      <c r="AM1853" s="195"/>
      <c r="AT1853" s="101"/>
      <c r="AU1853" s="101"/>
      <c r="AV1853" s="101"/>
      <c r="AW1853" s="101"/>
      <c r="AX1853" s="101"/>
      <c r="AY1853" s="101"/>
      <c r="AZ1853" s="101"/>
      <c r="BA1853" s="101"/>
    </row>
    <row r="1854" spans="33:70">
      <c r="AG1854" s="101"/>
      <c r="AH1854" s="101"/>
      <c r="AI1854" s="101"/>
      <c r="AJ1854" s="101"/>
      <c r="AK1854" s="101"/>
      <c r="AM1854" s="195"/>
      <c r="AT1854" s="101"/>
      <c r="AU1854" s="101"/>
      <c r="AV1854" s="101"/>
      <c r="AW1854" s="101"/>
      <c r="AX1854" s="101"/>
      <c r="AY1854" s="101"/>
      <c r="AZ1854" s="101"/>
      <c r="BA1854" s="101"/>
    </row>
    <row r="1855" spans="33:70">
      <c r="AG1855" s="101"/>
      <c r="AH1855" s="101"/>
      <c r="AI1855" s="101"/>
      <c r="AJ1855" s="101"/>
      <c r="AK1855" s="101"/>
      <c r="AM1855" s="195"/>
      <c r="AT1855" s="101"/>
      <c r="AU1855" s="101"/>
      <c r="AV1855" s="101"/>
      <c r="AW1855" s="101"/>
      <c r="AX1855" s="101"/>
      <c r="AY1855" s="101"/>
      <c r="AZ1855" s="101"/>
      <c r="BA1855" s="101"/>
    </row>
    <row r="1856" spans="33:70">
      <c r="AG1856" s="101"/>
      <c r="AH1856" s="101"/>
      <c r="AI1856" s="101"/>
      <c r="AJ1856" s="101"/>
      <c r="AK1856" s="101"/>
      <c r="AM1856" s="195"/>
      <c r="AT1856" s="101"/>
      <c r="AU1856" s="101"/>
      <c r="AV1856" s="101"/>
      <c r="AW1856" s="101"/>
      <c r="AX1856" s="101"/>
      <c r="AY1856" s="101"/>
      <c r="AZ1856" s="101"/>
      <c r="BA1856" s="101"/>
    </row>
    <row r="1857" spans="33:53">
      <c r="AG1857" s="101"/>
      <c r="AH1857" s="101"/>
      <c r="AI1857" s="101"/>
      <c r="AJ1857" s="101"/>
      <c r="AK1857" s="101"/>
      <c r="AM1857" s="195"/>
      <c r="AT1857" s="101"/>
      <c r="AU1857" s="101"/>
      <c r="AV1857" s="101"/>
      <c r="AW1857" s="101"/>
      <c r="AX1857" s="101"/>
      <c r="AY1857" s="101"/>
      <c r="AZ1857" s="101"/>
      <c r="BA1857" s="101"/>
    </row>
    <row r="1858" spans="33:53">
      <c r="AG1858" s="101"/>
      <c r="AH1858" s="101"/>
      <c r="AI1858" s="101"/>
      <c r="AJ1858" s="101"/>
      <c r="AK1858" s="101"/>
      <c r="AM1858" s="195"/>
      <c r="AT1858" s="101"/>
      <c r="AU1858" s="101"/>
      <c r="AV1858" s="101"/>
      <c r="AW1858" s="101"/>
      <c r="AX1858" s="101"/>
      <c r="AY1858" s="101"/>
      <c r="AZ1858" s="101"/>
      <c r="BA1858" s="101"/>
    </row>
    <row r="1859" spans="33:53">
      <c r="AG1859" s="101"/>
      <c r="AH1859" s="101"/>
      <c r="AI1859" s="101"/>
      <c r="AJ1859" s="101"/>
      <c r="AK1859" s="101"/>
      <c r="AM1859" s="195"/>
      <c r="AT1859" s="101"/>
      <c r="AU1859" s="101"/>
      <c r="AV1859" s="101"/>
      <c r="AW1859" s="101"/>
      <c r="AX1859" s="101"/>
      <c r="AY1859" s="101"/>
      <c r="AZ1859" s="101"/>
      <c r="BA1859" s="101"/>
    </row>
    <row r="1860" spans="33:53">
      <c r="AG1860" s="101"/>
      <c r="AH1860" s="101"/>
      <c r="AI1860" s="101"/>
      <c r="AJ1860" s="101"/>
      <c r="AK1860" s="101"/>
      <c r="AM1860" s="195"/>
      <c r="AT1860" s="101"/>
      <c r="AU1860" s="101"/>
      <c r="AV1860" s="101"/>
      <c r="AW1860" s="101"/>
      <c r="AX1860" s="101"/>
      <c r="AY1860" s="101"/>
      <c r="AZ1860" s="101"/>
      <c r="BA1860" s="101"/>
    </row>
    <row r="1861" spans="33:53">
      <c r="AG1861" s="101"/>
      <c r="AH1861" s="101"/>
      <c r="AI1861" s="101"/>
      <c r="AJ1861" s="101"/>
      <c r="AK1861" s="101"/>
      <c r="AM1861" s="195"/>
      <c r="AT1861" s="101"/>
      <c r="AU1861" s="101"/>
      <c r="AV1861" s="101"/>
      <c r="AW1861" s="101"/>
      <c r="AX1861" s="101"/>
      <c r="AY1861" s="101"/>
      <c r="AZ1861" s="101"/>
      <c r="BA1861" s="101"/>
    </row>
    <row r="1862" spans="33:53">
      <c r="AG1862" s="101"/>
      <c r="AH1862" s="101"/>
      <c r="AI1862" s="101"/>
      <c r="AJ1862" s="101"/>
      <c r="AK1862" s="101"/>
      <c r="AM1862" s="195"/>
      <c r="AT1862" s="101"/>
      <c r="AU1862" s="101"/>
      <c r="AV1862" s="101"/>
      <c r="AW1862" s="101"/>
      <c r="AX1862" s="101"/>
      <c r="AY1862" s="101"/>
      <c r="AZ1862" s="101"/>
      <c r="BA1862" s="101"/>
    </row>
    <row r="1863" spans="33:53">
      <c r="AG1863" s="101"/>
      <c r="AH1863" s="101"/>
      <c r="AI1863" s="101"/>
      <c r="AJ1863" s="101"/>
      <c r="AK1863" s="101"/>
      <c r="AM1863" s="195"/>
      <c r="AT1863" s="101"/>
      <c r="AU1863" s="101"/>
      <c r="AV1863" s="101"/>
      <c r="AW1863" s="101"/>
      <c r="AX1863" s="101"/>
      <c r="AY1863" s="101"/>
      <c r="AZ1863" s="101"/>
      <c r="BA1863" s="101"/>
    </row>
    <row r="1864" spans="33:53">
      <c r="AG1864" s="101"/>
      <c r="AH1864" s="101"/>
      <c r="AI1864" s="101"/>
      <c r="AJ1864" s="101"/>
      <c r="AK1864" s="101"/>
      <c r="AM1864" s="195"/>
      <c r="AT1864" s="101"/>
      <c r="AU1864" s="101"/>
      <c r="AV1864" s="101"/>
      <c r="AW1864" s="101"/>
      <c r="AX1864" s="101"/>
      <c r="AY1864" s="101"/>
      <c r="AZ1864" s="101"/>
      <c r="BA1864" s="101"/>
    </row>
    <row r="1865" spans="33:53">
      <c r="AG1865" s="101"/>
      <c r="AH1865" s="101"/>
      <c r="AI1865" s="101"/>
      <c r="AJ1865" s="101"/>
      <c r="AK1865" s="101"/>
      <c r="AM1865" s="195"/>
      <c r="AT1865" s="101"/>
      <c r="AU1865" s="101"/>
      <c r="AV1865" s="101"/>
      <c r="AW1865" s="101"/>
      <c r="AX1865" s="101"/>
      <c r="AY1865" s="101"/>
      <c r="AZ1865" s="101"/>
      <c r="BA1865" s="101"/>
    </row>
    <row r="1866" spans="33:53">
      <c r="AG1866" s="101"/>
      <c r="AH1866" s="101"/>
      <c r="AI1866" s="101"/>
      <c r="AJ1866" s="101"/>
      <c r="AK1866" s="101"/>
      <c r="AM1866" s="195"/>
      <c r="AT1866" s="101"/>
      <c r="AU1866" s="101"/>
      <c r="AV1866" s="101"/>
      <c r="AW1866" s="101"/>
      <c r="AX1866" s="101"/>
      <c r="AY1866" s="101"/>
      <c r="AZ1866" s="101"/>
      <c r="BA1866" s="101"/>
    </row>
    <row r="1867" spans="33:53">
      <c r="AG1867" s="101"/>
      <c r="AH1867" s="101"/>
      <c r="AI1867" s="101"/>
      <c r="AJ1867" s="101"/>
      <c r="AK1867" s="101"/>
      <c r="AM1867" s="195"/>
      <c r="AT1867" s="101"/>
      <c r="AU1867" s="101"/>
      <c r="AV1867" s="101"/>
      <c r="AW1867" s="101"/>
      <c r="AX1867" s="101"/>
      <c r="AY1867" s="101"/>
      <c r="AZ1867" s="101"/>
      <c r="BA1867" s="101"/>
    </row>
    <row r="1868" spans="33:53">
      <c r="AG1868" s="101"/>
      <c r="AH1868" s="101"/>
      <c r="AI1868" s="101"/>
      <c r="AJ1868" s="101"/>
      <c r="AK1868" s="101"/>
      <c r="AM1868" s="195"/>
      <c r="AT1868" s="101"/>
      <c r="AU1868" s="101"/>
      <c r="AV1868" s="101"/>
      <c r="AW1868" s="101"/>
      <c r="AX1868" s="101"/>
      <c r="AY1868" s="101"/>
      <c r="AZ1868" s="101"/>
      <c r="BA1868" s="101"/>
    </row>
    <row r="1869" spans="33:53">
      <c r="AG1869" s="101"/>
      <c r="AH1869" s="101"/>
      <c r="AI1869" s="101"/>
      <c r="AJ1869" s="101"/>
      <c r="AK1869" s="101"/>
      <c r="AM1869" s="195"/>
      <c r="AT1869" s="101"/>
      <c r="AU1869" s="101"/>
      <c r="AV1869" s="101"/>
      <c r="AW1869" s="101"/>
      <c r="AX1869" s="101"/>
      <c r="AY1869" s="101"/>
      <c r="AZ1869" s="101"/>
      <c r="BA1869" s="101"/>
    </row>
    <row r="1870" spans="33:53">
      <c r="AG1870" s="101"/>
      <c r="AH1870" s="101"/>
      <c r="AI1870" s="101"/>
      <c r="AJ1870" s="101"/>
      <c r="AK1870" s="101"/>
      <c r="AM1870" s="195"/>
      <c r="AT1870" s="101"/>
      <c r="AU1870" s="101"/>
      <c r="AV1870" s="101"/>
      <c r="AW1870" s="101"/>
      <c r="AX1870" s="101"/>
      <c r="AY1870" s="101"/>
      <c r="AZ1870" s="101"/>
      <c r="BA1870" s="101"/>
    </row>
    <row r="1871" spans="33:53">
      <c r="AG1871" s="101"/>
      <c r="AH1871" s="101"/>
      <c r="AI1871" s="101"/>
      <c r="AJ1871" s="101"/>
      <c r="AK1871" s="101"/>
      <c r="AM1871" s="195"/>
      <c r="AT1871" s="101"/>
      <c r="AU1871" s="101"/>
      <c r="AV1871" s="101"/>
      <c r="AW1871" s="101"/>
      <c r="AX1871" s="101"/>
      <c r="AY1871" s="101"/>
      <c r="AZ1871" s="101"/>
      <c r="BA1871" s="101"/>
    </row>
    <row r="1872" spans="33:53">
      <c r="AG1872" s="101"/>
      <c r="AH1872" s="101"/>
      <c r="AI1872" s="101"/>
      <c r="AJ1872" s="101"/>
      <c r="AK1872" s="101"/>
      <c r="AM1872" s="195"/>
      <c r="AT1872" s="101"/>
      <c r="AU1872" s="101"/>
      <c r="AV1872" s="101"/>
      <c r="AW1872" s="101"/>
      <c r="AX1872" s="101"/>
      <c r="AY1872" s="101"/>
      <c r="AZ1872" s="101"/>
      <c r="BA1872" s="101"/>
    </row>
    <row r="1873" spans="33:53">
      <c r="AG1873" s="101"/>
      <c r="AH1873" s="101"/>
      <c r="AI1873" s="101"/>
      <c r="AJ1873" s="101"/>
      <c r="AK1873" s="101"/>
      <c r="AM1873" s="195"/>
      <c r="AT1873" s="101"/>
      <c r="AU1873" s="101"/>
      <c r="AV1873" s="101"/>
      <c r="AW1873" s="101"/>
      <c r="AX1873" s="101"/>
      <c r="AY1873" s="101"/>
      <c r="AZ1873" s="101"/>
      <c r="BA1873" s="101"/>
    </row>
    <row r="1874" spans="33:53">
      <c r="AG1874" s="101"/>
      <c r="AH1874" s="101"/>
      <c r="AI1874" s="101"/>
      <c r="AJ1874" s="101"/>
      <c r="AK1874" s="101"/>
      <c r="AM1874" s="195"/>
      <c r="AT1874" s="101"/>
      <c r="AU1874" s="101"/>
      <c r="AV1874" s="101"/>
      <c r="AW1874" s="101"/>
      <c r="AX1874" s="101"/>
      <c r="AY1874" s="101"/>
      <c r="AZ1874" s="101"/>
      <c r="BA1874" s="101"/>
    </row>
    <row r="1875" spans="33:53">
      <c r="AG1875" s="101"/>
      <c r="AH1875" s="101"/>
      <c r="AI1875" s="101"/>
      <c r="AJ1875" s="101"/>
      <c r="AK1875" s="101"/>
      <c r="AM1875" s="195"/>
      <c r="AT1875" s="101"/>
      <c r="AU1875" s="101"/>
      <c r="AV1875" s="101"/>
      <c r="AW1875" s="101"/>
      <c r="AX1875" s="101"/>
      <c r="AY1875" s="101"/>
      <c r="AZ1875" s="101"/>
      <c r="BA1875" s="101"/>
    </row>
    <row r="1876" spans="33:53">
      <c r="AG1876" s="101"/>
      <c r="AH1876" s="101"/>
      <c r="AI1876" s="101"/>
      <c r="AJ1876" s="101"/>
      <c r="AK1876" s="101"/>
      <c r="AM1876" s="195"/>
      <c r="AT1876" s="101"/>
      <c r="AU1876" s="101"/>
      <c r="AV1876" s="101"/>
      <c r="AW1876" s="101"/>
      <c r="AX1876" s="101"/>
      <c r="AY1876" s="101"/>
      <c r="AZ1876" s="101"/>
      <c r="BA1876" s="101"/>
    </row>
    <row r="1877" spans="33:53">
      <c r="AG1877" s="101"/>
      <c r="AH1877" s="101"/>
      <c r="AI1877" s="101"/>
      <c r="AJ1877" s="101"/>
      <c r="AK1877" s="101"/>
      <c r="AM1877" s="195"/>
      <c r="AT1877" s="101"/>
      <c r="AU1877" s="101"/>
      <c r="AV1877" s="101"/>
      <c r="AW1877" s="101"/>
      <c r="AX1877" s="101"/>
      <c r="AY1877" s="101"/>
      <c r="AZ1877" s="101"/>
      <c r="BA1877" s="101"/>
    </row>
    <row r="1878" spans="33:53">
      <c r="AG1878" s="101"/>
      <c r="AH1878" s="101"/>
      <c r="AI1878" s="101"/>
      <c r="AJ1878" s="101"/>
      <c r="AK1878" s="101"/>
      <c r="AM1878" s="195"/>
      <c r="AT1878" s="101"/>
      <c r="AU1878" s="101"/>
      <c r="AV1878" s="101"/>
      <c r="AW1878" s="101"/>
      <c r="AX1878" s="101"/>
      <c r="AY1878" s="101"/>
      <c r="AZ1878" s="101"/>
      <c r="BA1878" s="101"/>
    </row>
    <row r="1879" spans="33:53">
      <c r="AG1879" s="101"/>
      <c r="AH1879" s="101"/>
      <c r="AI1879" s="101"/>
      <c r="AJ1879" s="101"/>
      <c r="AK1879" s="101"/>
      <c r="AM1879" s="195"/>
      <c r="AT1879" s="101"/>
      <c r="AU1879" s="101"/>
      <c r="AV1879" s="101"/>
      <c r="AW1879" s="101"/>
      <c r="AX1879" s="101"/>
      <c r="AY1879" s="101"/>
      <c r="AZ1879" s="101"/>
      <c r="BA1879" s="101"/>
    </row>
    <row r="1880" spans="33:53">
      <c r="AG1880" s="101"/>
      <c r="AH1880" s="101"/>
      <c r="AI1880" s="101"/>
      <c r="AJ1880" s="101"/>
      <c r="AK1880" s="101"/>
      <c r="AM1880" s="195"/>
      <c r="AT1880" s="101"/>
      <c r="AU1880" s="101"/>
      <c r="AV1880" s="101"/>
      <c r="AW1880" s="101"/>
      <c r="AX1880" s="101"/>
      <c r="AY1880" s="101"/>
      <c r="AZ1880" s="101"/>
      <c r="BA1880" s="101"/>
    </row>
    <row r="1881" spans="33:53">
      <c r="AG1881" s="101"/>
      <c r="AH1881" s="101"/>
      <c r="AI1881" s="101"/>
      <c r="AJ1881" s="101"/>
      <c r="AK1881" s="101"/>
      <c r="AM1881" s="195"/>
      <c r="AT1881" s="101"/>
      <c r="AU1881" s="101"/>
      <c r="AV1881" s="101"/>
      <c r="AW1881" s="101"/>
      <c r="AX1881" s="101"/>
      <c r="AY1881" s="101"/>
      <c r="AZ1881" s="101"/>
      <c r="BA1881" s="101"/>
    </row>
    <row r="1882" spans="33:53">
      <c r="AG1882" s="101"/>
      <c r="AH1882" s="101"/>
      <c r="AI1882" s="101"/>
      <c r="AJ1882" s="101"/>
      <c r="AK1882" s="101"/>
      <c r="AM1882" s="195"/>
      <c r="AT1882" s="101"/>
      <c r="AU1882" s="101"/>
      <c r="AV1882" s="101"/>
      <c r="AW1882" s="101"/>
      <c r="AX1882" s="101"/>
      <c r="AY1882" s="101"/>
      <c r="AZ1882" s="101"/>
      <c r="BA1882" s="101"/>
    </row>
    <row r="1883" spans="33:53">
      <c r="AG1883" s="101"/>
      <c r="AH1883" s="101"/>
      <c r="AI1883" s="101"/>
      <c r="AJ1883" s="101"/>
      <c r="AK1883" s="101"/>
      <c r="AM1883" s="195"/>
      <c r="AT1883" s="101"/>
      <c r="AU1883" s="101"/>
      <c r="AV1883" s="101"/>
      <c r="AW1883" s="101"/>
      <c r="AX1883" s="101"/>
      <c r="AY1883" s="101"/>
      <c r="AZ1883" s="101"/>
      <c r="BA1883" s="101"/>
    </row>
    <row r="1884" spans="33:53">
      <c r="AG1884" s="101"/>
      <c r="AH1884" s="101"/>
      <c r="AI1884" s="101"/>
      <c r="AJ1884" s="101"/>
      <c r="AK1884" s="101"/>
      <c r="AM1884" s="195"/>
      <c r="AT1884" s="101"/>
      <c r="AU1884" s="101"/>
      <c r="AV1884" s="101"/>
      <c r="AW1884" s="101"/>
      <c r="AX1884" s="101"/>
      <c r="AY1884" s="101"/>
      <c r="AZ1884" s="101"/>
      <c r="BA1884" s="101"/>
    </row>
    <row r="1885" spans="33:53">
      <c r="AG1885" s="101"/>
      <c r="AH1885" s="101"/>
      <c r="AI1885" s="101"/>
      <c r="AJ1885" s="101"/>
      <c r="AK1885" s="101"/>
      <c r="AM1885" s="195"/>
      <c r="AT1885" s="101"/>
      <c r="AU1885" s="101"/>
      <c r="AV1885" s="101"/>
      <c r="AW1885" s="101"/>
      <c r="AX1885" s="101"/>
      <c r="AY1885" s="101"/>
      <c r="AZ1885" s="101"/>
      <c r="BA1885" s="101"/>
    </row>
    <row r="1886" spans="33:53">
      <c r="AG1886" s="101"/>
      <c r="AH1886" s="101"/>
      <c r="AI1886" s="101"/>
      <c r="AJ1886" s="101"/>
      <c r="AK1886" s="101"/>
      <c r="AM1886" s="195"/>
      <c r="AT1886" s="101"/>
      <c r="AU1886" s="101"/>
      <c r="AV1886" s="101"/>
      <c r="AW1886" s="101"/>
      <c r="AX1886" s="101"/>
      <c r="AY1886" s="101"/>
      <c r="AZ1886" s="101"/>
      <c r="BA1886" s="101"/>
    </row>
    <row r="1887" spans="33:53">
      <c r="AG1887" s="101"/>
      <c r="AH1887" s="101"/>
      <c r="AI1887" s="101"/>
      <c r="AJ1887" s="101"/>
      <c r="AK1887" s="101"/>
      <c r="AM1887" s="195"/>
      <c r="AT1887" s="101"/>
      <c r="AU1887" s="101"/>
      <c r="AV1887" s="101"/>
      <c r="AW1887" s="101"/>
      <c r="AX1887" s="101"/>
      <c r="AY1887" s="101"/>
      <c r="AZ1887" s="101"/>
      <c r="BA1887" s="101"/>
    </row>
    <row r="1888" spans="33:53">
      <c r="AG1888" s="101"/>
      <c r="AH1888" s="101"/>
      <c r="AI1888" s="101"/>
      <c r="AJ1888" s="101"/>
      <c r="AK1888" s="101"/>
      <c r="AM1888" s="195"/>
      <c r="AT1888" s="101"/>
      <c r="AU1888" s="101"/>
      <c r="AV1888" s="101"/>
      <c r="AW1888" s="101"/>
      <c r="AX1888" s="101"/>
      <c r="AY1888" s="101"/>
      <c r="AZ1888" s="101"/>
      <c r="BA1888" s="101"/>
    </row>
    <row r="1889" spans="33:53">
      <c r="AG1889" s="101"/>
      <c r="AH1889" s="101"/>
      <c r="AI1889" s="101"/>
      <c r="AJ1889" s="101"/>
      <c r="AK1889" s="101"/>
      <c r="AM1889" s="195"/>
      <c r="AT1889" s="101"/>
      <c r="AU1889" s="101"/>
      <c r="AV1889" s="101"/>
      <c r="AW1889" s="101"/>
      <c r="AX1889" s="101"/>
      <c r="AY1889" s="101"/>
      <c r="AZ1889" s="101"/>
      <c r="BA1889" s="101"/>
    </row>
    <row r="1890" spans="33:53">
      <c r="AG1890" s="101"/>
      <c r="AH1890" s="101"/>
      <c r="AI1890" s="101"/>
      <c r="AJ1890" s="101"/>
      <c r="AK1890" s="101"/>
      <c r="AM1890" s="195"/>
      <c r="AT1890" s="101"/>
      <c r="AU1890" s="101"/>
      <c r="AV1890" s="101"/>
      <c r="AW1890" s="101"/>
      <c r="AX1890" s="101"/>
      <c r="AY1890" s="101"/>
      <c r="AZ1890" s="101"/>
      <c r="BA1890" s="101"/>
    </row>
    <row r="1891" spans="33:53">
      <c r="AG1891" s="101"/>
      <c r="AH1891" s="101"/>
      <c r="AI1891" s="101"/>
      <c r="AJ1891" s="101"/>
      <c r="AK1891" s="101"/>
      <c r="AM1891" s="195"/>
      <c r="AT1891" s="101"/>
      <c r="AU1891" s="101"/>
      <c r="AV1891" s="101"/>
      <c r="AW1891" s="101"/>
      <c r="AX1891" s="101"/>
      <c r="AY1891" s="101"/>
      <c r="AZ1891" s="101"/>
      <c r="BA1891" s="101"/>
    </row>
    <row r="1892" spans="33:53">
      <c r="AG1892" s="101"/>
      <c r="AH1892" s="101"/>
      <c r="AI1892" s="101"/>
      <c r="AJ1892" s="101"/>
      <c r="AK1892" s="101"/>
      <c r="AM1892" s="195"/>
      <c r="AT1892" s="101"/>
      <c r="AU1892" s="101"/>
      <c r="AV1892" s="101"/>
      <c r="AW1892" s="101"/>
      <c r="AX1892" s="101"/>
      <c r="AY1892" s="101"/>
      <c r="AZ1892" s="101"/>
      <c r="BA1892" s="101"/>
    </row>
    <row r="1893" spans="33:53">
      <c r="AG1893" s="101"/>
      <c r="AH1893" s="101"/>
      <c r="AI1893" s="101"/>
      <c r="AJ1893" s="101"/>
      <c r="AK1893" s="101"/>
      <c r="AM1893" s="195"/>
      <c r="AT1893" s="101"/>
      <c r="AU1893" s="101"/>
      <c r="AV1893" s="101"/>
      <c r="AW1893" s="101"/>
      <c r="AX1893" s="101"/>
      <c r="AY1893" s="101"/>
      <c r="AZ1893" s="101"/>
      <c r="BA1893" s="101"/>
    </row>
    <row r="1894" spans="33:53">
      <c r="AG1894" s="101"/>
      <c r="AH1894" s="101"/>
      <c r="AI1894" s="101"/>
      <c r="AJ1894" s="101"/>
      <c r="AK1894" s="101"/>
      <c r="AM1894" s="195"/>
      <c r="AT1894" s="101"/>
      <c r="AU1894" s="101"/>
      <c r="AV1894" s="101"/>
      <c r="AW1894" s="101"/>
      <c r="AX1894" s="101"/>
      <c r="AY1894" s="101"/>
      <c r="AZ1894" s="101"/>
      <c r="BA1894" s="101"/>
    </row>
    <row r="1895" spans="33:53">
      <c r="AG1895" s="101"/>
      <c r="AH1895" s="101"/>
      <c r="AI1895" s="101"/>
      <c r="AJ1895" s="101"/>
      <c r="AK1895" s="101"/>
      <c r="AM1895" s="195"/>
      <c r="AT1895" s="101"/>
      <c r="AU1895" s="101"/>
      <c r="AV1895" s="101"/>
      <c r="AW1895" s="101"/>
      <c r="AX1895" s="101"/>
      <c r="AY1895" s="101"/>
      <c r="AZ1895" s="101"/>
      <c r="BA1895" s="101"/>
    </row>
    <row r="1896" spans="33:53">
      <c r="AG1896" s="101"/>
      <c r="AH1896" s="101"/>
      <c r="AI1896" s="101"/>
      <c r="AJ1896" s="101"/>
      <c r="AK1896" s="101"/>
      <c r="AM1896" s="195"/>
      <c r="AT1896" s="101"/>
      <c r="AU1896" s="101"/>
      <c r="AV1896" s="101"/>
      <c r="AW1896" s="101"/>
      <c r="AX1896" s="101"/>
      <c r="AY1896" s="101"/>
      <c r="AZ1896" s="101"/>
      <c r="BA1896" s="101"/>
    </row>
    <row r="1897" spans="33:53">
      <c r="AG1897" s="101"/>
      <c r="AH1897" s="101"/>
      <c r="AI1897" s="101"/>
      <c r="AJ1897" s="101"/>
      <c r="AK1897" s="101"/>
      <c r="AM1897" s="195"/>
      <c r="AT1897" s="101"/>
      <c r="AU1897" s="101"/>
      <c r="AV1897" s="101"/>
      <c r="AW1897" s="101"/>
      <c r="AX1897" s="101"/>
      <c r="AY1897" s="101"/>
      <c r="AZ1897" s="101"/>
      <c r="BA1897" s="101"/>
    </row>
    <row r="1898" spans="33:53">
      <c r="AG1898" s="101"/>
      <c r="AH1898" s="101"/>
      <c r="AI1898" s="101"/>
      <c r="AJ1898" s="101"/>
      <c r="AK1898" s="101"/>
      <c r="AM1898" s="195"/>
      <c r="AT1898" s="101"/>
      <c r="AU1898" s="101"/>
      <c r="AV1898" s="101"/>
      <c r="AW1898" s="101"/>
      <c r="AX1898" s="101"/>
      <c r="AY1898" s="101"/>
      <c r="AZ1898" s="101"/>
      <c r="BA1898" s="101"/>
    </row>
    <row r="1899" spans="33:53">
      <c r="AG1899" s="101"/>
      <c r="AH1899" s="101"/>
      <c r="AI1899" s="101"/>
      <c r="AJ1899" s="101"/>
      <c r="AK1899" s="101"/>
      <c r="AM1899" s="195"/>
      <c r="AT1899" s="101"/>
      <c r="AU1899" s="101"/>
      <c r="AV1899" s="101"/>
      <c r="AW1899" s="101"/>
      <c r="AX1899" s="101"/>
      <c r="AY1899" s="101"/>
      <c r="AZ1899" s="101"/>
      <c r="BA1899" s="101"/>
    </row>
    <row r="1900" spans="33:53">
      <c r="AG1900" s="101"/>
      <c r="AH1900" s="101"/>
      <c r="AI1900" s="101"/>
      <c r="AJ1900" s="101"/>
      <c r="AK1900" s="101"/>
      <c r="AM1900" s="195"/>
      <c r="AT1900" s="101"/>
      <c r="AU1900" s="101"/>
      <c r="AV1900" s="101"/>
      <c r="AW1900" s="101"/>
      <c r="AX1900" s="101"/>
      <c r="AY1900" s="101"/>
      <c r="AZ1900" s="101"/>
      <c r="BA1900" s="101"/>
    </row>
    <row r="1901" spans="33:53">
      <c r="AG1901" s="101"/>
      <c r="AH1901" s="101"/>
      <c r="AI1901" s="101"/>
      <c r="AJ1901" s="101"/>
      <c r="AK1901" s="101"/>
      <c r="AM1901" s="195"/>
      <c r="AT1901" s="101"/>
      <c r="AU1901" s="101"/>
      <c r="AV1901" s="101"/>
      <c r="AW1901" s="101"/>
      <c r="AX1901" s="101"/>
      <c r="AY1901" s="101"/>
      <c r="AZ1901" s="101"/>
      <c r="BA1901" s="101"/>
    </row>
    <row r="1902" spans="33:53">
      <c r="AG1902" s="101"/>
      <c r="AH1902" s="101"/>
      <c r="AI1902" s="101"/>
      <c r="AJ1902" s="101"/>
      <c r="AK1902" s="101"/>
      <c r="AM1902" s="195"/>
      <c r="AT1902" s="101"/>
      <c r="AU1902" s="101"/>
      <c r="AV1902" s="101"/>
      <c r="AW1902" s="101"/>
      <c r="AX1902" s="101"/>
      <c r="AY1902" s="101"/>
      <c r="AZ1902" s="101"/>
      <c r="BA1902" s="101"/>
    </row>
    <row r="1903" spans="33:53">
      <c r="AG1903" s="101"/>
      <c r="AH1903" s="101"/>
      <c r="AI1903" s="101"/>
      <c r="AJ1903" s="101"/>
      <c r="AK1903" s="101"/>
      <c r="AM1903" s="195"/>
      <c r="AT1903" s="101"/>
      <c r="AU1903" s="101"/>
      <c r="AV1903" s="101"/>
      <c r="AW1903" s="101"/>
      <c r="AX1903" s="101"/>
      <c r="AY1903" s="101"/>
      <c r="AZ1903" s="101"/>
      <c r="BA1903" s="101"/>
    </row>
    <row r="1904" spans="33:53">
      <c r="AG1904" s="101"/>
      <c r="AH1904" s="101"/>
      <c r="AI1904" s="101"/>
      <c r="AJ1904" s="101"/>
      <c r="AK1904" s="101"/>
      <c r="AM1904" s="195"/>
      <c r="AT1904" s="101"/>
      <c r="AU1904" s="101"/>
      <c r="AV1904" s="101"/>
      <c r="AW1904" s="101"/>
      <c r="AX1904" s="101"/>
      <c r="AY1904" s="101"/>
      <c r="AZ1904" s="101"/>
      <c r="BA1904" s="101"/>
    </row>
    <row r="1905" spans="33:54">
      <c r="AG1905" s="101"/>
      <c r="AH1905" s="101"/>
      <c r="AI1905" s="101"/>
      <c r="AJ1905" s="101"/>
      <c r="AK1905" s="101"/>
      <c r="AM1905" s="195"/>
      <c r="AT1905" s="101"/>
      <c r="AU1905" s="101"/>
      <c r="AV1905" s="101"/>
      <c r="AW1905" s="101"/>
      <c r="AX1905" s="101"/>
      <c r="AY1905" s="101"/>
      <c r="AZ1905" s="101"/>
      <c r="BA1905" s="101"/>
    </row>
    <row r="1906" spans="33:54">
      <c r="AG1906" s="101"/>
      <c r="AH1906" s="101"/>
      <c r="AI1906" s="101"/>
      <c r="AJ1906" s="101"/>
      <c r="AK1906" s="101"/>
      <c r="AM1906" s="195"/>
      <c r="AT1906" s="101"/>
      <c r="AU1906" s="101"/>
      <c r="AV1906" s="101"/>
      <c r="AW1906" s="101"/>
      <c r="AX1906" s="101"/>
      <c r="AY1906" s="101"/>
      <c r="AZ1906" s="101"/>
      <c r="BA1906" s="101"/>
    </row>
    <row r="1907" spans="33:54">
      <c r="AG1907" s="101"/>
      <c r="AH1907" s="101"/>
      <c r="AI1907" s="101"/>
      <c r="AJ1907" s="101"/>
      <c r="AK1907" s="101"/>
      <c r="AM1907" s="195"/>
      <c r="AT1907" s="101"/>
      <c r="AU1907" s="101"/>
      <c r="AV1907" s="101"/>
      <c r="AW1907" s="101"/>
      <c r="AX1907" s="101"/>
      <c r="AY1907" s="101"/>
      <c r="AZ1907" s="101"/>
      <c r="BA1907" s="101"/>
    </row>
    <row r="1908" spans="33:54">
      <c r="AG1908" s="101"/>
      <c r="AH1908" s="101"/>
      <c r="AI1908" s="101"/>
      <c r="AJ1908" s="101"/>
      <c r="AK1908" s="101"/>
      <c r="AM1908" s="195"/>
      <c r="AT1908" s="101"/>
      <c r="AU1908" s="101"/>
      <c r="AV1908" s="101"/>
      <c r="AW1908" s="101"/>
      <c r="AX1908" s="101"/>
      <c r="AY1908" s="101"/>
      <c r="AZ1908" s="101"/>
      <c r="BA1908" s="101"/>
    </row>
    <row r="1909" spans="33:54">
      <c r="AG1909" s="101"/>
      <c r="AH1909" s="101"/>
      <c r="AI1909" s="101"/>
      <c r="AJ1909" s="101"/>
      <c r="AK1909" s="101"/>
      <c r="AM1909" s="195"/>
      <c r="AT1909" s="101"/>
      <c r="AU1909" s="101"/>
      <c r="AV1909" s="101"/>
      <c r="AW1909" s="101"/>
      <c r="AX1909" s="101"/>
      <c r="AY1909" s="101"/>
      <c r="AZ1909" s="101"/>
      <c r="BA1909" s="101"/>
    </row>
    <row r="1910" spans="33:54">
      <c r="AG1910" s="101"/>
      <c r="AH1910" s="101"/>
      <c r="AI1910" s="101"/>
      <c r="AJ1910" s="101"/>
      <c r="AK1910" s="101"/>
      <c r="AM1910" s="195"/>
      <c r="AT1910" s="101"/>
      <c r="AU1910" s="101"/>
      <c r="AV1910" s="101"/>
      <c r="AW1910" s="101"/>
      <c r="AX1910" s="101"/>
      <c r="AY1910" s="101"/>
      <c r="AZ1910" s="101"/>
      <c r="BA1910" s="101"/>
    </row>
    <row r="1911" spans="33:54">
      <c r="AG1911" s="101"/>
      <c r="AH1911" s="101"/>
      <c r="AI1911" s="101"/>
      <c r="AJ1911" s="101"/>
      <c r="AK1911" s="101"/>
      <c r="AM1911" s="195"/>
      <c r="AT1911" s="101"/>
      <c r="AU1911" s="101"/>
      <c r="AV1911" s="101"/>
      <c r="AW1911" s="101"/>
      <c r="AX1911" s="101"/>
      <c r="AY1911" s="101"/>
      <c r="AZ1911" s="101"/>
      <c r="BA1911" s="101"/>
    </row>
    <row r="1912" spans="33:54">
      <c r="AG1912" s="101"/>
      <c r="AH1912" s="101"/>
      <c r="AI1912" s="101"/>
      <c r="AJ1912" s="101"/>
      <c r="AK1912" s="101"/>
      <c r="AM1912" s="195"/>
      <c r="AT1912" s="101"/>
      <c r="AU1912" s="101"/>
      <c r="AV1912" s="101"/>
      <c r="AW1912" s="101"/>
      <c r="AX1912" s="101"/>
      <c r="AY1912" s="101"/>
      <c r="AZ1912" s="101"/>
      <c r="BA1912" s="101"/>
      <c r="BB1912" s="101"/>
    </row>
    <row r="1913" spans="33:54">
      <c r="AG1913" s="101"/>
      <c r="AH1913" s="101"/>
      <c r="AI1913" s="101"/>
      <c r="AJ1913" s="101"/>
      <c r="AK1913" s="101"/>
      <c r="AM1913" s="195"/>
      <c r="AT1913" s="101"/>
      <c r="AU1913" s="101"/>
      <c r="AV1913" s="101"/>
      <c r="AW1913" s="101"/>
      <c r="AX1913" s="101"/>
      <c r="AY1913" s="101"/>
      <c r="AZ1913" s="101"/>
      <c r="BA1913" s="101"/>
    </row>
    <row r="1914" spans="33:54">
      <c r="AG1914" s="101"/>
      <c r="AH1914" s="101"/>
      <c r="AI1914" s="101"/>
      <c r="AJ1914" s="101"/>
      <c r="AK1914" s="101"/>
      <c r="AM1914" s="195"/>
      <c r="AT1914" s="101"/>
      <c r="AU1914" s="101"/>
      <c r="AV1914" s="101"/>
      <c r="AW1914" s="101"/>
      <c r="AX1914" s="101"/>
      <c r="AY1914" s="101"/>
      <c r="AZ1914" s="101"/>
      <c r="BA1914" s="101"/>
    </row>
    <row r="1915" spans="33:54">
      <c r="AG1915" s="101"/>
      <c r="AH1915" s="101"/>
      <c r="AI1915" s="101"/>
      <c r="AJ1915" s="101"/>
      <c r="AK1915" s="101"/>
      <c r="AM1915" s="195"/>
      <c r="AT1915" s="101"/>
      <c r="AU1915" s="101"/>
      <c r="AV1915" s="101"/>
      <c r="AW1915" s="101"/>
      <c r="AX1915" s="101"/>
      <c r="AY1915" s="101"/>
      <c r="AZ1915" s="101"/>
      <c r="BA1915" s="101"/>
    </row>
    <row r="1916" spans="33:54">
      <c r="AG1916" s="101"/>
      <c r="AH1916" s="101"/>
      <c r="AI1916" s="101"/>
      <c r="AJ1916" s="101"/>
      <c r="AK1916" s="101"/>
      <c r="AM1916" s="195"/>
      <c r="AT1916" s="101"/>
      <c r="AU1916" s="101"/>
      <c r="AV1916" s="101"/>
      <c r="AW1916" s="101"/>
      <c r="AX1916" s="101"/>
      <c r="AY1916" s="101"/>
      <c r="AZ1916" s="101"/>
      <c r="BA1916" s="101"/>
      <c r="BB1916" s="101"/>
    </row>
    <row r="1917" spans="33:54">
      <c r="AG1917" s="101"/>
      <c r="AH1917" s="101"/>
      <c r="AI1917" s="101"/>
      <c r="AJ1917" s="101"/>
      <c r="AK1917" s="101"/>
      <c r="AM1917" s="195"/>
      <c r="AT1917" s="101"/>
      <c r="AU1917" s="101"/>
      <c r="AV1917" s="101"/>
      <c r="AW1917" s="101"/>
      <c r="AX1917" s="101"/>
      <c r="AY1917" s="101"/>
      <c r="AZ1917" s="101"/>
      <c r="BA1917" s="101"/>
    </row>
    <row r="1918" spans="33:54">
      <c r="AG1918" s="101"/>
      <c r="AH1918" s="101"/>
      <c r="AI1918" s="101"/>
      <c r="AJ1918" s="101"/>
      <c r="AK1918" s="101"/>
      <c r="AM1918" s="195"/>
      <c r="AT1918" s="101"/>
      <c r="AU1918" s="101"/>
      <c r="AV1918" s="101"/>
      <c r="AW1918" s="101"/>
      <c r="AX1918" s="101"/>
      <c r="AY1918" s="101"/>
      <c r="AZ1918" s="101"/>
      <c r="BA1918" s="101"/>
    </row>
    <row r="1919" spans="33:54">
      <c r="AG1919" s="101"/>
      <c r="AH1919" s="101"/>
      <c r="AI1919" s="101"/>
      <c r="AJ1919" s="101"/>
      <c r="AK1919" s="101"/>
      <c r="AM1919" s="195"/>
      <c r="AT1919" s="101"/>
      <c r="AU1919" s="101"/>
      <c r="AV1919" s="101"/>
      <c r="AW1919" s="101"/>
      <c r="AX1919" s="101"/>
      <c r="AY1919" s="101"/>
      <c r="AZ1919" s="101"/>
      <c r="BA1919" s="101"/>
      <c r="BB1919" s="101"/>
    </row>
    <row r="1920" spans="33:54">
      <c r="AG1920" s="101"/>
      <c r="AH1920" s="101"/>
      <c r="AI1920" s="101"/>
      <c r="AJ1920" s="101"/>
      <c r="AK1920" s="101"/>
      <c r="AM1920" s="195"/>
      <c r="AT1920" s="101"/>
      <c r="AU1920" s="101"/>
      <c r="AV1920" s="101"/>
      <c r="AW1920" s="101"/>
      <c r="AX1920" s="101"/>
      <c r="AY1920" s="101"/>
      <c r="AZ1920" s="101"/>
      <c r="BA1920" s="101"/>
    </row>
    <row r="1921" spans="33:53">
      <c r="AG1921" s="101"/>
      <c r="AH1921" s="101"/>
      <c r="AI1921" s="101"/>
      <c r="AJ1921" s="101"/>
      <c r="AK1921" s="101"/>
      <c r="AM1921" s="195"/>
      <c r="AT1921" s="101"/>
      <c r="AU1921" s="101"/>
      <c r="AV1921" s="101"/>
      <c r="AW1921" s="101"/>
      <c r="AX1921" s="101"/>
      <c r="AY1921" s="101"/>
      <c r="AZ1921" s="101"/>
      <c r="BA1921" s="101"/>
    </row>
    <row r="1922" spans="33:53">
      <c r="AG1922" s="101"/>
      <c r="AH1922" s="101"/>
      <c r="AI1922" s="101"/>
      <c r="AJ1922" s="101"/>
      <c r="AK1922" s="101"/>
      <c r="AM1922" s="195"/>
      <c r="AT1922" s="101"/>
      <c r="AU1922" s="101"/>
      <c r="AV1922" s="101"/>
      <c r="AW1922" s="101"/>
      <c r="AX1922" s="101"/>
      <c r="AY1922" s="101"/>
      <c r="AZ1922" s="101"/>
      <c r="BA1922" s="101"/>
    </row>
    <row r="1923" spans="33:53">
      <c r="AG1923" s="101"/>
      <c r="AH1923" s="101"/>
      <c r="AI1923" s="101"/>
      <c r="AJ1923" s="101"/>
      <c r="AK1923" s="101"/>
      <c r="AM1923" s="195"/>
      <c r="AT1923" s="101"/>
      <c r="AU1923" s="101"/>
      <c r="AV1923" s="101"/>
      <c r="AW1923" s="101"/>
      <c r="AX1923" s="101"/>
      <c r="AY1923" s="101"/>
      <c r="AZ1923" s="101"/>
      <c r="BA1923" s="101"/>
    </row>
    <row r="1924" spans="33:53">
      <c r="AG1924" s="101"/>
      <c r="AH1924" s="101"/>
      <c r="AI1924" s="101"/>
      <c r="AJ1924" s="101"/>
      <c r="AK1924" s="101"/>
      <c r="AM1924" s="195"/>
      <c r="AT1924" s="101"/>
      <c r="AU1924" s="101"/>
      <c r="AV1924" s="101"/>
      <c r="AW1924" s="101"/>
      <c r="AX1924" s="101"/>
      <c r="AY1924" s="101"/>
      <c r="AZ1924" s="101"/>
      <c r="BA1924" s="101"/>
    </row>
    <row r="1925" spans="33:53">
      <c r="AG1925" s="101"/>
      <c r="AH1925" s="101"/>
      <c r="AI1925" s="101"/>
      <c r="AJ1925" s="101"/>
      <c r="AK1925" s="101"/>
      <c r="AM1925" s="195"/>
      <c r="AT1925" s="101"/>
      <c r="AU1925" s="101"/>
      <c r="AV1925" s="101"/>
      <c r="AW1925" s="101"/>
      <c r="AX1925" s="101"/>
      <c r="AY1925" s="101"/>
      <c r="AZ1925" s="101"/>
      <c r="BA1925" s="101"/>
    </row>
    <row r="1926" spans="33:53">
      <c r="AG1926" s="101"/>
      <c r="AH1926" s="101"/>
      <c r="AI1926" s="101"/>
      <c r="AJ1926" s="101"/>
      <c r="AK1926" s="101"/>
      <c r="AM1926" s="195"/>
      <c r="AT1926" s="101"/>
      <c r="AU1926" s="101"/>
      <c r="AV1926" s="101"/>
      <c r="AW1926" s="101"/>
      <c r="AX1926" s="101"/>
      <c r="AY1926" s="101"/>
      <c r="AZ1926" s="101"/>
      <c r="BA1926" s="101"/>
    </row>
    <row r="1927" spans="33:53">
      <c r="AG1927" s="101"/>
      <c r="AH1927" s="101"/>
      <c r="AI1927" s="101"/>
      <c r="AJ1927" s="101"/>
      <c r="AK1927" s="101"/>
      <c r="AM1927" s="195"/>
      <c r="AT1927" s="101"/>
      <c r="AU1927" s="101"/>
      <c r="AV1927" s="101"/>
      <c r="AW1927" s="101"/>
      <c r="AX1927" s="101"/>
      <c r="AY1927" s="101"/>
      <c r="AZ1927" s="101"/>
      <c r="BA1927" s="101"/>
    </row>
    <row r="1928" spans="33:53">
      <c r="AG1928" s="101"/>
      <c r="AH1928" s="101"/>
      <c r="AI1928" s="101"/>
      <c r="AJ1928" s="101"/>
      <c r="AK1928" s="101"/>
      <c r="AM1928" s="195"/>
      <c r="AT1928" s="101"/>
      <c r="AU1928" s="101"/>
      <c r="AV1928" s="101"/>
      <c r="AW1928" s="101"/>
      <c r="AX1928" s="101"/>
      <c r="AY1928" s="101"/>
      <c r="AZ1928" s="101"/>
      <c r="BA1928" s="101"/>
    </row>
    <row r="1929" spans="33:53">
      <c r="AG1929" s="101"/>
      <c r="AH1929" s="101"/>
      <c r="AI1929" s="101"/>
      <c r="AJ1929" s="101"/>
      <c r="AK1929" s="101"/>
      <c r="AM1929" s="195"/>
      <c r="AT1929" s="101"/>
      <c r="AU1929" s="101"/>
      <c r="AV1929" s="101"/>
      <c r="AW1929" s="101"/>
      <c r="AX1929" s="101"/>
      <c r="AY1929" s="101"/>
      <c r="AZ1929" s="101"/>
      <c r="BA1929" s="101"/>
    </row>
    <row r="1930" spans="33:53">
      <c r="AG1930" s="101"/>
      <c r="AH1930" s="101"/>
      <c r="AI1930" s="101"/>
      <c r="AJ1930" s="101"/>
      <c r="AK1930" s="101"/>
      <c r="AM1930" s="195"/>
      <c r="AT1930" s="101"/>
      <c r="AU1930" s="101"/>
      <c r="AV1930" s="101"/>
      <c r="AW1930" s="101"/>
      <c r="AX1930" s="101"/>
      <c r="AY1930" s="101"/>
      <c r="AZ1930" s="101"/>
      <c r="BA1930" s="101"/>
    </row>
    <row r="1931" spans="33:53">
      <c r="AG1931" s="101"/>
      <c r="AH1931" s="101"/>
      <c r="AI1931" s="101"/>
      <c r="AJ1931" s="101"/>
      <c r="AK1931" s="101"/>
      <c r="AM1931" s="195"/>
      <c r="AT1931" s="101"/>
      <c r="AU1931" s="101"/>
      <c r="AV1931" s="101"/>
      <c r="AW1931" s="101"/>
      <c r="AX1931" s="101"/>
      <c r="AY1931" s="101"/>
      <c r="AZ1931" s="101"/>
      <c r="BA1931" s="101"/>
    </row>
    <row r="1932" spans="33:53">
      <c r="AG1932" s="101"/>
      <c r="AH1932" s="101"/>
      <c r="AI1932" s="101"/>
      <c r="AJ1932" s="101"/>
      <c r="AK1932" s="101"/>
      <c r="AM1932" s="195"/>
      <c r="AT1932" s="101"/>
      <c r="AU1932" s="101"/>
      <c r="AV1932" s="101"/>
      <c r="AW1932" s="101"/>
      <c r="AX1932" s="101"/>
      <c r="AY1932" s="101"/>
      <c r="AZ1932" s="101"/>
      <c r="BA1932" s="101"/>
    </row>
    <row r="1933" spans="33:53">
      <c r="AG1933" s="101"/>
      <c r="AH1933" s="101"/>
      <c r="AI1933" s="101"/>
      <c r="AJ1933" s="101"/>
      <c r="AK1933" s="101"/>
      <c r="AM1933" s="195"/>
      <c r="AT1933" s="101"/>
      <c r="AU1933" s="101"/>
      <c r="AV1933" s="101"/>
      <c r="AW1933" s="101"/>
      <c r="AX1933" s="101"/>
      <c r="AY1933" s="101"/>
      <c r="AZ1933" s="101"/>
      <c r="BA1933" s="101"/>
    </row>
    <row r="1934" spans="33:53">
      <c r="AG1934" s="101"/>
      <c r="AH1934" s="101"/>
      <c r="AI1934" s="101"/>
      <c r="AJ1934" s="101"/>
      <c r="AK1934" s="101"/>
      <c r="AM1934" s="195"/>
      <c r="AT1934" s="101"/>
      <c r="AU1934" s="101"/>
      <c r="AV1934" s="101"/>
      <c r="AW1934" s="101"/>
      <c r="AX1934" s="101"/>
      <c r="AY1934" s="101"/>
      <c r="AZ1934" s="101"/>
      <c r="BA1934" s="101"/>
    </row>
    <row r="1935" spans="33:53">
      <c r="AG1935" s="101"/>
      <c r="AH1935" s="101"/>
      <c r="AI1935" s="101"/>
      <c r="AJ1935" s="101"/>
      <c r="AK1935" s="101"/>
      <c r="AM1935" s="195"/>
      <c r="AT1935" s="101"/>
      <c r="AU1935" s="101"/>
      <c r="AV1935" s="101"/>
      <c r="AW1935" s="101"/>
      <c r="AX1935" s="101"/>
      <c r="AY1935" s="101"/>
      <c r="AZ1935" s="101"/>
      <c r="BA1935" s="101"/>
    </row>
    <row r="1936" spans="33:53">
      <c r="AG1936" s="101"/>
      <c r="AH1936" s="101"/>
      <c r="AI1936" s="101"/>
      <c r="AJ1936" s="101"/>
      <c r="AK1936" s="101"/>
      <c r="AM1936" s="195"/>
      <c r="AT1936" s="101"/>
      <c r="AU1936" s="101"/>
      <c r="AV1936" s="101"/>
      <c r="AW1936" s="101"/>
      <c r="AX1936" s="101"/>
      <c r="AY1936" s="101"/>
      <c r="AZ1936" s="101"/>
      <c r="BA1936" s="101"/>
    </row>
    <row r="1937" spans="32:92">
      <c r="AG1937" s="101"/>
      <c r="AH1937" s="101"/>
      <c r="AI1937" s="101"/>
      <c r="AJ1937" s="101"/>
      <c r="AK1937" s="101"/>
      <c r="AM1937" s="195"/>
      <c r="AT1937" s="101"/>
      <c r="AU1937" s="101"/>
      <c r="AV1937" s="101"/>
      <c r="AW1937" s="101"/>
      <c r="AX1937" s="101"/>
      <c r="AY1937" s="101"/>
      <c r="AZ1937" s="101"/>
      <c r="BA1937" s="101"/>
    </row>
    <row r="1938" spans="32:92">
      <c r="AG1938" s="101"/>
      <c r="AH1938" s="101"/>
      <c r="AI1938" s="101"/>
      <c r="AJ1938" s="101"/>
      <c r="AK1938" s="101"/>
      <c r="AM1938" s="195"/>
      <c r="AT1938" s="101"/>
      <c r="AU1938" s="101"/>
      <c r="AV1938" s="101"/>
      <c r="AW1938" s="101"/>
      <c r="AX1938" s="101"/>
      <c r="AY1938" s="101"/>
      <c r="AZ1938" s="101"/>
      <c r="BA1938" s="101"/>
    </row>
    <row r="1939" spans="32:92">
      <c r="AG1939" s="101"/>
      <c r="AH1939" s="101"/>
      <c r="AI1939" s="101"/>
      <c r="AJ1939" s="101"/>
      <c r="AK1939" s="101"/>
      <c r="AM1939" s="195"/>
      <c r="AT1939" s="101"/>
      <c r="AU1939" s="101"/>
      <c r="AV1939" s="101"/>
      <c r="AW1939" s="101"/>
      <c r="AX1939" s="101"/>
      <c r="AY1939" s="101"/>
      <c r="AZ1939" s="101"/>
      <c r="BA1939" s="101"/>
    </row>
    <row r="1940" spans="32:92">
      <c r="AG1940" s="101"/>
      <c r="AH1940" s="101"/>
      <c r="AI1940" s="101"/>
      <c r="AJ1940" s="101"/>
      <c r="AK1940" s="101"/>
      <c r="AM1940" s="195"/>
      <c r="AT1940" s="101"/>
      <c r="AU1940" s="101"/>
      <c r="AV1940" s="101"/>
      <c r="AW1940" s="101"/>
      <c r="AX1940" s="101"/>
      <c r="AY1940" s="101"/>
      <c r="AZ1940" s="101"/>
      <c r="BA1940" s="101"/>
    </row>
    <row r="1941" spans="32:92">
      <c r="AG1941" s="101"/>
      <c r="AH1941" s="101"/>
      <c r="AI1941" s="101"/>
      <c r="AJ1941" s="101"/>
      <c r="AK1941" s="101"/>
      <c r="AM1941" s="195"/>
      <c r="AT1941" s="101"/>
      <c r="AU1941" s="101"/>
      <c r="AV1941" s="101"/>
      <c r="AW1941" s="101"/>
      <c r="AX1941" s="101"/>
      <c r="AY1941" s="101"/>
      <c r="AZ1941" s="101"/>
      <c r="BA1941" s="101"/>
    </row>
    <row r="1942" spans="32:92">
      <c r="AG1942" s="101"/>
      <c r="AH1942" s="101"/>
      <c r="AI1942" s="101"/>
      <c r="AJ1942" s="101"/>
      <c r="AK1942" s="101"/>
      <c r="AM1942" s="195"/>
      <c r="AT1942" s="101"/>
      <c r="AU1942" s="101"/>
      <c r="AV1942" s="101"/>
      <c r="AW1942" s="101"/>
      <c r="AX1942" s="101"/>
      <c r="AY1942" s="101"/>
      <c r="AZ1942" s="101"/>
      <c r="BA1942" s="101"/>
    </row>
    <row r="1943" spans="32:92">
      <c r="AG1943" s="101"/>
      <c r="AH1943" s="101"/>
      <c r="AI1943" s="101"/>
      <c r="AJ1943" s="101"/>
      <c r="AK1943" s="101"/>
      <c r="AM1943" s="195"/>
      <c r="AT1943" s="101"/>
      <c r="AU1943" s="101"/>
      <c r="AV1943" s="101"/>
      <c r="AW1943" s="101"/>
      <c r="AX1943" s="101"/>
      <c r="AY1943" s="101"/>
      <c r="AZ1943" s="101"/>
      <c r="BA1943" s="101"/>
    </row>
    <row r="1944" spans="32:92">
      <c r="AG1944" s="101"/>
      <c r="AH1944" s="101"/>
      <c r="AI1944" s="101"/>
      <c r="AJ1944" s="101"/>
      <c r="AK1944" s="101"/>
      <c r="AM1944" s="195"/>
      <c r="AT1944" s="101"/>
      <c r="AU1944" s="101"/>
      <c r="AV1944" s="101"/>
      <c r="AW1944" s="101"/>
      <c r="AX1944" s="101"/>
      <c r="AY1944" s="101"/>
      <c r="AZ1944" s="101"/>
      <c r="BA1944" s="101"/>
    </row>
    <row r="1945" spans="32:92">
      <c r="AG1945" s="101"/>
      <c r="AH1945" s="101"/>
      <c r="AI1945" s="101"/>
      <c r="AJ1945" s="101"/>
      <c r="AK1945" s="101"/>
      <c r="AM1945" s="195"/>
      <c r="AT1945" s="101"/>
      <c r="AU1945" s="101"/>
      <c r="AV1945" s="101"/>
      <c r="AW1945" s="101"/>
      <c r="AX1945" s="101"/>
      <c r="AY1945" s="101"/>
      <c r="AZ1945" s="101"/>
      <c r="BA1945" s="101"/>
    </row>
    <row r="1946" spans="32:92">
      <c r="AG1946" s="101"/>
      <c r="AH1946" s="101"/>
      <c r="AI1946" s="101"/>
      <c r="AJ1946" s="101"/>
      <c r="AK1946" s="101"/>
      <c r="AM1946" s="195"/>
      <c r="AT1946" s="101"/>
      <c r="AU1946" s="101"/>
      <c r="AV1946" s="101"/>
      <c r="AW1946" s="101"/>
      <c r="AX1946" s="101"/>
      <c r="AY1946" s="101"/>
      <c r="AZ1946" s="101"/>
      <c r="BA1946" s="101"/>
    </row>
    <row r="1947" spans="32:92">
      <c r="AG1947" s="101"/>
      <c r="AH1947" s="101"/>
      <c r="AI1947" s="101"/>
      <c r="AJ1947" s="101"/>
      <c r="AK1947" s="101"/>
      <c r="AM1947" s="195"/>
      <c r="AT1947" s="101"/>
      <c r="AU1947" s="101"/>
      <c r="AV1947" s="101"/>
      <c r="AW1947" s="101"/>
      <c r="AX1947" s="101"/>
      <c r="AY1947" s="101"/>
      <c r="AZ1947" s="101"/>
      <c r="BA1947" s="101"/>
    </row>
    <row r="1948" spans="32:92">
      <c r="AG1948" s="101"/>
      <c r="AH1948" s="101"/>
      <c r="AI1948" s="101"/>
      <c r="AJ1948" s="101"/>
      <c r="AK1948" s="101"/>
      <c r="AM1948" s="195"/>
      <c r="AT1948" s="101"/>
      <c r="AU1948" s="101"/>
      <c r="AV1948" s="101"/>
      <c r="AW1948" s="101"/>
      <c r="AX1948" s="101"/>
      <c r="AY1948" s="101"/>
      <c r="AZ1948" s="101"/>
      <c r="BA1948" s="101"/>
    </row>
    <row r="1949" spans="32:92">
      <c r="AF1949" s="105"/>
      <c r="AG1949" s="105"/>
      <c r="AH1949" s="101"/>
      <c r="AI1949" s="105"/>
      <c r="AJ1949" s="105"/>
      <c r="AK1949" s="105"/>
      <c r="AL1949" s="105"/>
      <c r="AM1949" s="123"/>
      <c r="AN1949" s="105"/>
      <c r="AO1949" s="105"/>
      <c r="AP1949" s="105"/>
      <c r="AQ1949" s="105"/>
      <c r="AR1949" s="105"/>
      <c r="AS1949" s="105"/>
      <c r="AT1949" s="105"/>
      <c r="AU1949" s="105"/>
      <c r="AV1949" s="105"/>
      <c r="AW1949" s="105"/>
      <c r="AX1949" s="105"/>
      <c r="AY1949" s="105"/>
      <c r="AZ1949" s="105"/>
      <c r="BA1949" s="105"/>
      <c r="BB1949" s="105"/>
      <c r="BC1949" s="105"/>
      <c r="BD1949" s="105"/>
      <c r="BE1949" s="105"/>
      <c r="BF1949" s="105"/>
      <c r="BG1949" s="105"/>
      <c r="BH1949" s="105"/>
      <c r="BI1949" s="105"/>
      <c r="BJ1949" s="105"/>
      <c r="BK1949" s="105"/>
      <c r="BL1949" s="105"/>
      <c r="BM1949" s="105"/>
      <c r="BN1949" s="105"/>
      <c r="BO1949" s="105"/>
      <c r="BP1949" s="105"/>
      <c r="BQ1949" s="105"/>
      <c r="BR1949" s="105"/>
      <c r="BS1949" s="105"/>
      <c r="BT1949" s="105"/>
      <c r="BU1949" s="105"/>
      <c r="BV1949" s="105"/>
      <c r="BW1949" s="105"/>
      <c r="BX1949" s="105"/>
      <c r="BY1949" s="105"/>
      <c r="BZ1949" s="105"/>
      <c r="CA1949" s="105"/>
      <c r="CB1949" s="105"/>
      <c r="CC1949" s="105"/>
      <c r="CD1949" s="105"/>
      <c r="CE1949" s="105"/>
      <c r="CF1949" s="105"/>
      <c r="CG1949" s="105"/>
      <c r="CH1949" s="105"/>
      <c r="CI1949" s="105"/>
      <c r="CJ1949" s="105"/>
      <c r="CK1949" s="105"/>
      <c r="CL1949" s="105"/>
      <c r="CM1949" s="105"/>
      <c r="CN1949" s="105"/>
    </row>
    <row r="1950" spans="32:92">
      <c r="AF1950" s="105"/>
      <c r="AG1950" s="105"/>
      <c r="AH1950" s="101"/>
      <c r="AI1950" s="105"/>
      <c r="AJ1950" s="105"/>
      <c r="AK1950" s="105"/>
      <c r="AL1950" s="105"/>
      <c r="AM1950" s="123"/>
      <c r="AN1950" s="105"/>
      <c r="AO1950" s="105"/>
      <c r="AP1950" s="105"/>
      <c r="AQ1950" s="105"/>
      <c r="AR1950" s="105"/>
      <c r="AS1950" s="105"/>
      <c r="AT1950" s="105"/>
      <c r="AU1950" s="105"/>
      <c r="AV1950" s="105"/>
      <c r="AW1950" s="105"/>
      <c r="AX1950" s="105"/>
      <c r="AY1950" s="105"/>
      <c r="AZ1950" s="105"/>
      <c r="BA1950" s="105"/>
      <c r="BB1950" s="105"/>
      <c r="BC1950" s="105"/>
      <c r="BD1950" s="105"/>
      <c r="BE1950" s="105"/>
      <c r="BF1950" s="105"/>
      <c r="BG1950" s="105"/>
      <c r="BH1950" s="105"/>
      <c r="BI1950" s="105"/>
      <c r="BJ1950" s="105"/>
      <c r="BK1950" s="105"/>
      <c r="BL1950" s="105"/>
      <c r="BM1950" s="105"/>
      <c r="BN1950" s="105"/>
      <c r="BO1950" s="105"/>
      <c r="BP1950" s="105"/>
      <c r="BQ1950" s="105"/>
      <c r="BR1950" s="105"/>
      <c r="BS1950" s="105"/>
      <c r="BT1950" s="105"/>
      <c r="BU1950" s="105"/>
      <c r="BV1950" s="105"/>
      <c r="BW1950" s="105"/>
      <c r="BX1950" s="105"/>
      <c r="BY1950" s="105"/>
      <c r="BZ1950" s="105"/>
      <c r="CA1950" s="105"/>
      <c r="CB1950" s="105"/>
      <c r="CC1950" s="105"/>
      <c r="CD1950" s="105"/>
      <c r="CE1950" s="105"/>
      <c r="CF1950" s="105"/>
      <c r="CG1950" s="105"/>
      <c r="CH1950" s="105"/>
      <c r="CI1950" s="105"/>
      <c r="CJ1950" s="105"/>
      <c r="CK1950" s="105"/>
      <c r="CL1950" s="105"/>
      <c r="CM1950" s="105"/>
      <c r="CN1950" s="105"/>
    </row>
    <row r="1951" spans="32:92">
      <c r="AF1951" s="105"/>
      <c r="AG1951" s="105"/>
      <c r="AH1951" s="101"/>
      <c r="AI1951" s="105"/>
      <c r="AJ1951" s="105"/>
      <c r="AK1951" s="105"/>
      <c r="AL1951" s="105"/>
      <c r="AM1951" s="123"/>
      <c r="AN1951" s="105"/>
      <c r="AO1951" s="105"/>
      <c r="AP1951" s="105"/>
      <c r="AQ1951" s="105"/>
      <c r="AR1951" s="105"/>
      <c r="AS1951" s="105"/>
      <c r="AT1951" s="105"/>
      <c r="AU1951" s="105"/>
      <c r="AV1951" s="105"/>
      <c r="AW1951" s="105"/>
      <c r="AX1951" s="105"/>
      <c r="AY1951" s="105"/>
      <c r="AZ1951" s="105"/>
      <c r="BA1951" s="105"/>
      <c r="BB1951" s="105"/>
      <c r="BC1951" s="105"/>
      <c r="BD1951" s="105"/>
      <c r="BE1951" s="105"/>
      <c r="BF1951" s="105"/>
      <c r="BG1951" s="105"/>
      <c r="BH1951" s="105"/>
      <c r="BI1951" s="105"/>
      <c r="BJ1951" s="105"/>
      <c r="BK1951" s="105"/>
      <c r="BL1951" s="105"/>
      <c r="BM1951" s="105"/>
      <c r="BN1951" s="105"/>
      <c r="BO1951" s="105"/>
      <c r="BP1951" s="105"/>
      <c r="BQ1951" s="105"/>
      <c r="BR1951" s="105"/>
      <c r="BS1951" s="105"/>
      <c r="BT1951" s="105"/>
      <c r="BU1951" s="105"/>
      <c r="BV1951" s="105"/>
      <c r="BW1951" s="105"/>
      <c r="BX1951" s="105"/>
      <c r="BY1951" s="105"/>
      <c r="BZ1951" s="105"/>
      <c r="CA1951" s="105"/>
      <c r="CB1951" s="105"/>
      <c r="CC1951" s="105"/>
      <c r="CD1951" s="105"/>
      <c r="CE1951" s="105"/>
      <c r="CF1951" s="105"/>
      <c r="CG1951" s="105"/>
      <c r="CH1951" s="105"/>
      <c r="CI1951" s="105"/>
      <c r="CJ1951" s="105"/>
      <c r="CK1951" s="105"/>
      <c r="CL1951" s="105"/>
      <c r="CM1951" s="105"/>
      <c r="CN1951" s="105"/>
    </row>
    <row r="1952" spans="32:92">
      <c r="AF1952" s="105"/>
      <c r="AG1952" s="105"/>
      <c r="AH1952" s="101"/>
      <c r="AI1952" s="105"/>
      <c r="AJ1952" s="105"/>
      <c r="AK1952" s="105"/>
      <c r="AL1952" s="105"/>
      <c r="AM1952" s="123"/>
      <c r="AN1952" s="105"/>
      <c r="AO1952" s="105"/>
      <c r="AP1952" s="105"/>
      <c r="AQ1952" s="105"/>
      <c r="AR1952" s="105"/>
      <c r="AS1952" s="105"/>
      <c r="AT1952" s="105"/>
      <c r="AU1952" s="105"/>
      <c r="AV1952" s="105"/>
      <c r="AW1952" s="105"/>
      <c r="AX1952" s="105"/>
      <c r="AY1952" s="105"/>
      <c r="AZ1952" s="105"/>
      <c r="BA1952" s="105"/>
      <c r="BB1952" s="105"/>
      <c r="BC1952" s="105"/>
      <c r="BD1952" s="105"/>
      <c r="BE1952" s="105"/>
      <c r="BF1952" s="105"/>
      <c r="BG1952" s="105"/>
      <c r="BH1952" s="105"/>
      <c r="BI1952" s="105"/>
      <c r="BJ1952" s="105"/>
      <c r="BK1952" s="105"/>
      <c r="BL1952" s="105"/>
      <c r="BM1952" s="105"/>
      <c r="BN1952" s="105"/>
      <c r="BO1952" s="105"/>
      <c r="BP1952" s="105"/>
      <c r="BQ1952" s="105"/>
      <c r="BR1952" s="105"/>
      <c r="BS1952" s="105"/>
      <c r="BT1952" s="105"/>
      <c r="BU1952" s="105"/>
      <c r="BV1952" s="105"/>
      <c r="BW1952" s="105"/>
      <c r="BX1952" s="105"/>
      <c r="BY1952" s="105"/>
      <c r="BZ1952" s="105"/>
      <c r="CA1952" s="105"/>
      <c r="CB1952" s="105"/>
      <c r="CC1952" s="105"/>
      <c r="CD1952" s="105"/>
      <c r="CE1952" s="105"/>
      <c r="CF1952" s="105"/>
      <c r="CG1952" s="105"/>
      <c r="CH1952" s="105"/>
      <c r="CI1952" s="105"/>
      <c r="CJ1952" s="105"/>
      <c r="CK1952" s="105"/>
      <c r="CL1952" s="105"/>
      <c r="CM1952" s="105"/>
      <c r="CN1952" s="105"/>
    </row>
    <row r="1953" spans="32:92">
      <c r="AF1953" s="105"/>
      <c r="AG1953" s="105"/>
      <c r="AH1953" s="101"/>
      <c r="AI1953" s="105"/>
      <c r="AJ1953" s="105"/>
      <c r="AK1953" s="105"/>
      <c r="AL1953" s="105"/>
      <c r="AM1953" s="123"/>
      <c r="AN1953" s="105"/>
      <c r="AO1953" s="105"/>
      <c r="AP1953" s="105"/>
      <c r="AQ1953" s="105"/>
      <c r="AR1953" s="105"/>
      <c r="AS1953" s="105"/>
      <c r="AT1953" s="105"/>
      <c r="AU1953" s="105"/>
      <c r="AV1953" s="105"/>
      <c r="AW1953" s="105"/>
      <c r="AX1953" s="105"/>
      <c r="AY1953" s="105"/>
      <c r="AZ1953" s="105"/>
      <c r="BA1953" s="105"/>
      <c r="BB1953" s="105"/>
      <c r="BC1953" s="105"/>
      <c r="BD1953" s="105"/>
      <c r="BE1953" s="105"/>
      <c r="BF1953" s="105"/>
      <c r="BG1953" s="105"/>
      <c r="BH1953" s="105"/>
      <c r="BI1953" s="105"/>
      <c r="BJ1953" s="105"/>
      <c r="BK1953" s="105"/>
      <c r="BL1953" s="105"/>
      <c r="BM1953" s="105"/>
      <c r="BN1953" s="105"/>
      <c r="BO1953" s="105"/>
      <c r="BP1953" s="105"/>
      <c r="BQ1953" s="105"/>
      <c r="BR1953" s="105"/>
      <c r="BS1953" s="105"/>
      <c r="BT1953" s="105"/>
      <c r="BU1953" s="105"/>
      <c r="BV1953" s="105"/>
      <c r="BW1953" s="105"/>
      <c r="BX1953" s="105"/>
      <c r="BY1953" s="105"/>
      <c r="BZ1953" s="105"/>
      <c r="CA1953" s="105"/>
      <c r="CB1953" s="105"/>
      <c r="CC1953" s="105"/>
      <c r="CD1953" s="105"/>
      <c r="CE1953" s="105"/>
      <c r="CF1953" s="105"/>
      <c r="CG1953" s="105"/>
      <c r="CH1953" s="105"/>
      <c r="CI1953" s="105"/>
      <c r="CJ1953" s="105"/>
      <c r="CK1953" s="105"/>
      <c r="CL1953" s="105"/>
      <c r="CM1953" s="105"/>
      <c r="CN1953" s="105"/>
    </row>
    <row r="1954" spans="32:92">
      <c r="AF1954" s="105"/>
      <c r="AG1954" s="105"/>
      <c r="AH1954" s="101"/>
      <c r="AI1954" s="105"/>
      <c r="AJ1954" s="105"/>
      <c r="AK1954" s="105"/>
      <c r="AL1954" s="105"/>
      <c r="AM1954" s="123"/>
      <c r="AN1954" s="105"/>
      <c r="AO1954" s="105"/>
      <c r="AP1954" s="105"/>
      <c r="AQ1954" s="105"/>
      <c r="AR1954" s="105"/>
      <c r="AS1954" s="105"/>
      <c r="AT1954" s="105"/>
      <c r="AU1954" s="105"/>
      <c r="AV1954" s="105"/>
      <c r="AW1954" s="105"/>
      <c r="AX1954" s="105"/>
      <c r="AY1954" s="105"/>
      <c r="AZ1954" s="105"/>
      <c r="BA1954" s="105"/>
      <c r="BB1954" s="105"/>
      <c r="BC1954" s="105"/>
      <c r="BD1954" s="105"/>
      <c r="BE1954" s="105"/>
      <c r="BF1954" s="105"/>
      <c r="BG1954" s="105"/>
      <c r="BH1954" s="105"/>
      <c r="BI1954" s="105"/>
      <c r="BJ1954" s="105"/>
      <c r="BK1954" s="105"/>
      <c r="BL1954" s="105"/>
      <c r="BM1954" s="105"/>
      <c r="BN1954" s="105"/>
      <c r="BO1954" s="105"/>
      <c r="BP1954" s="105"/>
      <c r="BQ1954" s="105"/>
      <c r="BR1954" s="105"/>
      <c r="BS1954" s="105"/>
      <c r="BT1954" s="105"/>
      <c r="BU1954" s="105"/>
      <c r="BV1954" s="105"/>
      <c r="BW1954" s="105"/>
      <c r="BX1954" s="105"/>
      <c r="BY1954" s="105"/>
      <c r="BZ1954" s="105"/>
      <c r="CA1954" s="105"/>
      <c r="CB1954" s="105"/>
      <c r="CC1954" s="105"/>
      <c r="CD1954" s="105"/>
      <c r="CE1954" s="105"/>
      <c r="CF1954" s="105"/>
      <c r="CG1954" s="105"/>
      <c r="CH1954" s="105"/>
      <c r="CI1954" s="105"/>
      <c r="CJ1954" s="105"/>
      <c r="CK1954" s="105"/>
      <c r="CL1954" s="105"/>
      <c r="CM1954" s="105"/>
      <c r="CN1954" s="105"/>
    </row>
    <row r="1955" spans="32:92">
      <c r="AF1955" s="105"/>
      <c r="AG1955" s="105"/>
      <c r="AH1955" s="101"/>
      <c r="AI1955" s="105"/>
      <c r="AJ1955" s="105"/>
      <c r="AK1955" s="105"/>
      <c r="AL1955" s="105"/>
      <c r="AM1955" s="123"/>
      <c r="AN1955" s="105"/>
      <c r="AO1955" s="105"/>
      <c r="AP1955" s="105"/>
      <c r="AQ1955" s="105"/>
      <c r="AR1955" s="105"/>
      <c r="AS1955" s="105"/>
      <c r="AT1955" s="105"/>
      <c r="AU1955" s="105"/>
      <c r="AV1955" s="105"/>
      <c r="AW1955" s="105"/>
      <c r="AX1955" s="105"/>
      <c r="AY1955" s="105"/>
      <c r="AZ1955" s="105"/>
      <c r="BA1955" s="105"/>
    </row>
    <row r="1956" spans="32:92">
      <c r="AF1956" s="105"/>
      <c r="AG1956" s="105"/>
      <c r="AH1956" s="101"/>
      <c r="AI1956" s="105"/>
      <c r="AJ1956" s="105"/>
      <c r="AK1956" s="105"/>
      <c r="AL1956" s="105"/>
      <c r="AM1956" s="123"/>
      <c r="AN1956" s="105"/>
      <c r="AO1956" s="105"/>
      <c r="AP1956" s="105"/>
      <c r="AQ1956" s="105"/>
      <c r="AR1956" s="105"/>
      <c r="AS1956" s="105"/>
      <c r="AT1956" s="105"/>
      <c r="AU1956" s="105"/>
      <c r="AV1956" s="105"/>
      <c r="AW1956" s="105"/>
      <c r="AX1956" s="105"/>
      <c r="AY1956" s="105"/>
      <c r="AZ1956" s="105"/>
      <c r="BA1956" s="105"/>
    </row>
    <row r="1957" spans="32:92">
      <c r="AF1957" s="105"/>
      <c r="AG1957" s="105"/>
      <c r="AH1957" s="101"/>
      <c r="AI1957" s="105"/>
      <c r="AJ1957" s="105"/>
      <c r="AK1957" s="105"/>
      <c r="AL1957" s="105"/>
      <c r="AM1957" s="123"/>
      <c r="AN1957" s="105"/>
      <c r="AO1957" s="105"/>
      <c r="AP1957" s="105"/>
      <c r="AQ1957" s="105"/>
      <c r="AR1957" s="105"/>
      <c r="AS1957" s="105"/>
      <c r="AT1957" s="105"/>
      <c r="AU1957" s="105"/>
      <c r="AV1957" s="105"/>
      <c r="AW1957" s="105"/>
      <c r="AX1957" s="105"/>
      <c r="AY1957" s="105"/>
      <c r="AZ1957" s="105"/>
      <c r="BA1957" s="105"/>
    </row>
    <row r="1958" spans="32:92">
      <c r="AF1958" s="105"/>
      <c r="AG1958" s="105"/>
      <c r="AH1958" s="101"/>
      <c r="AI1958" s="105"/>
      <c r="AJ1958" s="105"/>
      <c r="AK1958" s="105"/>
      <c r="AL1958" s="105"/>
      <c r="AM1958" s="123"/>
      <c r="AN1958" s="105"/>
      <c r="AO1958" s="105"/>
      <c r="AP1958" s="105"/>
      <c r="AQ1958" s="105"/>
      <c r="AR1958" s="105"/>
      <c r="AS1958" s="105"/>
      <c r="AT1958" s="105"/>
      <c r="AU1958" s="105"/>
      <c r="AV1958" s="105"/>
      <c r="AW1958" s="105"/>
      <c r="AX1958" s="105"/>
      <c r="AY1958" s="105"/>
      <c r="AZ1958" s="105"/>
      <c r="BA1958" s="105"/>
    </row>
    <row r="1959" spans="32:92">
      <c r="AF1959" s="105"/>
      <c r="AG1959" s="105"/>
      <c r="AH1959" s="101"/>
      <c r="AI1959" s="105"/>
      <c r="AJ1959" s="105"/>
      <c r="AK1959" s="105"/>
      <c r="AL1959" s="105"/>
      <c r="AM1959" s="123"/>
      <c r="AN1959" s="105"/>
      <c r="AO1959" s="105"/>
      <c r="AP1959" s="105"/>
      <c r="AQ1959" s="105"/>
      <c r="AR1959" s="105"/>
      <c r="AS1959" s="105"/>
      <c r="AT1959" s="105"/>
      <c r="AU1959" s="105"/>
      <c r="AV1959" s="105"/>
      <c r="AW1959" s="105"/>
      <c r="AX1959" s="105"/>
      <c r="AY1959" s="105"/>
      <c r="AZ1959" s="105"/>
      <c r="BA1959" s="105"/>
    </row>
    <row r="1960" spans="32:92">
      <c r="AF1960" s="105"/>
      <c r="AG1960" s="105"/>
      <c r="AH1960" s="101"/>
      <c r="AI1960" s="105"/>
      <c r="AJ1960" s="105"/>
      <c r="AK1960" s="105"/>
      <c r="AL1960" s="105"/>
      <c r="AM1960" s="123"/>
      <c r="AN1960" s="105"/>
      <c r="AO1960" s="105"/>
      <c r="AP1960" s="105"/>
      <c r="AQ1960" s="105"/>
      <c r="AR1960" s="105"/>
      <c r="AS1960" s="105"/>
      <c r="AT1960" s="105"/>
      <c r="AU1960" s="105"/>
      <c r="AV1960" s="105"/>
      <c r="AW1960" s="105"/>
      <c r="AX1960" s="105"/>
      <c r="AY1960" s="105"/>
      <c r="AZ1960" s="105"/>
      <c r="BA1960" s="105"/>
    </row>
    <row r="1961" spans="32:92">
      <c r="AF1961" s="105"/>
      <c r="AG1961" s="105"/>
      <c r="AH1961" s="101"/>
      <c r="AI1961" s="105"/>
      <c r="AJ1961" s="105"/>
      <c r="AK1961" s="105"/>
      <c r="AL1961" s="105"/>
      <c r="AM1961" s="123"/>
      <c r="AN1961" s="105"/>
      <c r="AO1961" s="105"/>
      <c r="AP1961" s="105"/>
      <c r="AQ1961" s="105"/>
      <c r="AR1961" s="105"/>
      <c r="AS1961" s="105"/>
      <c r="AT1961" s="105"/>
      <c r="AU1961" s="105"/>
      <c r="AV1961" s="105"/>
      <c r="AW1961" s="105"/>
      <c r="AX1961" s="105"/>
      <c r="AY1961" s="105"/>
      <c r="AZ1961" s="105"/>
      <c r="BA1961" s="105"/>
    </row>
    <row r="1962" spans="32:92">
      <c r="AF1962" s="105"/>
      <c r="AG1962" s="105"/>
      <c r="AH1962" s="101"/>
      <c r="AI1962" s="105"/>
      <c r="AJ1962" s="105"/>
      <c r="AK1962" s="105"/>
      <c r="AL1962" s="105"/>
      <c r="AM1962" s="123"/>
      <c r="AN1962" s="105"/>
      <c r="AO1962" s="105"/>
      <c r="AP1962" s="105"/>
      <c r="AQ1962" s="105"/>
      <c r="AR1962" s="105"/>
      <c r="AS1962" s="105"/>
      <c r="AT1962" s="105"/>
      <c r="AU1962" s="105"/>
      <c r="AV1962" s="105"/>
      <c r="AW1962" s="105"/>
      <c r="AX1962" s="105"/>
      <c r="AY1962" s="105"/>
      <c r="AZ1962" s="105"/>
      <c r="BA1962" s="105"/>
    </row>
    <row r="1963" spans="32:92">
      <c r="AF1963" s="105"/>
      <c r="AG1963" s="105"/>
      <c r="AH1963" s="101"/>
      <c r="AI1963" s="105"/>
      <c r="AJ1963" s="105"/>
      <c r="AK1963" s="105"/>
      <c r="AL1963" s="105"/>
      <c r="AM1963" s="123"/>
      <c r="AN1963" s="105"/>
      <c r="AO1963" s="105"/>
      <c r="AP1963" s="105"/>
      <c r="AQ1963" s="105"/>
      <c r="AR1963" s="105"/>
      <c r="AS1963" s="105"/>
      <c r="AT1963" s="105"/>
      <c r="AU1963" s="105"/>
      <c r="AV1963" s="105"/>
      <c r="AW1963" s="105"/>
      <c r="AX1963" s="105"/>
      <c r="AY1963" s="105"/>
      <c r="AZ1963" s="105"/>
      <c r="BA1963" s="105"/>
    </row>
    <row r="1964" spans="32:92">
      <c r="AF1964" s="105"/>
      <c r="AG1964" s="105"/>
      <c r="AH1964" s="101"/>
      <c r="AI1964" s="105"/>
      <c r="AJ1964" s="105"/>
      <c r="AK1964" s="105"/>
      <c r="AL1964" s="105"/>
      <c r="AM1964" s="123"/>
      <c r="AN1964" s="105"/>
      <c r="AO1964" s="105"/>
      <c r="AP1964" s="105"/>
      <c r="AQ1964" s="105"/>
      <c r="AR1964" s="105"/>
      <c r="AS1964" s="105"/>
      <c r="AT1964" s="105"/>
      <c r="AU1964" s="105"/>
      <c r="AV1964" s="105"/>
      <c r="AW1964" s="105"/>
      <c r="AX1964" s="105"/>
      <c r="AY1964" s="105"/>
      <c r="AZ1964" s="105"/>
      <c r="BA1964" s="105"/>
    </row>
    <row r="1965" spans="32:92">
      <c r="AF1965" s="105"/>
      <c r="AG1965" s="105"/>
      <c r="AH1965" s="101"/>
      <c r="AI1965" s="105"/>
      <c r="AJ1965" s="105"/>
      <c r="AK1965" s="105"/>
      <c r="AL1965" s="105"/>
      <c r="AM1965" s="123"/>
      <c r="AN1965" s="105"/>
      <c r="AO1965" s="105"/>
      <c r="AP1965" s="105"/>
      <c r="AQ1965" s="105"/>
      <c r="AR1965" s="105"/>
      <c r="AS1965" s="105"/>
      <c r="AT1965" s="105"/>
      <c r="AU1965" s="105"/>
      <c r="AV1965" s="105"/>
      <c r="AW1965" s="105"/>
      <c r="AX1965" s="105"/>
      <c r="AY1965" s="105"/>
      <c r="AZ1965" s="105"/>
      <c r="BA1965" s="105"/>
    </row>
    <row r="1966" spans="32:92">
      <c r="AF1966" s="105"/>
      <c r="AG1966" s="105"/>
      <c r="AH1966" s="101"/>
      <c r="AI1966" s="105"/>
      <c r="AJ1966" s="105"/>
      <c r="AK1966" s="105"/>
      <c r="AL1966" s="105"/>
      <c r="AM1966" s="123"/>
      <c r="AN1966" s="105"/>
      <c r="AO1966" s="105"/>
      <c r="AP1966" s="105"/>
      <c r="AQ1966" s="105"/>
      <c r="AR1966" s="105"/>
      <c r="AS1966" s="105"/>
      <c r="AT1966" s="105"/>
      <c r="AU1966" s="105"/>
      <c r="AV1966" s="105"/>
      <c r="AW1966" s="105"/>
      <c r="AX1966" s="105"/>
      <c r="AY1966" s="105"/>
      <c r="AZ1966" s="105"/>
      <c r="BA1966" s="105"/>
    </row>
    <row r="1967" spans="32:92">
      <c r="AF1967" s="105"/>
      <c r="AG1967" s="105"/>
      <c r="AH1967" s="101"/>
      <c r="AI1967" s="105"/>
      <c r="AJ1967" s="105"/>
      <c r="AK1967" s="105"/>
      <c r="AL1967" s="105"/>
      <c r="AM1967" s="123"/>
      <c r="AN1967" s="105"/>
      <c r="AO1967" s="105"/>
      <c r="AP1967" s="105"/>
      <c r="AQ1967" s="105"/>
      <c r="AR1967" s="105"/>
      <c r="AS1967" s="105"/>
      <c r="AT1967" s="105"/>
      <c r="AU1967" s="105"/>
      <c r="AV1967" s="105"/>
      <c r="AW1967" s="105"/>
      <c r="AX1967" s="105"/>
      <c r="AY1967" s="105"/>
      <c r="AZ1967" s="105"/>
      <c r="BA1967" s="105"/>
    </row>
    <row r="1968" spans="32:92">
      <c r="AF1968" s="105"/>
      <c r="AG1968" s="105"/>
      <c r="AH1968" s="101"/>
      <c r="AI1968" s="105"/>
      <c r="AJ1968" s="105"/>
      <c r="AK1968" s="105"/>
      <c r="AL1968" s="105"/>
      <c r="AM1968" s="123"/>
      <c r="AN1968" s="105"/>
      <c r="AO1968" s="105"/>
      <c r="AP1968" s="105"/>
      <c r="AQ1968" s="105"/>
      <c r="AR1968" s="105"/>
      <c r="AS1968" s="105"/>
      <c r="AT1968" s="105"/>
      <c r="AU1968" s="105"/>
      <c r="AV1968" s="105"/>
      <c r="AW1968" s="105"/>
      <c r="AX1968" s="105"/>
      <c r="AY1968" s="105"/>
      <c r="AZ1968" s="105"/>
      <c r="BA1968" s="105"/>
    </row>
    <row r="1969" spans="32:53">
      <c r="AF1969" s="105"/>
      <c r="AG1969" s="105"/>
      <c r="AH1969" s="101"/>
      <c r="AI1969" s="105"/>
      <c r="AJ1969" s="105"/>
      <c r="AK1969" s="105"/>
      <c r="AL1969" s="105"/>
      <c r="AM1969" s="123"/>
      <c r="AN1969" s="105"/>
      <c r="AO1969" s="105"/>
      <c r="AP1969" s="105"/>
      <c r="AQ1969" s="105"/>
      <c r="AR1969" s="105"/>
      <c r="AS1969" s="105"/>
      <c r="AT1969" s="105"/>
      <c r="AU1969" s="105"/>
      <c r="AV1969" s="105"/>
      <c r="AW1969" s="105"/>
      <c r="AX1969" s="105"/>
      <c r="AY1969" s="105"/>
      <c r="AZ1969" s="105"/>
      <c r="BA1969" s="105"/>
    </row>
    <row r="1970" spans="32:53">
      <c r="AF1970" s="105"/>
      <c r="AG1970" s="105"/>
      <c r="AH1970" s="101"/>
      <c r="AI1970" s="105"/>
      <c r="AJ1970" s="105"/>
      <c r="AK1970" s="105"/>
      <c r="AL1970" s="105"/>
      <c r="AM1970" s="123"/>
      <c r="AN1970" s="105"/>
      <c r="AO1970" s="105"/>
      <c r="AP1970" s="105"/>
      <c r="AQ1970" s="105"/>
      <c r="AR1970" s="105"/>
      <c r="AS1970" s="105"/>
      <c r="AT1970" s="105"/>
      <c r="AU1970" s="105"/>
      <c r="AV1970" s="105"/>
      <c r="AW1970" s="105"/>
      <c r="AX1970" s="105"/>
      <c r="AY1970" s="105"/>
      <c r="AZ1970" s="105"/>
      <c r="BA1970" s="105"/>
    </row>
    <row r="1971" spans="32:53">
      <c r="AF1971" s="105"/>
      <c r="AG1971" s="105"/>
      <c r="AH1971" s="101"/>
      <c r="AI1971" s="105"/>
      <c r="AJ1971" s="105"/>
      <c r="AK1971" s="105"/>
      <c r="AL1971" s="105"/>
      <c r="AM1971" s="123"/>
      <c r="AN1971" s="105"/>
      <c r="AO1971" s="105"/>
      <c r="AP1971" s="105"/>
      <c r="AQ1971" s="105"/>
      <c r="AR1971" s="105"/>
      <c r="AS1971" s="105"/>
      <c r="AT1971" s="105"/>
      <c r="AU1971" s="105"/>
      <c r="AV1971" s="105"/>
      <c r="AW1971" s="105"/>
      <c r="AX1971" s="105"/>
      <c r="AY1971" s="105"/>
      <c r="AZ1971" s="105"/>
      <c r="BA1971" s="105"/>
    </row>
    <row r="1972" spans="32:53">
      <c r="AF1972" s="105"/>
      <c r="AG1972" s="105"/>
      <c r="AH1972" s="101"/>
      <c r="AI1972" s="105"/>
      <c r="AJ1972" s="105"/>
      <c r="AK1972" s="105"/>
      <c r="AL1972" s="105"/>
      <c r="AM1972" s="123"/>
      <c r="AN1972" s="105"/>
      <c r="AO1972" s="105"/>
      <c r="AP1972" s="105"/>
      <c r="AQ1972" s="105"/>
      <c r="AR1972" s="105"/>
      <c r="AS1972" s="105"/>
      <c r="AT1972" s="105"/>
      <c r="AU1972" s="105"/>
      <c r="AV1972" s="105"/>
      <c r="AW1972" s="105"/>
      <c r="AX1972" s="105"/>
      <c r="AY1972" s="105"/>
      <c r="AZ1972" s="105"/>
      <c r="BA1972" s="105"/>
    </row>
    <row r="1973" spans="32:53">
      <c r="AF1973" s="105"/>
      <c r="AG1973" s="105"/>
      <c r="AH1973" s="101"/>
      <c r="AI1973" s="105"/>
      <c r="AJ1973" s="105"/>
      <c r="AK1973" s="105"/>
      <c r="AL1973" s="105"/>
      <c r="AM1973" s="123"/>
      <c r="AN1973" s="105"/>
      <c r="AO1973" s="105"/>
      <c r="AP1973" s="105"/>
      <c r="AQ1973" s="105"/>
      <c r="AR1973" s="105"/>
      <c r="AS1973" s="105"/>
      <c r="AT1973" s="105"/>
      <c r="AU1973" s="105"/>
      <c r="AV1973" s="105"/>
      <c r="AW1973" s="105"/>
      <c r="AX1973" s="105"/>
      <c r="AY1973" s="105"/>
      <c r="AZ1973" s="105"/>
      <c r="BA1973" s="105"/>
    </row>
    <row r="1974" spans="32:53">
      <c r="AF1974" s="105"/>
      <c r="AG1974" s="105"/>
      <c r="AH1974" s="101"/>
      <c r="AI1974" s="105"/>
      <c r="AJ1974" s="105"/>
      <c r="AK1974" s="105"/>
      <c r="AL1974" s="105"/>
      <c r="AM1974" s="123"/>
      <c r="AN1974" s="105"/>
      <c r="AO1974" s="105"/>
      <c r="AP1974" s="105"/>
      <c r="AQ1974" s="105"/>
      <c r="AR1974" s="105"/>
      <c r="AS1974" s="105"/>
      <c r="AT1974" s="105"/>
      <c r="AU1974" s="105"/>
      <c r="AV1974" s="105"/>
      <c r="AW1974" s="105"/>
      <c r="AX1974" s="105"/>
      <c r="AY1974" s="105"/>
      <c r="AZ1974" s="105"/>
      <c r="BA1974" s="105"/>
    </row>
    <row r="1975" spans="32:53">
      <c r="AF1975" s="105"/>
      <c r="AG1975" s="105"/>
      <c r="AH1975" s="101"/>
      <c r="AI1975" s="105"/>
      <c r="AJ1975" s="105"/>
      <c r="AK1975" s="105"/>
      <c r="AL1975" s="105"/>
      <c r="AM1975" s="123"/>
      <c r="AN1975" s="105"/>
      <c r="AO1975" s="105"/>
      <c r="AP1975" s="105"/>
      <c r="AQ1975" s="105"/>
      <c r="AR1975" s="105"/>
      <c r="AS1975" s="105"/>
      <c r="AT1975" s="105"/>
      <c r="AU1975" s="105"/>
      <c r="AV1975" s="105"/>
      <c r="AW1975" s="105"/>
      <c r="AX1975" s="105"/>
      <c r="AY1975" s="105"/>
      <c r="AZ1975" s="105"/>
      <c r="BA1975" s="105"/>
    </row>
    <row r="1976" spans="32:53">
      <c r="AF1976" s="105"/>
      <c r="AG1976" s="105"/>
      <c r="AH1976" s="101"/>
      <c r="AI1976" s="105"/>
      <c r="AJ1976" s="105"/>
      <c r="AK1976" s="105"/>
      <c r="AL1976" s="105"/>
      <c r="AM1976" s="123"/>
      <c r="AN1976" s="105"/>
      <c r="AO1976" s="105"/>
      <c r="AP1976" s="105"/>
      <c r="AQ1976" s="105"/>
      <c r="AR1976" s="105"/>
      <c r="AS1976" s="105"/>
      <c r="AT1976" s="105"/>
      <c r="AU1976" s="105"/>
      <c r="AV1976" s="105"/>
      <c r="AW1976" s="105"/>
      <c r="AX1976" s="105"/>
      <c r="AY1976" s="105"/>
      <c r="AZ1976" s="105"/>
      <c r="BA1976" s="105"/>
    </row>
    <row r="1977" spans="32:53">
      <c r="AF1977" s="105"/>
      <c r="AG1977" s="105"/>
      <c r="AH1977" s="101"/>
      <c r="AI1977" s="105"/>
      <c r="AJ1977" s="105"/>
      <c r="AK1977" s="105"/>
      <c r="AL1977" s="105"/>
      <c r="AM1977" s="123"/>
      <c r="AN1977" s="105"/>
      <c r="AO1977" s="105"/>
      <c r="AP1977" s="105"/>
      <c r="AQ1977" s="105"/>
      <c r="AR1977" s="105"/>
      <c r="AS1977" s="105"/>
      <c r="AT1977" s="105"/>
      <c r="AU1977" s="105"/>
      <c r="AV1977" s="105"/>
      <c r="AW1977" s="105"/>
      <c r="AX1977" s="105"/>
      <c r="AY1977" s="105"/>
      <c r="AZ1977" s="105"/>
      <c r="BA1977" s="105"/>
    </row>
    <row r="1978" spans="32:53">
      <c r="AF1978" s="105"/>
      <c r="AG1978" s="105"/>
      <c r="AH1978" s="101"/>
      <c r="AI1978" s="105"/>
      <c r="AJ1978" s="105"/>
      <c r="AK1978" s="105"/>
      <c r="AL1978" s="105"/>
      <c r="AM1978" s="123"/>
      <c r="AN1978" s="105"/>
      <c r="AO1978" s="105"/>
      <c r="AP1978" s="105"/>
      <c r="AQ1978" s="105"/>
      <c r="AR1978" s="105"/>
      <c r="AS1978" s="105"/>
      <c r="AT1978" s="105"/>
      <c r="AU1978" s="105"/>
      <c r="AV1978" s="105"/>
      <c r="AW1978" s="105"/>
      <c r="AX1978" s="105"/>
      <c r="AY1978" s="105"/>
      <c r="AZ1978" s="105"/>
      <c r="BA1978" s="105"/>
    </row>
    <row r="1979" spans="32:53">
      <c r="AF1979" s="105"/>
      <c r="AG1979" s="105"/>
      <c r="AH1979" s="101"/>
      <c r="AI1979" s="105"/>
      <c r="AJ1979" s="105"/>
      <c r="AK1979" s="105"/>
      <c r="AL1979" s="105"/>
      <c r="AM1979" s="123"/>
      <c r="AN1979" s="105"/>
      <c r="AO1979" s="105"/>
      <c r="AP1979" s="105"/>
      <c r="AQ1979" s="105"/>
      <c r="AR1979" s="105"/>
      <c r="AS1979" s="105"/>
      <c r="AT1979" s="105"/>
      <c r="AU1979" s="105"/>
      <c r="AV1979" s="105"/>
      <c r="AW1979" s="105"/>
      <c r="AX1979" s="105"/>
      <c r="AY1979" s="105"/>
      <c r="AZ1979" s="105"/>
      <c r="BA1979" s="105"/>
    </row>
    <row r="1980" spans="32:53">
      <c r="AF1980" s="105"/>
      <c r="AG1980" s="105"/>
      <c r="AH1980" s="101"/>
      <c r="AI1980" s="105"/>
      <c r="AJ1980" s="105"/>
      <c r="AK1980" s="105"/>
      <c r="AL1980" s="105"/>
      <c r="AM1980" s="123"/>
      <c r="AN1980" s="105"/>
      <c r="AO1980" s="105"/>
      <c r="AP1980" s="105"/>
      <c r="AQ1980" s="105"/>
      <c r="AR1980" s="105"/>
      <c r="AS1980" s="105"/>
      <c r="AT1980" s="105"/>
      <c r="AU1980" s="105"/>
      <c r="AV1980" s="105"/>
      <c r="AW1980" s="105"/>
      <c r="AX1980" s="105"/>
      <c r="AY1980" s="105"/>
      <c r="AZ1980" s="105"/>
      <c r="BA1980" s="105"/>
    </row>
    <row r="1981" spans="32:53">
      <c r="AF1981" s="105"/>
      <c r="AG1981" s="105"/>
      <c r="AH1981" s="101"/>
      <c r="AI1981" s="105"/>
      <c r="AJ1981" s="105"/>
      <c r="AK1981" s="105"/>
      <c r="AL1981" s="105"/>
      <c r="AM1981" s="123"/>
      <c r="AN1981" s="105"/>
      <c r="AO1981" s="105"/>
      <c r="AP1981" s="105"/>
      <c r="AQ1981" s="105"/>
      <c r="AR1981" s="105"/>
      <c r="AS1981" s="105"/>
      <c r="AT1981" s="105"/>
      <c r="AU1981" s="105"/>
      <c r="AV1981" s="105"/>
      <c r="AW1981" s="105"/>
      <c r="AX1981" s="105"/>
      <c r="AY1981" s="105"/>
      <c r="AZ1981" s="105"/>
      <c r="BA1981" s="105"/>
    </row>
    <row r="1982" spans="32:53">
      <c r="AF1982" s="105"/>
      <c r="AG1982" s="105"/>
      <c r="AH1982" s="101"/>
      <c r="AI1982" s="105"/>
      <c r="AJ1982" s="105"/>
      <c r="AK1982" s="105"/>
      <c r="AL1982" s="105"/>
      <c r="AM1982" s="123"/>
      <c r="AN1982" s="105"/>
      <c r="AO1982" s="105"/>
      <c r="AP1982" s="105"/>
      <c r="AQ1982" s="105"/>
      <c r="AR1982" s="105"/>
      <c r="AS1982" s="105"/>
      <c r="AT1982" s="105"/>
      <c r="AU1982" s="105"/>
      <c r="AV1982" s="105"/>
      <c r="AW1982" s="105"/>
      <c r="AX1982" s="105"/>
      <c r="AY1982" s="105"/>
      <c r="AZ1982" s="105"/>
      <c r="BA1982" s="105"/>
    </row>
    <row r="1983" spans="32:53">
      <c r="AF1983" s="105"/>
      <c r="AG1983" s="105"/>
      <c r="AH1983" s="101"/>
      <c r="AI1983" s="105"/>
      <c r="AJ1983" s="105"/>
      <c r="AK1983" s="105"/>
      <c r="AL1983" s="105"/>
      <c r="AM1983" s="123"/>
      <c r="AN1983" s="105"/>
      <c r="AO1983" s="105"/>
      <c r="AP1983" s="105"/>
      <c r="AQ1983" s="105"/>
      <c r="AR1983" s="105"/>
      <c r="AS1983" s="105"/>
      <c r="AT1983" s="105"/>
      <c r="AU1983" s="105"/>
      <c r="AV1983" s="105"/>
      <c r="AW1983" s="105"/>
      <c r="AX1983" s="105"/>
      <c r="AY1983" s="105"/>
      <c r="AZ1983" s="105"/>
      <c r="BA1983" s="105"/>
    </row>
    <row r="1984" spans="32:53">
      <c r="AF1984" s="105"/>
      <c r="AG1984" s="105"/>
      <c r="AH1984" s="101"/>
      <c r="AI1984" s="105"/>
      <c r="AJ1984" s="105"/>
      <c r="AK1984" s="105"/>
      <c r="AL1984" s="105"/>
      <c r="AM1984" s="123"/>
      <c r="AN1984" s="105"/>
      <c r="AO1984" s="105"/>
      <c r="AP1984" s="105"/>
      <c r="AQ1984" s="105"/>
      <c r="AR1984" s="105"/>
      <c r="AS1984" s="105"/>
      <c r="AT1984" s="105"/>
      <c r="AU1984" s="105"/>
      <c r="AV1984" s="105"/>
      <c r="AW1984" s="105"/>
      <c r="AX1984" s="105"/>
      <c r="AY1984" s="105"/>
      <c r="AZ1984" s="105"/>
      <c r="BA1984" s="105"/>
    </row>
    <row r="1985" spans="32:53">
      <c r="AF1985" s="105"/>
      <c r="AG1985" s="105"/>
      <c r="AH1985" s="101"/>
      <c r="AI1985" s="105"/>
      <c r="AJ1985" s="105"/>
      <c r="AK1985" s="105"/>
      <c r="AL1985" s="105"/>
      <c r="AM1985" s="123"/>
      <c r="AN1985" s="105"/>
      <c r="AO1985" s="105"/>
      <c r="AP1985" s="105"/>
      <c r="AQ1985" s="105"/>
      <c r="AR1985" s="105"/>
      <c r="AS1985" s="105"/>
      <c r="AT1985" s="105"/>
      <c r="AU1985" s="105"/>
      <c r="AV1985" s="105"/>
      <c r="AW1985" s="105"/>
      <c r="AX1985" s="105"/>
      <c r="AY1985" s="105"/>
      <c r="AZ1985" s="105"/>
      <c r="BA1985" s="105"/>
    </row>
    <row r="1986" spans="32:53">
      <c r="AF1986" s="105"/>
      <c r="AG1986" s="105"/>
      <c r="AH1986" s="101"/>
      <c r="AI1986" s="105"/>
      <c r="AJ1986" s="105"/>
      <c r="AK1986" s="105"/>
      <c r="AL1986" s="105"/>
      <c r="AM1986" s="123"/>
      <c r="AN1986" s="105"/>
      <c r="AO1986" s="105"/>
      <c r="AP1986" s="105"/>
      <c r="AQ1986" s="105"/>
      <c r="AR1986" s="105"/>
      <c r="AS1986" s="105"/>
      <c r="AT1986" s="105"/>
      <c r="AU1986" s="105"/>
      <c r="AV1986" s="105"/>
      <c r="AW1986" s="105"/>
      <c r="AX1986" s="105"/>
      <c r="AY1986" s="105"/>
      <c r="AZ1986" s="105"/>
      <c r="BA1986" s="105"/>
    </row>
    <row r="1987" spans="32:53">
      <c r="AF1987" s="105"/>
      <c r="AG1987" s="105"/>
      <c r="AH1987" s="101"/>
      <c r="AI1987" s="105"/>
      <c r="AJ1987" s="105"/>
      <c r="AK1987" s="105"/>
      <c r="AL1987" s="105"/>
      <c r="AM1987" s="123"/>
      <c r="AN1987" s="105"/>
      <c r="AO1987" s="105"/>
      <c r="AP1987" s="105"/>
      <c r="AQ1987" s="105"/>
      <c r="AR1987" s="105"/>
      <c r="AS1987" s="105"/>
      <c r="AT1987" s="105"/>
      <c r="AU1987" s="105"/>
      <c r="AV1987" s="105"/>
      <c r="AW1987" s="105"/>
      <c r="AX1987" s="105"/>
      <c r="AY1987" s="105"/>
      <c r="AZ1987" s="105"/>
      <c r="BA1987" s="105"/>
    </row>
    <row r="1988" spans="32:53">
      <c r="AF1988" s="105"/>
      <c r="AG1988" s="105"/>
      <c r="AH1988" s="101"/>
      <c r="AI1988" s="105"/>
      <c r="AJ1988" s="105"/>
      <c r="AK1988" s="105"/>
      <c r="AL1988" s="105"/>
      <c r="AM1988" s="123"/>
      <c r="AN1988" s="105"/>
      <c r="AO1988" s="105"/>
      <c r="AP1988" s="105"/>
      <c r="AQ1988" s="105"/>
      <c r="AR1988" s="105"/>
      <c r="AS1988" s="105"/>
      <c r="AT1988" s="105"/>
      <c r="AU1988" s="105"/>
      <c r="AV1988" s="105"/>
      <c r="AW1988" s="105"/>
      <c r="AX1988" s="105"/>
      <c r="AY1988" s="105"/>
      <c r="AZ1988" s="105"/>
      <c r="BA1988" s="105"/>
    </row>
    <row r="1989" spans="32:53">
      <c r="AF1989" s="105"/>
      <c r="AG1989" s="105"/>
      <c r="AH1989" s="101"/>
      <c r="AI1989" s="105"/>
      <c r="AJ1989" s="105"/>
      <c r="AK1989" s="105"/>
      <c r="AL1989" s="105"/>
      <c r="AM1989" s="123"/>
      <c r="AN1989" s="105"/>
      <c r="AO1989" s="105"/>
      <c r="AP1989" s="105"/>
      <c r="AQ1989" s="105"/>
      <c r="AR1989" s="105"/>
      <c r="AS1989" s="105"/>
      <c r="AT1989" s="105"/>
      <c r="AU1989" s="105"/>
      <c r="AV1989" s="105"/>
      <c r="AW1989" s="105"/>
      <c r="AX1989" s="105"/>
      <c r="AY1989" s="105"/>
      <c r="AZ1989" s="105"/>
      <c r="BA1989" s="105"/>
    </row>
    <row r="1990" spans="32:53">
      <c r="AF1990" s="105"/>
      <c r="AG1990" s="105"/>
      <c r="AH1990" s="101"/>
      <c r="AI1990" s="105"/>
      <c r="AJ1990" s="105"/>
      <c r="AK1990" s="105"/>
      <c r="AL1990" s="105"/>
      <c r="AM1990" s="123"/>
      <c r="AN1990" s="105"/>
      <c r="AO1990" s="105"/>
      <c r="AP1990" s="105"/>
      <c r="AQ1990" s="105"/>
      <c r="AR1990" s="105"/>
      <c r="AS1990" s="105"/>
      <c r="AT1990" s="105"/>
      <c r="AU1990" s="105"/>
      <c r="AV1990" s="105"/>
      <c r="AW1990" s="105"/>
      <c r="AX1990" s="105"/>
      <c r="AY1990" s="105"/>
      <c r="AZ1990" s="105"/>
      <c r="BA1990" s="105"/>
    </row>
    <row r="1991" spans="32:53">
      <c r="AF1991" s="105"/>
      <c r="AG1991" s="105"/>
      <c r="AH1991" s="101"/>
      <c r="AI1991" s="105"/>
      <c r="AJ1991" s="105"/>
      <c r="AK1991" s="105"/>
      <c r="AL1991" s="105"/>
      <c r="AM1991" s="123"/>
      <c r="AN1991" s="105"/>
      <c r="AO1991" s="105"/>
      <c r="AP1991" s="105"/>
      <c r="AQ1991" s="105"/>
      <c r="AR1991" s="105"/>
      <c r="AS1991" s="105"/>
      <c r="AT1991" s="105"/>
      <c r="AU1991" s="105"/>
      <c r="AV1991" s="105"/>
      <c r="AW1991" s="105"/>
      <c r="AX1991" s="105"/>
      <c r="AY1991" s="105"/>
      <c r="AZ1991" s="105"/>
      <c r="BA1991" s="105"/>
    </row>
    <row r="1992" spans="32:53">
      <c r="AF1992" s="105"/>
      <c r="AG1992" s="105"/>
      <c r="AH1992" s="101"/>
      <c r="AI1992" s="105"/>
      <c r="AJ1992" s="105"/>
      <c r="AK1992" s="105"/>
      <c r="AL1992" s="105"/>
      <c r="AM1992" s="123"/>
      <c r="AN1992" s="105"/>
      <c r="AO1992" s="105"/>
      <c r="AP1992" s="105"/>
      <c r="AQ1992" s="105"/>
      <c r="AR1992" s="105"/>
      <c r="AS1992" s="105"/>
      <c r="AT1992" s="105"/>
      <c r="AU1992" s="105"/>
      <c r="AV1992" s="105"/>
      <c r="AW1992" s="105"/>
      <c r="AX1992" s="105"/>
      <c r="AY1992" s="105"/>
      <c r="AZ1992" s="105"/>
      <c r="BA1992" s="105"/>
    </row>
    <row r="1993" spans="32:53">
      <c r="AF1993" s="105"/>
      <c r="AG1993" s="105"/>
      <c r="AH1993" s="101"/>
      <c r="AI1993" s="105"/>
      <c r="AJ1993" s="105"/>
      <c r="AK1993" s="105"/>
      <c r="AL1993" s="105"/>
      <c r="AM1993" s="123"/>
      <c r="AN1993" s="105"/>
      <c r="AO1993" s="105"/>
      <c r="AP1993" s="105"/>
      <c r="AQ1993" s="105"/>
      <c r="AR1993" s="105"/>
      <c r="AS1993" s="105"/>
      <c r="AT1993" s="105"/>
      <c r="AU1993" s="105"/>
      <c r="AV1993" s="105"/>
      <c r="AW1993" s="105"/>
      <c r="AX1993" s="105"/>
      <c r="AY1993" s="105"/>
      <c r="AZ1993" s="105"/>
      <c r="BA1993" s="105"/>
    </row>
    <row r="1994" spans="32:53">
      <c r="AF1994" s="105"/>
      <c r="AG1994" s="105"/>
      <c r="AH1994" s="101"/>
      <c r="AI1994" s="105"/>
      <c r="AJ1994" s="105"/>
      <c r="AK1994" s="105"/>
      <c r="AL1994" s="105"/>
      <c r="AM1994" s="123"/>
      <c r="AN1994" s="105"/>
      <c r="AO1994" s="105"/>
      <c r="AP1994" s="105"/>
      <c r="AQ1994" s="105"/>
      <c r="AR1994" s="105"/>
      <c r="AS1994" s="105"/>
      <c r="AT1994" s="105"/>
      <c r="AU1994" s="105"/>
      <c r="AV1994" s="105"/>
      <c r="AW1994" s="105"/>
      <c r="AX1994" s="105"/>
      <c r="AY1994" s="105"/>
      <c r="AZ1994" s="105"/>
      <c r="BA1994" s="105"/>
    </row>
    <row r="1995" spans="32:53">
      <c r="AF1995" s="105"/>
      <c r="AG1995" s="105"/>
      <c r="AH1995" s="101"/>
      <c r="AI1995" s="105"/>
      <c r="AJ1995" s="105"/>
      <c r="AK1995" s="105"/>
      <c r="AL1995" s="105"/>
      <c r="AM1995" s="123"/>
      <c r="AN1995" s="105"/>
      <c r="AO1995" s="105"/>
      <c r="AP1995" s="105"/>
      <c r="AQ1995" s="105"/>
      <c r="AR1995" s="105"/>
      <c r="AS1995" s="105"/>
      <c r="AT1995" s="105"/>
      <c r="AU1995" s="105"/>
      <c r="AV1995" s="105"/>
      <c r="AW1995" s="105"/>
      <c r="AX1995" s="105"/>
      <c r="AY1995" s="105"/>
      <c r="AZ1995" s="105"/>
      <c r="BA1995" s="105"/>
    </row>
    <row r="1996" spans="32:53">
      <c r="AF1996" s="105"/>
      <c r="AG1996" s="105"/>
      <c r="AH1996" s="101"/>
      <c r="AI1996" s="105"/>
      <c r="AJ1996" s="105"/>
      <c r="AK1996" s="105"/>
      <c r="AL1996" s="105"/>
      <c r="AM1996" s="123"/>
      <c r="AN1996" s="105"/>
      <c r="AO1996" s="105"/>
      <c r="AP1996" s="105"/>
      <c r="AQ1996" s="105"/>
      <c r="AR1996" s="105"/>
      <c r="AS1996" s="105"/>
      <c r="AT1996" s="105"/>
      <c r="AU1996" s="105"/>
      <c r="AV1996" s="105"/>
      <c r="AW1996" s="105"/>
      <c r="AX1996" s="105"/>
      <c r="AY1996" s="105"/>
      <c r="AZ1996" s="105"/>
      <c r="BA1996" s="105"/>
    </row>
    <row r="1997" spans="32:53">
      <c r="AF1997" s="105"/>
      <c r="AG1997" s="105"/>
      <c r="AH1997" s="101"/>
      <c r="AI1997" s="105"/>
      <c r="AJ1997" s="105"/>
      <c r="AK1997" s="105"/>
      <c r="AL1997" s="105"/>
      <c r="AM1997" s="123"/>
      <c r="AN1997" s="105"/>
      <c r="AO1997" s="105"/>
      <c r="AP1997" s="105"/>
      <c r="AQ1997" s="105"/>
      <c r="AR1997" s="105"/>
      <c r="AS1997" s="105"/>
      <c r="AT1997" s="105"/>
      <c r="AU1997" s="105"/>
      <c r="AV1997" s="105"/>
      <c r="AW1997" s="105"/>
      <c r="AX1997" s="105"/>
      <c r="AY1997" s="105"/>
      <c r="AZ1997" s="105"/>
      <c r="BA1997" s="105"/>
    </row>
    <row r="1998" spans="32:53">
      <c r="AF1998" s="105"/>
      <c r="AG1998" s="105"/>
      <c r="AH1998" s="101"/>
      <c r="AI1998" s="105"/>
      <c r="AJ1998" s="105"/>
      <c r="AK1998" s="105"/>
      <c r="AL1998" s="105"/>
      <c r="AM1998" s="123"/>
      <c r="AN1998" s="105"/>
      <c r="AO1998" s="105"/>
      <c r="AP1998" s="105"/>
      <c r="AQ1998" s="105"/>
      <c r="AR1998" s="105"/>
      <c r="AS1998" s="105"/>
      <c r="AT1998" s="105"/>
      <c r="AU1998" s="105"/>
      <c r="AV1998" s="105"/>
      <c r="AW1998" s="105"/>
      <c r="AX1998" s="105"/>
      <c r="AY1998" s="105"/>
      <c r="AZ1998" s="105"/>
      <c r="BA1998" s="105"/>
    </row>
    <row r="1999" spans="32:53">
      <c r="AF1999" s="105"/>
      <c r="AG1999" s="105"/>
      <c r="AH1999" s="101"/>
      <c r="AI1999" s="105"/>
      <c r="AJ1999" s="105"/>
      <c r="AK1999" s="105"/>
      <c r="AL1999" s="105"/>
      <c r="AM1999" s="123"/>
      <c r="AN1999" s="105"/>
      <c r="AO1999" s="105"/>
      <c r="AP1999" s="105"/>
      <c r="AQ1999" s="105"/>
      <c r="AR1999" s="105"/>
      <c r="AS1999" s="105"/>
      <c r="AT1999" s="105"/>
      <c r="AU1999" s="105"/>
      <c r="AV1999" s="105"/>
      <c r="AW1999" s="105"/>
      <c r="AX1999" s="105"/>
      <c r="AY1999" s="105"/>
      <c r="AZ1999" s="105"/>
      <c r="BA1999" s="105"/>
    </row>
    <row r="2000" spans="32:53">
      <c r="AF2000" s="105"/>
      <c r="AG2000" s="105"/>
      <c r="AH2000" s="101"/>
      <c r="AI2000" s="105"/>
      <c r="AJ2000" s="105"/>
      <c r="AK2000" s="105"/>
      <c r="AL2000" s="105"/>
      <c r="AM2000" s="123"/>
      <c r="AN2000" s="105"/>
      <c r="AO2000" s="105"/>
      <c r="AP2000" s="105"/>
      <c r="AQ2000" s="105"/>
      <c r="AR2000" s="105"/>
      <c r="AS2000" s="105"/>
      <c r="AT2000" s="105"/>
      <c r="AU2000" s="105"/>
      <c r="AV2000" s="105"/>
      <c r="AW2000" s="105"/>
      <c r="AX2000" s="105"/>
      <c r="AY2000" s="105"/>
      <c r="AZ2000" s="105"/>
      <c r="BA2000" s="105"/>
    </row>
    <row r="2001" spans="32:53">
      <c r="AF2001" s="105"/>
      <c r="AG2001" s="105"/>
      <c r="AH2001" s="101"/>
      <c r="AI2001" s="105"/>
      <c r="AJ2001" s="105"/>
      <c r="AK2001" s="105"/>
      <c r="AL2001" s="105"/>
      <c r="AM2001" s="123"/>
      <c r="AN2001" s="105"/>
      <c r="AO2001" s="105"/>
      <c r="AP2001" s="105"/>
      <c r="AQ2001" s="105"/>
      <c r="AR2001" s="105"/>
      <c r="AS2001" s="105"/>
      <c r="AT2001" s="105"/>
      <c r="AU2001" s="105"/>
      <c r="AV2001" s="105"/>
      <c r="AW2001" s="105"/>
      <c r="AX2001" s="105"/>
      <c r="AY2001" s="105"/>
      <c r="AZ2001" s="105"/>
      <c r="BA2001" s="105"/>
    </row>
    <row r="2002" spans="32:53">
      <c r="AF2002" s="105"/>
      <c r="AG2002" s="105"/>
      <c r="AH2002" s="101"/>
      <c r="AI2002" s="105"/>
      <c r="AJ2002" s="105"/>
      <c r="AK2002" s="105"/>
      <c r="AL2002" s="105"/>
      <c r="AM2002" s="123"/>
      <c r="AN2002" s="105"/>
      <c r="AO2002" s="105"/>
      <c r="AP2002" s="105"/>
      <c r="AQ2002" s="105"/>
      <c r="AR2002" s="105"/>
      <c r="AS2002" s="105"/>
      <c r="AT2002" s="105"/>
      <c r="AU2002" s="105"/>
      <c r="AV2002" s="105"/>
      <c r="AW2002" s="105"/>
      <c r="AX2002" s="105"/>
      <c r="AY2002" s="105"/>
      <c r="AZ2002" s="105"/>
      <c r="BA2002" s="105"/>
    </row>
    <row r="2003" spans="32:53">
      <c r="AF2003" s="105"/>
      <c r="AG2003" s="105"/>
      <c r="AH2003" s="101"/>
      <c r="AI2003" s="105"/>
      <c r="AJ2003" s="105"/>
      <c r="AK2003" s="105"/>
      <c r="AL2003" s="105"/>
      <c r="AM2003" s="123"/>
      <c r="AN2003" s="105"/>
      <c r="AO2003" s="105"/>
      <c r="AP2003" s="105"/>
      <c r="AQ2003" s="105"/>
      <c r="AR2003" s="105"/>
      <c r="AS2003" s="105"/>
      <c r="AT2003" s="105"/>
      <c r="AU2003" s="105"/>
      <c r="AV2003" s="105"/>
      <c r="AW2003" s="105"/>
      <c r="AX2003" s="105"/>
      <c r="AY2003" s="105"/>
      <c r="AZ2003" s="105"/>
      <c r="BA2003" s="105"/>
    </row>
    <row r="2004" spans="32:53">
      <c r="AG2004" s="101"/>
      <c r="AH2004" s="101"/>
      <c r="AI2004" s="101"/>
      <c r="AJ2004" s="101"/>
      <c r="AK2004" s="101"/>
      <c r="AM2004" s="195"/>
      <c r="AT2004" s="101"/>
      <c r="AU2004" s="101"/>
      <c r="AV2004" s="101"/>
      <c r="AW2004" s="101"/>
      <c r="AX2004" s="101"/>
      <c r="AY2004" s="101"/>
      <c r="AZ2004" s="101"/>
      <c r="BA2004" s="101"/>
    </row>
    <row r="2005" spans="32:53">
      <c r="AG2005" s="101"/>
      <c r="AH2005" s="101"/>
      <c r="AI2005" s="101"/>
      <c r="AJ2005" s="101"/>
      <c r="AK2005" s="101"/>
      <c r="AM2005" s="195"/>
      <c r="AT2005" s="101"/>
      <c r="AU2005" s="101"/>
      <c r="AV2005" s="101"/>
      <c r="AW2005" s="101"/>
      <c r="AX2005" s="101"/>
      <c r="AY2005" s="101"/>
      <c r="AZ2005" s="101"/>
      <c r="BA2005" s="101"/>
    </row>
    <row r="2006" spans="32:53">
      <c r="AG2006" s="101"/>
      <c r="AH2006" s="101"/>
      <c r="AI2006" s="101"/>
      <c r="AJ2006" s="101"/>
      <c r="AK2006" s="101"/>
      <c r="AM2006" s="195"/>
      <c r="AT2006" s="101"/>
      <c r="AU2006" s="101"/>
      <c r="AV2006" s="101"/>
      <c r="AW2006" s="101"/>
      <c r="AX2006" s="101"/>
      <c r="AY2006" s="101"/>
      <c r="AZ2006" s="101"/>
      <c r="BA2006" s="101"/>
    </row>
    <row r="2007" spans="32:53">
      <c r="AG2007" s="101"/>
      <c r="AH2007" s="101"/>
      <c r="AI2007" s="101"/>
      <c r="AJ2007" s="101"/>
      <c r="AK2007" s="101"/>
      <c r="AM2007" s="195"/>
      <c r="AT2007" s="101"/>
      <c r="AU2007" s="101"/>
      <c r="AV2007" s="101"/>
      <c r="AW2007" s="101"/>
      <c r="AX2007" s="101"/>
      <c r="AY2007" s="101"/>
      <c r="AZ2007" s="101"/>
      <c r="BA2007" s="101"/>
    </row>
    <row r="2008" spans="32:53">
      <c r="AG2008" s="101"/>
      <c r="AH2008" s="101"/>
      <c r="AI2008" s="101"/>
      <c r="AJ2008" s="101"/>
      <c r="AK2008" s="101"/>
      <c r="AM2008" s="195"/>
      <c r="AT2008" s="101"/>
      <c r="AU2008" s="101"/>
      <c r="AV2008" s="101"/>
      <c r="AW2008" s="101"/>
      <c r="AX2008" s="101"/>
      <c r="AY2008" s="101"/>
      <c r="AZ2008" s="101"/>
      <c r="BA2008" s="101"/>
    </row>
    <row r="2009" spans="32:53">
      <c r="AG2009" s="101"/>
      <c r="AH2009" s="101"/>
      <c r="AI2009" s="101"/>
      <c r="AJ2009" s="101"/>
      <c r="AK2009" s="101"/>
      <c r="AM2009" s="195"/>
      <c r="AT2009" s="101"/>
      <c r="AU2009" s="101"/>
      <c r="AV2009" s="101"/>
      <c r="AW2009" s="101"/>
      <c r="AX2009" s="101"/>
      <c r="AY2009" s="101"/>
      <c r="AZ2009" s="101"/>
      <c r="BA2009" s="101"/>
    </row>
    <row r="2010" spans="32:53">
      <c r="AG2010" s="101"/>
      <c r="AH2010" s="101"/>
      <c r="AI2010" s="101"/>
      <c r="AJ2010" s="101"/>
      <c r="AK2010" s="101"/>
      <c r="AM2010" s="195"/>
      <c r="AT2010" s="101"/>
      <c r="AU2010" s="101"/>
      <c r="AV2010" s="101"/>
      <c r="AW2010" s="101"/>
      <c r="AX2010" s="101"/>
      <c r="AY2010" s="101"/>
      <c r="AZ2010" s="101"/>
      <c r="BA2010" s="101"/>
    </row>
    <row r="2011" spans="32:53">
      <c r="AG2011" s="101"/>
      <c r="AH2011" s="101"/>
      <c r="AI2011" s="101"/>
      <c r="AJ2011" s="101"/>
      <c r="AK2011" s="101"/>
      <c r="AM2011" s="195"/>
      <c r="AT2011" s="101"/>
      <c r="AU2011" s="101"/>
      <c r="AV2011" s="101"/>
      <c r="AW2011" s="101"/>
      <c r="AX2011" s="101"/>
      <c r="AY2011" s="101"/>
      <c r="AZ2011" s="101"/>
      <c r="BA2011" s="101"/>
    </row>
    <row r="2012" spans="32:53">
      <c r="AG2012" s="101"/>
      <c r="AH2012" s="101"/>
      <c r="AI2012" s="101"/>
      <c r="AJ2012" s="101"/>
      <c r="AK2012" s="101"/>
      <c r="AM2012" s="195"/>
      <c r="AT2012" s="101"/>
      <c r="AU2012" s="101"/>
      <c r="AV2012" s="101"/>
      <c r="AW2012" s="101"/>
      <c r="AX2012" s="101"/>
      <c r="AY2012" s="101"/>
      <c r="AZ2012" s="101"/>
      <c r="BA2012" s="101"/>
    </row>
    <row r="2013" spans="32:53">
      <c r="AG2013" s="101"/>
      <c r="AH2013" s="101"/>
      <c r="AI2013" s="101"/>
      <c r="AJ2013" s="101"/>
      <c r="AK2013" s="101"/>
      <c r="AM2013" s="195"/>
      <c r="AT2013" s="101"/>
      <c r="AU2013" s="101"/>
      <c r="AV2013" s="101"/>
      <c r="AW2013" s="101"/>
      <c r="AX2013" s="101"/>
      <c r="AY2013" s="101"/>
      <c r="AZ2013" s="101"/>
      <c r="BA2013" s="101"/>
    </row>
    <row r="2014" spans="32:53">
      <c r="AG2014" s="101"/>
      <c r="AH2014" s="101"/>
      <c r="AI2014" s="101"/>
      <c r="AJ2014" s="101"/>
      <c r="AK2014" s="101"/>
      <c r="AM2014" s="195"/>
      <c r="AT2014" s="101"/>
      <c r="AU2014" s="101"/>
      <c r="AV2014" s="101"/>
      <c r="AW2014" s="101"/>
      <c r="AX2014" s="101"/>
      <c r="AY2014" s="101"/>
      <c r="AZ2014" s="101"/>
      <c r="BA2014" s="101"/>
    </row>
    <row r="2015" spans="32:53">
      <c r="AG2015" s="101"/>
      <c r="AH2015" s="101"/>
      <c r="AI2015" s="101"/>
      <c r="AJ2015" s="101"/>
      <c r="AK2015" s="101"/>
      <c r="AM2015" s="195"/>
      <c r="AT2015" s="101"/>
      <c r="AU2015" s="101"/>
      <c r="AV2015" s="101"/>
      <c r="AW2015" s="101"/>
      <c r="AX2015" s="101"/>
      <c r="AY2015" s="101"/>
      <c r="AZ2015" s="101"/>
      <c r="BA2015" s="101"/>
    </row>
    <row r="2016" spans="32:53">
      <c r="AG2016" s="101"/>
      <c r="AH2016" s="101"/>
      <c r="AI2016" s="101"/>
      <c r="AJ2016" s="101"/>
      <c r="AK2016" s="101"/>
      <c r="AM2016" s="195"/>
      <c r="AT2016" s="101"/>
      <c r="AU2016" s="101"/>
      <c r="AV2016" s="101"/>
      <c r="AW2016" s="101"/>
      <c r="AX2016" s="101"/>
      <c r="AY2016" s="101"/>
      <c r="AZ2016" s="101"/>
      <c r="BA2016" s="101"/>
    </row>
    <row r="2017" spans="33:53">
      <c r="AG2017" s="101"/>
      <c r="AH2017" s="101"/>
      <c r="AI2017" s="101"/>
      <c r="AJ2017" s="101"/>
      <c r="AK2017" s="101"/>
      <c r="AM2017" s="195"/>
      <c r="AT2017" s="101"/>
      <c r="AU2017" s="101"/>
      <c r="AV2017" s="101"/>
      <c r="AW2017" s="101"/>
      <c r="AX2017" s="101"/>
      <c r="AY2017" s="101"/>
      <c r="AZ2017" s="101"/>
      <c r="BA2017" s="101"/>
    </row>
    <row r="2018" spans="33:53">
      <c r="AG2018" s="101"/>
      <c r="AH2018" s="101"/>
      <c r="AI2018" s="101"/>
      <c r="AJ2018" s="101"/>
      <c r="AK2018" s="101"/>
      <c r="AM2018" s="195"/>
      <c r="AT2018" s="101"/>
      <c r="AU2018" s="101"/>
      <c r="AV2018" s="101"/>
      <c r="AW2018" s="101"/>
      <c r="AX2018" s="101"/>
      <c r="AY2018" s="101"/>
      <c r="AZ2018" s="101"/>
      <c r="BA2018" s="101"/>
    </row>
    <row r="2019" spans="33:53">
      <c r="AG2019" s="101"/>
      <c r="AH2019" s="101"/>
      <c r="AI2019" s="101"/>
      <c r="AJ2019" s="101"/>
      <c r="AK2019" s="101"/>
      <c r="AM2019" s="195"/>
      <c r="AT2019" s="101"/>
      <c r="AU2019" s="101"/>
      <c r="AV2019" s="101"/>
      <c r="AW2019" s="101"/>
      <c r="AX2019" s="101"/>
      <c r="AY2019" s="101"/>
      <c r="AZ2019" s="101"/>
      <c r="BA2019" s="101"/>
    </row>
    <row r="2020" spans="33:53">
      <c r="AG2020" s="101"/>
      <c r="AH2020" s="101"/>
      <c r="AI2020" s="101"/>
      <c r="AJ2020" s="101"/>
      <c r="AK2020" s="101"/>
      <c r="AM2020" s="195"/>
      <c r="AT2020" s="101"/>
      <c r="AU2020" s="101"/>
      <c r="AV2020" s="101"/>
      <c r="AW2020" s="101"/>
      <c r="AX2020" s="101"/>
      <c r="AY2020" s="101"/>
      <c r="AZ2020" s="101"/>
      <c r="BA2020" s="101"/>
    </row>
    <row r="2021" spans="33:53">
      <c r="AG2021" s="101"/>
      <c r="AH2021" s="101"/>
      <c r="AI2021" s="101"/>
      <c r="AJ2021" s="101"/>
      <c r="AK2021" s="101"/>
      <c r="AM2021" s="195"/>
      <c r="AT2021" s="101"/>
      <c r="AU2021" s="101"/>
      <c r="AV2021" s="101"/>
      <c r="AW2021" s="101"/>
      <c r="AX2021" s="101"/>
      <c r="AY2021" s="101"/>
      <c r="AZ2021" s="101"/>
      <c r="BA2021" s="101"/>
    </row>
    <row r="2022" spans="33:53">
      <c r="AG2022" s="101"/>
      <c r="AH2022" s="101"/>
      <c r="AI2022" s="101"/>
      <c r="AJ2022" s="101"/>
      <c r="AK2022" s="101"/>
      <c r="AM2022" s="195"/>
      <c r="AT2022" s="101"/>
      <c r="AU2022" s="101"/>
      <c r="AV2022" s="101"/>
      <c r="AW2022" s="101"/>
      <c r="AX2022" s="101"/>
      <c r="AY2022" s="101"/>
      <c r="AZ2022" s="101"/>
      <c r="BA2022" s="101"/>
    </row>
    <row r="2023" spans="33:53">
      <c r="AG2023" s="101"/>
      <c r="AH2023" s="101"/>
      <c r="AI2023" s="101"/>
      <c r="AJ2023" s="101"/>
      <c r="AK2023" s="101"/>
      <c r="AM2023" s="195"/>
      <c r="AT2023" s="101"/>
      <c r="AU2023" s="101"/>
      <c r="AV2023" s="101"/>
      <c r="AW2023" s="101"/>
      <c r="AX2023" s="101"/>
      <c r="AY2023" s="101"/>
      <c r="AZ2023" s="101"/>
      <c r="BA2023" s="101"/>
    </row>
    <row r="2024" spans="33:53">
      <c r="AG2024" s="101"/>
      <c r="AH2024" s="101"/>
      <c r="AI2024" s="101"/>
      <c r="AJ2024" s="101"/>
      <c r="AK2024" s="101"/>
      <c r="AM2024" s="195"/>
      <c r="AT2024" s="101"/>
      <c r="AU2024" s="101"/>
      <c r="AV2024" s="101"/>
      <c r="AW2024" s="101"/>
      <c r="AX2024" s="101"/>
      <c r="AY2024" s="101"/>
      <c r="AZ2024" s="101"/>
      <c r="BA2024" s="101"/>
    </row>
    <row r="2025" spans="33:53">
      <c r="AG2025" s="101"/>
      <c r="AH2025" s="101"/>
      <c r="AI2025" s="101"/>
      <c r="AJ2025" s="101"/>
      <c r="AK2025" s="101"/>
      <c r="AM2025" s="195"/>
      <c r="AT2025" s="101"/>
      <c r="AU2025" s="101"/>
      <c r="AV2025" s="101"/>
      <c r="AW2025" s="101"/>
      <c r="AX2025" s="101"/>
      <c r="AY2025" s="101"/>
      <c r="AZ2025" s="101"/>
      <c r="BA2025" s="101"/>
    </row>
    <row r="2026" spans="33:53">
      <c r="AG2026" s="101"/>
      <c r="AH2026" s="101"/>
      <c r="AI2026" s="101"/>
      <c r="AJ2026" s="101"/>
      <c r="AK2026" s="101"/>
      <c r="AM2026" s="195"/>
      <c r="AT2026" s="101"/>
      <c r="AU2026" s="101"/>
      <c r="AV2026" s="101"/>
      <c r="AW2026" s="101"/>
      <c r="AX2026" s="101"/>
      <c r="AY2026" s="101"/>
      <c r="AZ2026" s="101"/>
      <c r="BA2026" s="101"/>
    </row>
    <row r="2027" spans="33:53">
      <c r="AG2027" s="101"/>
      <c r="AH2027" s="101"/>
      <c r="AI2027" s="101"/>
      <c r="AJ2027" s="101"/>
      <c r="AK2027" s="101"/>
      <c r="AM2027" s="195"/>
      <c r="AT2027" s="101"/>
      <c r="AU2027" s="101"/>
      <c r="AV2027" s="101"/>
      <c r="AW2027" s="101"/>
      <c r="AX2027" s="101"/>
      <c r="AY2027" s="101"/>
      <c r="AZ2027" s="101"/>
      <c r="BA2027" s="101"/>
    </row>
    <row r="2028" spans="33:53">
      <c r="AG2028" s="101"/>
      <c r="AH2028" s="101"/>
      <c r="AI2028" s="101"/>
      <c r="AJ2028" s="101"/>
      <c r="AK2028" s="101"/>
      <c r="AM2028" s="195"/>
      <c r="AT2028" s="101"/>
      <c r="AU2028" s="101"/>
      <c r="AV2028" s="101"/>
      <c r="AW2028" s="101"/>
      <c r="AX2028" s="101"/>
      <c r="AY2028" s="101"/>
      <c r="AZ2028" s="101"/>
      <c r="BA2028" s="101"/>
    </row>
    <row r="2029" spans="33:53">
      <c r="AG2029" s="101"/>
      <c r="AH2029" s="101"/>
      <c r="AI2029" s="101"/>
      <c r="AJ2029" s="101"/>
      <c r="AK2029" s="101"/>
      <c r="AM2029" s="195"/>
      <c r="AT2029" s="101"/>
      <c r="AU2029" s="101"/>
      <c r="AV2029" s="101"/>
      <c r="AW2029" s="101"/>
      <c r="AX2029" s="101"/>
      <c r="AY2029" s="101"/>
      <c r="AZ2029" s="101"/>
      <c r="BA2029" s="101"/>
    </row>
    <row r="2030" spans="33:53">
      <c r="AG2030" s="101"/>
      <c r="AH2030" s="101"/>
      <c r="AI2030" s="101"/>
      <c r="AJ2030" s="101"/>
      <c r="AK2030" s="101"/>
      <c r="AM2030" s="195"/>
      <c r="AT2030" s="101"/>
      <c r="AU2030" s="101"/>
      <c r="AV2030" s="101"/>
      <c r="AW2030" s="101"/>
      <c r="AX2030" s="101"/>
      <c r="AY2030" s="101"/>
      <c r="AZ2030" s="101"/>
      <c r="BA2030" s="101"/>
    </row>
    <row r="2031" spans="33:53">
      <c r="AG2031" s="101"/>
      <c r="AH2031" s="101"/>
      <c r="AI2031" s="101"/>
      <c r="AJ2031" s="101"/>
      <c r="AK2031" s="101"/>
      <c r="AM2031" s="195"/>
      <c r="AT2031" s="101"/>
      <c r="AU2031" s="101"/>
      <c r="AV2031" s="101"/>
      <c r="AW2031" s="101"/>
      <c r="AX2031" s="101"/>
      <c r="AY2031" s="101"/>
      <c r="AZ2031" s="101"/>
      <c r="BA2031" s="101"/>
    </row>
    <row r="2032" spans="33:53">
      <c r="AG2032" s="101"/>
      <c r="AH2032" s="101"/>
      <c r="AI2032" s="101"/>
      <c r="AJ2032" s="101"/>
      <c r="AK2032" s="101"/>
      <c r="AM2032" s="195"/>
      <c r="AT2032" s="101"/>
      <c r="AU2032" s="101"/>
      <c r="AV2032" s="101"/>
      <c r="AW2032" s="101"/>
      <c r="AX2032" s="101"/>
      <c r="AY2032" s="101"/>
      <c r="AZ2032" s="101"/>
      <c r="BA2032" s="101"/>
    </row>
    <row r="2033" spans="33:53">
      <c r="AG2033" s="101"/>
      <c r="AH2033" s="101"/>
      <c r="AI2033" s="101"/>
      <c r="AJ2033" s="101"/>
      <c r="AK2033" s="101"/>
      <c r="AM2033" s="195"/>
      <c r="AT2033" s="101"/>
      <c r="AU2033" s="101"/>
      <c r="AV2033" s="101"/>
      <c r="AW2033" s="101"/>
      <c r="AX2033" s="101"/>
      <c r="AY2033" s="101"/>
      <c r="AZ2033" s="101"/>
      <c r="BA2033" s="101"/>
    </row>
    <row r="2034" spans="33:53">
      <c r="AG2034" s="101"/>
      <c r="AH2034" s="101"/>
      <c r="AI2034" s="101"/>
      <c r="AJ2034" s="101"/>
      <c r="AK2034" s="101"/>
      <c r="AM2034" s="195"/>
      <c r="AT2034" s="101"/>
      <c r="AU2034" s="101"/>
      <c r="AV2034" s="101"/>
      <c r="AW2034" s="101"/>
      <c r="AX2034" s="101"/>
      <c r="AY2034" s="101"/>
      <c r="AZ2034" s="101"/>
      <c r="BA2034" s="101"/>
    </row>
    <row r="2035" spans="33:53">
      <c r="AG2035" s="101"/>
      <c r="AH2035" s="101"/>
      <c r="AI2035" s="101"/>
      <c r="AJ2035" s="101"/>
      <c r="AK2035" s="101"/>
      <c r="AM2035" s="195"/>
      <c r="AT2035" s="101"/>
      <c r="AU2035" s="101"/>
      <c r="AV2035" s="101"/>
      <c r="AW2035" s="101"/>
      <c r="AX2035" s="101"/>
      <c r="AY2035" s="101"/>
      <c r="AZ2035" s="101"/>
      <c r="BA2035" s="101"/>
    </row>
    <row r="2036" spans="33:53">
      <c r="AG2036" s="101"/>
      <c r="AH2036" s="101"/>
      <c r="AI2036" s="101"/>
      <c r="AJ2036" s="101"/>
      <c r="AK2036" s="101"/>
      <c r="AM2036" s="195"/>
      <c r="AT2036" s="101"/>
      <c r="AU2036" s="101"/>
      <c r="AV2036" s="101"/>
      <c r="AW2036" s="101"/>
      <c r="AX2036" s="101"/>
      <c r="AY2036" s="101"/>
      <c r="AZ2036" s="101"/>
      <c r="BA2036" s="101"/>
    </row>
    <row r="2037" spans="33:53">
      <c r="AG2037" s="101"/>
      <c r="AH2037" s="101"/>
      <c r="AI2037" s="101"/>
      <c r="AJ2037" s="101"/>
      <c r="AK2037" s="101"/>
      <c r="AM2037" s="195"/>
      <c r="AT2037" s="101"/>
      <c r="AU2037" s="101"/>
      <c r="AV2037" s="101"/>
      <c r="AW2037" s="101"/>
      <c r="AX2037" s="101"/>
      <c r="AY2037" s="101"/>
      <c r="AZ2037" s="101"/>
      <c r="BA2037" s="101"/>
    </row>
    <row r="2038" spans="33:53">
      <c r="AG2038" s="101"/>
      <c r="AH2038" s="101"/>
      <c r="AI2038" s="101"/>
      <c r="AJ2038" s="101"/>
      <c r="AK2038" s="101"/>
      <c r="AM2038" s="195"/>
      <c r="AT2038" s="101"/>
      <c r="AU2038" s="101"/>
      <c r="AV2038" s="101"/>
      <c r="AW2038" s="101"/>
      <c r="AX2038" s="101"/>
      <c r="AY2038" s="101"/>
      <c r="AZ2038" s="101"/>
      <c r="BA2038" s="101"/>
    </row>
    <row r="2039" spans="33:53">
      <c r="AG2039" s="101"/>
      <c r="AH2039" s="101"/>
      <c r="AI2039" s="101"/>
      <c r="AJ2039" s="101"/>
      <c r="AK2039" s="101"/>
      <c r="AM2039" s="195"/>
      <c r="AT2039" s="101"/>
      <c r="AU2039" s="101"/>
      <c r="AV2039" s="101"/>
      <c r="AW2039" s="101"/>
      <c r="AX2039" s="101"/>
      <c r="AY2039" s="101"/>
      <c r="AZ2039" s="101"/>
      <c r="BA2039" s="101"/>
    </row>
    <row r="2040" spans="33:53">
      <c r="AG2040" s="101"/>
      <c r="AH2040" s="101"/>
      <c r="AI2040" s="101"/>
      <c r="AJ2040" s="101"/>
      <c r="AK2040" s="101"/>
      <c r="AM2040" s="195"/>
      <c r="AT2040" s="101"/>
      <c r="AU2040" s="101"/>
      <c r="AV2040" s="101"/>
      <c r="AW2040" s="101"/>
      <c r="AX2040" s="101"/>
      <c r="AY2040" s="101"/>
      <c r="AZ2040" s="101"/>
      <c r="BA2040" s="101"/>
    </row>
    <row r="2041" spans="33:53">
      <c r="AG2041" s="101"/>
      <c r="AH2041" s="101"/>
      <c r="AI2041" s="101"/>
      <c r="AJ2041" s="101"/>
      <c r="AK2041" s="101"/>
      <c r="AM2041" s="195"/>
      <c r="AT2041" s="101"/>
      <c r="AU2041" s="101"/>
      <c r="AV2041" s="101"/>
      <c r="AW2041" s="101"/>
      <c r="AX2041" s="101"/>
      <c r="AY2041" s="101"/>
      <c r="AZ2041" s="101"/>
      <c r="BA2041" s="101"/>
    </row>
    <row r="2042" spans="33:53">
      <c r="AG2042" s="101"/>
      <c r="AH2042" s="101"/>
      <c r="AI2042" s="101"/>
      <c r="AJ2042" s="101"/>
      <c r="AK2042" s="101"/>
      <c r="AM2042" s="195"/>
      <c r="AT2042" s="101"/>
      <c r="AU2042" s="101"/>
      <c r="AV2042" s="101"/>
      <c r="AW2042" s="101"/>
      <c r="AX2042" s="101"/>
      <c r="AY2042" s="101"/>
      <c r="AZ2042" s="101"/>
      <c r="BA2042" s="101"/>
    </row>
    <row r="2043" spans="33:53">
      <c r="AG2043" s="101"/>
      <c r="AH2043" s="101"/>
      <c r="AI2043" s="101"/>
      <c r="AJ2043" s="101"/>
      <c r="AK2043" s="101"/>
      <c r="AM2043" s="195"/>
      <c r="AT2043" s="101"/>
      <c r="AU2043" s="101"/>
      <c r="AV2043" s="101"/>
      <c r="AW2043" s="101"/>
      <c r="AX2043" s="101"/>
      <c r="AY2043" s="101"/>
      <c r="AZ2043" s="101"/>
      <c r="BA2043" s="101"/>
    </row>
    <row r="2044" spans="33:53">
      <c r="AG2044" s="101"/>
      <c r="AH2044" s="101"/>
      <c r="AI2044" s="101"/>
      <c r="AJ2044" s="101"/>
      <c r="AK2044" s="101"/>
      <c r="AM2044" s="195"/>
      <c r="AT2044" s="101"/>
      <c r="AU2044" s="101"/>
      <c r="AV2044" s="101"/>
      <c r="AW2044" s="101"/>
      <c r="AX2044" s="101"/>
      <c r="AY2044" s="101"/>
      <c r="AZ2044" s="101"/>
      <c r="BA2044" s="101"/>
    </row>
    <row r="2045" spans="33:53">
      <c r="AG2045" s="101"/>
      <c r="AH2045" s="101"/>
      <c r="AI2045" s="101"/>
      <c r="AJ2045" s="101"/>
      <c r="AK2045" s="101"/>
      <c r="AM2045" s="195"/>
      <c r="AT2045" s="101"/>
      <c r="AU2045" s="101"/>
      <c r="AV2045" s="101"/>
      <c r="AW2045" s="101"/>
      <c r="AX2045" s="101"/>
      <c r="AY2045" s="101"/>
      <c r="AZ2045" s="101"/>
      <c r="BA2045" s="101"/>
    </row>
    <row r="2046" spans="33:53">
      <c r="AG2046" s="101"/>
      <c r="AH2046" s="101"/>
      <c r="AI2046" s="101"/>
      <c r="AJ2046" s="101"/>
      <c r="AK2046" s="101"/>
      <c r="AM2046" s="195"/>
      <c r="AT2046" s="101"/>
      <c r="AU2046" s="101"/>
      <c r="AV2046" s="101"/>
      <c r="AW2046" s="101"/>
      <c r="AX2046" s="101"/>
      <c r="AY2046" s="101"/>
      <c r="AZ2046" s="101"/>
      <c r="BA2046" s="101"/>
    </row>
    <row r="2047" spans="33:53">
      <c r="AG2047" s="101"/>
      <c r="AH2047" s="101"/>
      <c r="AI2047" s="101"/>
      <c r="AJ2047" s="101"/>
      <c r="AK2047" s="101"/>
      <c r="AM2047" s="195"/>
      <c r="AT2047" s="101"/>
      <c r="AU2047" s="101"/>
      <c r="AV2047" s="101"/>
      <c r="AW2047" s="101"/>
      <c r="AX2047" s="101"/>
      <c r="AY2047" s="101"/>
      <c r="AZ2047" s="101"/>
      <c r="BA2047" s="101"/>
    </row>
    <row r="2048" spans="33:53">
      <c r="AG2048" s="101"/>
      <c r="AH2048" s="101"/>
      <c r="AI2048" s="101"/>
      <c r="AJ2048" s="101"/>
      <c r="AK2048" s="101"/>
      <c r="AM2048" s="195"/>
      <c r="AT2048" s="101"/>
      <c r="AU2048" s="101"/>
      <c r="AV2048" s="101"/>
      <c r="AW2048" s="101"/>
      <c r="AX2048" s="101"/>
      <c r="AY2048" s="101"/>
      <c r="AZ2048" s="101"/>
      <c r="BA2048" s="101"/>
    </row>
    <row r="2049" spans="33:53">
      <c r="AG2049" s="101"/>
      <c r="AH2049" s="101"/>
      <c r="AI2049" s="101"/>
      <c r="AJ2049" s="101"/>
      <c r="AK2049" s="101"/>
      <c r="AM2049" s="195"/>
      <c r="AT2049" s="101"/>
      <c r="AU2049" s="101"/>
      <c r="AV2049" s="101"/>
      <c r="AW2049" s="101"/>
      <c r="AX2049" s="101"/>
      <c r="AY2049" s="101"/>
      <c r="AZ2049" s="101"/>
      <c r="BA2049" s="101"/>
    </row>
    <row r="2050" spans="33:53">
      <c r="AG2050" s="101"/>
      <c r="AH2050" s="101"/>
      <c r="AI2050" s="101"/>
      <c r="AJ2050" s="101"/>
      <c r="AK2050" s="101"/>
      <c r="AM2050" s="195"/>
      <c r="AT2050" s="101"/>
      <c r="AU2050" s="101"/>
      <c r="AV2050" s="101"/>
      <c r="AW2050" s="101"/>
      <c r="AX2050" s="101"/>
      <c r="AY2050" s="101"/>
      <c r="AZ2050" s="101"/>
      <c r="BA2050" s="101"/>
    </row>
    <row r="2051" spans="33:53">
      <c r="AG2051" s="101"/>
      <c r="AH2051" s="101"/>
      <c r="AI2051" s="101"/>
      <c r="AJ2051" s="101"/>
      <c r="AK2051" s="101"/>
      <c r="AM2051" s="195"/>
      <c r="AT2051" s="101"/>
      <c r="AU2051" s="101"/>
      <c r="AV2051" s="101"/>
      <c r="AW2051" s="101"/>
      <c r="AX2051" s="101"/>
      <c r="AY2051" s="101"/>
      <c r="AZ2051" s="101"/>
      <c r="BA2051" s="101"/>
    </row>
    <row r="2052" spans="33:53">
      <c r="AG2052" s="101"/>
      <c r="AH2052" s="101"/>
      <c r="AI2052" s="101"/>
      <c r="AJ2052" s="101"/>
      <c r="AK2052" s="101"/>
      <c r="AM2052" s="195"/>
      <c r="AT2052" s="101"/>
      <c r="AU2052" s="101"/>
      <c r="AV2052" s="101"/>
      <c r="AW2052" s="101"/>
      <c r="AX2052" s="101"/>
      <c r="AY2052" s="101"/>
      <c r="AZ2052" s="101"/>
      <c r="BA2052" s="101"/>
    </row>
    <row r="2053" spans="33:53">
      <c r="AG2053" s="101"/>
      <c r="AH2053" s="101"/>
      <c r="AI2053" s="101"/>
      <c r="AJ2053" s="101"/>
      <c r="AK2053" s="101"/>
      <c r="AM2053" s="195"/>
      <c r="AT2053" s="101"/>
      <c r="AU2053" s="101"/>
      <c r="AV2053" s="101"/>
      <c r="AW2053" s="101"/>
      <c r="AX2053" s="101"/>
      <c r="AY2053" s="101"/>
      <c r="AZ2053" s="101"/>
      <c r="BA2053" s="101"/>
    </row>
    <row r="2054" spans="33:53">
      <c r="AG2054" s="101"/>
      <c r="AH2054" s="101"/>
      <c r="AI2054" s="101"/>
      <c r="AJ2054" s="101"/>
      <c r="AK2054" s="101"/>
      <c r="AM2054" s="195"/>
      <c r="AT2054" s="101"/>
      <c r="AU2054" s="101"/>
      <c r="AV2054" s="101"/>
      <c r="AW2054" s="101"/>
      <c r="AX2054" s="101"/>
      <c r="AY2054" s="101"/>
      <c r="AZ2054" s="101"/>
      <c r="BA2054" s="101"/>
    </row>
    <row r="2055" spans="33:53">
      <c r="AG2055" s="101"/>
      <c r="AH2055" s="101"/>
      <c r="AI2055" s="101"/>
      <c r="AJ2055" s="101"/>
      <c r="AK2055" s="101"/>
      <c r="AM2055" s="195"/>
      <c r="AT2055" s="101"/>
      <c r="AU2055" s="101"/>
      <c r="AV2055" s="101"/>
      <c r="AW2055" s="101"/>
      <c r="AX2055" s="101"/>
      <c r="AY2055" s="101"/>
      <c r="AZ2055" s="101"/>
      <c r="BA2055" s="101"/>
    </row>
    <row r="2056" spans="33:53">
      <c r="AG2056" s="101"/>
      <c r="AH2056" s="101"/>
      <c r="AI2056" s="101"/>
      <c r="AJ2056" s="101"/>
      <c r="AK2056" s="101"/>
      <c r="AM2056" s="195"/>
      <c r="AT2056" s="101"/>
      <c r="AU2056" s="101"/>
      <c r="AV2056" s="101"/>
      <c r="AW2056" s="101"/>
      <c r="AX2056" s="101"/>
      <c r="AY2056" s="101"/>
      <c r="AZ2056" s="101"/>
      <c r="BA2056" s="101"/>
    </row>
    <row r="2057" spans="33:53">
      <c r="AG2057" s="101"/>
      <c r="AH2057" s="101"/>
      <c r="AI2057" s="101"/>
      <c r="AJ2057" s="101"/>
      <c r="AK2057" s="101"/>
      <c r="AM2057" s="195"/>
      <c r="AT2057" s="101"/>
      <c r="AU2057" s="101"/>
      <c r="AV2057" s="101"/>
      <c r="AW2057" s="101"/>
      <c r="AX2057" s="101"/>
      <c r="AY2057" s="101"/>
      <c r="AZ2057" s="101"/>
      <c r="BA2057" s="101"/>
    </row>
    <row r="2058" spans="33:53">
      <c r="AG2058" s="101"/>
      <c r="AH2058" s="101"/>
      <c r="AI2058" s="101"/>
      <c r="AJ2058" s="101"/>
      <c r="AK2058" s="101"/>
      <c r="AM2058" s="195"/>
      <c r="AT2058" s="101"/>
      <c r="AU2058" s="101"/>
      <c r="AV2058" s="101"/>
      <c r="AW2058" s="101"/>
      <c r="AX2058" s="101"/>
      <c r="AY2058" s="101"/>
      <c r="AZ2058" s="101"/>
      <c r="BA2058" s="101"/>
    </row>
    <row r="2059" spans="33:53">
      <c r="AG2059" s="101"/>
      <c r="AH2059" s="101"/>
      <c r="AI2059" s="101"/>
      <c r="AJ2059" s="101"/>
      <c r="AK2059" s="101"/>
      <c r="AM2059" s="195"/>
      <c r="AT2059" s="101"/>
      <c r="AU2059" s="101"/>
      <c r="AV2059" s="101"/>
      <c r="AW2059" s="101"/>
      <c r="AX2059" s="101"/>
      <c r="AY2059" s="101"/>
      <c r="AZ2059" s="101"/>
      <c r="BA2059" s="101"/>
    </row>
    <row r="2060" spans="33:53">
      <c r="AG2060" s="101"/>
      <c r="AH2060" s="101"/>
      <c r="AI2060" s="101"/>
      <c r="AJ2060" s="101"/>
      <c r="AK2060" s="101"/>
      <c r="AM2060" s="195"/>
      <c r="AT2060" s="101"/>
      <c r="AU2060" s="101"/>
      <c r="AV2060" s="101"/>
      <c r="AW2060" s="101"/>
      <c r="AX2060" s="101"/>
      <c r="AY2060" s="101"/>
      <c r="AZ2060" s="101"/>
      <c r="BA2060" s="101"/>
    </row>
    <row r="2061" spans="33:53">
      <c r="AG2061" s="101"/>
      <c r="AH2061" s="101"/>
      <c r="AI2061" s="101"/>
      <c r="AJ2061" s="101"/>
      <c r="AK2061" s="101"/>
      <c r="AM2061" s="195"/>
      <c r="AT2061" s="101"/>
      <c r="AU2061" s="101"/>
      <c r="AV2061" s="101"/>
      <c r="AW2061" s="101"/>
      <c r="AX2061" s="101"/>
      <c r="AY2061" s="101"/>
      <c r="AZ2061" s="101"/>
      <c r="BA2061" s="101"/>
    </row>
    <row r="2062" spans="33:53">
      <c r="AG2062" s="101"/>
      <c r="AH2062" s="101"/>
      <c r="AI2062" s="101"/>
      <c r="AJ2062" s="101"/>
      <c r="AK2062" s="101"/>
      <c r="AM2062" s="195"/>
      <c r="AT2062" s="101"/>
      <c r="AU2062" s="101"/>
      <c r="AV2062" s="101"/>
      <c r="AW2062" s="101"/>
      <c r="AX2062" s="101"/>
      <c r="AY2062" s="101"/>
      <c r="AZ2062" s="101"/>
      <c r="BA2062" s="101"/>
    </row>
    <row r="2063" spans="33:53">
      <c r="AG2063" s="101"/>
      <c r="AH2063" s="101"/>
      <c r="AI2063" s="101"/>
      <c r="AJ2063" s="101"/>
      <c r="AK2063" s="101"/>
      <c r="AM2063" s="195"/>
      <c r="AT2063" s="101"/>
      <c r="AU2063" s="101"/>
      <c r="AV2063" s="101"/>
      <c r="AW2063" s="101"/>
      <c r="AX2063" s="101"/>
      <c r="AY2063" s="101"/>
      <c r="AZ2063" s="101"/>
      <c r="BA2063" s="101"/>
    </row>
    <row r="2064" spans="33:53">
      <c r="AG2064" s="101"/>
      <c r="AH2064" s="101"/>
      <c r="AI2064" s="101"/>
      <c r="AJ2064" s="101"/>
      <c r="AK2064" s="101"/>
      <c r="AM2064" s="195"/>
      <c r="AT2064" s="101"/>
      <c r="AU2064" s="101"/>
      <c r="AV2064" s="101"/>
      <c r="AW2064" s="101"/>
      <c r="AX2064" s="101"/>
      <c r="AY2064" s="101"/>
      <c r="AZ2064" s="101"/>
      <c r="BA2064" s="101"/>
    </row>
    <row r="2065" spans="33:53">
      <c r="AG2065" s="101"/>
      <c r="AH2065" s="101"/>
      <c r="AI2065" s="101"/>
      <c r="AJ2065" s="101"/>
      <c r="AK2065" s="101"/>
      <c r="AL2065" s="104"/>
      <c r="AM2065" s="195"/>
      <c r="AT2065" s="101"/>
      <c r="AU2065" s="101"/>
      <c r="AV2065" s="101"/>
      <c r="AW2065" s="101"/>
      <c r="AX2065" s="101"/>
      <c r="AY2065" s="101"/>
      <c r="AZ2065" s="101"/>
      <c r="BA2065" s="101"/>
    </row>
    <row r="2066" spans="33:53">
      <c r="AG2066" s="101"/>
      <c r="AH2066" s="101"/>
      <c r="AI2066" s="101"/>
      <c r="AJ2066" s="101"/>
      <c r="AK2066" s="101"/>
      <c r="AL2066" s="104"/>
      <c r="AM2066" s="195"/>
      <c r="AT2066" s="101"/>
      <c r="AU2066" s="101"/>
      <c r="AV2066" s="101"/>
      <c r="AW2066" s="101"/>
      <c r="AX2066" s="101"/>
      <c r="AY2066" s="101"/>
      <c r="AZ2066" s="101"/>
      <c r="BA2066" s="101"/>
    </row>
    <row r="2067" spans="33:53">
      <c r="AG2067" s="101"/>
      <c r="AH2067" s="101"/>
      <c r="AI2067" s="101"/>
      <c r="AJ2067" s="101"/>
      <c r="AK2067" s="101"/>
      <c r="AL2067" s="104"/>
      <c r="AM2067" s="195"/>
      <c r="AT2067" s="101"/>
      <c r="AU2067" s="101"/>
      <c r="AV2067" s="101"/>
      <c r="AW2067" s="101"/>
      <c r="AX2067" s="101"/>
      <c r="AY2067" s="101"/>
      <c r="AZ2067" s="101"/>
      <c r="BA2067" s="101"/>
    </row>
    <row r="2068" spans="33:53">
      <c r="AG2068" s="101"/>
      <c r="AH2068" s="101"/>
      <c r="AI2068" s="101"/>
      <c r="AJ2068" s="101"/>
      <c r="AK2068" s="101"/>
      <c r="AL2068" s="104"/>
      <c r="AM2068" s="195"/>
      <c r="AT2068" s="101"/>
      <c r="AU2068" s="101"/>
      <c r="AV2068" s="101"/>
      <c r="AW2068" s="101"/>
      <c r="AX2068" s="101"/>
      <c r="AY2068" s="101"/>
      <c r="AZ2068" s="101"/>
      <c r="BA2068" s="101"/>
    </row>
    <row r="2069" spans="33:53">
      <c r="AG2069" s="101"/>
      <c r="AH2069" s="101"/>
      <c r="AI2069" s="101"/>
      <c r="AJ2069" s="101"/>
      <c r="AK2069" s="101"/>
      <c r="AL2069" s="104"/>
      <c r="AM2069" s="195"/>
      <c r="AT2069" s="101"/>
      <c r="AU2069" s="101"/>
      <c r="AV2069" s="101"/>
      <c r="AW2069" s="101"/>
      <c r="AX2069" s="101"/>
      <c r="AY2069" s="101"/>
      <c r="AZ2069" s="101"/>
      <c r="BA2069" s="101"/>
    </row>
    <row r="2070" spans="33:53">
      <c r="AG2070" s="101"/>
      <c r="AH2070" s="101"/>
      <c r="AI2070" s="101"/>
      <c r="AJ2070" s="101"/>
      <c r="AK2070" s="101"/>
      <c r="AL2070" s="104"/>
      <c r="AM2070" s="195"/>
      <c r="AT2070" s="101"/>
      <c r="AU2070" s="101"/>
      <c r="AV2070" s="101"/>
      <c r="AW2070" s="101"/>
      <c r="AX2070" s="101"/>
      <c r="AY2070" s="101"/>
      <c r="AZ2070" s="101"/>
      <c r="BA2070" s="101"/>
    </row>
    <row r="2071" spans="33:53">
      <c r="AG2071" s="101"/>
      <c r="AH2071" s="101"/>
      <c r="AI2071" s="101"/>
      <c r="AJ2071" s="101"/>
      <c r="AK2071" s="101"/>
      <c r="AL2071" s="104"/>
      <c r="AM2071" s="195"/>
      <c r="AT2071" s="101"/>
      <c r="AU2071" s="101"/>
      <c r="AV2071" s="101"/>
      <c r="AW2071" s="101"/>
      <c r="AX2071" s="101"/>
      <c r="AY2071" s="101"/>
      <c r="AZ2071" s="101"/>
      <c r="BA2071" s="101"/>
    </row>
    <row r="2072" spans="33:53">
      <c r="AG2072" s="101"/>
      <c r="AH2072" s="101"/>
      <c r="AI2072" s="101"/>
      <c r="AJ2072" s="101"/>
      <c r="AK2072" s="101"/>
      <c r="AL2072" s="104"/>
      <c r="AM2072" s="195"/>
      <c r="AT2072" s="101"/>
      <c r="AU2072" s="101"/>
      <c r="AV2072" s="101"/>
      <c r="AW2072" s="101"/>
      <c r="AX2072" s="101"/>
      <c r="AY2072" s="101"/>
      <c r="AZ2072" s="101"/>
      <c r="BA2072" s="101"/>
    </row>
    <row r="2073" spans="33:53">
      <c r="AG2073" s="101"/>
      <c r="AH2073" s="101"/>
      <c r="AI2073" s="101"/>
      <c r="AJ2073" s="101"/>
      <c r="AK2073" s="101"/>
      <c r="AL2073" s="104"/>
      <c r="AM2073" s="195"/>
      <c r="AT2073" s="101"/>
      <c r="AU2073" s="101"/>
      <c r="AV2073" s="101"/>
      <c r="AW2073" s="101"/>
      <c r="AX2073" s="101"/>
      <c r="AY2073" s="101"/>
      <c r="AZ2073" s="101"/>
      <c r="BA2073" s="101"/>
    </row>
    <row r="2074" spans="33:53">
      <c r="AG2074" s="101"/>
      <c r="AH2074" s="101"/>
      <c r="AI2074" s="101"/>
      <c r="AJ2074" s="101"/>
      <c r="AK2074" s="101"/>
      <c r="AL2074" s="104"/>
      <c r="AM2074" s="195"/>
      <c r="AT2074" s="101"/>
      <c r="AU2074" s="101"/>
      <c r="AV2074" s="101"/>
      <c r="AW2074" s="101"/>
      <c r="AX2074" s="101"/>
      <c r="AY2074" s="101"/>
      <c r="AZ2074" s="101"/>
      <c r="BA2074" s="101"/>
    </row>
    <row r="2075" spans="33:53">
      <c r="AG2075" s="101"/>
      <c r="AH2075" s="101"/>
      <c r="AI2075" s="101"/>
      <c r="AJ2075" s="101"/>
      <c r="AK2075" s="101"/>
      <c r="AL2075" s="104"/>
      <c r="AM2075" s="195"/>
      <c r="AT2075" s="101"/>
      <c r="AU2075" s="101"/>
      <c r="AV2075" s="101"/>
      <c r="AW2075" s="101"/>
      <c r="AX2075" s="101"/>
      <c r="AY2075" s="101"/>
      <c r="AZ2075" s="101"/>
      <c r="BA2075" s="101"/>
    </row>
    <row r="2076" spans="33:53">
      <c r="AG2076" s="101"/>
      <c r="AH2076" s="101"/>
      <c r="AI2076" s="101"/>
      <c r="AJ2076" s="101"/>
      <c r="AK2076" s="101"/>
      <c r="AL2076" s="104"/>
      <c r="AM2076" s="195"/>
      <c r="AT2076" s="101"/>
      <c r="AU2076" s="101"/>
      <c r="AV2076" s="101"/>
      <c r="AW2076" s="101"/>
      <c r="AX2076" s="101"/>
      <c r="AY2076" s="101"/>
      <c r="AZ2076" s="101"/>
      <c r="BA2076" s="101"/>
    </row>
    <row r="2077" spans="33:53">
      <c r="AG2077" s="101"/>
      <c r="AH2077" s="101"/>
      <c r="AI2077" s="101"/>
      <c r="AJ2077" s="101"/>
      <c r="AK2077" s="101"/>
      <c r="AL2077" s="104"/>
      <c r="AM2077" s="195"/>
      <c r="AT2077" s="101"/>
      <c r="AU2077" s="101"/>
      <c r="AV2077" s="101"/>
      <c r="AW2077" s="101"/>
      <c r="AX2077" s="101"/>
      <c r="AY2077" s="101"/>
      <c r="AZ2077" s="101"/>
      <c r="BA2077" s="101"/>
    </row>
    <row r="2078" spans="33:53">
      <c r="AG2078" s="101"/>
      <c r="AH2078" s="101"/>
      <c r="AI2078" s="101"/>
      <c r="AJ2078" s="101"/>
      <c r="AK2078" s="101"/>
      <c r="AL2078" s="104"/>
      <c r="AM2078" s="195"/>
      <c r="AT2078" s="101"/>
      <c r="AU2078" s="101"/>
      <c r="AV2078" s="101"/>
      <c r="AW2078" s="101"/>
      <c r="AX2078" s="101"/>
      <c r="AY2078" s="101"/>
      <c r="AZ2078" s="101"/>
      <c r="BA2078" s="101"/>
    </row>
    <row r="2079" spans="33:53">
      <c r="AG2079" s="101"/>
      <c r="AH2079" s="101"/>
      <c r="AI2079" s="101"/>
      <c r="AJ2079" s="101"/>
      <c r="AK2079" s="101"/>
      <c r="AL2079" s="104"/>
      <c r="AM2079" s="195"/>
      <c r="AT2079" s="101"/>
      <c r="AU2079" s="101"/>
      <c r="AV2079" s="101"/>
      <c r="AW2079" s="101"/>
      <c r="AX2079" s="101"/>
      <c r="AY2079" s="101"/>
      <c r="AZ2079" s="101"/>
      <c r="BA2079" s="101"/>
    </row>
    <row r="2080" spans="33:53">
      <c r="AG2080" s="101"/>
      <c r="AH2080" s="101"/>
      <c r="AI2080" s="101"/>
      <c r="AJ2080" s="101"/>
      <c r="AK2080" s="101"/>
      <c r="AL2080" s="104"/>
      <c r="AM2080" s="195"/>
      <c r="AT2080" s="101"/>
      <c r="AU2080" s="101"/>
      <c r="AV2080" s="101"/>
      <c r="AW2080" s="101"/>
      <c r="AX2080" s="101"/>
      <c r="AY2080" s="101"/>
      <c r="AZ2080" s="101"/>
      <c r="BA2080" s="101"/>
    </row>
    <row r="2081" spans="33:53">
      <c r="AG2081" s="101"/>
      <c r="AH2081" s="101"/>
      <c r="AI2081" s="101"/>
      <c r="AJ2081" s="101"/>
      <c r="AK2081" s="101"/>
      <c r="AL2081" s="104"/>
      <c r="AM2081" s="195"/>
      <c r="AT2081" s="101"/>
      <c r="AU2081" s="101"/>
      <c r="AV2081" s="101"/>
      <c r="AW2081" s="101"/>
      <c r="AX2081" s="101"/>
      <c r="AY2081" s="101"/>
      <c r="AZ2081" s="101"/>
      <c r="BA2081" s="101"/>
    </row>
    <row r="2082" spans="33:53">
      <c r="AG2082" s="101"/>
      <c r="AH2082" s="101"/>
      <c r="AI2082" s="101"/>
      <c r="AJ2082" s="101"/>
      <c r="AK2082" s="101"/>
      <c r="AL2082" s="104"/>
      <c r="AM2082" s="195"/>
      <c r="AT2082" s="101"/>
      <c r="AU2082" s="101"/>
      <c r="AV2082" s="101"/>
      <c r="AW2082" s="101"/>
      <c r="AX2082" s="101"/>
      <c r="AY2082" s="101"/>
      <c r="AZ2082" s="101"/>
      <c r="BA2082" s="101"/>
    </row>
    <row r="2083" spans="33:53">
      <c r="AG2083" s="101"/>
      <c r="AH2083" s="101"/>
      <c r="AI2083" s="101"/>
      <c r="AJ2083" s="101"/>
      <c r="AK2083" s="101"/>
      <c r="AL2083" s="104"/>
      <c r="AM2083" s="195"/>
      <c r="AT2083" s="101"/>
      <c r="AU2083" s="101"/>
      <c r="AV2083" s="101"/>
      <c r="AW2083" s="101"/>
      <c r="AX2083" s="101"/>
      <c r="AY2083" s="101"/>
      <c r="AZ2083" s="101"/>
      <c r="BA2083" s="101"/>
    </row>
    <row r="2084" spans="33:53">
      <c r="AG2084" s="101"/>
      <c r="AH2084" s="101"/>
      <c r="AI2084" s="101"/>
      <c r="AJ2084" s="101"/>
      <c r="AK2084" s="101"/>
      <c r="AL2084" s="104"/>
      <c r="AM2084" s="195"/>
      <c r="AT2084" s="101"/>
      <c r="AU2084" s="101"/>
      <c r="AV2084" s="101"/>
      <c r="AW2084" s="101"/>
      <c r="AX2084" s="101"/>
      <c r="AY2084" s="101"/>
      <c r="AZ2084" s="101"/>
      <c r="BA2084" s="101"/>
    </row>
    <row r="2085" spans="33:53">
      <c r="AG2085" s="101"/>
      <c r="AH2085" s="101"/>
      <c r="AI2085" s="101"/>
      <c r="AJ2085" s="101"/>
      <c r="AK2085" s="101"/>
      <c r="AL2085" s="104"/>
      <c r="AM2085" s="195"/>
      <c r="AT2085" s="101"/>
      <c r="AU2085" s="101"/>
      <c r="AV2085" s="101"/>
      <c r="AW2085" s="101"/>
      <c r="AX2085" s="101"/>
      <c r="AY2085" s="101"/>
      <c r="AZ2085" s="101"/>
      <c r="BA2085" s="101"/>
    </row>
    <row r="2086" spans="33:53">
      <c r="AG2086" s="101"/>
      <c r="AH2086" s="101"/>
      <c r="AI2086" s="101"/>
      <c r="AJ2086" s="101"/>
      <c r="AK2086" s="101"/>
      <c r="AL2086" s="104"/>
      <c r="AM2086" s="195"/>
      <c r="AT2086" s="101"/>
      <c r="AU2086" s="101"/>
      <c r="AV2086" s="101"/>
      <c r="AW2086" s="101"/>
      <c r="AX2086" s="101"/>
      <c r="AY2086" s="101"/>
      <c r="AZ2086" s="101"/>
      <c r="BA2086" s="101"/>
    </row>
    <row r="2087" spans="33:53">
      <c r="AG2087" s="101"/>
      <c r="AH2087" s="101"/>
      <c r="AI2087" s="101"/>
      <c r="AJ2087" s="101"/>
      <c r="AK2087" s="101"/>
      <c r="AL2087" s="104"/>
      <c r="AM2087" s="195"/>
      <c r="AT2087" s="101"/>
      <c r="AU2087" s="101"/>
      <c r="AV2087" s="101"/>
      <c r="AW2087" s="101"/>
      <c r="AX2087" s="101"/>
      <c r="AY2087" s="101"/>
      <c r="AZ2087" s="101"/>
      <c r="BA2087" s="101"/>
    </row>
    <row r="2088" spans="33:53">
      <c r="AG2088" s="101"/>
      <c r="AH2088" s="101"/>
      <c r="AI2088" s="101"/>
      <c r="AJ2088" s="101"/>
      <c r="AK2088" s="101"/>
      <c r="AL2088" s="104"/>
      <c r="AM2088" s="195"/>
      <c r="AT2088" s="101"/>
      <c r="AU2088" s="101"/>
      <c r="AV2088" s="101"/>
      <c r="AW2088" s="101"/>
      <c r="AX2088" s="101"/>
      <c r="AY2088" s="101"/>
      <c r="AZ2088" s="101"/>
      <c r="BA2088" s="101"/>
    </row>
    <row r="2089" spans="33:53">
      <c r="AG2089" s="101"/>
      <c r="AH2089" s="101"/>
      <c r="AI2089" s="101"/>
      <c r="AJ2089" s="101"/>
      <c r="AK2089" s="101"/>
      <c r="AL2089" s="104"/>
      <c r="AM2089" s="195"/>
      <c r="AT2089" s="101"/>
      <c r="AU2089" s="101"/>
      <c r="AV2089" s="101"/>
      <c r="AW2089" s="101"/>
      <c r="AX2089" s="101"/>
      <c r="AY2089" s="101"/>
      <c r="AZ2089" s="101"/>
      <c r="BA2089" s="101"/>
    </row>
    <row r="2090" spans="33:53">
      <c r="AG2090" s="101"/>
      <c r="AH2090" s="101"/>
      <c r="AI2090" s="101"/>
      <c r="AJ2090" s="101"/>
      <c r="AK2090" s="101"/>
      <c r="AL2090" s="104"/>
      <c r="AM2090" s="195"/>
      <c r="AT2090" s="101"/>
      <c r="AU2090" s="101"/>
      <c r="AV2090" s="101"/>
      <c r="AW2090" s="101"/>
      <c r="AX2090" s="101"/>
      <c r="AY2090" s="101"/>
      <c r="AZ2090" s="101"/>
      <c r="BA2090" s="101"/>
    </row>
    <row r="2091" spans="33:53">
      <c r="AG2091" s="101"/>
      <c r="AH2091" s="101"/>
      <c r="AI2091" s="101"/>
      <c r="AJ2091" s="101"/>
      <c r="AK2091" s="101"/>
      <c r="AL2091" s="104"/>
      <c r="AM2091" s="195"/>
      <c r="AT2091" s="101"/>
      <c r="AU2091" s="101"/>
      <c r="AV2091" s="101"/>
      <c r="AW2091" s="101"/>
      <c r="AX2091" s="101"/>
      <c r="AY2091" s="101"/>
      <c r="AZ2091" s="101"/>
      <c r="BA2091" s="101"/>
    </row>
    <row r="2092" spans="33:53">
      <c r="AG2092" s="101"/>
      <c r="AH2092" s="101"/>
      <c r="AI2092" s="101"/>
      <c r="AJ2092" s="101"/>
      <c r="AK2092" s="101"/>
      <c r="AL2092" s="104"/>
      <c r="AM2092" s="195"/>
      <c r="AT2092" s="101"/>
      <c r="AU2092" s="101"/>
      <c r="AV2092" s="101"/>
      <c r="AW2092" s="101"/>
      <c r="AX2092" s="101"/>
      <c r="AY2092" s="101"/>
      <c r="AZ2092" s="101"/>
      <c r="BA2092" s="101"/>
    </row>
    <row r="2093" spans="33:53">
      <c r="AG2093" s="101"/>
      <c r="AH2093" s="101"/>
      <c r="AI2093" s="101"/>
      <c r="AJ2093" s="101"/>
      <c r="AK2093" s="101"/>
      <c r="AL2093" s="104"/>
      <c r="AM2093" s="195"/>
      <c r="AT2093" s="101"/>
      <c r="AU2093" s="101"/>
      <c r="AV2093" s="101"/>
      <c r="AW2093" s="101"/>
      <c r="AX2093" s="101"/>
      <c r="AY2093" s="101"/>
      <c r="AZ2093" s="101"/>
      <c r="BA2093" s="101"/>
    </row>
    <row r="2094" spans="33:53">
      <c r="AG2094" s="101"/>
      <c r="AH2094" s="101"/>
      <c r="AI2094" s="101"/>
      <c r="AJ2094" s="101"/>
      <c r="AK2094" s="101"/>
      <c r="AL2094" s="104"/>
      <c r="AM2094" s="195"/>
      <c r="AT2094" s="101"/>
      <c r="AU2094" s="101"/>
      <c r="AV2094" s="101"/>
      <c r="AW2094" s="101"/>
      <c r="AX2094" s="101"/>
      <c r="AY2094" s="101"/>
      <c r="AZ2094" s="101"/>
      <c r="BA2094" s="101"/>
    </row>
    <row r="2095" spans="33:53">
      <c r="AG2095" s="101"/>
      <c r="AH2095" s="101"/>
      <c r="AI2095" s="101"/>
      <c r="AJ2095" s="101"/>
      <c r="AK2095" s="101"/>
      <c r="AL2095" s="104"/>
      <c r="AM2095" s="195"/>
      <c r="AT2095" s="101"/>
      <c r="AU2095" s="101"/>
      <c r="AV2095" s="101"/>
      <c r="AW2095" s="101"/>
      <c r="AX2095" s="101"/>
      <c r="AY2095" s="101"/>
      <c r="AZ2095" s="101"/>
      <c r="BA2095" s="101"/>
    </row>
    <row r="2096" spans="33:53">
      <c r="AG2096" s="101"/>
      <c r="AH2096" s="101"/>
      <c r="AI2096" s="101"/>
      <c r="AJ2096" s="101"/>
      <c r="AK2096" s="101"/>
      <c r="AL2096" s="104"/>
      <c r="AM2096" s="195"/>
      <c r="AT2096" s="101"/>
      <c r="AU2096" s="101"/>
      <c r="AV2096" s="101"/>
      <c r="AW2096" s="101"/>
      <c r="AX2096" s="101"/>
      <c r="AY2096" s="101"/>
      <c r="AZ2096" s="101"/>
      <c r="BA2096" s="101"/>
    </row>
    <row r="2097" spans="33:53">
      <c r="AG2097" s="101"/>
      <c r="AH2097" s="101"/>
      <c r="AI2097" s="101"/>
      <c r="AJ2097" s="101"/>
      <c r="AK2097" s="101"/>
      <c r="AL2097" s="104"/>
      <c r="AM2097" s="195"/>
      <c r="AT2097" s="101"/>
      <c r="AU2097" s="101"/>
      <c r="AV2097" s="101"/>
      <c r="AW2097" s="101"/>
      <c r="AX2097" s="101"/>
      <c r="AY2097" s="101"/>
      <c r="AZ2097" s="101"/>
      <c r="BA2097" s="101"/>
    </row>
    <row r="2098" spans="33:53">
      <c r="AG2098" s="101"/>
      <c r="AH2098" s="101"/>
      <c r="AI2098" s="101"/>
      <c r="AJ2098" s="101"/>
      <c r="AK2098" s="101"/>
      <c r="AL2098" s="104"/>
      <c r="AM2098" s="195"/>
      <c r="AT2098" s="101"/>
      <c r="AU2098" s="101"/>
      <c r="AV2098" s="101"/>
      <c r="AW2098" s="101"/>
      <c r="AX2098" s="101"/>
      <c r="AY2098" s="101"/>
      <c r="AZ2098" s="101"/>
      <c r="BA2098" s="101"/>
    </row>
    <row r="2099" spans="33:53">
      <c r="AG2099" s="101"/>
      <c r="AH2099" s="101"/>
      <c r="AI2099" s="101"/>
      <c r="AJ2099" s="101"/>
      <c r="AK2099" s="101"/>
      <c r="AL2099" s="104"/>
      <c r="AM2099" s="195"/>
      <c r="AT2099" s="101"/>
      <c r="AU2099" s="101"/>
      <c r="AV2099" s="101"/>
      <c r="AW2099" s="101"/>
      <c r="AX2099" s="101"/>
      <c r="AY2099" s="101"/>
      <c r="AZ2099" s="101"/>
      <c r="BA2099" s="101"/>
    </row>
    <row r="2100" spans="33:53">
      <c r="AG2100" s="101"/>
      <c r="AH2100" s="101"/>
      <c r="AI2100" s="101"/>
      <c r="AJ2100" s="101"/>
      <c r="AK2100" s="101"/>
      <c r="AL2100" s="104"/>
      <c r="AM2100" s="195"/>
      <c r="AT2100" s="101"/>
      <c r="AU2100" s="101"/>
      <c r="AV2100" s="101"/>
      <c r="AW2100" s="101"/>
      <c r="AX2100" s="101"/>
      <c r="AY2100" s="101"/>
      <c r="AZ2100" s="101"/>
      <c r="BA2100" s="101"/>
    </row>
    <row r="2101" spans="33:53">
      <c r="AG2101" s="101"/>
      <c r="AH2101" s="101"/>
      <c r="AI2101" s="101"/>
      <c r="AJ2101" s="101"/>
      <c r="AK2101" s="101"/>
      <c r="AL2101" s="104"/>
      <c r="AM2101" s="195"/>
      <c r="AT2101" s="101"/>
      <c r="AU2101" s="101"/>
      <c r="AV2101" s="101"/>
      <c r="AW2101" s="101"/>
      <c r="AX2101" s="101"/>
      <c r="AY2101" s="101"/>
      <c r="AZ2101" s="101"/>
      <c r="BA2101" s="101"/>
    </row>
    <row r="2102" spans="33:53">
      <c r="AG2102" s="101"/>
      <c r="AH2102" s="101"/>
      <c r="AI2102" s="101"/>
      <c r="AJ2102" s="101"/>
      <c r="AK2102" s="101"/>
      <c r="AL2102" s="104"/>
      <c r="AM2102" s="195"/>
      <c r="AT2102" s="101"/>
      <c r="AU2102" s="101"/>
      <c r="AV2102" s="101"/>
      <c r="AW2102" s="101"/>
      <c r="AX2102" s="101"/>
      <c r="AY2102" s="101"/>
      <c r="AZ2102" s="101"/>
      <c r="BA2102" s="101"/>
    </row>
    <row r="2103" spans="33:53">
      <c r="AG2103" s="101"/>
      <c r="AH2103" s="101"/>
      <c r="AI2103" s="101"/>
      <c r="AJ2103" s="101"/>
      <c r="AK2103" s="101"/>
      <c r="AL2103" s="104"/>
      <c r="AM2103" s="195"/>
      <c r="AT2103" s="101"/>
      <c r="AU2103" s="101"/>
      <c r="AV2103" s="101"/>
      <c r="AW2103" s="101"/>
      <c r="AX2103" s="101"/>
      <c r="AY2103" s="101"/>
      <c r="AZ2103" s="101"/>
      <c r="BA2103" s="101"/>
    </row>
    <row r="2104" spans="33:53">
      <c r="AG2104" s="101"/>
      <c r="AH2104" s="101"/>
      <c r="AI2104" s="101"/>
      <c r="AJ2104" s="101"/>
      <c r="AK2104" s="101"/>
      <c r="AL2104" s="104"/>
      <c r="AM2104" s="195"/>
      <c r="AT2104" s="101"/>
      <c r="AU2104" s="101"/>
      <c r="AV2104" s="101"/>
      <c r="AW2104" s="101"/>
      <c r="AX2104" s="101"/>
      <c r="AY2104" s="101"/>
      <c r="AZ2104" s="101"/>
      <c r="BA2104" s="101"/>
    </row>
    <row r="2105" spans="33:53">
      <c r="AG2105" s="101"/>
      <c r="AH2105" s="101"/>
      <c r="AI2105" s="101"/>
      <c r="AJ2105" s="101"/>
      <c r="AK2105" s="101"/>
      <c r="AL2105" s="104"/>
      <c r="AM2105" s="195"/>
      <c r="AT2105" s="101"/>
      <c r="AU2105" s="101"/>
      <c r="AV2105" s="101"/>
      <c r="AW2105" s="101"/>
      <c r="AX2105" s="101"/>
      <c r="AY2105" s="101"/>
      <c r="AZ2105" s="101"/>
      <c r="BA2105" s="101"/>
    </row>
    <row r="2106" spans="33:53">
      <c r="AG2106" s="101"/>
      <c r="AH2106" s="101"/>
      <c r="AI2106" s="101"/>
      <c r="AJ2106" s="101"/>
      <c r="AK2106" s="101"/>
      <c r="AL2106" s="104"/>
      <c r="AM2106" s="195"/>
      <c r="AT2106" s="101"/>
      <c r="AU2106" s="101"/>
      <c r="AV2106" s="101"/>
      <c r="AW2106" s="101"/>
      <c r="AX2106" s="101"/>
      <c r="AY2106" s="101"/>
      <c r="AZ2106" s="101"/>
      <c r="BA2106" s="101"/>
    </row>
    <row r="2107" spans="33:53">
      <c r="AG2107" s="101"/>
      <c r="AH2107" s="101"/>
      <c r="AI2107" s="101"/>
      <c r="AJ2107" s="101"/>
      <c r="AK2107" s="101"/>
      <c r="AL2107" s="104"/>
      <c r="AM2107" s="195"/>
      <c r="AT2107" s="101"/>
      <c r="AU2107" s="101"/>
      <c r="AV2107" s="101"/>
      <c r="AW2107" s="101"/>
      <c r="AX2107" s="101"/>
      <c r="AY2107" s="101"/>
      <c r="AZ2107" s="101"/>
      <c r="BA2107" s="101"/>
    </row>
    <row r="2108" spans="33:53">
      <c r="AG2108" s="101"/>
      <c r="AH2108" s="101"/>
      <c r="AI2108" s="101"/>
      <c r="AJ2108" s="101"/>
      <c r="AK2108" s="101"/>
      <c r="AL2108" s="104"/>
      <c r="AM2108" s="195"/>
      <c r="AT2108" s="101"/>
      <c r="AU2108" s="101"/>
      <c r="AV2108" s="101"/>
      <c r="AW2108" s="101"/>
      <c r="AX2108" s="101"/>
      <c r="AY2108" s="101"/>
      <c r="AZ2108" s="101"/>
      <c r="BA2108" s="101"/>
    </row>
    <row r="2109" spans="33:53">
      <c r="AG2109" s="101"/>
      <c r="AH2109" s="101"/>
      <c r="AI2109" s="101"/>
      <c r="AJ2109" s="101"/>
      <c r="AK2109" s="101"/>
      <c r="AL2109" s="104"/>
      <c r="AM2109" s="195"/>
      <c r="AT2109" s="101"/>
      <c r="AU2109" s="101"/>
      <c r="AV2109" s="101"/>
      <c r="AW2109" s="101"/>
      <c r="AX2109" s="101"/>
      <c r="AY2109" s="101"/>
      <c r="AZ2109" s="101"/>
      <c r="BA2109" s="101"/>
    </row>
    <row r="2110" spans="33:53">
      <c r="AG2110" s="101"/>
      <c r="AH2110" s="101"/>
      <c r="AI2110" s="101"/>
      <c r="AJ2110" s="101"/>
      <c r="AK2110" s="101"/>
      <c r="AL2110" s="104"/>
      <c r="AM2110" s="195"/>
      <c r="AT2110" s="101"/>
      <c r="AU2110" s="101"/>
      <c r="AV2110" s="101"/>
      <c r="AW2110" s="101"/>
      <c r="AX2110" s="101"/>
      <c r="AY2110" s="101"/>
      <c r="AZ2110" s="101"/>
      <c r="BA2110" s="101"/>
    </row>
    <row r="2111" spans="33:53">
      <c r="AG2111" s="101"/>
      <c r="AH2111" s="101"/>
      <c r="AI2111" s="101"/>
      <c r="AJ2111" s="101"/>
      <c r="AK2111" s="101"/>
      <c r="AL2111" s="104"/>
      <c r="AM2111" s="195"/>
      <c r="AT2111" s="101"/>
      <c r="AU2111" s="101"/>
      <c r="AV2111" s="101"/>
      <c r="AW2111" s="101"/>
      <c r="AX2111" s="101"/>
      <c r="AY2111" s="101"/>
      <c r="AZ2111" s="101"/>
      <c r="BA2111" s="101"/>
    </row>
    <row r="2112" spans="33:53">
      <c r="AG2112" s="101"/>
      <c r="AH2112" s="101"/>
      <c r="AI2112" s="101"/>
      <c r="AJ2112" s="101"/>
      <c r="AK2112" s="101"/>
      <c r="AL2112" s="104"/>
      <c r="AM2112" s="195"/>
      <c r="AT2112" s="101"/>
      <c r="AU2112" s="101"/>
      <c r="AV2112" s="101"/>
      <c r="AW2112" s="101"/>
      <c r="AX2112" s="101"/>
      <c r="AY2112" s="101"/>
      <c r="AZ2112" s="101"/>
      <c r="BA2112" s="101"/>
    </row>
    <row r="2113" spans="33:53">
      <c r="AG2113" s="101"/>
      <c r="AH2113" s="101"/>
      <c r="AI2113" s="101"/>
      <c r="AJ2113" s="101"/>
      <c r="AK2113" s="101"/>
      <c r="AL2113" s="104"/>
      <c r="AM2113" s="195"/>
      <c r="AT2113" s="101"/>
      <c r="AU2113" s="101"/>
      <c r="AV2113" s="101"/>
      <c r="AW2113" s="101"/>
      <c r="AX2113" s="101"/>
      <c r="AY2113" s="101"/>
      <c r="AZ2113" s="101"/>
      <c r="BA2113" s="101"/>
    </row>
    <row r="2114" spans="33:53">
      <c r="AG2114" s="101"/>
      <c r="AH2114" s="101"/>
      <c r="AI2114" s="101"/>
      <c r="AJ2114" s="101"/>
      <c r="AK2114" s="101"/>
      <c r="AL2114" s="104"/>
      <c r="AM2114" s="195"/>
      <c r="AT2114" s="101"/>
      <c r="AU2114" s="101"/>
      <c r="AV2114" s="101"/>
      <c r="AW2114" s="101"/>
      <c r="AX2114" s="101"/>
      <c r="AY2114" s="101"/>
      <c r="AZ2114" s="101"/>
      <c r="BA2114" s="101"/>
    </row>
    <row r="2115" spans="33:53">
      <c r="AG2115" s="101"/>
      <c r="AH2115" s="101"/>
      <c r="AI2115" s="101"/>
      <c r="AJ2115" s="101"/>
      <c r="AK2115" s="101"/>
      <c r="AL2115" s="104"/>
      <c r="AM2115" s="195"/>
      <c r="AT2115" s="101"/>
      <c r="AU2115" s="101"/>
      <c r="AV2115" s="101"/>
      <c r="AW2115" s="101"/>
      <c r="AX2115" s="101"/>
      <c r="AY2115" s="101"/>
      <c r="AZ2115" s="101"/>
      <c r="BA2115" s="101"/>
    </row>
    <row r="2116" spans="33:53">
      <c r="AG2116" s="101"/>
      <c r="AH2116" s="101"/>
      <c r="AI2116" s="101"/>
      <c r="AJ2116" s="101"/>
      <c r="AK2116" s="101"/>
      <c r="AL2116" s="104"/>
      <c r="AM2116" s="195"/>
      <c r="AT2116" s="101"/>
      <c r="AU2116" s="101"/>
      <c r="AV2116" s="101"/>
      <c r="AW2116" s="101"/>
      <c r="AX2116" s="101"/>
      <c r="AY2116" s="101"/>
      <c r="AZ2116" s="101"/>
      <c r="BA2116" s="101"/>
    </row>
    <row r="2117" spans="33:53">
      <c r="AG2117" s="101"/>
      <c r="AH2117" s="101"/>
      <c r="AI2117" s="101"/>
      <c r="AJ2117" s="101"/>
      <c r="AK2117" s="101"/>
      <c r="AL2117" s="104"/>
      <c r="AM2117" s="195"/>
      <c r="AT2117" s="101"/>
      <c r="AU2117" s="101"/>
      <c r="AV2117" s="101"/>
      <c r="AW2117" s="101"/>
      <c r="AX2117" s="101"/>
      <c r="AY2117" s="101"/>
      <c r="AZ2117" s="101"/>
      <c r="BA2117" s="101"/>
    </row>
    <row r="2118" spans="33:53">
      <c r="AG2118" s="101"/>
      <c r="AH2118" s="101"/>
      <c r="AI2118" s="101"/>
      <c r="AJ2118" s="101"/>
      <c r="AK2118" s="101"/>
      <c r="AL2118" s="104"/>
      <c r="AM2118" s="195"/>
      <c r="AT2118" s="101"/>
      <c r="AU2118" s="101"/>
      <c r="AV2118" s="101"/>
      <c r="AW2118" s="101"/>
      <c r="AX2118" s="101"/>
      <c r="AY2118" s="101"/>
      <c r="AZ2118" s="101"/>
      <c r="BA2118" s="101"/>
    </row>
    <row r="2119" spans="33:53">
      <c r="AG2119" s="101"/>
      <c r="AH2119" s="101"/>
      <c r="AI2119" s="101"/>
      <c r="AJ2119" s="101"/>
      <c r="AK2119" s="101"/>
      <c r="AL2119" s="104"/>
      <c r="AM2119" s="195"/>
      <c r="AT2119" s="101"/>
      <c r="AU2119" s="101"/>
      <c r="AV2119" s="101"/>
      <c r="AW2119" s="101"/>
      <c r="AX2119" s="101"/>
      <c r="AY2119" s="101"/>
      <c r="AZ2119" s="101"/>
      <c r="BA2119" s="101"/>
    </row>
    <row r="2120" spans="33:53">
      <c r="AG2120" s="101"/>
      <c r="AH2120" s="101"/>
      <c r="AI2120" s="101"/>
      <c r="AJ2120" s="101"/>
      <c r="AK2120" s="101"/>
      <c r="AL2120" s="104"/>
      <c r="AM2120" s="195"/>
      <c r="AT2120" s="101"/>
      <c r="AU2120" s="101"/>
      <c r="AV2120" s="101"/>
      <c r="AW2120" s="101"/>
      <c r="AX2120" s="101"/>
      <c r="AY2120" s="101"/>
      <c r="AZ2120" s="101"/>
      <c r="BA2120" s="101"/>
    </row>
    <row r="2121" spans="33:53">
      <c r="AG2121" s="101"/>
      <c r="AH2121" s="101"/>
      <c r="AI2121" s="101"/>
      <c r="AJ2121" s="101"/>
      <c r="AK2121" s="101"/>
      <c r="AL2121" s="104"/>
      <c r="AM2121" s="195"/>
      <c r="AT2121" s="101"/>
      <c r="AU2121" s="101"/>
      <c r="AV2121" s="101"/>
      <c r="AW2121" s="101"/>
      <c r="AX2121" s="101"/>
      <c r="AY2121" s="101"/>
      <c r="AZ2121" s="101"/>
      <c r="BA2121" s="101"/>
    </row>
    <row r="2122" spans="33:53">
      <c r="AG2122" s="101"/>
      <c r="AH2122" s="101"/>
      <c r="AI2122" s="101"/>
      <c r="AJ2122" s="101"/>
      <c r="AK2122" s="101"/>
      <c r="AL2122" s="104"/>
      <c r="AM2122" s="195"/>
      <c r="AT2122" s="101"/>
      <c r="AU2122" s="101"/>
      <c r="AV2122" s="101"/>
      <c r="AW2122" s="101"/>
      <c r="AX2122" s="101"/>
      <c r="AY2122" s="101"/>
      <c r="AZ2122" s="101"/>
      <c r="BA2122" s="101"/>
    </row>
    <row r="2123" spans="33:53">
      <c r="AG2123" s="101"/>
      <c r="AH2123" s="101"/>
      <c r="AI2123" s="101"/>
      <c r="AJ2123" s="101"/>
      <c r="AK2123" s="101"/>
      <c r="AL2123" s="104"/>
      <c r="AM2123" s="195"/>
      <c r="AT2123" s="101"/>
      <c r="AU2123" s="101"/>
      <c r="AV2123" s="101"/>
      <c r="AW2123" s="101"/>
      <c r="AX2123" s="101"/>
      <c r="AY2123" s="101"/>
      <c r="AZ2123" s="101"/>
      <c r="BA2123" s="101"/>
    </row>
    <row r="2124" spans="33:53">
      <c r="AG2124" s="101"/>
      <c r="AH2124" s="101"/>
      <c r="AI2124" s="101"/>
      <c r="AJ2124" s="101"/>
      <c r="AK2124" s="101"/>
      <c r="AL2124" s="104"/>
      <c r="AM2124" s="195"/>
      <c r="AT2124" s="101"/>
      <c r="AU2124" s="101"/>
      <c r="AV2124" s="101"/>
      <c r="AW2124" s="101"/>
      <c r="AX2124" s="101"/>
      <c r="AY2124" s="101"/>
      <c r="AZ2124" s="101"/>
      <c r="BA2124" s="101"/>
    </row>
    <row r="2125" spans="33:53">
      <c r="AG2125" s="101"/>
      <c r="AH2125" s="101"/>
      <c r="AI2125" s="101"/>
      <c r="AJ2125" s="101"/>
      <c r="AK2125" s="101"/>
      <c r="AL2125" s="104"/>
      <c r="AM2125" s="195"/>
      <c r="AT2125" s="101"/>
      <c r="AU2125" s="101"/>
      <c r="AV2125" s="101"/>
      <c r="AW2125" s="101"/>
      <c r="AX2125" s="101"/>
      <c r="AY2125" s="101"/>
      <c r="AZ2125" s="101"/>
      <c r="BA2125" s="101"/>
    </row>
    <row r="2126" spans="33:53">
      <c r="AG2126" s="101"/>
      <c r="AH2126" s="101"/>
      <c r="AI2126" s="101"/>
      <c r="AJ2126" s="101"/>
      <c r="AK2126" s="101"/>
      <c r="AL2126" s="104"/>
      <c r="AM2126" s="195"/>
      <c r="AT2126" s="101"/>
      <c r="AU2126" s="101"/>
      <c r="AV2126" s="101"/>
      <c r="AW2126" s="101"/>
      <c r="AX2126" s="101"/>
      <c r="AY2126" s="101"/>
      <c r="AZ2126" s="101"/>
      <c r="BA2126" s="101"/>
    </row>
    <row r="2127" spans="33:53">
      <c r="AG2127" s="101"/>
      <c r="AH2127" s="101"/>
      <c r="AI2127" s="101"/>
      <c r="AJ2127" s="101"/>
      <c r="AK2127" s="101"/>
      <c r="AL2127" s="104"/>
      <c r="AM2127" s="195"/>
      <c r="AT2127" s="101"/>
      <c r="AU2127" s="101"/>
      <c r="AV2127" s="101"/>
      <c r="AW2127" s="101"/>
      <c r="AX2127" s="101"/>
      <c r="AY2127" s="101"/>
      <c r="AZ2127" s="101"/>
      <c r="BA2127" s="101"/>
    </row>
    <row r="2128" spans="33:53">
      <c r="AG2128" s="101"/>
      <c r="AH2128" s="101"/>
      <c r="AI2128" s="101"/>
      <c r="AJ2128" s="101"/>
      <c r="AK2128" s="101"/>
      <c r="AL2128" s="104"/>
      <c r="AM2128" s="195"/>
      <c r="AT2128" s="101"/>
      <c r="AU2128" s="101"/>
      <c r="AV2128" s="101"/>
      <c r="AW2128" s="101"/>
      <c r="AX2128" s="101"/>
      <c r="AY2128" s="101"/>
      <c r="AZ2128" s="101"/>
      <c r="BA2128" s="101"/>
    </row>
    <row r="2129" spans="33:53">
      <c r="AG2129" s="101"/>
      <c r="AH2129" s="101"/>
      <c r="AI2129" s="101"/>
      <c r="AJ2129" s="101"/>
      <c r="AK2129" s="101"/>
      <c r="AL2129" s="104"/>
      <c r="AM2129" s="195"/>
      <c r="AT2129" s="101"/>
      <c r="AU2129" s="101"/>
      <c r="AV2129" s="101"/>
      <c r="AW2129" s="101"/>
      <c r="AX2129" s="101"/>
      <c r="AY2129" s="101"/>
      <c r="AZ2129" s="101"/>
      <c r="BA2129" s="101"/>
    </row>
    <row r="2130" spans="33:53">
      <c r="AG2130" s="101"/>
      <c r="AH2130" s="101"/>
      <c r="AI2130" s="101"/>
      <c r="AJ2130" s="101"/>
      <c r="AK2130" s="101"/>
      <c r="AL2130" s="104"/>
      <c r="AM2130" s="195"/>
      <c r="AT2130" s="101"/>
      <c r="AU2130" s="101"/>
      <c r="AV2130" s="101"/>
      <c r="AW2130" s="101"/>
      <c r="AX2130" s="101"/>
      <c r="AY2130" s="101"/>
      <c r="AZ2130" s="101"/>
      <c r="BA2130" s="101"/>
    </row>
    <row r="2131" spans="33:53">
      <c r="AG2131" s="101"/>
      <c r="AH2131" s="101"/>
      <c r="AI2131" s="101"/>
      <c r="AJ2131" s="101"/>
      <c r="AK2131" s="101"/>
      <c r="AL2131" s="104"/>
      <c r="AM2131" s="195"/>
      <c r="AT2131" s="101"/>
      <c r="AU2131" s="101"/>
      <c r="AV2131" s="101"/>
      <c r="AW2131" s="101"/>
      <c r="AX2131" s="101"/>
      <c r="AY2131" s="101"/>
      <c r="AZ2131" s="101"/>
      <c r="BA2131" s="101"/>
    </row>
    <row r="2132" spans="33:53">
      <c r="AG2132" s="101"/>
      <c r="AH2132" s="101"/>
      <c r="AI2132" s="101"/>
      <c r="AJ2132" s="101"/>
      <c r="AK2132" s="101"/>
      <c r="AL2132" s="104"/>
      <c r="AM2132" s="195"/>
      <c r="AT2132" s="101"/>
      <c r="AU2132" s="101"/>
      <c r="AV2132" s="101"/>
      <c r="AW2132" s="101"/>
      <c r="AX2132" s="101"/>
      <c r="AY2132" s="101"/>
      <c r="AZ2132" s="101"/>
      <c r="BA2132" s="101"/>
    </row>
    <row r="2133" spans="33:53">
      <c r="AG2133" s="101"/>
      <c r="AH2133" s="101"/>
      <c r="AI2133" s="101"/>
      <c r="AJ2133" s="101"/>
      <c r="AK2133" s="101"/>
      <c r="AL2133" s="104"/>
      <c r="AM2133" s="195"/>
      <c r="AT2133" s="101"/>
      <c r="AU2133" s="101"/>
      <c r="AV2133" s="101"/>
      <c r="AW2133" s="101"/>
      <c r="AX2133" s="101"/>
      <c r="AY2133" s="101"/>
      <c r="AZ2133" s="101"/>
      <c r="BA2133" s="101"/>
    </row>
    <row r="2134" spans="33:53">
      <c r="AG2134" s="101"/>
      <c r="AH2134" s="101"/>
      <c r="AI2134" s="101"/>
      <c r="AJ2134" s="101"/>
      <c r="AK2134" s="101"/>
      <c r="AL2134" s="104"/>
      <c r="AM2134" s="195"/>
      <c r="AT2134" s="101"/>
      <c r="AU2134" s="101"/>
      <c r="AV2134" s="101"/>
      <c r="AW2134" s="101"/>
      <c r="AX2134" s="101"/>
      <c r="AY2134" s="101"/>
      <c r="AZ2134" s="101"/>
      <c r="BA2134" s="101"/>
    </row>
    <row r="2135" spans="33:53">
      <c r="AG2135" s="101"/>
      <c r="AH2135" s="101"/>
      <c r="AI2135" s="101"/>
      <c r="AJ2135" s="101"/>
      <c r="AK2135" s="101"/>
      <c r="AL2135" s="104"/>
      <c r="AM2135" s="195"/>
      <c r="AT2135" s="101"/>
      <c r="AU2135" s="101"/>
      <c r="AV2135" s="101"/>
      <c r="AW2135" s="101"/>
      <c r="AX2135" s="101"/>
      <c r="AY2135" s="101"/>
      <c r="AZ2135" s="101"/>
      <c r="BA2135" s="101"/>
    </row>
    <row r="2136" spans="33:53">
      <c r="AG2136" s="101"/>
      <c r="AH2136" s="101"/>
      <c r="AI2136" s="101"/>
      <c r="AJ2136" s="101"/>
      <c r="AK2136" s="101"/>
      <c r="AL2136" s="104"/>
      <c r="AM2136" s="195"/>
      <c r="AT2136" s="101"/>
      <c r="AU2136" s="101"/>
      <c r="AV2136" s="101"/>
      <c r="AW2136" s="101"/>
      <c r="AX2136" s="101"/>
      <c r="AY2136" s="101"/>
      <c r="AZ2136" s="101"/>
      <c r="BA2136" s="101"/>
    </row>
    <row r="2137" spans="33:53">
      <c r="AG2137" s="101"/>
      <c r="AH2137" s="101"/>
      <c r="AI2137" s="101"/>
      <c r="AJ2137" s="101"/>
      <c r="AK2137" s="101"/>
      <c r="AL2137" s="104"/>
      <c r="AM2137" s="195"/>
      <c r="AT2137" s="101"/>
      <c r="AU2137" s="101"/>
      <c r="AV2137" s="101"/>
      <c r="AW2137" s="101"/>
      <c r="AX2137" s="101"/>
      <c r="AY2137" s="101"/>
      <c r="AZ2137" s="101"/>
      <c r="BA2137" s="101"/>
    </row>
    <row r="2138" spans="33:53">
      <c r="AG2138" s="101"/>
      <c r="AH2138" s="101"/>
      <c r="AI2138" s="101"/>
      <c r="AJ2138" s="101"/>
      <c r="AK2138" s="101"/>
      <c r="AL2138" s="104"/>
      <c r="AM2138" s="195"/>
      <c r="AT2138" s="101"/>
      <c r="AU2138" s="101"/>
      <c r="AV2138" s="101"/>
      <c r="AW2138" s="101"/>
      <c r="AX2138" s="101"/>
      <c r="AY2138" s="101"/>
      <c r="AZ2138" s="101"/>
      <c r="BA2138" s="101"/>
    </row>
    <row r="2139" spans="33:53">
      <c r="AG2139" s="101"/>
      <c r="AH2139" s="101"/>
      <c r="AI2139" s="101"/>
      <c r="AJ2139" s="101"/>
      <c r="AK2139" s="101"/>
      <c r="AL2139" s="104"/>
      <c r="AM2139" s="195"/>
      <c r="AT2139" s="101"/>
      <c r="AU2139" s="101"/>
      <c r="AV2139" s="101"/>
      <c r="AW2139" s="101"/>
      <c r="AX2139" s="101"/>
      <c r="AY2139" s="101"/>
      <c r="AZ2139" s="101"/>
      <c r="BA2139" s="101"/>
    </row>
    <row r="2140" spans="33:53">
      <c r="AG2140" s="101"/>
      <c r="AH2140" s="101"/>
      <c r="AI2140" s="101"/>
      <c r="AJ2140" s="101"/>
      <c r="AK2140" s="101"/>
      <c r="AL2140" s="104"/>
      <c r="AM2140" s="195"/>
      <c r="AT2140" s="101"/>
      <c r="AU2140" s="101"/>
      <c r="AV2140" s="101"/>
      <c r="AW2140" s="101"/>
      <c r="AX2140" s="101"/>
      <c r="AY2140" s="101"/>
      <c r="AZ2140" s="101"/>
      <c r="BA2140" s="101"/>
    </row>
    <row r="2141" spans="33:53">
      <c r="AG2141" s="101"/>
      <c r="AH2141" s="101"/>
      <c r="AI2141" s="101"/>
      <c r="AJ2141" s="101"/>
      <c r="AK2141" s="101"/>
      <c r="AL2141" s="104"/>
      <c r="AM2141" s="195"/>
      <c r="AT2141" s="101"/>
      <c r="AU2141" s="101"/>
      <c r="AV2141" s="101"/>
      <c r="AW2141" s="101"/>
      <c r="AX2141" s="101"/>
      <c r="AY2141" s="101"/>
      <c r="AZ2141" s="101"/>
      <c r="BA2141" s="101"/>
    </row>
    <row r="2142" spans="33:53">
      <c r="AG2142" s="101"/>
      <c r="AH2142" s="101"/>
      <c r="AI2142" s="101"/>
      <c r="AJ2142" s="101"/>
      <c r="AK2142" s="101"/>
      <c r="AL2142" s="104"/>
      <c r="AM2142" s="195"/>
      <c r="AT2142" s="101"/>
      <c r="AU2142" s="101"/>
      <c r="AV2142" s="101"/>
      <c r="AW2142" s="101"/>
      <c r="AX2142" s="101"/>
      <c r="AY2142" s="101"/>
      <c r="AZ2142" s="101"/>
      <c r="BA2142" s="101"/>
    </row>
    <row r="2143" spans="33:53">
      <c r="AG2143" s="101"/>
      <c r="AH2143" s="101"/>
      <c r="AI2143" s="101"/>
      <c r="AJ2143" s="101"/>
      <c r="AK2143" s="101"/>
      <c r="AL2143" s="104"/>
      <c r="AM2143" s="195"/>
      <c r="AT2143" s="101"/>
      <c r="AU2143" s="101"/>
      <c r="AV2143" s="101"/>
      <c r="AW2143" s="101"/>
      <c r="AX2143" s="101"/>
      <c r="AY2143" s="101"/>
      <c r="AZ2143" s="101"/>
      <c r="BA2143" s="101"/>
    </row>
    <row r="2144" spans="33:53">
      <c r="AG2144" s="101"/>
      <c r="AH2144" s="101"/>
      <c r="AI2144" s="101"/>
      <c r="AJ2144" s="101"/>
      <c r="AK2144" s="101"/>
      <c r="AL2144" s="104"/>
      <c r="AM2144" s="195"/>
      <c r="AT2144" s="101"/>
      <c r="AU2144" s="101"/>
      <c r="AV2144" s="101"/>
      <c r="AW2144" s="101"/>
      <c r="AX2144" s="101"/>
      <c r="AY2144" s="101"/>
      <c r="AZ2144" s="101"/>
      <c r="BA2144" s="101"/>
    </row>
    <row r="2145" spans="33:53">
      <c r="AG2145" s="101"/>
      <c r="AH2145" s="101"/>
      <c r="AI2145" s="101"/>
      <c r="AJ2145" s="101"/>
      <c r="AK2145" s="101"/>
      <c r="AL2145" s="104"/>
      <c r="AM2145" s="195"/>
      <c r="AT2145" s="101"/>
      <c r="AU2145" s="101"/>
      <c r="AV2145" s="101"/>
      <c r="AW2145" s="101"/>
      <c r="AX2145" s="101"/>
      <c r="AY2145" s="101"/>
      <c r="AZ2145" s="101"/>
      <c r="BA2145" s="101"/>
    </row>
    <row r="2146" spans="33:53">
      <c r="AG2146" s="101"/>
      <c r="AH2146" s="101"/>
      <c r="AI2146" s="101"/>
      <c r="AJ2146" s="101"/>
      <c r="AK2146" s="101"/>
      <c r="AL2146" s="104"/>
      <c r="AM2146" s="195"/>
      <c r="AT2146" s="101"/>
      <c r="AU2146" s="101"/>
      <c r="AV2146" s="101"/>
      <c r="AW2146" s="101"/>
      <c r="AX2146" s="101"/>
      <c r="AY2146" s="101"/>
      <c r="AZ2146" s="101"/>
      <c r="BA2146" s="101"/>
    </row>
    <row r="2147" spans="33:53">
      <c r="AG2147" s="101"/>
      <c r="AH2147" s="101"/>
      <c r="AI2147" s="101"/>
      <c r="AJ2147" s="101"/>
      <c r="AK2147" s="101"/>
      <c r="AL2147" s="104"/>
      <c r="AM2147" s="195"/>
      <c r="AT2147" s="101"/>
      <c r="AU2147" s="101"/>
      <c r="AV2147" s="101"/>
      <c r="AW2147" s="101"/>
      <c r="AX2147" s="101"/>
      <c r="AY2147" s="101"/>
      <c r="AZ2147" s="101"/>
      <c r="BA2147" s="101"/>
    </row>
    <row r="2148" spans="33:53">
      <c r="AG2148" s="101"/>
      <c r="AH2148" s="101"/>
      <c r="AI2148" s="101"/>
      <c r="AJ2148" s="101"/>
      <c r="AK2148" s="101"/>
      <c r="AL2148" s="104"/>
      <c r="AM2148" s="195"/>
      <c r="AT2148" s="101"/>
      <c r="AU2148" s="101"/>
      <c r="AV2148" s="101"/>
      <c r="AW2148" s="101"/>
      <c r="AX2148" s="101"/>
      <c r="AY2148" s="101"/>
      <c r="AZ2148" s="101"/>
      <c r="BA2148" s="101"/>
    </row>
    <row r="2149" spans="33:53">
      <c r="AG2149" s="101"/>
      <c r="AH2149" s="101"/>
      <c r="AI2149" s="101"/>
      <c r="AJ2149" s="101"/>
      <c r="AK2149" s="101"/>
      <c r="AL2149" s="104"/>
      <c r="AM2149" s="195"/>
      <c r="AT2149" s="101"/>
      <c r="AU2149" s="101"/>
      <c r="AV2149" s="101"/>
      <c r="AW2149" s="101"/>
      <c r="AX2149" s="101"/>
      <c r="AY2149" s="101"/>
      <c r="AZ2149" s="101"/>
      <c r="BA2149" s="101"/>
    </row>
    <row r="2150" spans="33:53">
      <c r="AG2150" s="101"/>
      <c r="AH2150" s="101"/>
      <c r="AI2150" s="101"/>
      <c r="AJ2150" s="101"/>
      <c r="AK2150" s="101"/>
      <c r="AL2150" s="104"/>
      <c r="AM2150" s="195"/>
      <c r="AT2150" s="101"/>
      <c r="AU2150" s="101"/>
      <c r="AV2150" s="101"/>
      <c r="AW2150" s="101"/>
      <c r="AX2150" s="101"/>
      <c r="AY2150" s="101"/>
      <c r="AZ2150" s="101"/>
      <c r="BA2150" s="101"/>
    </row>
    <row r="2151" spans="33:53">
      <c r="AG2151" s="101"/>
      <c r="AH2151" s="101"/>
      <c r="AI2151" s="101"/>
      <c r="AJ2151" s="101"/>
      <c r="AK2151" s="101"/>
      <c r="AL2151" s="104"/>
      <c r="AM2151" s="195"/>
      <c r="AT2151" s="101"/>
      <c r="AU2151" s="101"/>
      <c r="AV2151" s="101"/>
      <c r="AW2151" s="101"/>
      <c r="AX2151" s="101"/>
      <c r="AY2151" s="101"/>
      <c r="AZ2151" s="101"/>
      <c r="BA2151" s="101"/>
    </row>
    <row r="2152" spans="33:53">
      <c r="AG2152" s="101"/>
      <c r="AH2152" s="101"/>
      <c r="AI2152" s="101"/>
      <c r="AJ2152" s="101"/>
      <c r="AK2152" s="101"/>
      <c r="AL2152" s="104"/>
      <c r="AM2152" s="195"/>
      <c r="AT2152" s="101"/>
      <c r="AU2152" s="101"/>
      <c r="AV2152" s="101"/>
      <c r="AW2152" s="101"/>
      <c r="AX2152" s="101"/>
      <c r="AY2152" s="101"/>
      <c r="AZ2152" s="101"/>
      <c r="BA2152" s="101"/>
    </row>
    <row r="2153" spans="33:53">
      <c r="AG2153" s="101"/>
      <c r="AH2153" s="101"/>
      <c r="AI2153" s="101"/>
      <c r="AJ2153" s="101"/>
      <c r="AK2153" s="101"/>
      <c r="AL2153" s="104"/>
      <c r="AM2153" s="195"/>
      <c r="AT2153" s="101"/>
      <c r="AU2153" s="101"/>
      <c r="AV2153" s="101"/>
      <c r="AW2153" s="101"/>
      <c r="AX2153" s="101"/>
      <c r="AY2153" s="101"/>
      <c r="AZ2153" s="101"/>
      <c r="BA2153" s="101"/>
    </row>
    <row r="2154" spans="33:53">
      <c r="AG2154" s="101"/>
      <c r="AH2154" s="101"/>
      <c r="AI2154" s="101"/>
      <c r="AJ2154" s="101"/>
      <c r="AK2154" s="101"/>
      <c r="AL2154" s="104"/>
      <c r="AM2154" s="195"/>
      <c r="AT2154" s="101"/>
      <c r="AU2154" s="101"/>
      <c r="AV2154" s="101"/>
      <c r="AW2154" s="101"/>
      <c r="AX2154" s="101"/>
      <c r="AY2154" s="101"/>
      <c r="AZ2154" s="101"/>
      <c r="BA2154" s="101"/>
    </row>
    <row r="2155" spans="33:53">
      <c r="AG2155" s="101"/>
      <c r="AH2155" s="101"/>
      <c r="AI2155" s="101"/>
      <c r="AJ2155" s="101"/>
      <c r="AK2155" s="101"/>
      <c r="AL2155" s="104"/>
      <c r="AM2155" s="195"/>
      <c r="AT2155" s="101"/>
      <c r="AU2155" s="101"/>
      <c r="AV2155" s="101"/>
      <c r="AW2155" s="101"/>
      <c r="AX2155" s="101"/>
      <c r="AY2155" s="101"/>
      <c r="AZ2155" s="101"/>
      <c r="BA2155" s="101"/>
    </row>
    <row r="2156" spans="33:53">
      <c r="AG2156" s="101"/>
      <c r="AH2156" s="101"/>
      <c r="AI2156" s="101"/>
      <c r="AJ2156" s="101"/>
      <c r="AK2156" s="101"/>
      <c r="AL2156" s="104"/>
      <c r="AM2156" s="195"/>
      <c r="AT2156" s="101"/>
      <c r="AU2156" s="101"/>
      <c r="AV2156" s="101"/>
      <c r="AW2156" s="101"/>
      <c r="AX2156" s="101"/>
      <c r="AY2156" s="101"/>
      <c r="AZ2156" s="101"/>
      <c r="BA2156" s="101"/>
    </row>
    <row r="2157" spans="33:53">
      <c r="AG2157" s="101"/>
      <c r="AH2157" s="101"/>
      <c r="AI2157" s="101"/>
      <c r="AJ2157" s="101"/>
      <c r="AK2157" s="101"/>
      <c r="AL2157" s="104"/>
      <c r="AM2157" s="195"/>
      <c r="AT2157" s="101"/>
      <c r="AU2157" s="101"/>
      <c r="AV2157" s="101"/>
      <c r="AW2157" s="101"/>
      <c r="AX2157" s="101"/>
      <c r="AY2157" s="101"/>
      <c r="AZ2157" s="101"/>
      <c r="BA2157" s="101"/>
    </row>
    <row r="2158" spans="33:53">
      <c r="AG2158" s="101"/>
      <c r="AH2158" s="101"/>
      <c r="AI2158" s="101"/>
      <c r="AJ2158" s="101"/>
      <c r="AK2158" s="101"/>
      <c r="AL2158" s="104"/>
      <c r="AM2158" s="195"/>
      <c r="AT2158" s="101"/>
      <c r="AU2158" s="101"/>
      <c r="AV2158" s="101"/>
      <c r="AW2158" s="101"/>
      <c r="AX2158" s="101"/>
      <c r="AY2158" s="101"/>
      <c r="AZ2158" s="101"/>
      <c r="BA2158" s="101"/>
    </row>
    <row r="2159" spans="33:53">
      <c r="AG2159" s="101"/>
      <c r="AH2159" s="101"/>
      <c r="AI2159" s="101"/>
      <c r="AJ2159" s="101"/>
      <c r="AK2159" s="101"/>
      <c r="AL2159" s="104"/>
      <c r="AM2159" s="195"/>
      <c r="AT2159" s="101"/>
      <c r="AU2159" s="101"/>
      <c r="AV2159" s="101"/>
      <c r="AW2159" s="101"/>
      <c r="AX2159" s="101"/>
      <c r="AY2159" s="101"/>
      <c r="AZ2159" s="101"/>
      <c r="BA2159" s="101"/>
    </row>
    <row r="2160" spans="33:53">
      <c r="AG2160" s="101"/>
      <c r="AH2160" s="101"/>
      <c r="AI2160" s="101"/>
      <c r="AJ2160" s="101"/>
      <c r="AK2160" s="101"/>
      <c r="AL2160" s="104"/>
      <c r="AM2160" s="195"/>
      <c r="AT2160" s="101"/>
      <c r="AU2160" s="101"/>
      <c r="AV2160" s="101"/>
      <c r="AW2160" s="101"/>
      <c r="AX2160" s="101"/>
      <c r="AY2160" s="101"/>
      <c r="AZ2160" s="101"/>
      <c r="BA2160" s="101"/>
    </row>
    <row r="2161" spans="33:53">
      <c r="AG2161" s="101"/>
      <c r="AH2161" s="101"/>
      <c r="AI2161" s="101"/>
      <c r="AJ2161" s="101"/>
      <c r="AK2161" s="101"/>
      <c r="AL2161" s="104"/>
      <c r="AM2161" s="195"/>
      <c r="AT2161" s="101"/>
      <c r="AU2161" s="101"/>
      <c r="AV2161" s="101"/>
      <c r="AW2161" s="101"/>
      <c r="AX2161" s="101"/>
      <c r="AY2161" s="101"/>
      <c r="AZ2161" s="101"/>
      <c r="BA2161" s="101"/>
    </row>
    <row r="2162" spans="33:53">
      <c r="AG2162" s="101"/>
      <c r="AH2162" s="101"/>
      <c r="AI2162" s="101"/>
      <c r="AJ2162" s="101"/>
      <c r="AK2162" s="101"/>
      <c r="AL2162" s="104"/>
      <c r="AM2162" s="195"/>
      <c r="AT2162" s="101"/>
      <c r="AU2162" s="101"/>
      <c r="AV2162" s="101"/>
      <c r="AW2162" s="101"/>
      <c r="AX2162" s="101"/>
      <c r="AY2162" s="101"/>
      <c r="AZ2162" s="101"/>
      <c r="BA2162" s="101"/>
    </row>
    <row r="2163" spans="33:53">
      <c r="AG2163" s="101"/>
      <c r="AH2163" s="101"/>
      <c r="AI2163" s="101"/>
      <c r="AJ2163" s="101"/>
      <c r="AK2163" s="101"/>
      <c r="AL2163" s="104"/>
      <c r="AM2163" s="195"/>
      <c r="AT2163" s="101"/>
      <c r="AU2163" s="101"/>
      <c r="AV2163" s="101"/>
      <c r="AW2163" s="101"/>
      <c r="AX2163" s="101"/>
      <c r="AY2163" s="101"/>
      <c r="AZ2163" s="101"/>
      <c r="BA2163" s="101"/>
    </row>
    <row r="2164" spans="33:53">
      <c r="AG2164" s="101"/>
      <c r="AH2164" s="101"/>
      <c r="AI2164" s="101"/>
      <c r="AJ2164" s="101"/>
      <c r="AK2164" s="101"/>
      <c r="AL2164" s="104"/>
      <c r="AM2164" s="195"/>
      <c r="AT2164" s="101"/>
      <c r="AU2164" s="101"/>
      <c r="AV2164" s="101"/>
      <c r="AW2164" s="101"/>
      <c r="AX2164" s="101"/>
      <c r="AY2164" s="101"/>
      <c r="AZ2164" s="101"/>
      <c r="BA2164" s="101"/>
    </row>
    <row r="2165" spans="33:53">
      <c r="AG2165" s="101"/>
      <c r="AH2165" s="101"/>
      <c r="AI2165" s="101"/>
      <c r="AJ2165" s="101"/>
      <c r="AK2165" s="101"/>
      <c r="AL2165" s="104"/>
      <c r="AM2165" s="195"/>
      <c r="AT2165" s="101"/>
      <c r="AU2165" s="101"/>
      <c r="AV2165" s="101"/>
      <c r="AW2165" s="101"/>
      <c r="AX2165" s="101"/>
      <c r="AY2165" s="101"/>
      <c r="AZ2165" s="101"/>
      <c r="BA2165" s="101"/>
    </row>
    <row r="2166" spans="33:53">
      <c r="AG2166" s="101"/>
      <c r="AH2166" s="101"/>
      <c r="AI2166" s="101"/>
      <c r="AJ2166" s="101"/>
      <c r="AK2166" s="101"/>
      <c r="AL2166" s="104"/>
      <c r="AM2166" s="195"/>
      <c r="AT2166" s="101"/>
      <c r="AU2166" s="101"/>
      <c r="AV2166" s="101"/>
      <c r="AW2166" s="101"/>
      <c r="AX2166" s="101"/>
      <c r="AY2166" s="101"/>
      <c r="AZ2166" s="101"/>
      <c r="BA2166" s="101"/>
    </row>
    <row r="2167" spans="33:53">
      <c r="AG2167" s="101"/>
      <c r="AH2167" s="101"/>
      <c r="AI2167" s="101"/>
      <c r="AJ2167" s="101"/>
      <c r="AK2167" s="101"/>
      <c r="AL2167" s="104"/>
      <c r="AM2167" s="195"/>
      <c r="AT2167" s="101"/>
      <c r="AU2167" s="101"/>
      <c r="AV2167" s="101"/>
      <c r="AW2167" s="101"/>
      <c r="AX2167" s="101"/>
      <c r="AY2167" s="101"/>
      <c r="AZ2167" s="101"/>
      <c r="BA2167" s="101"/>
    </row>
    <row r="2168" spans="33:53">
      <c r="AG2168" s="101"/>
      <c r="AH2168" s="101"/>
      <c r="AI2168" s="101"/>
      <c r="AJ2168" s="101"/>
      <c r="AK2168" s="101"/>
      <c r="AL2168" s="104"/>
      <c r="AM2168" s="195"/>
      <c r="AT2168" s="101"/>
      <c r="AU2168" s="101"/>
      <c r="AV2168" s="101"/>
      <c r="AW2168" s="101"/>
      <c r="AX2168" s="101"/>
      <c r="AY2168" s="101"/>
      <c r="AZ2168" s="101"/>
      <c r="BA2168" s="101"/>
    </row>
    <row r="2169" spans="33:53">
      <c r="AG2169" s="101"/>
      <c r="AH2169" s="101"/>
      <c r="AI2169" s="101"/>
      <c r="AJ2169" s="101"/>
      <c r="AK2169" s="101"/>
      <c r="AL2169" s="104"/>
      <c r="AM2169" s="195"/>
      <c r="AT2169" s="101"/>
      <c r="AU2169" s="101"/>
      <c r="AV2169" s="101"/>
      <c r="AW2169" s="101"/>
      <c r="AX2169" s="101"/>
      <c r="AY2169" s="101"/>
      <c r="AZ2169" s="101"/>
      <c r="BA2169" s="101"/>
    </row>
    <row r="2170" spans="33:53">
      <c r="AG2170" s="101"/>
      <c r="AH2170" s="101"/>
      <c r="AI2170" s="101"/>
      <c r="AJ2170" s="101"/>
      <c r="AK2170" s="101"/>
      <c r="AL2170" s="104"/>
      <c r="AM2170" s="195"/>
      <c r="AT2170" s="101"/>
      <c r="AU2170" s="101"/>
      <c r="AV2170" s="101"/>
      <c r="AW2170" s="101"/>
      <c r="AX2170" s="101"/>
      <c r="AY2170" s="101"/>
      <c r="AZ2170" s="101"/>
      <c r="BA2170" s="101"/>
    </row>
    <row r="2171" spans="33:53">
      <c r="AG2171" s="101"/>
      <c r="AH2171" s="101"/>
      <c r="AI2171" s="101"/>
      <c r="AJ2171" s="101"/>
      <c r="AK2171" s="101"/>
      <c r="AL2171" s="104"/>
      <c r="AM2171" s="195"/>
      <c r="AT2171" s="101"/>
      <c r="AU2171" s="101"/>
      <c r="AV2171" s="101"/>
      <c r="AW2171" s="101"/>
      <c r="AX2171" s="101"/>
      <c r="AY2171" s="101"/>
      <c r="AZ2171" s="101"/>
      <c r="BA2171" s="101"/>
    </row>
    <row r="2172" spans="33:53">
      <c r="AG2172" s="101"/>
      <c r="AH2172" s="101"/>
      <c r="AI2172" s="101"/>
      <c r="AJ2172" s="101"/>
      <c r="AK2172" s="101"/>
      <c r="AL2172" s="104"/>
      <c r="AM2172" s="195"/>
      <c r="AT2172" s="101"/>
      <c r="AU2172" s="101"/>
      <c r="AV2172" s="101"/>
      <c r="AW2172" s="101"/>
      <c r="AX2172" s="101"/>
      <c r="AY2172" s="101"/>
      <c r="AZ2172" s="101"/>
      <c r="BA2172" s="101"/>
    </row>
    <row r="2173" spans="33:53">
      <c r="AG2173" s="101"/>
      <c r="AH2173" s="101"/>
      <c r="AI2173" s="101"/>
      <c r="AJ2173" s="101"/>
      <c r="AK2173" s="101"/>
      <c r="AL2173" s="104"/>
      <c r="AM2173" s="195"/>
      <c r="AT2173" s="101"/>
      <c r="AU2173" s="101"/>
      <c r="AV2173" s="101"/>
      <c r="AW2173" s="101"/>
      <c r="AX2173" s="101"/>
      <c r="AY2173" s="101"/>
      <c r="AZ2173" s="101"/>
      <c r="BA2173" s="101"/>
    </row>
    <row r="2174" spans="33:53">
      <c r="AG2174" s="101"/>
      <c r="AH2174" s="101"/>
      <c r="AI2174" s="101"/>
      <c r="AJ2174" s="101"/>
      <c r="AK2174" s="101"/>
      <c r="AL2174" s="104"/>
      <c r="AM2174" s="195"/>
      <c r="AT2174" s="101"/>
      <c r="AU2174" s="101"/>
      <c r="AV2174" s="101"/>
      <c r="AW2174" s="101"/>
      <c r="AX2174" s="101"/>
      <c r="AY2174" s="101"/>
      <c r="AZ2174" s="101"/>
      <c r="BA2174" s="101"/>
    </row>
    <row r="2175" spans="33:53">
      <c r="AG2175" s="101"/>
      <c r="AH2175" s="101"/>
      <c r="AI2175" s="101"/>
      <c r="AJ2175" s="101"/>
      <c r="AK2175" s="101"/>
      <c r="AL2175" s="104"/>
      <c r="AM2175" s="195"/>
      <c r="AT2175" s="101"/>
      <c r="AU2175" s="101"/>
      <c r="AV2175" s="101"/>
      <c r="AW2175" s="101"/>
      <c r="AX2175" s="101"/>
      <c r="AY2175" s="101"/>
      <c r="AZ2175" s="101"/>
      <c r="BA2175" s="101"/>
    </row>
    <row r="2176" spans="33:53">
      <c r="AG2176" s="101"/>
      <c r="AH2176" s="101"/>
      <c r="AI2176" s="101"/>
      <c r="AJ2176" s="101"/>
      <c r="AK2176" s="101"/>
      <c r="AL2176" s="104"/>
      <c r="AM2176" s="195"/>
      <c r="AT2176" s="101"/>
      <c r="AU2176" s="101"/>
      <c r="AV2176" s="101"/>
      <c r="AW2176" s="101"/>
      <c r="AX2176" s="101"/>
      <c r="AY2176" s="101"/>
      <c r="AZ2176" s="101"/>
      <c r="BA2176" s="101"/>
    </row>
    <row r="2177" spans="33:53">
      <c r="AG2177" s="101"/>
      <c r="AH2177" s="101"/>
      <c r="AI2177" s="101"/>
      <c r="AJ2177" s="101"/>
      <c r="AK2177" s="101"/>
      <c r="AL2177" s="104"/>
      <c r="AM2177" s="195"/>
      <c r="AT2177" s="101"/>
      <c r="AU2177" s="101"/>
      <c r="AV2177" s="101"/>
      <c r="AW2177" s="101"/>
      <c r="AX2177" s="101"/>
      <c r="AY2177" s="101"/>
      <c r="AZ2177" s="101"/>
      <c r="BA2177" s="101"/>
    </row>
    <row r="2178" spans="33:53">
      <c r="AG2178" s="101"/>
      <c r="AH2178" s="101"/>
      <c r="AI2178" s="101"/>
      <c r="AJ2178" s="101"/>
      <c r="AK2178" s="101"/>
      <c r="AL2178" s="104"/>
      <c r="AM2178" s="195"/>
      <c r="AT2178" s="101"/>
      <c r="AU2178" s="101"/>
      <c r="AV2178" s="101"/>
      <c r="AW2178" s="101"/>
      <c r="AX2178" s="101"/>
      <c r="AY2178" s="101"/>
      <c r="AZ2178" s="101"/>
      <c r="BA2178" s="101"/>
    </row>
    <row r="2179" spans="33:53">
      <c r="AG2179" s="101"/>
      <c r="AH2179" s="101"/>
      <c r="AI2179" s="101"/>
      <c r="AJ2179" s="101"/>
      <c r="AK2179" s="101"/>
      <c r="AL2179" s="104"/>
      <c r="AM2179" s="195"/>
      <c r="AT2179" s="101"/>
      <c r="AU2179" s="101"/>
      <c r="AV2179" s="101"/>
      <c r="AW2179" s="101"/>
      <c r="AX2179" s="101"/>
      <c r="AY2179" s="101"/>
      <c r="AZ2179" s="101"/>
      <c r="BA2179" s="101"/>
    </row>
    <row r="2180" spans="33:53">
      <c r="AG2180" s="101"/>
      <c r="AH2180" s="101"/>
      <c r="AI2180" s="101"/>
      <c r="AJ2180" s="101"/>
      <c r="AK2180" s="101"/>
      <c r="AL2180" s="104"/>
      <c r="AM2180" s="195"/>
      <c r="AT2180" s="101"/>
      <c r="AU2180" s="101"/>
      <c r="AV2180" s="101"/>
      <c r="AW2180" s="101"/>
      <c r="AX2180" s="101"/>
      <c r="AY2180" s="101"/>
      <c r="AZ2180" s="101"/>
      <c r="BA2180" s="101"/>
    </row>
    <row r="2181" spans="33:53">
      <c r="AG2181" s="101"/>
      <c r="AH2181" s="101"/>
      <c r="AI2181" s="101"/>
      <c r="AJ2181" s="101"/>
      <c r="AK2181" s="101"/>
      <c r="AL2181" s="104"/>
      <c r="AM2181" s="195"/>
      <c r="AT2181" s="101"/>
      <c r="AU2181" s="101"/>
      <c r="AV2181" s="101"/>
      <c r="AW2181" s="101"/>
      <c r="AX2181" s="101"/>
      <c r="AY2181" s="101"/>
      <c r="AZ2181" s="101"/>
      <c r="BA2181" s="101"/>
    </row>
    <row r="2182" spans="33:53">
      <c r="AG2182" s="101"/>
      <c r="AH2182" s="101"/>
      <c r="AI2182" s="101"/>
      <c r="AJ2182" s="101"/>
      <c r="AK2182" s="101"/>
      <c r="AL2182" s="104"/>
      <c r="AM2182" s="195"/>
      <c r="AT2182" s="101"/>
      <c r="AU2182" s="101"/>
      <c r="AV2182" s="101"/>
      <c r="AW2182" s="101"/>
      <c r="AX2182" s="101"/>
      <c r="AY2182" s="101"/>
      <c r="AZ2182" s="101"/>
      <c r="BA2182" s="101"/>
    </row>
    <row r="2183" spans="33:53">
      <c r="AG2183" s="101"/>
      <c r="AH2183" s="101"/>
      <c r="AI2183" s="101"/>
      <c r="AJ2183" s="101"/>
      <c r="AK2183" s="101"/>
      <c r="AL2183" s="104"/>
      <c r="AM2183" s="195"/>
      <c r="AT2183" s="101"/>
      <c r="AU2183" s="101"/>
      <c r="AV2183" s="101"/>
      <c r="AW2183" s="101"/>
      <c r="AX2183" s="101"/>
      <c r="AY2183" s="101"/>
      <c r="AZ2183" s="101"/>
      <c r="BA2183" s="101"/>
    </row>
    <row r="2184" spans="33:53">
      <c r="AG2184" s="101"/>
      <c r="AH2184" s="101"/>
      <c r="AI2184" s="101"/>
      <c r="AJ2184" s="101"/>
      <c r="AK2184" s="101"/>
      <c r="AL2184" s="104"/>
      <c r="AM2184" s="195"/>
      <c r="AT2184" s="101"/>
      <c r="AU2184" s="101"/>
      <c r="AV2184" s="101"/>
      <c r="AW2184" s="101"/>
      <c r="AX2184" s="101"/>
      <c r="AY2184" s="101"/>
      <c r="AZ2184" s="101"/>
      <c r="BA2184" s="101"/>
    </row>
    <row r="2185" spans="33:53">
      <c r="AG2185" s="101"/>
      <c r="AH2185" s="101"/>
      <c r="AI2185" s="101"/>
      <c r="AJ2185" s="101"/>
      <c r="AK2185" s="101"/>
      <c r="AL2185" s="104"/>
      <c r="AM2185" s="195"/>
      <c r="AT2185" s="101"/>
      <c r="AU2185" s="101"/>
      <c r="AV2185" s="101"/>
      <c r="AW2185" s="101"/>
      <c r="AX2185" s="101"/>
      <c r="AY2185" s="101"/>
      <c r="AZ2185" s="101"/>
      <c r="BA2185" s="101"/>
    </row>
    <row r="2186" spans="33:53">
      <c r="AG2186" s="101"/>
      <c r="AH2186" s="101"/>
      <c r="AI2186" s="101"/>
      <c r="AJ2186" s="101"/>
      <c r="AK2186" s="101"/>
      <c r="AL2186" s="104"/>
      <c r="AM2186" s="195"/>
      <c r="AT2186" s="101"/>
      <c r="AU2186" s="101"/>
      <c r="AV2186" s="101"/>
      <c r="AW2186" s="101"/>
      <c r="AX2186" s="101"/>
      <c r="AY2186" s="101"/>
      <c r="AZ2186" s="101"/>
      <c r="BA2186" s="101"/>
    </row>
    <row r="2187" spans="33:53">
      <c r="AG2187" s="101"/>
      <c r="AH2187" s="101"/>
      <c r="AI2187" s="101"/>
      <c r="AJ2187" s="101"/>
      <c r="AK2187" s="101"/>
      <c r="AL2187" s="104"/>
      <c r="AM2187" s="195"/>
      <c r="AT2187" s="101"/>
      <c r="AU2187" s="101"/>
      <c r="AV2187" s="101"/>
      <c r="AW2187" s="101"/>
      <c r="AX2187" s="101"/>
      <c r="AY2187" s="101"/>
      <c r="AZ2187" s="101"/>
      <c r="BA2187" s="101"/>
    </row>
    <row r="2188" spans="33:53">
      <c r="AG2188" s="101"/>
      <c r="AH2188" s="101"/>
      <c r="AI2188" s="101"/>
      <c r="AJ2188" s="101"/>
      <c r="AK2188" s="101"/>
      <c r="AL2188" s="104"/>
      <c r="AM2188" s="195"/>
      <c r="AT2188" s="101"/>
      <c r="AU2188" s="101"/>
      <c r="AV2188" s="101"/>
      <c r="AW2188" s="101"/>
      <c r="AX2188" s="101"/>
      <c r="AY2188" s="101"/>
      <c r="AZ2188" s="101"/>
      <c r="BA2188" s="101"/>
    </row>
    <row r="2189" spans="33:53">
      <c r="AG2189" s="101"/>
      <c r="AH2189" s="101"/>
      <c r="AI2189" s="101"/>
      <c r="AJ2189" s="101"/>
      <c r="AK2189" s="101"/>
      <c r="AL2189" s="104"/>
      <c r="AM2189" s="195"/>
      <c r="AT2189" s="101"/>
      <c r="AU2189" s="101"/>
      <c r="AV2189" s="101"/>
      <c r="AW2189" s="101"/>
      <c r="AX2189" s="101"/>
      <c r="AY2189" s="101"/>
      <c r="AZ2189" s="101"/>
      <c r="BA2189" s="101"/>
    </row>
    <row r="2190" spans="33:53">
      <c r="AG2190" s="101"/>
      <c r="AH2190" s="101"/>
      <c r="AI2190" s="101"/>
      <c r="AJ2190" s="101"/>
      <c r="AK2190" s="101"/>
      <c r="AL2190" s="104"/>
      <c r="AM2190" s="195"/>
      <c r="AT2190" s="101"/>
      <c r="AU2190" s="101"/>
      <c r="AV2190" s="101"/>
      <c r="AW2190" s="101"/>
      <c r="AX2190" s="101"/>
      <c r="AY2190" s="101"/>
      <c r="AZ2190" s="101"/>
      <c r="BA2190" s="101"/>
    </row>
    <row r="2191" spans="33:53">
      <c r="AG2191" s="101"/>
      <c r="AH2191" s="101"/>
      <c r="AI2191" s="101"/>
      <c r="AJ2191" s="101"/>
      <c r="AK2191" s="101"/>
      <c r="AL2191" s="104"/>
      <c r="AM2191" s="195"/>
      <c r="AT2191" s="101"/>
      <c r="AU2191" s="101"/>
      <c r="AV2191" s="101"/>
      <c r="AW2191" s="101"/>
      <c r="AX2191" s="101"/>
      <c r="AY2191" s="101"/>
      <c r="AZ2191" s="101"/>
      <c r="BA2191" s="101"/>
    </row>
    <row r="2192" spans="33:53">
      <c r="AG2192" s="101"/>
      <c r="AH2192" s="101"/>
      <c r="AI2192" s="101"/>
      <c r="AJ2192" s="101"/>
      <c r="AK2192" s="101"/>
      <c r="AL2192" s="104"/>
      <c r="AM2192" s="195"/>
      <c r="AT2192" s="101"/>
      <c r="AU2192" s="101"/>
      <c r="AV2192" s="101"/>
      <c r="AW2192" s="101"/>
      <c r="AX2192" s="101"/>
      <c r="AY2192" s="101"/>
      <c r="AZ2192" s="101"/>
      <c r="BA2192" s="101"/>
    </row>
    <row r="2193" spans="33:53">
      <c r="AG2193" s="101"/>
      <c r="AH2193" s="101"/>
      <c r="AI2193" s="101"/>
      <c r="AJ2193" s="101"/>
      <c r="AK2193" s="101"/>
      <c r="AL2193" s="104"/>
      <c r="AM2193" s="195"/>
      <c r="AT2193" s="101"/>
      <c r="AU2193" s="101"/>
      <c r="AV2193" s="101"/>
      <c r="AW2193" s="101"/>
      <c r="AX2193" s="101"/>
      <c r="AY2193" s="101"/>
      <c r="AZ2193" s="101"/>
      <c r="BA2193" s="101"/>
    </row>
    <row r="2194" spans="33:53">
      <c r="AG2194" s="101"/>
      <c r="AH2194" s="101"/>
      <c r="AI2194" s="101"/>
      <c r="AJ2194" s="101"/>
      <c r="AK2194" s="101"/>
      <c r="AL2194" s="104"/>
      <c r="AM2194" s="195"/>
      <c r="AT2194" s="101"/>
      <c r="AU2194" s="101"/>
      <c r="AV2194" s="101"/>
      <c r="AW2194" s="101"/>
      <c r="AX2194" s="101"/>
      <c r="AY2194" s="101"/>
      <c r="AZ2194" s="101"/>
      <c r="BA2194" s="101"/>
    </row>
    <row r="2195" spans="33:53">
      <c r="AG2195" s="101"/>
      <c r="AH2195" s="101"/>
      <c r="AI2195" s="101"/>
      <c r="AJ2195" s="101"/>
      <c r="AK2195" s="101"/>
      <c r="AL2195" s="104"/>
      <c r="AM2195" s="195"/>
      <c r="AT2195" s="101"/>
      <c r="AU2195" s="101"/>
      <c r="AV2195" s="101"/>
      <c r="AW2195" s="101"/>
      <c r="AX2195" s="101"/>
      <c r="AY2195" s="101"/>
      <c r="AZ2195" s="101"/>
      <c r="BA2195" s="101"/>
    </row>
    <row r="2196" spans="33:53">
      <c r="AG2196" s="101"/>
      <c r="AH2196" s="101"/>
      <c r="AI2196" s="101"/>
      <c r="AJ2196" s="101"/>
      <c r="AK2196" s="101"/>
      <c r="AL2196" s="104"/>
      <c r="AM2196" s="195"/>
      <c r="AT2196" s="101"/>
      <c r="AU2196" s="101"/>
      <c r="AV2196" s="101"/>
      <c r="AW2196" s="101"/>
      <c r="AX2196" s="101"/>
      <c r="AY2196" s="101"/>
      <c r="AZ2196" s="101"/>
      <c r="BA2196" s="101"/>
    </row>
    <row r="2197" spans="33:53">
      <c r="AG2197" s="101"/>
      <c r="AH2197" s="101"/>
      <c r="AI2197" s="101"/>
      <c r="AJ2197" s="101"/>
      <c r="AK2197" s="101"/>
      <c r="AL2197" s="104"/>
      <c r="AM2197" s="195"/>
      <c r="AT2197" s="101"/>
      <c r="AU2197" s="101"/>
      <c r="AV2197" s="101"/>
      <c r="AW2197" s="101"/>
      <c r="AX2197" s="101"/>
      <c r="AY2197" s="101"/>
      <c r="AZ2197" s="101"/>
      <c r="BA2197" s="101"/>
    </row>
    <row r="2198" spans="33:53">
      <c r="AG2198" s="101"/>
      <c r="AH2198" s="101"/>
      <c r="AI2198" s="101"/>
      <c r="AJ2198" s="101"/>
      <c r="AK2198" s="101"/>
      <c r="AL2198" s="104"/>
      <c r="AM2198" s="195"/>
      <c r="AT2198" s="101"/>
      <c r="AU2198" s="101"/>
      <c r="AV2198" s="101"/>
      <c r="AW2198" s="101"/>
      <c r="AX2198" s="101"/>
      <c r="AY2198" s="101"/>
      <c r="AZ2198" s="101"/>
      <c r="BA2198" s="101"/>
    </row>
    <row r="2199" spans="33:53">
      <c r="AG2199" s="101"/>
      <c r="AH2199" s="101"/>
      <c r="AI2199" s="101"/>
      <c r="AJ2199" s="101"/>
      <c r="AK2199" s="101"/>
      <c r="AL2199" s="104"/>
      <c r="AM2199" s="195"/>
      <c r="AT2199" s="101"/>
      <c r="AU2199" s="101"/>
      <c r="AV2199" s="101"/>
      <c r="AW2199" s="101"/>
      <c r="AX2199" s="101"/>
      <c r="AY2199" s="101"/>
      <c r="AZ2199" s="101"/>
      <c r="BA2199" s="101"/>
    </row>
    <row r="2200" spans="33:53">
      <c r="AG2200" s="101"/>
      <c r="AH2200" s="101"/>
      <c r="AI2200" s="101"/>
      <c r="AJ2200" s="101"/>
      <c r="AK2200" s="101"/>
      <c r="AL2200" s="104"/>
      <c r="AM2200" s="195"/>
      <c r="AT2200" s="101"/>
      <c r="AU2200" s="101"/>
      <c r="AV2200" s="101"/>
      <c r="AW2200" s="101"/>
      <c r="AX2200" s="101"/>
      <c r="AY2200" s="101"/>
      <c r="AZ2200" s="101"/>
      <c r="BA2200" s="101"/>
    </row>
    <row r="2201" spans="33:53">
      <c r="AG2201" s="101"/>
      <c r="AH2201" s="101"/>
      <c r="AI2201" s="101"/>
      <c r="AJ2201" s="101"/>
      <c r="AK2201" s="101"/>
      <c r="AL2201" s="104"/>
      <c r="AM2201" s="195"/>
      <c r="AT2201" s="101"/>
      <c r="AU2201" s="101"/>
      <c r="AV2201" s="101"/>
      <c r="AW2201" s="101"/>
      <c r="AX2201" s="101"/>
      <c r="AY2201" s="101"/>
      <c r="AZ2201" s="101"/>
      <c r="BA2201" s="101"/>
    </row>
    <row r="2202" spans="33:53">
      <c r="AG2202" s="101"/>
      <c r="AH2202" s="101"/>
      <c r="AI2202" s="101"/>
      <c r="AJ2202" s="101"/>
      <c r="AK2202" s="101"/>
      <c r="AL2202" s="104"/>
      <c r="AM2202" s="195"/>
      <c r="AT2202" s="101"/>
      <c r="AU2202" s="101"/>
      <c r="AV2202" s="101"/>
      <c r="AW2202" s="101"/>
      <c r="AX2202" s="101"/>
      <c r="AY2202" s="101"/>
      <c r="AZ2202" s="101"/>
      <c r="BA2202" s="101"/>
    </row>
    <row r="2203" spans="33:53">
      <c r="AG2203" s="101"/>
      <c r="AH2203" s="101"/>
      <c r="AI2203" s="101"/>
      <c r="AJ2203" s="101"/>
      <c r="AK2203" s="101"/>
      <c r="AL2203" s="104"/>
      <c r="AM2203" s="195"/>
      <c r="AT2203" s="101"/>
      <c r="AU2203" s="101"/>
      <c r="AV2203" s="101"/>
      <c r="AW2203" s="101"/>
      <c r="AX2203" s="101"/>
      <c r="AY2203" s="101"/>
      <c r="AZ2203" s="101"/>
      <c r="BA2203" s="101"/>
    </row>
    <row r="2204" spans="33:53">
      <c r="AG2204" s="101"/>
      <c r="AH2204" s="101"/>
      <c r="AI2204" s="101"/>
      <c r="AJ2204" s="101"/>
      <c r="AK2204" s="101"/>
      <c r="AL2204" s="104"/>
      <c r="AM2204" s="195"/>
      <c r="AT2204" s="101"/>
      <c r="AU2204" s="101"/>
      <c r="AV2204" s="101"/>
      <c r="AW2204" s="101"/>
      <c r="AX2204" s="101"/>
      <c r="AY2204" s="101"/>
      <c r="AZ2204" s="101"/>
      <c r="BA2204" s="101"/>
    </row>
    <row r="2205" spans="33:53">
      <c r="AG2205" s="101"/>
      <c r="AH2205" s="101"/>
      <c r="AI2205" s="101"/>
      <c r="AJ2205" s="101"/>
      <c r="AK2205" s="101"/>
      <c r="AL2205" s="104"/>
      <c r="AM2205" s="195"/>
      <c r="AT2205" s="101"/>
      <c r="AU2205" s="101"/>
      <c r="AV2205" s="101"/>
      <c r="AW2205" s="101"/>
      <c r="AX2205" s="101"/>
      <c r="AY2205" s="101"/>
      <c r="AZ2205" s="101"/>
      <c r="BA2205" s="101"/>
    </row>
    <row r="2206" spans="33:53">
      <c r="AG2206" s="101"/>
      <c r="AH2206" s="101"/>
      <c r="AI2206" s="101"/>
      <c r="AJ2206" s="101"/>
      <c r="AK2206" s="101"/>
      <c r="AL2206" s="104"/>
      <c r="AM2206" s="195"/>
      <c r="AT2206" s="101"/>
      <c r="AU2206" s="101"/>
      <c r="AV2206" s="101"/>
      <c r="AW2206" s="101"/>
      <c r="AX2206" s="101"/>
      <c r="AY2206" s="101"/>
      <c r="AZ2206" s="101"/>
      <c r="BA2206" s="101"/>
    </row>
    <row r="2207" spans="33:53">
      <c r="AG2207" s="101"/>
      <c r="AH2207" s="101"/>
      <c r="AI2207" s="101"/>
      <c r="AJ2207" s="101"/>
      <c r="AK2207" s="101"/>
      <c r="AL2207" s="104"/>
      <c r="AM2207" s="195"/>
      <c r="AT2207" s="101"/>
      <c r="AU2207" s="101"/>
      <c r="AV2207" s="101"/>
      <c r="AW2207" s="101"/>
      <c r="AX2207" s="101"/>
      <c r="AY2207" s="101"/>
      <c r="AZ2207" s="101"/>
      <c r="BA2207" s="101"/>
    </row>
    <row r="2208" spans="33:53">
      <c r="AG2208" s="101"/>
      <c r="AH2208" s="101"/>
      <c r="AI2208" s="101"/>
      <c r="AJ2208" s="101"/>
      <c r="AK2208" s="101"/>
      <c r="AL2208" s="104"/>
      <c r="AM2208" s="195"/>
      <c r="AT2208" s="101"/>
      <c r="AU2208" s="101"/>
      <c r="AV2208" s="101"/>
      <c r="AW2208" s="101"/>
      <c r="AX2208" s="101"/>
      <c r="AY2208" s="101"/>
      <c r="AZ2208" s="101"/>
      <c r="BA2208" s="101"/>
    </row>
    <row r="2209" spans="33:53">
      <c r="AG2209" s="101"/>
      <c r="AH2209" s="101"/>
      <c r="AI2209" s="101"/>
      <c r="AJ2209" s="101"/>
      <c r="AK2209" s="101"/>
      <c r="AL2209" s="104"/>
      <c r="AM2209" s="195"/>
      <c r="AT2209" s="101"/>
      <c r="AU2209" s="101"/>
      <c r="AV2209" s="101"/>
      <c r="AW2209" s="101"/>
      <c r="AX2209" s="101"/>
      <c r="AY2209" s="101"/>
      <c r="AZ2209" s="101"/>
      <c r="BA2209" s="101"/>
    </row>
    <row r="2210" spans="33:53">
      <c r="AG2210" s="101"/>
      <c r="AH2210" s="101"/>
      <c r="AI2210" s="101"/>
      <c r="AJ2210" s="101"/>
      <c r="AK2210" s="101"/>
      <c r="AL2210" s="104"/>
      <c r="AM2210" s="195"/>
      <c r="AT2210" s="101"/>
      <c r="AU2210" s="101"/>
      <c r="AV2210" s="101"/>
      <c r="AW2210" s="101"/>
      <c r="AX2210" s="101"/>
      <c r="AY2210" s="101"/>
      <c r="AZ2210" s="101"/>
      <c r="BA2210" s="101"/>
    </row>
    <row r="2211" spans="33:53">
      <c r="AG2211" s="101"/>
      <c r="AH2211" s="101"/>
      <c r="AI2211" s="101"/>
      <c r="AJ2211" s="101"/>
      <c r="AK2211" s="101"/>
      <c r="AL2211" s="104"/>
      <c r="AM2211" s="195"/>
      <c r="AT2211" s="101"/>
      <c r="AU2211" s="101"/>
      <c r="AV2211" s="101"/>
      <c r="AW2211" s="101"/>
      <c r="AX2211" s="101"/>
      <c r="AY2211" s="101"/>
      <c r="AZ2211" s="101"/>
      <c r="BA2211" s="101"/>
    </row>
    <row r="2212" spans="33:53">
      <c r="AG2212" s="101"/>
      <c r="AH2212" s="101"/>
      <c r="AI2212" s="101"/>
      <c r="AJ2212" s="101"/>
      <c r="AK2212" s="101"/>
      <c r="AL2212" s="104"/>
      <c r="AM2212" s="195"/>
      <c r="AT2212" s="101"/>
      <c r="AU2212" s="101"/>
      <c r="AV2212" s="101"/>
      <c r="AW2212" s="101"/>
      <c r="AX2212" s="101"/>
      <c r="AY2212" s="101"/>
      <c r="AZ2212" s="101"/>
      <c r="BA2212" s="101"/>
    </row>
    <row r="2213" spans="33:53">
      <c r="AG2213" s="101"/>
      <c r="AH2213" s="101"/>
      <c r="AI2213" s="101"/>
      <c r="AJ2213" s="101"/>
      <c r="AK2213" s="101"/>
      <c r="AL2213" s="104"/>
      <c r="AM2213" s="195"/>
      <c r="AT2213" s="101"/>
      <c r="AU2213" s="101"/>
      <c r="AV2213" s="101"/>
      <c r="AW2213" s="101"/>
      <c r="AX2213" s="101"/>
      <c r="AY2213" s="101"/>
      <c r="AZ2213" s="101"/>
      <c r="BA2213" s="101"/>
    </row>
    <row r="2214" spans="33:53">
      <c r="AG2214" s="101"/>
      <c r="AH2214" s="101"/>
      <c r="AI2214" s="101"/>
      <c r="AJ2214" s="101"/>
      <c r="AK2214" s="101"/>
      <c r="AL2214" s="104"/>
      <c r="AM2214" s="195"/>
      <c r="AT2214" s="101"/>
      <c r="AU2214" s="101"/>
      <c r="AV2214" s="101"/>
      <c r="AW2214" s="101"/>
      <c r="AX2214" s="101"/>
      <c r="AY2214" s="101"/>
      <c r="AZ2214" s="101"/>
      <c r="BA2214" s="101"/>
    </row>
    <row r="2215" spans="33:53">
      <c r="AG2215" s="101"/>
      <c r="AH2215" s="101"/>
      <c r="AI2215" s="101"/>
      <c r="AJ2215" s="101"/>
      <c r="AK2215" s="101"/>
      <c r="AL2215" s="104"/>
      <c r="AM2215" s="195"/>
      <c r="AT2215" s="101"/>
      <c r="AU2215" s="101"/>
      <c r="AV2215" s="101"/>
      <c r="AW2215" s="101"/>
      <c r="AX2215" s="101"/>
      <c r="AY2215" s="101"/>
      <c r="AZ2215" s="101"/>
      <c r="BA2215" s="101"/>
    </row>
    <row r="2216" spans="33:53">
      <c r="AG2216" s="101"/>
      <c r="AH2216" s="101"/>
      <c r="AI2216" s="101"/>
      <c r="AJ2216" s="101"/>
      <c r="AK2216" s="101"/>
      <c r="AL2216" s="104"/>
      <c r="AM2216" s="195"/>
      <c r="AT2216" s="101"/>
      <c r="AU2216" s="101"/>
      <c r="AV2216" s="101"/>
      <c r="AW2216" s="101"/>
      <c r="AX2216" s="101"/>
      <c r="AY2216" s="101"/>
      <c r="AZ2216" s="101"/>
      <c r="BA2216" s="101"/>
    </row>
    <row r="2217" spans="33:53">
      <c r="AG2217" s="101"/>
      <c r="AH2217" s="101"/>
      <c r="AI2217" s="101"/>
      <c r="AJ2217" s="101"/>
      <c r="AK2217" s="101"/>
      <c r="AL2217" s="104"/>
      <c r="AM2217" s="195"/>
      <c r="AT2217" s="101"/>
      <c r="AU2217" s="101"/>
      <c r="AV2217" s="101"/>
      <c r="AW2217" s="101"/>
      <c r="AX2217" s="101"/>
      <c r="AY2217" s="101"/>
      <c r="AZ2217" s="101"/>
      <c r="BA2217" s="101"/>
    </row>
    <row r="2218" spans="33:53">
      <c r="AG2218" s="101"/>
      <c r="AH2218" s="101"/>
      <c r="AI2218" s="101"/>
      <c r="AJ2218" s="101"/>
      <c r="AK2218" s="101"/>
      <c r="AL2218" s="104"/>
      <c r="AM2218" s="195"/>
      <c r="AT2218" s="101"/>
      <c r="AU2218" s="101"/>
      <c r="AV2218" s="101"/>
      <c r="AW2218" s="101"/>
      <c r="AX2218" s="101"/>
      <c r="AY2218" s="101"/>
      <c r="AZ2218" s="101"/>
      <c r="BA2218" s="101"/>
    </row>
    <row r="2219" spans="33:53">
      <c r="AG2219" s="101"/>
      <c r="AH2219" s="101"/>
      <c r="AI2219" s="101"/>
      <c r="AJ2219" s="101"/>
      <c r="AK2219" s="101"/>
      <c r="AL2219" s="104"/>
      <c r="AM2219" s="195"/>
      <c r="AT2219" s="101"/>
      <c r="AU2219" s="101"/>
      <c r="AV2219" s="101"/>
      <c r="AW2219" s="101"/>
      <c r="AX2219" s="101"/>
      <c r="AY2219" s="101"/>
      <c r="AZ2219" s="101"/>
      <c r="BA2219" s="101"/>
    </row>
    <row r="2220" spans="33:53">
      <c r="AG2220" s="101"/>
      <c r="AH2220" s="101"/>
      <c r="AI2220" s="101"/>
      <c r="AJ2220" s="101"/>
      <c r="AK2220" s="101"/>
      <c r="AL2220" s="104"/>
      <c r="AM2220" s="195"/>
      <c r="AT2220" s="101"/>
      <c r="AU2220" s="101"/>
      <c r="AV2220" s="101"/>
      <c r="AW2220" s="101"/>
      <c r="AX2220" s="101"/>
      <c r="AY2220" s="101"/>
      <c r="AZ2220" s="101"/>
      <c r="BA2220" s="101"/>
    </row>
    <row r="2221" spans="33:53">
      <c r="AG2221" s="101"/>
      <c r="AH2221" s="101"/>
      <c r="AI2221" s="101"/>
      <c r="AJ2221" s="101"/>
      <c r="AK2221" s="101"/>
      <c r="AL2221" s="104"/>
      <c r="AM2221" s="195"/>
      <c r="AT2221" s="101"/>
      <c r="AU2221" s="101"/>
      <c r="AV2221" s="101"/>
      <c r="AW2221" s="101"/>
      <c r="AX2221" s="101"/>
      <c r="AY2221" s="101"/>
      <c r="AZ2221" s="101"/>
      <c r="BA2221" s="101"/>
    </row>
    <row r="2222" spans="33:53">
      <c r="AG2222" s="101"/>
      <c r="AH2222" s="101"/>
      <c r="AI2222" s="101"/>
      <c r="AJ2222" s="101"/>
      <c r="AK2222" s="101"/>
      <c r="AL2222" s="104"/>
      <c r="AM2222" s="195"/>
      <c r="AT2222" s="101"/>
      <c r="AU2222" s="101"/>
      <c r="AV2222" s="101"/>
      <c r="AW2222" s="101"/>
      <c r="AX2222" s="101"/>
      <c r="AY2222" s="101"/>
      <c r="AZ2222" s="101"/>
      <c r="BA2222" s="101"/>
    </row>
    <row r="2223" spans="33:53">
      <c r="AG2223" s="101"/>
      <c r="AH2223" s="101"/>
      <c r="AI2223" s="101"/>
      <c r="AJ2223" s="101"/>
      <c r="AK2223" s="101"/>
      <c r="AL2223" s="104"/>
      <c r="AM2223" s="195"/>
      <c r="AT2223" s="101"/>
      <c r="AU2223" s="101"/>
      <c r="AV2223" s="101"/>
      <c r="AW2223" s="101"/>
      <c r="AX2223" s="101"/>
      <c r="AY2223" s="101"/>
      <c r="AZ2223" s="101"/>
      <c r="BA2223" s="101"/>
    </row>
    <row r="2224" spans="33:53">
      <c r="AG2224" s="101"/>
      <c r="AH2224" s="101"/>
      <c r="AI2224" s="101"/>
      <c r="AJ2224" s="101"/>
      <c r="AK2224" s="101"/>
      <c r="AL2224" s="104"/>
      <c r="AM2224" s="195"/>
      <c r="AT2224" s="101"/>
      <c r="AU2224" s="101"/>
      <c r="AV2224" s="101"/>
      <c r="AW2224" s="101"/>
      <c r="AX2224" s="101"/>
      <c r="AY2224" s="101"/>
      <c r="AZ2224" s="101"/>
      <c r="BA2224" s="101"/>
    </row>
    <row r="2225" spans="33:53">
      <c r="AG2225" s="101"/>
      <c r="AH2225" s="101"/>
      <c r="AI2225" s="101"/>
      <c r="AJ2225" s="101"/>
      <c r="AK2225" s="101"/>
      <c r="AL2225" s="104"/>
      <c r="AM2225" s="195"/>
      <c r="AT2225" s="101"/>
      <c r="AU2225" s="101"/>
      <c r="AV2225" s="101"/>
      <c r="AW2225" s="101"/>
      <c r="AX2225" s="101"/>
      <c r="AY2225" s="101"/>
      <c r="AZ2225" s="101"/>
      <c r="BA2225" s="101"/>
    </row>
    <row r="2226" spans="33:53">
      <c r="AG2226" s="101"/>
      <c r="AH2226" s="101"/>
      <c r="AI2226" s="101"/>
      <c r="AJ2226" s="101"/>
      <c r="AK2226" s="101"/>
      <c r="AL2226" s="104"/>
      <c r="AM2226" s="195"/>
      <c r="AT2226" s="101"/>
      <c r="AU2226" s="101"/>
      <c r="AV2226" s="101"/>
      <c r="AW2226" s="101"/>
      <c r="AX2226" s="101"/>
      <c r="AY2226" s="101"/>
      <c r="AZ2226" s="101"/>
      <c r="BA2226" s="101"/>
    </row>
    <row r="2227" spans="33:53">
      <c r="AG2227" s="101"/>
      <c r="AH2227" s="101"/>
      <c r="AI2227" s="101"/>
      <c r="AJ2227" s="101"/>
      <c r="AK2227" s="101"/>
      <c r="AL2227" s="104"/>
      <c r="AM2227" s="195"/>
      <c r="AT2227" s="101"/>
      <c r="AU2227" s="101"/>
      <c r="AV2227" s="101"/>
      <c r="AW2227" s="101"/>
      <c r="AX2227" s="101"/>
      <c r="AY2227" s="101"/>
      <c r="AZ2227" s="101"/>
      <c r="BA2227" s="101"/>
    </row>
    <row r="2228" spans="33:53">
      <c r="AG2228" s="101"/>
      <c r="AH2228" s="101"/>
      <c r="AI2228" s="101"/>
      <c r="AJ2228" s="101"/>
      <c r="AK2228" s="101"/>
      <c r="AL2228" s="104"/>
      <c r="AM2228" s="195"/>
      <c r="AT2228" s="101"/>
      <c r="AU2228" s="101"/>
      <c r="AV2228" s="101"/>
      <c r="AW2228" s="101"/>
      <c r="AX2228" s="101"/>
      <c r="AY2228" s="101"/>
      <c r="AZ2228" s="101"/>
      <c r="BA2228" s="101"/>
    </row>
    <row r="2229" spans="33:53">
      <c r="AG2229" s="101"/>
      <c r="AH2229" s="101"/>
      <c r="AI2229" s="101"/>
      <c r="AJ2229" s="101"/>
      <c r="AK2229" s="101"/>
      <c r="AL2229" s="104"/>
      <c r="AM2229" s="195"/>
      <c r="AT2229" s="101"/>
      <c r="AU2229" s="101"/>
      <c r="AV2229" s="101"/>
      <c r="AW2229" s="101"/>
      <c r="AX2229" s="101"/>
      <c r="AY2229" s="101"/>
      <c r="AZ2229" s="101"/>
      <c r="BA2229" s="101"/>
    </row>
    <row r="2230" spans="33:53">
      <c r="AG2230" s="101"/>
      <c r="AH2230" s="101"/>
      <c r="AI2230" s="101"/>
      <c r="AJ2230" s="101"/>
      <c r="AK2230" s="101"/>
      <c r="AL2230" s="104"/>
      <c r="AM2230" s="195"/>
      <c r="AT2230" s="101"/>
      <c r="AU2230" s="101"/>
      <c r="AV2230" s="101"/>
      <c r="AW2230" s="101"/>
      <c r="AX2230" s="101"/>
      <c r="AY2230" s="101"/>
      <c r="AZ2230" s="101"/>
      <c r="BA2230" s="101"/>
    </row>
    <row r="2231" spans="33:53">
      <c r="AG2231" s="101"/>
      <c r="AH2231" s="101"/>
      <c r="AI2231" s="101"/>
      <c r="AJ2231" s="101"/>
      <c r="AK2231" s="101"/>
      <c r="AL2231" s="104"/>
      <c r="AM2231" s="195"/>
      <c r="AT2231" s="101"/>
      <c r="AU2231" s="101"/>
      <c r="AV2231" s="101"/>
      <c r="AW2231" s="101"/>
      <c r="AX2231" s="101"/>
      <c r="AY2231" s="101"/>
      <c r="AZ2231" s="101"/>
      <c r="BA2231" s="101"/>
    </row>
    <row r="2232" spans="33:53">
      <c r="AG2232" s="101"/>
      <c r="AH2232" s="101"/>
      <c r="AI2232" s="101"/>
      <c r="AJ2232" s="101"/>
      <c r="AK2232" s="101"/>
      <c r="AL2232" s="104"/>
      <c r="AM2232" s="195"/>
      <c r="AT2232" s="101"/>
      <c r="AU2232" s="101"/>
      <c r="AV2232" s="101"/>
      <c r="AW2232" s="101"/>
      <c r="AX2232" s="101"/>
      <c r="AY2232" s="101"/>
      <c r="AZ2232" s="101"/>
      <c r="BA2232" s="101"/>
    </row>
    <row r="2233" spans="33:53">
      <c r="AG2233" s="101"/>
      <c r="AH2233" s="101"/>
      <c r="AI2233" s="101"/>
      <c r="AJ2233" s="101"/>
      <c r="AK2233" s="101"/>
      <c r="AL2233" s="104"/>
      <c r="AM2233" s="195"/>
      <c r="AT2233" s="101"/>
      <c r="AU2233" s="101"/>
      <c r="AV2233" s="101"/>
      <c r="AW2233" s="101"/>
      <c r="AX2233" s="101"/>
      <c r="AY2233" s="101"/>
      <c r="AZ2233" s="101"/>
      <c r="BA2233" s="101"/>
    </row>
    <row r="2234" spans="33:53">
      <c r="AG2234" s="101"/>
      <c r="AH2234" s="101"/>
      <c r="AI2234" s="101"/>
      <c r="AJ2234" s="101"/>
      <c r="AK2234" s="101"/>
      <c r="AL2234" s="104"/>
      <c r="AM2234" s="195"/>
      <c r="AT2234" s="101"/>
      <c r="AU2234" s="101"/>
      <c r="AV2234" s="101"/>
      <c r="AW2234" s="101"/>
      <c r="AX2234" s="101"/>
      <c r="AY2234" s="101"/>
      <c r="AZ2234" s="101"/>
      <c r="BA2234" s="101"/>
    </row>
    <row r="2235" spans="33:53">
      <c r="AG2235" s="101"/>
      <c r="AH2235" s="101"/>
      <c r="AI2235" s="101"/>
      <c r="AJ2235" s="101"/>
      <c r="AK2235" s="101"/>
      <c r="AL2235" s="104"/>
      <c r="AM2235" s="195"/>
      <c r="AT2235" s="101"/>
      <c r="AU2235" s="101"/>
      <c r="AV2235" s="101"/>
      <c r="AW2235" s="101"/>
      <c r="AX2235" s="101"/>
      <c r="AY2235" s="101"/>
      <c r="AZ2235" s="101"/>
      <c r="BA2235" s="101"/>
    </row>
    <row r="2236" spans="33:53">
      <c r="AG2236" s="101"/>
      <c r="AH2236" s="101"/>
      <c r="AI2236" s="101"/>
      <c r="AJ2236" s="101"/>
      <c r="AK2236" s="101"/>
      <c r="AL2236" s="104"/>
      <c r="AM2236" s="195"/>
      <c r="AT2236" s="101"/>
      <c r="AU2236" s="101"/>
      <c r="AV2236" s="101"/>
      <c r="AW2236" s="101"/>
      <c r="AX2236" s="101"/>
      <c r="AY2236" s="101"/>
      <c r="AZ2236" s="101"/>
      <c r="BA2236" s="101"/>
    </row>
    <row r="2237" spans="33:53">
      <c r="AG2237" s="101"/>
      <c r="AH2237" s="101"/>
      <c r="AI2237" s="101"/>
      <c r="AJ2237" s="101"/>
      <c r="AK2237" s="101"/>
      <c r="AL2237" s="104"/>
      <c r="AM2237" s="195"/>
      <c r="AT2237" s="101"/>
      <c r="AU2237" s="101"/>
      <c r="AV2237" s="101"/>
      <c r="AW2237" s="101"/>
      <c r="AX2237" s="101"/>
      <c r="AY2237" s="101"/>
      <c r="AZ2237" s="101"/>
      <c r="BA2237" s="101"/>
    </row>
    <row r="2238" spans="33:53">
      <c r="AG2238" s="101"/>
      <c r="AH2238" s="101"/>
      <c r="AI2238" s="101"/>
      <c r="AJ2238" s="101"/>
      <c r="AK2238" s="101"/>
      <c r="AL2238" s="104"/>
      <c r="AM2238" s="195"/>
      <c r="AT2238" s="101"/>
      <c r="AU2238" s="101"/>
      <c r="AV2238" s="101"/>
      <c r="AW2238" s="101"/>
      <c r="AX2238" s="101"/>
      <c r="AY2238" s="101"/>
      <c r="AZ2238" s="101"/>
      <c r="BA2238" s="101"/>
    </row>
    <row r="2239" spans="33:53">
      <c r="AG2239" s="101"/>
      <c r="AH2239" s="101"/>
      <c r="AI2239" s="101"/>
      <c r="AJ2239" s="101"/>
      <c r="AK2239" s="101"/>
      <c r="AL2239" s="104"/>
      <c r="AM2239" s="195"/>
      <c r="AT2239" s="101"/>
      <c r="AU2239" s="101"/>
      <c r="AV2239" s="101"/>
      <c r="AW2239" s="101"/>
      <c r="AX2239" s="101"/>
      <c r="AY2239" s="101"/>
      <c r="AZ2239" s="101"/>
      <c r="BA2239" s="101"/>
    </row>
    <row r="2240" spans="33:53">
      <c r="AG2240" s="101"/>
      <c r="AH2240" s="101"/>
      <c r="AI2240" s="101"/>
      <c r="AJ2240" s="101"/>
      <c r="AK2240" s="101"/>
      <c r="AL2240" s="104"/>
      <c r="AM2240" s="195"/>
      <c r="AT2240" s="101"/>
      <c r="AU2240" s="101"/>
      <c r="AV2240" s="101"/>
      <c r="AW2240" s="101"/>
      <c r="AX2240" s="101"/>
      <c r="AY2240" s="101"/>
      <c r="AZ2240" s="101"/>
      <c r="BA2240" s="101"/>
    </row>
    <row r="2241" spans="33:53">
      <c r="AG2241" s="101"/>
      <c r="AH2241" s="101"/>
      <c r="AI2241" s="101"/>
      <c r="AJ2241" s="101"/>
      <c r="AK2241" s="101"/>
      <c r="AL2241" s="104"/>
      <c r="AM2241" s="195"/>
      <c r="AT2241" s="101"/>
      <c r="AU2241" s="101"/>
      <c r="AV2241" s="101"/>
      <c r="AW2241" s="101"/>
      <c r="AX2241" s="101"/>
      <c r="AY2241" s="101"/>
      <c r="AZ2241" s="101"/>
      <c r="BA2241" s="101"/>
    </row>
    <row r="2242" spans="33:53">
      <c r="AG2242" s="101"/>
      <c r="AH2242" s="101"/>
      <c r="AI2242" s="101"/>
      <c r="AJ2242" s="101"/>
      <c r="AK2242" s="101"/>
      <c r="AL2242" s="104"/>
      <c r="AM2242" s="195"/>
      <c r="AT2242" s="101"/>
      <c r="AU2242" s="101"/>
      <c r="AV2242" s="101"/>
      <c r="AW2242" s="101"/>
      <c r="AX2242" s="101"/>
      <c r="AY2242" s="101"/>
      <c r="AZ2242" s="101"/>
      <c r="BA2242" s="101"/>
    </row>
    <row r="2243" spans="33:53">
      <c r="AG2243" s="101"/>
      <c r="AH2243" s="101"/>
      <c r="AI2243" s="101"/>
      <c r="AJ2243" s="101"/>
      <c r="AK2243" s="101"/>
      <c r="AL2243" s="104"/>
      <c r="AM2243" s="195"/>
      <c r="AT2243" s="101"/>
      <c r="AU2243" s="101"/>
      <c r="AV2243" s="101"/>
      <c r="AW2243" s="101"/>
      <c r="AX2243" s="101"/>
      <c r="AY2243" s="101"/>
      <c r="AZ2243" s="101"/>
      <c r="BA2243" s="101"/>
    </row>
    <row r="2244" spans="33:53">
      <c r="AG2244" s="101"/>
      <c r="AH2244" s="101"/>
      <c r="AI2244" s="101"/>
      <c r="AJ2244" s="101"/>
      <c r="AK2244" s="101"/>
      <c r="AL2244" s="104"/>
      <c r="AM2244" s="195"/>
      <c r="AT2244" s="101"/>
      <c r="AU2244" s="101"/>
      <c r="AV2244" s="101"/>
      <c r="AW2244" s="101"/>
      <c r="AX2244" s="101"/>
      <c r="AY2244" s="101"/>
      <c r="AZ2244" s="101"/>
      <c r="BA2244" s="101"/>
    </row>
    <row r="2245" spans="33:53">
      <c r="AG2245" s="101"/>
      <c r="AH2245" s="101"/>
      <c r="AI2245" s="101"/>
      <c r="AJ2245" s="101"/>
      <c r="AK2245" s="101"/>
      <c r="AL2245" s="104"/>
      <c r="AM2245" s="195"/>
      <c r="AT2245" s="101"/>
      <c r="AU2245" s="101"/>
      <c r="AV2245" s="101"/>
      <c r="AW2245" s="101"/>
      <c r="AX2245" s="101"/>
      <c r="AY2245" s="101"/>
      <c r="AZ2245" s="101"/>
      <c r="BA2245" s="101"/>
    </row>
    <row r="2246" spans="33:53">
      <c r="AG2246" s="101"/>
      <c r="AH2246" s="101"/>
      <c r="AI2246" s="101"/>
      <c r="AJ2246" s="101"/>
      <c r="AK2246" s="101"/>
      <c r="AL2246" s="104"/>
      <c r="AM2246" s="195"/>
      <c r="AT2246" s="101"/>
      <c r="AU2246" s="101"/>
      <c r="AV2246" s="101"/>
      <c r="AW2246" s="101"/>
      <c r="AX2246" s="101"/>
      <c r="AY2246" s="101"/>
      <c r="AZ2246" s="101"/>
      <c r="BA2246" s="101"/>
    </row>
    <row r="2247" spans="33:53">
      <c r="AG2247" s="101"/>
      <c r="AH2247" s="101"/>
      <c r="AI2247" s="101"/>
      <c r="AJ2247" s="101"/>
      <c r="AK2247" s="101"/>
      <c r="AL2247" s="104"/>
      <c r="AM2247" s="195"/>
      <c r="AT2247" s="101"/>
      <c r="AU2247" s="101"/>
      <c r="AV2247" s="101"/>
      <c r="AW2247" s="101"/>
      <c r="AX2247" s="101"/>
      <c r="AY2247" s="101"/>
      <c r="AZ2247" s="101"/>
      <c r="BA2247" s="101"/>
    </row>
    <row r="2248" spans="33:53">
      <c r="AG2248" s="101"/>
      <c r="AH2248" s="101"/>
      <c r="AI2248" s="101"/>
      <c r="AJ2248" s="101"/>
      <c r="AK2248" s="101"/>
      <c r="AL2248" s="104"/>
      <c r="AM2248" s="195"/>
      <c r="AT2248" s="101"/>
      <c r="AU2248" s="101"/>
      <c r="AV2248" s="101"/>
      <c r="AW2248" s="101"/>
      <c r="AX2248" s="101"/>
      <c r="AY2248" s="101"/>
      <c r="AZ2248" s="101"/>
      <c r="BA2248" s="101"/>
    </row>
    <row r="2249" spans="33:53">
      <c r="AG2249" s="101"/>
      <c r="AH2249" s="101"/>
      <c r="AI2249" s="101"/>
      <c r="AJ2249" s="101"/>
      <c r="AK2249" s="101"/>
      <c r="AL2249" s="104"/>
      <c r="AM2249" s="195"/>
      <c r="AT2249" s="101"/>
      <c r="AU2249" s="101"/>
      <c r="AV2249" s="101"/>
      <c r="AW2249" s="101"/>
      <c r="AX2249" s="101"/>
      <c r="AY2249" s="101"/>
      <c r="AZ2249" s="101"/>
      <c r="BA2249" s="101"/>
    </row>
    <row r="2250" spans="33:53">
      <c r="AG2250" s="101"/>
      <c r="AH2250" s="101"/>
      <c r="AI2250" s="101"/>
      <c r="AJ2250" s="101"/>
      <c r="AK2250" s="101"/>
      <c r="AL2250" s="104"/>
      <c r="AM2250" s="195"/>
      <c r="AT2250" s="101"/>
      <c r="AU2250" s="101"/>
      <c r="AV2250" s="101"/>
      <c r="AW2250" s="101"/>
      <c r="AX2250" s="101"/>
      <c r="AY2250" s="101"/>
      <c r="AZ2250" s="101"/>
      <c r="BA2250" s="101"/>
    </row>
    <row r="2251" spans="33:53">
      <c r="AG2251" s="101"/>
      <c r="AH2251" s="101"/>
      <c r="AI2251" s="101"/>
      <c r="AJ2251" s="101"/>
      <c r="AK2251" s="101"/>
      <c r="AL2251" s="104"/>
      <c r="AM2251" s="195"/>
      <c r="AT2251" s="101"/>
      <c r="AU2251" s="101"/>
      <c r="AV2251" s="101"/>
      <c r="AW2251" s="101"/>
      <c r="AX2251" s="101"/>
      <c r="AY2251" s="101"/>
      <c r="AZ2251" s="101"/>
      <c r="BA2251" s="101"/>
    </row>
    <row r="2252" spans="33:53">
      <c r="AG2252" s="101"/>
      <c r="AH2252" s="101"/>
      <c r="AI2252" s="101"/>
      <c r="AJ2252" s="101"/>
      <c r="AK2252" s="101"/>
      <c r="AL2252" s="104"/>
      <c r="AM2252" s="195"/>
      <c r="AT2252" s="101"/>
      <c r="AU2252" s="101"/>
      <c r="AV2252" s="101"/>
      <c r="AW2252" s="101"/>
      <c r="AX2252" s="101"/>
      <c r="AY2252" s="101"/>
      <c r="AZ2252" s="101"/>
      <c r="BA2252" s="101"/>
    </row>
    <row r="2253" spans="33:53">
      <c r="AG2253" s="101"/>
      <c r="AH2253" s="101"/>
      <c r="AI2253" s="101"/>
      <c r="AJ2253" s="101"/>
      <c r="AK2253" s="101"/>
      <c r="AL2253" s="104"/>
      <c r="AM2253" s="195"/>
      <c r="AT2253" s="101"/>
      <c r="AU2253" s="101"/>
      <c r="AV2253" s="101"/>
      <c r="AW2253" s="101"/>
      <c r="AX2253" s="101"/>
      <c r="AY2253" s="101"/>
      <c r="AZ2253" s="101"/>
      <c r="BA2253" s="101"/>
    </row>
    <row r="2254" spans="33:53">
      <c r="AG2254" s="101"/>
      <c r="AH2254" s="101"/>
      <c r="AI2254" s="101"/>
      <c r="AJ2254" s="101"/>
      <c r="AK2254" s="101"/>
      <c r="AL2254" s="104"/>
      <c r="AM2254" s="195"/>
      <c r="AT2254" s="101"/>
      <c r="AU2254" s="101"/>
      <c r="AV2254" s="101"/>
      <c r="AW2254" s="101"/>
      <c r="AX2254" s="101"/>
      <c r="AY2254" s="101"/>
      <c r="AZ2254" s="101"/>
      <c r="BA2254" s="101"/>
    </row>
    <row r="2255" spans="33:53">
      <c r="AG2255" s="101"/>
      <c r="AH2255" s="101"/>
      <c r="AI2255" s="101"/>
      <c r="AJ2255" s="101"/>
      <c r="AK2255" s="101"/>
      <c r="AL2255" s="104"/>
      <c r="AM2255" s="195"/>
      <c r="AT2255" s="101"/>
      <c r="AU2255" s="101"/>
      <c r="AV2255" s="101"/>
      <c r="AW2255" s="101"/>
      <c r="AX2255" s="101"/>
      <c r="AY2255" s="101"/>
      <c r="AZ2255" s="101"/>
      <c r="BA2255" s="101"/>
    </row>
    <row r="2256" spans="33:53">
      <c r="AG2256" s="101"/>
      <c r="AH2256" s="101"/>
      <c r="AI2256" s="101"/>
      <c r="AJ2256" s="101"/>
      <c r="AK2256" s="101"/>
      <c r="AL2256" s="104"/>
      <c r="AM2256" s="195"/>
      <c r="AT2256" s="101"/>
      <c r="AU2256" s="101"/>
      <c r="AV2256" s="101"/>
      <c r="AW2256" s="101"/>
      <c r="AX2256" s="101"/>
      <c r="AY2256" s="101"/>
      <c r="AZ2256" s="101"/>
      <c r="BA2256" s="101"/>
    </row>
    <row r="2257" spans="33:53">
      <c r="AG2257" s="101"/>
      <c r="AH2257" s="101"/>
      <c r="AI2257" s="101"/>
      <c r="AJ2257" s="101"/>
      <c r="AK2257" s="101"/>
      <c r="AL2257" s="104"/>
      <c r="AM2257" s="195"/>
      <c r="AT2257" s="101"/>
      <c r="AU2257" s="101"/>
      <c r="AV2257" s="101"/>
      <c r="AW2257" s="101"/>
      <c r="AX2257" s="101"/>
      <c r="AY2257" s="101"/>
      <c r="AZ2257" s="101"/>
      <c r="BA2257" s="101"/>
    </row>
    <row r="2258" spans="33:53">
      <c r="AG2258" s="101"/>
      <c r="AH2258" s="101"/>
      <c r="AI2258" s="101"/>
      <c r="AJ2258" s="101"/>
      <c r="AK2258" s="101"/>
      <c r="AL2258" s="104"/>
      <c r="AM2258" s="195"/>
      <c r="AT2258" s="101"/>
      <c r="AU2258" s="101"/>
      <c r="AV2258" s="101"/>
      <c r="AW2258" s="101"/>
      <c r="AX2258" s="101"/>
      <c r="AY2258" s="101"/>
      <c r="AZ2258" s="101"/>
      <c r="BA2258" s="101"/>
    </row>
    <row r="2259" spans="33:53">
      <c r="AG2259" s="101"/>
      <c r="AH2259" s="101"/>
      <c r="AI2259" s="101"/>
      <c r="AJ2259" s="101"/>
      <c r="AK2259" s="101"/>
      <c r="AL2259" s="104"/>
      <c r="AM2259" s="195"/>
      <c r="AT2259" s="101"/>
      <c r="AU2259" s="101"/>
      <c r="AV2259" s="101"/>
      <c r="AW2259" s="101"/>
      <c r="AX2259" s="101"/>
      <c r="AY2259" s="101"/>
      <c r="AZ2259" s="101"/>
      <c r="BA2259" s="101"/>
    </row>
    <row r="2260" spans="33:53">
      <c r="AG2260" s="101"/>
      <c r="AH2260" s="101"/>
      <c r="AI2260" s="101"/>
      <c r="AJ2260" s="101"/>
      <c r="AK2260" s="101"/>
      <c r="AL2260" s="104"/>
      <c r="AM2260" s="195"/>
      <c r="AT2260" s="101"/>
      <c r="AU2260" s="101"/>
      <c r="AV2260" s="101"/>
      <c r="AW2260" s="101"/>
      <c r="AX2260" s="101"/>
      <c r="AY2260" s="101"/>
      <c r="AZ2260" s="101"/>
      <c r="BA2260" s="101"/>
    </row>
    <row r="2261" spans="33:53">
      <c r="AG2261" s="101"/>
      <c r="AH2261" s="101"/>
      <c r="AI2261" s="101"/>
      <c r="AJ2261" s="101"/>
      <c r="AK2261" s="101"/>
      <c r="AL2261" s="104"/>
      <c r="AM2261" s="195"/>
      <c r="AT2261" s="101"/>
      <c r="AU2261" s="101"/>
      <c r="AV2261" s="101"/>
      <c r="AW2261" s="101"/>
      <c r="AX2261" s="101"/>
      <c r="AY2261" s="101"/>
      <c r="AZ2261" s="101"/>
      <c r="BA2261" s="101"/>
    </row>
    <row r="2262" spans="33:53">
      <c r="AG2262" s="101"/>
      <c r="AH2262" s="101"/>
      <c r="AI2262" s="101"/>
      <c r="AJ2262" s="101"/>
      <c r="AK2262" s="101"/>
      <c r="AL2262" s="104"/>
      <c r="AM2262" s="195"/>
      <c r="AT2262" s="101"/>
      <c r="AU2262" s="101"/>
      <c r="AV2262" s="101"/>
      <c r="AW2262" s="101"/>
      <c r="AX2262" s="101"/>
      <c r="AY2262" s="101"/>
      <c r="AZ2262" s="101"/>
      <c r="BA2262" s="101"/>
    </row>
    <row r="2263" spans="33:53">
      <c r="AG2263" s="101"/>
      <c r="AH2263" s="101"/>
      <c r="AI2263" s="101"/>
      <c r="AJ2263" s="101"/>
      <c r="AK2263" s="101"/>
      <c r="AL2263" s="104"/>
      <c r="AM2263" s="195"/>
      <c r="AT2263" s="101"/>
      <c r="AU2263" s="101"/>
      <c r="AV2263" s="101"/>
      <c r="AW2263" s="101"/>
      <c r="AX2263" s="101"/>
      <c r="AY2263" s="101"/>
      <c r="AZ2263" s="101"/>
      <c r="BA2263" s="101"/>
    </row>
    <row r="2264" spans="33:53">
      <c r="AG2264" s="101"/>
      <c r="AH2264" s="101"/>
      <c r="AI2264" s="101"/>
      <c r="AJ2264" s="101"/>
      <c r="AK2264" s="101"/>
      <c r="AL2264" s="104"/>
      <c r="AM2264" s="195"/>
      <c r="AT2264" s="101"/>
      <c r="AU2264" s="101"/>
      <c r="AV2264" s="101"/>
      <c r="AW2264" s="101"/>
      <c r="AX2264" s="101"/>
      <c r="AY2264" s="101"/>
      <c r="AZ2264" s="101"/>
      <c r="BA2264" s="101"/>
    </row>
    <row r="2265" spans="33:53">
      <c r="AG2265" s="101"/>
      <c r="AH2265" s="101"/>
      <c r="AI2265" s="101"/>
      <c r="AJ2265" s="101"/>
      <c r="AK2265" s="101"/>
      <c r="AL2265" s="104"/>
      <c r="AM2265" s="195"/>
      <c r="AT2265" s="101"/>
      <c r="AU2265" s="101"/>
      <c r="AV2265" s="101"/>
      <c r="AW2265" s="101"/>
      <c r="AX2265" s="101"/>
      <c r="AY2265" s="101"/>
      <c r="AZ2265" s="101"/>
      <c r="BA2265" s="101"/>
    </row>
    <row r="2266" spans="33:53">
      <c r="AG2266" s="101"/>
      <c r="AH2266" s="101"/>
      <c r="AI2266" s="101"/>
      <c r="AJ2266" s="101"/>
      <c r="AK2266" s="101"/>
      <c r="AL2266" s="104"/>
      <c r="AM2266" s="195"/>
      <c r="AT2266" s="101"/>
      <c r="AU2266" s="101"/>
      <c r="AV2266" s="101"/>
      <c r="AW2266" s="101"/>
      <c r="AX2266" s="101"/>
      <c r="AY2266" s="101"/>
      <c r="AZ2266" s="101"/>
      <c r="BA2266" s="101"/>
    </row>
    <row r="2267" spans="33:53">
      <c r="AG2267" s="101"/>
      <c r="AH2267" s="101"/>
      <c r="AI2267" s="101"/>
      <c r="AJ2267" s="101"/>
      <c r="AK2267" s="101"/>
      <c r="AL2267" s="104"/>
      <c r="AM2267" s="195"/>
      <c r="AT2267" s="101"/>
      <c r="AU2267" s="101"/>
      <c r="AV2267" s="101"/>
      <c r="AW2267" s="101"/>
      <c r="AX2267" s="101"/>
      <c r="AY2267" s="101"/>
      <c r="AZ2267" s="101"/>
      <c r="BA2267" s="101"/>
    </row>
    <row r="2268" spans="33:53">
      <c r="AG2268" s="101"/>
      <c r="AH2268" s="101"/>
      <c r="AI2268" s="101"/>
      <c r="AJ2268" s="101"/>
      <c r="AK2268" s="101"/>
      <c r="AL2268" s="104"/>
      <c r="AM2268" s="195"/>
      <c r="AT2268" s="101"/>
      <c r="AU2268" s="101"/>
      <c r="AV2268" s="101"/>
      <c r="AW2268" s="101"/>
      <c r="AX2268" s="101"/>
      <c r="AY2268" s="101"/>
      <c r="AZ2268" s="101"/>
      <c r="BA2268" s="101"/>
    </row>
    <row r="2269" spans="33:53">
      <c r="AG2269" s="101"/>
      <c r="AH2269" s="101"/>
      <c r="AI2269" s="101"/>
      <c r="AJ2269" s="101"/>
      <c r="AK2269" s="101"/>
      <c r="AL2269" s="104"/>
      <c r="AM2269" s="195"/>
      <c r="AT2269" s="101"/>
      <c r="AU2269" s="101"/>
      <c r="AV2269" s="101"/>
      <c r="AW2269" s="101"/>
      <c r="AX2269" s="101"/>
      <c r="AY2269" s="101"/>
      <c r="AZ2269" s="101"/>
      <c r="BA2269" s="101"/>
    </row>
    <row r="2270" spans="33:53">
      <c r="AG2270" s="101"/>
      <c r="AH2270" s="101"/>
      <c r="AI2270" s="101"/>
      <c r="AJ2270" s="101"/>
      <c r="AK2270" s="101"/>
      <c r="AL2270" s="104"/>
      <c r="AM2270" s="195"/>
      <c r="AT2270" s="101"/>
      <c r="AU2270" s="101"/>
      <c r="AV2270" s="101"/>
      <c r="AW2270" s="101"/>
      <c r="AX2270" s="101"/>
      <c r="AY2270" s="101"/>
      <c r="AZ2270" s="101"/>
      <c r="BA2270" s="101"/>
    </row>
    <row r="2271" spans="33:53">
      <c r="AG2271" s="101"/>
      <c r="AH2271" s="101"/>
      <c r="AI2271" s="101"/>
      <c r="AJ2271" s="101"/>
      <c r="AK2271" s="101"/>
      <c r="AL2271" s="104"/>
      <c r="AM2271" s="195"/>
      <c r="AT2271" s="101"/>
      <c r="AU2271" s="101"/>
      <c r="AV2271" s="101"/>
      <c r="AW2271" s="101"/>
      <c r="AX2271" s="101"/>
      <c r="AY2271" s="101"/>
      <c r="AZ2271" s="101"/>
      <c r="BA2271" s="101"/>
    </row>
    <row r="2272" spans="33:53">
      <c r="AG2272" s="101"/>
      <c r="AH2272" s="101"/>
      <c r="AI2272" s="101"/>
      <c r="AJ2272" s="101"/>
      <c r="AK2272" s="101"/>
      <c r="AL2272" s="104"/>
      <c r="AM2272" s="195"/>
      <c r="AT2272" s="101"/>
      <c r="AU2272" s="101"/>
      <c r="AV2272" s="101"/>
      <c r="AW2272" s="101"/>
      <c r="AX2272" s="101"/>
      <c r="AY2272" s="101"/>
      <c r="AZ2272" s="101"/>
      <c r="BA2272" s="101"/>
    </row>
    <row r="2273" spans="33:53">
      <c r="AG2273" s="101"/>
      <c r="AH2273" s="101"/>
      <c r="AI2273" s="101"/>
      <c r="AJ2273" s="101"/>
      <c r="AK2273" s="101"/>
      <c r="AL2273" s="104"/>
      <c r="AM2273" s="195"/>
      <c r="AT2273" s="101"/>
      <c r="AU2273" s="101"/>
      <c r="AV2273" s="101"/>
      <c r="AW2273" s="101"/>
      <c r="AX2273" s="101"/>
      <c r="AY2273" s="101"/>
      <c r="AZ2273" s="101"/>
      <c r="BA2273" s="101"/>
    </row>
    <row r="2274" spans="33:53">
      <c r="AG2274" s="101"/>
      <c r="AH2274" s="101"/>
      <c r="AI2274" s="101"/>
      <c r="AJ2274" s="101"/>
      <c r="AK2274" s="101"/>
      <c r="AL2274" s="104"/>
      <c r="AM2274" s="195"/>
      <c r="AT2274" s="101"/>
      <c r="AU2274" s="101"/>
      <c r="AV2274" s="101"/>
      <c r="AW2274" s="101"/>
      <c r="AX2274" s="101"/>
      <c r="AY2274" s="101"/>
      <c r="AZ2274" s="101"/>
      <c r="BA2274" s="101"/>
    </row>
    <row r="2275" spans="33:53">
      <c r="AG2275" s="101"/>
      <c r="AH2275" s="101"/>
      <c r="AI2275" s="101"/>
      <c r="AJ2275" s="101"/>
      <c r="AK2275" s="101"/>
      <c r="AL2275" s="104"/>
      <c r="AM2275" s="195"/>
      <c r="AT2275" s="101"/>
      <c r="AU2275" s="101"/>
      <c r="AV2275" s="101"/>
      <c r="AW2275" s="101"/>
      <c r="AX2275" s="101"/>
      <c r="AY2275" s="101"/>
      <c r="AZ2275" s="101"/>
      <c r="BA2275" s="101"/>
    </row>
    <row r="2276" spans="33:53">
      <c r="AG2276" s="101"/>
      <c r="AH2276" s="101"/>
      <c r="AI2276" s="101"/>
      <c r="AJ2276" s="101"/>
      <c r="AK2276" s="101"/>
      <c r="AL2276" s="104"/>
      <c r="AM2276" s="195"/>
      <c r="AT2276" s="101"/>
      <c r="AU2276" s="101"/>
      <c r="AV2276" s="101"/>
      <c r="AW2276" s="101"/>
      <c r="AX2276" s="101"/>
      <c r="AY2276" s="101"/>
      <c r="AZ2276" s="101"/>
      <c r="BA2276" s="101"/>
    </row>
    <row r="2277" spans="33:53">
      <c r="AG2277" s="101"/>
      <c r="AH2277" s="101"/>
      <c r="AI2277" s="101"/>
      <c r="AJ2277" s="101"/>
      <c r="AK2277" s="101"/>
      <c r="AL2277" s="104"/>
      <c r="AM2277" s="195"/>
      <c r="AT2277" s="101"/>
      <c r="AU2277" s="101"/>
      <c r="AV2277" s="101"/>
      <c r="AW2277" s="101"/>
      <c r="AX2277" s="101"/>
      <c r="AY2277" s="101"/>
      <c r="AZ2277" s="101"/>
      <c r="BA2277" s="101"/>
    </row>
    <row r="2278" spans="33:53">
      <c r="AG2278" s="101"/>
      <c r="AH2278" s="101"/>
      <c r="AI2278" s="101"/>
      <c r="AJ2278" s="101"/>
      <c r="AK2278" s="101"/>
      <c r="AL2278" s="104"/>
      <c r="AM2278" s="195"/>
      <c r="AT2278" s="101"/>
      <c r="AU2278" s="101"/>
      <c r="AV2278" s="101"/>
      <c r="AW2278" s="101"/>
      <c r="AX2278" s="101"/>
      <c r="AY2278" s="101"/>
      <c r="AZ2278" s="101"/>
      <c r="BA2278" s="101"/>
    </row>
    <row r="2279" spans="33:53">
      <c r="AG2279" s="101"/>
      <c r="AH2279" s="101"/>
      <c r="AI2279" s="101"/>
      <c r="AJ2279" s="101"/>
      <c r="AK2279" s="101"/>
      <c r="AL2279" s="104"/>
      <c r="AM2279" s="195"/>
      <c r="AT2279" s="101"/>
      <c r="AU2279" s="101"/>
      <c r="AV2279" s="101"/>
      <c r="AW2279" s="101"/>
      <c r="AX2279" s="101"/>
      <c r="AY2279" s="101"/>
      <c r="AZ2279" s="101"/>
      <c r="BA2279" s="101"/>
    </row>
    <row r="2280" spans="33:53">
      <c r="AG2280" s="101"/>
      <c r="AH2280" s="101"/>
      <c r="AI2280" s="101"/>
      <c r="AJ2280" s="101"/>
      <c r="AK2280" s="101"/>
      <c r="AL2280" s="104"/>
      <c r="AM2280" s="195"/>
      <c r="AT2280" s="101"/>
      <c r="AU2280" s="101"/>
      <c r="AV2280" s="101"/>
      <c r="AW2280" s="101"/>
      <c r="AX2280" s="101"/>
      <c r="AY2280" s="101"/>
      <c r="AZ2280" s="101"/>
      <c r="BA2280" s="101"/>
    </row>
    <row r="2281" spans="33:53">
      <c r="AG2281" s="101"/>
      <c r="AH2281" s="101"/>
      <c r="AI2281" s="101"/>
      <c r="AJ2281" s="101"/>
      <c r="AK2281" s="101"/>
      <c r="AL2281" s="104"/>
      <c r="AM2281" s="195"/>
      <c r="AT2281" s="101"/>
      <c r="AU2281" s="101"/>
      <c r="AV2281" s="101"/>
      <c r="AW2281" s="101"/>
      <c r="AX2281" s="101"/>
      <c r="AY2281" s="101"/>
      <c r="AZ2281" s="101"/>
      <c r="BA2281" s="101"/>
    </row>
    <row r="2282" spans="33:53">
      <c r="AG2282" s="101"/>
      <c r="AH2282" s="101"/>
      <c r="AI2282" s="101"/>
      <c r="AJ2282" s="101"/>
      <c r="AK2282" s="101"/>
      <c r="AL2282" s="104"/>
      <c r="AM2282" s="195"/>
      <c r="AT2282" s="101"/>
      <c r="AU2282" s="101"/>
      <c r="AV2282" s="101"/>
      <c r="AW2282" s="101"/>
      <c r="AX2282" s="101"/>
      <c r="AY2282" s="101"/>
      <c r="AZ2282" s="101"/>
      <c r="BA2282" s="101"/>
    </row>
    <row r="2283" spans="33:53">
      <c r="AG2283" s="101"/>
      <c r="AH2283" s="101"/>
      <c r="AI2283" s="101"/>
      <c r="AJ2283" s="101"/>
      <c r="AK2283" s="101"/>
      <c r="AL2283" s="104"/>
      <c r="AM2283" s="195"/>
      <c r="AT2283" s="101"/>
      <c r="AU2283" s="101"/>
      <c r="AV2283" s="101"/>
      <c r="AW2283" s="101"/>
      <c r="AX2283" s="101"/>
      <c r="AY2283" s="101"/>
      <c r="AZ2283" s="101"/>
      <c r="BA2283" s="101"/>
    </row>
    <row r="2284" spans="33:53">
      <c r="AG2284" s="101"/>
      <c r="AH2284" s="101"/>
      <c r="AI2284" s="101"/>
      <c r="AJ2284" s="101"/>
      <c r="AK2284" s="101"/>
      <c r="AL2284" s="104"/>
      <c r="AM2284" s="195"/>
      <c r="AT2284" s="101"/>
      <c r="AU2284" s="101"/>
      <c r="AV2284" s="101"/>
      <c r="AW2284" s="101"/>
      <c r="AX2284" s="101"/>
      <c r="AY2284" s="101"/>
      <c r="AZ2284" s="101"/>
      <c r="BA2284" s="101"/>
    </row>
    <row r="2285" spans="33:53">
      <c r="AG2285" s="101"/>
      <c r="AH2285" s="101"/>
      <c r="AI2285" s="101"/>
      <c r="AJ2285" s="101"/>
      <c r="AK2285" s="101"/>
      <c r="AL2285" s="104"/>
      <c r="AM2285" s="195"/>
      <c r="AT2285" s="101"/>
      <c r="AU2285" s="101"/>
      <c r="AV2285" s="101"/>
      <c r="AW2285" s="101"/>
      <c r="AX2285" s="101"/>
      <c r="AY2285" s="101"/>
      <c r="AZ2285" s="101"/>
      <c r="BA2285" s="101"/>
    </row>
    <row r="2286" spans="33:53">
      <c r="AG2286" s="101"/>
      <c r="AH2286" s="101"/>
      <c r="AI2286" s="101"/>
      <c r="AJ2286" s="101"/>
      <c r="AK2286" s="101"/>
      <c r="AL2286" s="104"/>
      <c r="AM2286" s="195"/>
      <c r="AT2286" s="101"/>
      <c r="AU2286" s="101"/>
      <c r="AV2286" s="101"/>
      <c r="AW2286" s="101"/>
      <c r="AX2286" s="101"/>
      <c r="AY2286" s="101"/>
      <c r="AZ2286" s="101"/>
      <c r="BA2286" s="101"/>
    </row>
    <row r="2287" spans="33:53">
      <c r="AG2287" s="101"/>
      <c r="AH2287" s="101"/>
      <c r="AI2287" s="101"/>
      <c r="AJ2287" s="101"/>
      <c r="AK2287" s="101"/>
      <c r="AL2287" s="104"/>
      <c r="AM2287" s="195"/>
      <c r="AT2287" s="101"/>
      <c r="AU2287" s="101"/>
      <c r="AV2287" s="101"/>
      <c r="AW2287" s="101"/>
      <c r="AX2287" s="101"/>
      <c r="AY2287" s="101"/>
      <c r="AZ2287" s="101"/>
      <c r="BA2287" s="101"/>
    </row>
    <row r="2288" spans="33:53">
      <c r="AG2288" s="101"/>
      <c r="AH2288" s="101"/>
      <c r="AI2288" s="101"/>
      <c r="AJ2288" s="101"/>
      <c r="AK2288" s="101"/>
      <c r="AL2288" s="104"/>
      <c r="AM2288" s="195"/>
      <c r="AT2288" s="101"/>
      <c r="AU2288" s="101"/>
      <c r="AV2288" s="101"/>
      <c r="AW2288" s="101"/>
      <c r="AX2288" s="101"/>
      <c r="AY2288" s="101"/>
      <c r="AZ2288" s="101"/>
      <c r="BA2288" s="101"/>
    </row>
    <row r="2289" spans="33:53">
      <c r="AG2289" s="101"/>
      <c r="AH2289" s="101"/>
      <c r="AI2289" s="101"/>
      <c r="AJ2289" s="101"/>
      <c r="AK2289" s="101"/>
      <c r="AL2289" s="104"/>
      <c r="AM2289" s="195"/>
      <c r="AT2289" s="101"/>
      <c r="AU2289" s="101"/>
      <c r="AV2289" s="101"/>
      <c r="AW2289" s="101"/>
      <c r="AX2289" s="101"/>
      <c r="AY2289" s="101"/>
      <c r="AZ2289" s="101"/>
      <c r="BA2289" s="101"/>
    </row>
    <row r="2290" spans="33:53">
      <c r="AG2290" s="101"/>
      <c r="AH2290" s="101"/>
      <c r="AI2290" s="101"/>
      <c r="AJ2290" s="101"/>
      <c r="AK2290" s="101"/>
      <c r="AL2290" s="104"/>
      <c r="AM2290" s="195"/>
      <c r="AT2290" s="101"/>
      <c r="AU2290" s="101"/>
      <c r="AV2290" s="101"/>
      <c r="AW2290" s="101"/>
      <c r="AX2290" s="101"/>
      <c r="AY2290" s="101"/>
      <c r="AZ2290" s="101"/>
      <c r="BA2290" s="101"/>
    </row>
    <row r="2291" spans="33:53">
      <c r="AG2291" s="101"/>
      <c r="AH2291" s="101"/>
      <c r="AI2291" s="101"/>
      <c r="AJ2291" s="101"/>
      <c r="AK2291" s="101"/>
      <c r="AL2291" s="104"/>
      <c r="AM2291" s="195"/>
      <c r="AT2291" s="101"/>
      <c r="AU2291" s="101"/>
      <c r="AV2291" s="101"/>
      <c r="AW2291" s="101"/>
      <c r="AX2291" s="101"/>
      <c r="AY2291" s="101"/>
      <c r="AZ2291" s="101"/>
      <c r="BA2291" s="101"/>
    </row>
    <row r="2292" spans="33:53">
      <c r="AG2292" s="101"/>
      <c r="AH2292" s="101"/>
      <c r="AI2292" s="101"/>
      <c r="AJ2292" s="101"/>
      <c r="AK2292" s="101"/>
      <c r="AL2292" s="104"/>
      <c r="AM2292" s="195"/>
      <c r="AT2292" s="101"/>
      <c r="AU2292" s="101"/>
      <c r="AV2292" s="101"/>
      <c r="AW2292" s="101"/>
      <c r="AX2292" s="101"/>
      <c r="AY2292" s="101"/>
      <c r="AZ2292" s="101"/>
      <c r="BA2292" s="101"/>
    </row>
    <row r="2293" spans="33:53">
      <c r="AG2293" s="101"/>
      <c r="AH2293" s="101"/>
      <c r="AI2293" s="101"/>
      <c r="AJ2293" s="101"/>
      <c r="AK2293" s="101"/>
      <c r="AL2293" s="104"/>
      <c r="AM2293" s="195"/>
      <c r="AT2293" s="101"/>
      <c r="AU2293" s="101"/>
      <c r="AV2293" s="101"/>
      <c r="AW2293" s="101"/>
      <c r="AX2293" s="101"/>
      <c r="AY2293" s="101"/>
      <c r="AZ2293" s="101"/>
      <c r="BA2293" s="101"/>
    </row>
    <row r="2294" spans="33:53">
      <c r="AG2294" s="101"/>
      <c r="AH2294" s="101"/>
      <c r="AI2294" s="101"/>
      <c r="AJ2294" s="101"/>
      <c r="AK2294" s="101"/>
      <c r="AL2294" s="104"/>
      <c r="AM2294" s="195"/>
      <c r="AT2294" s="101"/>
      <c r="AU2294" s="101"/>
      <c r="AV2294" s="101"/>
      <c r="AW2294" s="101"/>
      <c r="AX2294" s="101"/>
      <c r="AY2294" s="101"/>
      <c r="AZ2294" s="101"/>
      <c r="BA2294" s="101"/>
    </row>
    <row r="2295" spans="33:53">
      <c r="AG2295" s="101"/>
      <c r="AH2295" s="101"/>
      <c r="AI2295" s="101"/>
      <c r="AJ2295" s="101"/>
      <c r="AK2295" s="101"/>
      <c r="AL2295" s="104"/>
      <c r="AM2295" s="195"/>
      <c r="AT2295" s="101"/>
      <c r="AU2295" s="101"/>
      <c r="AV2295" s="101"/>
      <c r="AW2295" s="101"/>
      <c r="AX2295" s="101"/>
      <c r="AY2295" s="101"/>
      <c r="AZ2295" s="101"/>
      <c r="BA2295" s="101"/>
    </row>
    <row r="2296" spans="33:53">
      <c r="AG2296" s="101"/>
      <c r="AH2296" s="101"/>
      <c r="AI2296" s="101"/>
      <c r="AJ2296" s="101"/>
      <c r="AK2296" s="101"/>
      <c r="AL2296" s="104"/>
      <c r="AM2296" s="195"/>
      <c r="AT2296" s="101"/>
      <c r="AU2296" s="101"/>
      <c r="AV2296" s="101"/>
      <c r="AW2296" s="101"/>
      <c r="AX2296" s="101"/>
      <c r="AY2296" s="101"/>
      <c r="AZ2296" s="101"/>
      <c r="BA2296" s="101"/>
    </row>
    <row r="2297" spans="33:53">
      <c r="AG2297" s="101"/>
      <c r="AH2297" s="101"/>
      <c r="AI2297" s="101"/>
      <c r="AJ2297" s="101"/>
      <c r="AK2297" s="101"/>
      <c r="AL2297" s="104"/>
      <c r="AM2297" s="195"/>
      <c r="AT2297" s="101"/>
      <c r="AU2297" s="101"/>
      <c r="AV2297" s="101"/>
      <c r="AW2297" s="101"/>
      <c r="AX2297" s="101"/>
      <c r="AY2297" s="101"/>
      <c r="AZ2297" s="101"/>
      <c r="BA2297" s="101"/>
    </row>
    <row r="2298" spans="33:53">
      <c r="AG2298" s="101"/>
      <c r="AH2298" s="101"/>
      <c r="AI2298" s="101"/>
      <c r="AJ2298" s="101"/>
      <c r="AK2298" s="101"/>
      <c r="AL2298" s="104"/>
      <c r="AM2298" s="195"/>
      <c r="AT2298" s="101"/>
      <c r="AU2298" s="101"/>
      <c r="AV2298" s="101"/>
      <c r="AW2298" s="101"/>
      <c r="AX2298" s="101"/>
      <c r="AY2298" s="101"/>
      <c r="AZ2298" s="101"/>
      <c r="BA2298" s="101"/>
    </row>
    <row r="2299" spans="33:53">
      <c r="AG2299" s="101"/>
      <c r="AH2299" s="101"/>
      <c r="AI2299" s="101"/>
      <c r="AJ2299" s="101"/>
      <c r="AK2299" s="101"/>
      <c r="AL2299" s="104"/>
      <c r="AM2299" s="195"/>
      <c r="AT2299" s="101"/>
      <c r="AU2299" s="101"/>
      <c r="AV2299" s="101"/>
      <c r="AW2299" s="101"/>
      <c r="AX2299" s="101"/>
      <c r="AY2299" s="101"/>
      <c r="AZ2299" s="101"/>
      <c r="BA2299" s="101"/>
    </row>
    <row r="2300" spans="33:53">
      <c r="AG2300" s="101"/>
      <c r="AH2300" s="101"/>
      <c r="AI2300" s="101"/>
      <c r="AJ2300" s="101"/>
      <c r="AK2300" s="101"/>
      <c r="AL2300" s="104"/>
      <c r="AM2300" s="195"/>
      <c r="AT2300" s="101"/>
      <c r="AU2300" s="101"/>
      <c r="AV2300" s="101"/>
      <c r="AW2300" s="101"/>
      <c r="AX2300" s="101"/>
      <c r="AY2300" s="101"/>
      <c r="AZ2300" s="101"/>
      <c r="BA2300" s="101"/>
    </row>
    <row r="2301" spans="33:53">
      <c r="AG2301" s="101"/>
      <c r="AH2301" s="101"/>
      <c r="AI2301" s="101"/>
      <c r="AJ2301" s="101"/>
      <c r="AK2301" s="101"/>
      <c r="AL2301" s="104"/>
      <c r="AM2301" s="195"/>
      <c r="AT2301" s="101"/>
      <c r="AU2301" s="101"/>
      <c r="AV2301" s="101"/>
      <c r="AW2301" s="101"/>
      <c r="AX2301" s="101"/>
      <c r="AY2301" s="101"/>
      <c r="AZ2301" s="101"/>
      <c r="BA2301" s="101"/>
    </row>
    <row r="2302" spans="33:53">
      <c r="AG2302" s="101"/>
      <c r="AH2302" s="101"/>
      <c r="AI2302" s="101"/>
      <c r="AJ2302" s="101"/>
      <c r="AK2302" s="101"/>
      <c r="AL2302" s="104"/>
      <c r="AM2302" s="195"/>
      <c r="AT2302" s="101"/>
      <c r="AU2302" s="101"/>
      <c r="AV2302" s="101"/>
      <c r="AW2302" s="101"/>
      <c r="AX2302" s="101"/>
      <c r="AY2302" s="101"/>
      <c r="AZ2302" s="101"/>
      <c r="BA2302" s="101"/>
    </row>
    <row r="2303" spans="33:53">
      <c r="AG2303" s="101"/>
      <c r="AH2303" s="101"/>
      <c r="AI2303" s="101"/>
      <c r="AJ2303" s="101"/>
      <c r="AK2303" s="101"/>
      <c r="AL2303" s="104"/>
      <c r="AM2303" s="195"/>
      <c r="AT2303" s="101"/>
      <c r="AU2303" s="101"/>
      <c r="AV2303" s="101"/>
      <c r="AW2303" s="101"/>
      <c r="AX2303" s="101"/>
      <c r="AY2303" s="101"/>
      <c r="AZ2303" s="101"/>
      <c r="BA2303" s="101"/>
    </row>
    <row r="2304" spans="33:53">
      <c r="AG2304" s="101"/>
      <c r="AH2304" s="101"/>
      <c r="AI2304" s="101"/>
      <c r="AJ2304" s="101"/>
      <c r="AK2304" s="101"/>
      <c r="AL2304" s="104"/>
      <c r="AM2304" s="195"/>
      <c r="AT2304" s="101"/>
      <c r="AU2304" s="101"/>
      <c r="AV2304" s="101"/>
      <c r="AW2304" s="101"/>
      <c r="AX2304" s="101"/>
      <c r="AY2304" s="101"/>
      <c r="AZ2304" s="101"/>
      <c r="BA2304" s="101"/>
    </row>
    <row r="2305" spans="33:53">
      <c r="AG2305" s="101"/>
      <c r="AH2305" s="101"/>
      <c r="AI2305" s="101"/>
      <c r="AJ2305" s="101"/>
      <c r="AK2305" s="101"/>
      <c r="AL2305" s="104"/>
      <c r="AM2305" s="195"/>
      <c r="AT2305" s="101"/>
      <c r="AU2305" s="101"/>
      <c r="AV2305" s="101"/>
      <c r="AW2305" s="101"/>
      <c r="AX2305" s="101"/>
      <c r="AY2305" s="101"/>
      <c r="AZ2305" s="101"/>
      <c r="BA2305" s="101"/>
    </row>
    <row r="2306" spans="33:53">
      <c r="AG2306" s="101"/>
      <c r="AH2306" s="101"/>
      <c r="AI2306" s="101"/>
      <c r="AJ2306" s="101"/>
      <c r="AK2306" s="101"/>
      <c r="AL2306" s="104"/>
      <c r="AM2306" s="195"/>
      <c r="AT2306" s="101"/>
      <c r="AU2306" s="101"/>
      <c r="AV2306" s="101"/>
      <c r="AW2306" s="101"/>
      <c r="AX2306" s="101"/>
      <c r="AY2306" s="101"/>
      <c r="AZ2306" s="101"/>
      <c r="BA2306" s="101"/>
    </row>
    <row r="2307" spans="33:53">
      <c r="AG2307" s="101"/>
      <c r="AH2307" s="101"/>
      <c r="AI2307" s="101"/>
      <c r="AJ2307" s="101"/>
      <c r="AK2307" s="101"/>
      <c r="AL2307" s="104"/>
      <c r="AM2307" s="195"/>
      <c r="AT2307" s="101"/>
      <c r="AU2307" s="101"/>
      <c r="AV2307" s="101"/>
      <c r="AW2307" s="101"/>
      <c r="AX2307" s="101"/>
      <c r="AY2307" s="101"/>
      <c r="AZ2307" s="101"/>
      <c r="BA2307" s="101"/>
    </row>
    <row r="2308" spans="33:53">
      <c r="AG2308" s="101"/>
      <c r="AH2308" s="101"/>
      <c r="AI2308" s="101"/>
      <c r="AJ2308" s="101"/>
      <c r="AK2308" s="101"/>
      <c r="AL2308" s="104"/>
      <c r="AM2308" s="195"/>
      <c r="AT2308" s="101"/>
      <c r="AU2308" s="101"/>
      <c r="AV2308" s="101"/>
      <c r="AW2308" s="101"/>
      <c r="AX2308" s="101"/>
      <c r="AY2308" s="101"/>
      <c r="AZ2308" s="101"/>
      <c r="BA2308" s="101"/>
    </row>
    <row r="2309" spans="33:53">
      <c r="AG2309" s="101"/>
      <c r="AH2309" s="101"/>
      <c r="AI2309" s="101"/>
      <c r="AJ2309" s="101"/>
      <c r="AK2309" s="101"/>
      <c r="AL2309" s="104"/>
      <c r="AM2309" s="195"/>
      <c r="AT2309" s="101"/>
      <c r="AU2309" s="101"/>
      <c r="AV2309" s="101"/>
      <c r="AW2309" s="101"/>
      <c r="AX2309" s="101"/>
      <c r="AY2309" s="101"/>
      <c r="AZ2309" s="101"/>
      <c r="BA2309" s="101"/>
    </row>
    <row r="2310" spans="33:53">
      <c r="AG2310" s="101"/>
      <c r="AH2310" s="101"/>
      <c r="AI2310" s="101"/>
      <c r="AJ2310" s="101"/>
      <c r="AK2310" s="101"/>
      <c r="AL2310" s="104"/>
      <c r="AM2310" s="195"/>
      <c r="AT2310" s="101"/>
      <c r="AU2310" s="101"/>
      <c r="AV2310" s="101"/>
      <c r="AW2310" s="101"/>
      <c r="AX2310" s="101"/>
      <c r="AY2310" s="101"/>
      <c r="AZ2310" s="101"/>
      <c r="BA2310" s="101"/>
    </row>
    <row r="2311" spans="33:53">
      <c r="AG2311" s="101"/>
      <c r="AH2311" s="101"/>
      <c r="AI2311" s="101"/>
      <c r="AJ2311" s="101"/>
      <c r="AK2311" s="101"/>
      <c r="AL2311" s="104"/>
      <c r="AM2311" s="195"/>
      <c r="AT2311" s="101"/>
      <c r="AU2311" s="101"/>
      <c r="AV2311" s="101"/>
      <c r="AW2311" s="101"/>
      <c r="AX2311" s="101"/>
      <c r="AY2311" s="101"/>
      <c r="AZ2311" s="101"/>
      <c r="BA2311" s="101"/>
    </row>
    <row r="2312" spans="33:53">
      <c r="AG2312" s="101"/>
      <c r="AH2312" s="101"/>
      <c r="AI2312" s="101"/>
      <c r="AJ2312" s="101"/>
      <c r="AK2312" s="101"/>
      <c r="AL2312" s="104"/>
      <c r="AM2312" s="195"/>
      <c r="AT2312" s="101"/>
      <c r="AU2312" s="101"/>
      <c r="AV2312" s="101"/>
      <c r="AW2312" s="101"/>
      <c r="AX2312" s="101"/>
      <c r="AY2312" s="101"/>
      <c r="AZ2312" s="101"/>
      <c r="BA2312" s="101"/>
    </row>
    <row r="2313" spans="33:53">
      <c r="AG2313" s="101"/>
      <c r="AH2313" s="101"/>
      <c r="AI2313" s="101"/>
      <c r="AJ2313" s="101"/>
      <c r="AK2313" s="101"/>
      <c r="AL2313" s="104"/>
      <c r="AM2313" s="195"/>
      <c r="AT2313" s="101"/>
      <c r="AU2313" s="101"/>
      <c r="AV2313" s="101"/>
      <c r="AW2313" s="101"/>
      <c r="AX2313" s="101"/>
      <c r="AY2313" s="101"/>
      <c r="AZ2313" s="101"/>
      <c r="BA2313" s="101"/>
    </row>
    <row r="2314" spans="33:53">
      <c r="AG2314" s="101"/>
      <c r="AH2314" s="101"/>
      <c r="AI2314" s="101"/>
      <c r="AJ2314" s="101"/>
      <c r="AK2314" s="101"/>
      <c r="AL2314" s="104"/>
      <c r="AM2314" s="195"/>
      <c r="AT2314" s="101"/>
      <c r="AU2314" s="101"/>
      <c r="AV2314" s="101"/>
      <c r="AW2314" s="101"/>
      <c r="AX2314" s="101"/>
      <c r="AY2314" s="101"/>
      <c r="AZ2314" s="101"/>
      <c r="BA2314" s="101"/>
    </row>
    <row r="2315" spans="33:53">
      <c r="AG2315" s="101"/>
      <c r="AH2315" s="101"/>
      <c r="AI2315" s="101"/>
      <c r="AJ2315" s="101"/>
      <c r="AK2315" s="101"/>
      <c r="AL2315" s="104"/>
      <c r="AM2315" s="195"/>
      <c r="AT2315" s="101"/>
      <c r="AU2315" s="101"/>
      <c r="AV2315" s="101"/>
      <c r="AW2315" s="101"/>
      <c r="AX2315" s="101"/>
      <c r="AY2315" s="101"/>
      <c r="AZ2315" s="101"/>
      <c r="BA2315" s="101"/>
    </row>
    <row r="2316" spans="33:53">
      <c r="AG2316" s="101"/>
      <c r="AH2316" s="101"/>
      <c r="AI2316" s="101"/>
      <c r="AJ2316" s="101"/>
      <c r="AK2316" s="101"/>
      <c r="AL2316" s="104"/>
      <c r="AM2316" s="195"/>
      <c r="AT2316" s="101"/>
      <c r="AU2316" s="101"/>
      <c r="AV2316" s="101"/>
      <c r="AW2316" s="101"/>
      <c r="AX2316" s="101"/>
      <c r="AY2316" s="101"/>
      <c r="AZ2316" s="101"/>
      <c r="BA2316" s="101"/>
    </row>
    <row r="2317" spans="33:53">
      <c r="AG2317" s="101"/>
      <c r="AH2317" s="101"/>
      <c r="AI2317" s="101"/>
      <c r="AJ2317" s="101"/>
      <c r="AK2317" s="101"/>
      <c r="AL2317" s="104"/>
      <c r="AM2317" s="195"/>
      <c r="AT2317" s="101"/>
      <c r="AU2317" s="101"/>
      <c r="AV2317" s="101"/>
      <c r="AW2317" s="101"/>
      <c r="AX2317" s="101"/>
      <c r="AY2317" s="101"/>
      <c r="AZ2317" s="101"/>
      <c r="BA2317" s="101"/>
    </row>
    <row r="2318" spans="33:53">
      <c r="AG2318" s="101"/>
      <c r="AH2318" s="101"/>
      <c r="AI2318" s="101"/>
      <c r="AJ2318" s="101"/>
      <c r="AK2318" s="101"/>
      <c r="AL2318" s="104"/>
      <c r="AM2318" s="195"/>
      <c r="AT2318" s="101"/>
      <c r="AU2318" s="101"/>
      <c r="AV2318" s="101"/>
      <c r="AW2318" s="101"/>
      <c r="AX2318" s="101"/>
      <c r="AY2318" s="101"/>
      <c r="AZ2318" s="101"/>
      <c r="BA2318" s="101"/>
    </row>
    <row r="2319" spans="33:53">
      <c r="AG2319" s="101"/>
      <c r="AH2319" s="101"/>
      <c r="AI2319" s="101"/>
      <c r="AJ2319" s="101"/>
      <c r="AK2319" s="101"/>
      <c r="AL2319" s="104"/>
      <c r="AM2319" s="195"/>
      <c r="AT2319" s="101"/>
      <c r="AU2319" s="101"/>
      <c r="AV2319" s="101"/>
      <c r="AW2319" s="101"/>
      <c r="AX2319" s="101"/>
      <c r="AY2319" s="101"/>
      <c r="AZ2319" s="101"/>
      <c r="BA2319" s="101"/>
    </row>
    <row r="2320" spans="33:53">
      <c r="AG2320" s="101"/>
      <c r="AH2320" s="101"/>
      <c r="AI2320" s="101"/>
      <c r="AJ2320" s="101"/>
      <c r="AK2320" s="101"/>
      <c r="AL2320" s="104"/>
      <c r="AM2320" s="195"/>
      <c r="AT2320" s="101"/>
      <c r="AU2320" s="101"/>
      <c r="AV2320" s="101"/>
      <c r="AW2320" s="101"/>
      <c r="AX2320" s="101"/>
      <c r="AY2320" s="101"/>
      <c r="AZ2320" s="101"/>
      <c r="BA2320" s="101"/>
    </row>
    <row r="2321" spans="33:53">
      <c r="AG2321" s="101"/>
      <c r="AH2321" s="101"/>
      <c r="AI2321" s="101"/>
      <c r="AJ2321" s="101"/>
      <c r="AK2321" s="101"/>
      <c r="AL2321" s="104"/>
      <c r="AM2321" s="195"/>
      <c r="AT2321" s="101"/>
      <c r="AU2321" s="101"/>
      <c r="AV2321" s="101"/>
      <c r="AW2321" s="101"/>
      <c r="AX2321" s="101"/>
      <c r="AY2321" s="101"/>
      <c r="AZ2321" s="101"/>
      <c r="BA2321" s="101"/>
    </row>
    <row r="2322" spans="33:53">
      <c r="AG2322" s="101"/>
      <c r="AH2322" s="101"/>
      <c r="AI2322" s="101"/>
      <c r="AJ2322" s="101"/>
      <c r="AK2322" s="101"/>
      <c r="AL2322" s="104"/>
      <c r="AM2322" s="195"/>
      <c r="AT2322" s="101"/>
      <c r="AU2322" s="101"/>
      <c r="AV2322" s="101"/>
      <c r="AW2322" s="101"/>
      <c r="AX2322" s="101"/>
      <c r="AY2322" s="101"/>
      <c r="AZ2322" s="101"/>
      <c r="BA2322" s="101"/>
    </row>
    <row r="2323" spans="33:53">
      <c r="AG2323" s="101"/>
      <c r="AH2323" s="101"/>
      <c r="AI2323" s="101"/>
      <c r="AJ2323" s="101"/>
      <c r="AK2323" s="101"/>
      <c r="AL2323" s="104"/>
      <c r="AM2323" s="195"/>
      <c r="AT2323" s="101"/>
      <c r="AU2323" s="101"/>
      <c r="AV2323" s="101"/>
      <c r="AW2323" s="101"/>
      <c r="AX2323" s="101"/>
      <c r="AY2323" s="101"/>
      <c r="AZ2323" s="101"/>
      <c r="BA2323" s="101"/>
    </row>
    <row r="2324" spans="33:53">
      <c r="AG2324" s="101"/>
      <c r="AH2324" s="101"/>
      <c r="AI2324" s="101"/>
      <c r="AJ2324" s="101"/>
      <c r="AK2324" s="101"/>
      <c r="AL2324" s="104"/>
      <c r="AM2324" s="195"/>
      <c r="AT2324" s="101"/>
      <c r="AU2324" s="101"/>
      <c r="AV2324" s="101"/>
      <c r="AW2324" s="101"/>
      <c r="AX2324" s="101"/>
      <c r="AY2324" s="101"/>
      <c r="AZ2324" s="101"/>
      <c r="BA2324" s="101"/>
    </row>
    <row r="2325" spans="33:53">
      <c r="AG2325" s="101"/>
      <c r="AH2325" s="101"/>
      <c r="AI2325" s="101"/>
      <c r="AJ2325" s="101"/>
      <c r="AK2325" s="101"/>
      <c r="AL2325" s="104"/>
      <c r="AM2325" s="195"/>
      <c r="AT2325" s="101"/>
      <c r="AU2325" s="101"/>
      <c r="AV2325" s="101"/>
      <c r="AW2325" s="101"/>
      <c r="AX2325" s="101"/>
      <c r="AY2325" s="101"/>
      <c r="AZ2325" s="101"/>
      <c r="BA2325" s="101"/>
    </row>
    <row r="2326" spans="33:53">
      <c r="AG2326" s="101"/>
      <c r="AH2326" s="101"/>
      <c r="AI2326" s="101"/>
      <c r="AJ2326" s="101"/>
      <c r="AK2326" s="101"/>
      <c r="AL2326" s="104"/>
      <c r="AM2326" s="195"/>
      <c r="AT2326" s="101"/>
      <c r="AU2326" s="101"/>
      <c r="AV2326" s="101"/>
      <c r="AW2326" s="101"/>
      <c r="AX2326" s="101"/>
      <c r="AY2326" s="101"/>
      <c r="AZ2326" s="101"/>
      <c r="BA2326" s="101"/>
    </row>
    <row r="2327" spans="33:53">
      <c r="AG2327" s="101"/>
      <c r="AH2327" s="101"/>
      <c r="AI2327" s="101"/>
      <c r="AJ2327" s="101"/>
      <c r="AK2327" s="101"/>
      <c r="AL2327" s="104"/>
      <c r="AM2327" s="195"/>
      <c r="AT2327" s="101"/>
      <c r="AU2327" s="101"/>
      <c r="AV2327" s="101"/>
      <c r="AW2327" s="101"/>
      <c r="AX2327" s="101"/>
      <c r="AY2327" s="101"/>
      <c r="AZ2327" s="101"/>
      <c r="BA2327" s="101"/>
    </row>
    <row r="2328" spans="33:53">
      <c r="AG2328" s="101"/>
      <c r="AH2328" s="101"/>
      <c r="AI2328" s="101"/>
      <c r="AJ2328" s="101"/>
      <c r="AK2328" s="101"/>
      <c r="AL2328" s="104"/>
      <c r="AM2328" s="195"/>
      <c r="AT2328" s="101"/>
      <c r="AU2328" s="101"/>
      <c r="AV2328" s="101"/>
      <c r="AW2328" s="101"/>
      <c r="AX2328" s="101"/>
      <c r="AY2328" s="101"/>
      <c r="AZ2328" s="101"/>
      <c r="BA2328" s="101"/>
    </row>
    <row r="2329" spans="33:53">
      <c r="AG2329" s="101"/>
      <c r="AH2329" s="101"/>
      <c r="AI2329" s="101"/>
      <c r="AJ2329" s="101"/>
      <c r="AK2329" s="101"/>
      <c r="AL2329" s="104"/>
      <c r="AM2329" s="195"/>
      <c r="AT2329" s="101"/>
      <c r="AU2329" s="101"/>
      <c r="AV2329" s="101"/>
      <c r="AW2329" s="101"/>
      <c r="AX2329" s="101"/>
      <c r="AY2329" s="101"/>
      <c r="AZ2329" s="101"/>
      <c r="BA2329" s="101"/>
    </row>
    <row r="2330" spans="33:53">
      <c r="AG2330" s="101"/>
      <c r="AH2330" s="101"/>
      <c r="AI2330" s="101"/>
      <c r="AJ2330" s="101"/>
      <c r="AK2330" s="101"/>
      <c r="AL2330" s="104"/>
      <c r="AM2330" s="195"/>
      <c r="AT2330" s="101"/>
      <c r="AU2330" s="101"/>
      <c r="AV2330" s="101"/>
      <c r="AW2330" s="101"/>
      <c r="AX2330" s="101"/>
      <c r="AY2330" s="101"/>
      <c r="AZ2330" s="101"/>
      <c r="BA2330" s="101"/>
    </row>
    <row r="2331" spans="33:53">
      <c r="AG2331" s="101"/>
      <c r="AH2331" s="101"/>
      <c r="AI2331" s="101"/>
      <c r="AJ2331" s="101"/>
      <c r="AK2331" s="101"/>
      <c r="AL2331" s="104"/>
      <c r="AM2331" s="195"/>
      <c r="AT2331" s="101"/>
      <c r="AU2331" s="101"/>
      <c r="AV2331" s="101"/>
      <c r="AW2331" s="101"/>
      <c r="AX2331" s="101"/>
      <c r="AY2331" s="101"/>
      <c r="AZ2331" s="101"/>
      <c r="BA2331" s="101"/>
    </row>
    <row r="2332" spans="33:53">
      <c r="AG2332" s="101"/>
      <c r="AH2332" s="101"/>
      <c r="AI2332" s="101"/>
      <c r="AJ2332" s="101"/>
      <c r="AK2332" s="101"/>
      <c r="AL2332" s="104"/>
      <c r="AM2332" s="195"/>
      <c r="AT2332" s="101"/>
      <c r="AU2332" s="101"/>
      <c r="AV2332" s="101"/>
      <c r="AW2332" s="101"/>
      <c r="AX2332" s="101"/>
      <c r="AY2332" s="101"/>
      <c r="AZ2332" s="101"/>
      <c r="BA2332" s="101"/>
    </row>
    <row r="2333" spans="33:53">
      <c r="AG2333" s="101"/>
      <c r="AH2333" s="101"/>
      <c r="AI2333" s="101"/>
      <c r="AJ2333" s="101"/>
      <c r="AK2333" s="101"/>
      <c r="AL2333" s="104"/>
      <c r="AM2333" s="195"/>
      <c r="AT2333" s="101"/>
      <c r="AU2333" s="101"/>
      <c r="AV2333" s="101"/>
      <c r="AW2333" s="101"/>
      <c r="AX2333" s="101"/>
      <c r="AY2333" s="101"/>
      <c r="AZ2333" s="101"/>
      <c r="BA2333" s="101"/>
    </row>
    <row r="2334" spans="33:53">
      <c r="AG2334" s="101"/>
      <c r="AH2334" s="101"/>
      <c r="AI2334" s="101"/>
      <c r="AJ2334" s="101"/>
      <c r="AK2334" s="101"/>
      <c r="AL2334" s="104"/>
      <c r="AM2334" s="195"/>
      <c r="AT2334" s="101"/>
      <c r="AU2334" s="101"/>
      <c r="AV2334" s="101"/>
      <c r="AW2334" s="101"/>
      <c r="AX2334" s="101"/>
      <c r="AY2334" s="101"/>
      <c r="AZ2334" s="101"/>
      <c r="BA2334" s="101"/>
    </row>
    <row r="2335" spans="33:53">
      <c r="AG2335" s="101"/>
      <c r="AH2335" s="101"/>
      <c r="AI2335" s="101"/>
      <c r="AJ2335" s="101"/>
      <c r="AK2335" s="101"/>
      <c r="AL2335" s="104"/>
      <c r="AM2335" s="195"/>
      <c r="AT2335" s="101"/>
      <c r="AU2335" s="101"/>
      <c r="AV2335" s="101"/>
      <c r="AW2335" s="101"/>
      <c r="AX2335" s="101"/>
      <c r="AY2335" s="101"/>
      <c r="AZ2335" s="101"/>
      <c r="BA2335" s="101"/>
    </row>
    <row r="2336" spans="33:53">
      <c r="AG2336" s="101"/>
      <c r="AH2336" s="101"/>
      <c r="AI2336" s="101"/>
      <c r="AJ2336" s="101"/>
      <c r="AK2336" s="101"/>
      <c r="AL2336" s="104"/>
      <c r="AM2336" s="195"/>
      <c r="AT2336" s="101"/>
      <c r="AU2336" s="101"/>
      <c r="AV2336" s="101"/>
      <c r="AW2336" s="101"/>
      <c r="AX2336" s="101"/>
      <c r="AY2336" s="101"/>
      <c r="AZ2336" s="101"/>
      <c r="BA2336" s="101"/>
    </row>
    <row r="2337" spans="33:53">
      <c r="AG2337" s="101"/>
      <c r="AH2337" s="101"/>
      <c r="AI2337" s="101"/>
      <c r="AJ2337" s="101"/>
      <c r="AK2337" s="101"/>
      <c r="AL2337" s="104"/>
      <c r="AM2337" s="195"/>
      <c r="AT2337" s="101"/>
      <c r="AU2337" s="101"/>
      <c r="AV2337" s="101"/>
      <c r="AW2337" s="101"/>
      <c r="AX2337" s="101"/>
      <c r="AY2337" s="101"/>
      <c r="AZ2337" s="101"/>
      <c r="BA2337" s="101"/>
    </row>
    <row r="2338" spans="33:53">
      <c r="AG2338" s="101"/>
      <c r="AH2338" s="101"/>
      <c r="AI2338" s="101"/>
      <c r="AJ2338" s="101"/>
      <c r="AK2338" s="101"/>
      <c r="AL2338" s="104"/>
      <c r="AM2338" s="195"/>
      <c r="AT2338" s="101"/>
      <c r="AU2338" s="101"/>
      <c r="AV2338" s="101"/>
      <c r="AW2338" s="101"/>
      <c r="AX2338" s="101"/>
      <c r="AY2338" s="101"/>
      <c r="AZ2338" s="101"/>
      <c r="BA2338" s="101"/>
    </row>
    <row r="2339" spans="33:53">
      <c r="AG2339" s="101"/>
      <c r="AH2339" s="101"/>
      <c r="AI2339" s="101"/>
      <c r="AJ2339" s="101"/>
      <c r="AK2339" s="101"/>
      <c r="AL2339" s="104"/>
      <c r="AM2339" s="195"/>
      <c r="AT2339" s="101"/>
      <c r="AU2339" s="101"/>
      <c r="AV2339" s="101"/>
      <c r="AW2339" s="101"/>
      <c r="AX2339" s="101"/>
      <c r="AY2339" s="101"/>
      <c r="AZ2339" s="101"/>
      <c r="BA2339" s="101"/>
    </row>
    <row r="2340" spans="33:53">
      <c r="AG2340" s="101"/>
      <c r="AH2340" s="101"/>
      <c r="AI2340" s="101"/>
      <c r="AJ2340" s="101"/>
      <c r="AK2340" s="101"/>
      <c r="AL2340" s="104"/>
      <c r="AM2340" s="195"/>
      <c r="AT2340" s="101"/>
      <c r="AU2340" s="101"/>
      <c r="AV2340" s="101"/>
      <c r="AW2340" s="101"/>
      <c r="AX2340" s="101"/>
      <c r="AY2340" s="101"/>
      <c r="AZ2340" s="101"/>
      <c r="BA2340" s="101"/>
    </row>
    <row r="2341" spans="33:53">
      <c r="AG2341" s="101"/>
      <c r="AH2341" s="101"/>
      <c r="AI2341" s="101"/>
      <c r="AJ2341" s="101"/>
      <c r="AK2341" s="101"/>
      <c r="AL2341" s="104"/>
      <c r="AM2341" s="195"/>
      <c r="AT2341" s="101"/>
      <c r="AU2341" s="101"/>
      <c r="AV2341" s="101"/>
      <c r="AW2341" s="101"/>
      <c r="AX2341" s="101"/>
      <c r="AY2341" s="101"/>
      <c r="AZ2341" s="101"/>
      <c r="BA2341" s="101"/>
    </row>
    <row r="2342" spans="33:53">
      <c r="AG2342" s="101"/>
      <c r="AH2342" s="101"/>
      <c r="AI2342" s="101"/>
      <c r="AJ2342" s="101"/>
      <c r="AK2342" s="101"/>
      <c r="AL2342" s="104"/>
      <c r="AM2342" s="195"/>
      <c r="AT2342" s="101"/>
      <c r="AU2342" s="101"/>
      <c r="AV2342" s="101"/>
      <c r="AW2342" s="101"/>
      <c r="AX2342" s="101"/>
      <c r="AY2342" s="101"/>
      <c r="AZ2342" s="101"/>
      <c r="BA2342" s="101"/>
    </row>
    <row r="2343" spans="33:53">
      <c r="AG2343" s="101"/>
      <c r="AH2343" s="101"/>
      <c r="AI2343" s="101"/>
      <c r="AJ2343" s="101"/>
      <c r="AK2343" s="101"/>
      <c r="AL2343" s="104"/>
      <c r="AM2343" s="195"/>
      <c r="AT2343" s="101"/>
      <c r="AU2343" s="101"/>
      <c r="AV2343" s="101"/>
      <c r="AW2343" s="101"/>
      <c r="AX2343" s="101"/>
      <c r="AY2343" s="101"/>
      <c r="AZ2343" s="101"/>
      <c r="BA2343" s="101"/>
    </row>
    <row r="2344" spans="33:53">
      <c r="AG2344" s="101"/>
      <c r="AH2344" s="101"/>
      <c r="AI2344" s="101"/>
      <c r="AJ2344" s="101"/>
      <c r="AK2344" s="101"/>
      <c r="AL2344" s="104"/>
      <c r="AM2344" s="195"/>
      <c r="AT2344" s="101"/>
      <c r="AU2344" s="101"/>
      <c r="AV2344" s="101"/>
      <c r="AW2344" s="101"/>
      <c r="AX2344" s="101"/>
      <c r="AY2344" s="101"/>
      <c r="AZ2344" s="101"/>
      <c r="BA2344" s="101"/>
    </row>
    <row r="2345" spans="33:53">
      <c r="AG2345" s="101"/>
      <c r="AH2345" s="101"/>
      <c r="AI2345" s="101"/>
      <c r="AJ2345" s="101"/>
      <c r="AK2345" s="101"/>
      <c r="AL2345" s="104"/>
      <c r="AM2345" s="195"/>
      <c r="AT2345" s="101"/>
      <c r="AU2345" s="101"/>
      <c r="AV2345" s="101"/>
      <c r="AW2345" s="101"/>
      <c r="AX2345" s="101"/>
      <c r="AY2345" s="101"/>
      <c r="AZ2345" s="101"/>
      <c r="BA2345" s="101"/>
    </row>
    <row r="2346" spans="33:53">
      <c r="AG2346" s="101"/>
      <c r="AH2346" s="101"/>
      <c r="AI2346" s="101"/>
      <c r="AJ2346" s="101"/>
      <c r="AK2346" s="101"/>
      <c r="AL2346" s="104"/>
      <c r="AM2346" s="195"/>
      <c r="AT2346" s="101"/>
      <c r="AU2346" s="101"/>
      <c r="AV2346" s="101"/>
      <c r="AW2346" s="101"/>
      <c r="AX2346" s="101"/>
      <c r="AY2346" s="101"/>
      <c r="AZ2346" s="101"/>
      <c r="BA2346" s="101"/>
    </row>
    <row r="2347" spans="33:53">
      <c r="AG2347" s="101"/>
      <c r="AH2347" s="101"/>
      <c r="AI2347" s="101"/>
      <c r="AJ2347" s="101"/>
      <c r="AK2347" s="101"/>
      <c r="AL2347" s="104"/>
      <c r="AM2347" s="195"/>
      <c r="AT2347" s="101"/>
      <c r="AU2347" s="101"/>
      <c r="AV2347" s="101"/>
      <c r="AW2347" s="101"/>
      <c r="AX2347" s="101"/>
      <c r="AY2347" s="101"/>
      <c r="AZ2347" s="101"/>
      <c r="BA2347" s="101"/>
    </row>
    <row r="2348" spans="33:53">
      <c r="AG2348" s="101"/>
      <c r="AH2348" s="101"/>
      <c r="AI2348" s="101"/>
      <c r="AJ2348" s="101"/>
      <c r="AK2348" s="101"/>
      <c r="AL2348" s="104"/>
      <c r="AM2348" s="195"/>
      <c r="AT2348" s="101"/>
      <c r="AU2348" s="101"/>
      <c r="AV2348" s="101"/>
      <c r="AW2348" s="101"/>
      <c r="AX2348" s="101"/>
      <c r="AY2348" s="101"/>
      <c r="AZ2348" s="101"/>
      <c r="BA2348" s="101"/>
    </row>
    <row r="2349" spans="33:53">
      <c r="AG2349" s="101"/>
      <c r="AH2349" s="101"/>
      <c r="AI2349" s="101"/>
      <c r="AJ2349" s="101"/>
      <c r="AK2349" s="101"/>
      <c r="AL2349" s="104"/>
      <c r="AM2349" s="195"/>
      <c r="AT2349" s="101"/>
      <c r="AU2349" s="101"/>
      <c r="AV2349" s="101"/>
      <c r="AW2349" s="101"/>
      <c r="AX2349" s="101"/>
      <c r="AY2349" s="101"/>
      <c r="AZ2349" s="101"/>
      <c r="BA2349" s="101"/>
    </row>
    <row r="2350" spans="33:53">
      <c r="AG2350" s="101"/>
      <c r="AH2350" s="101"/>
      <c r="AI2350" s="101"/>
      <c r="AJ2350" s="101"/>
      <c r="AK2350" s="101"/>
      <c r="AL2350" s="104"/>
      <c r="AM2350" s="195"/>
      <c r="AT2350" s="101"/>
      <c r="AU2350" s="101"/>
      <c r="AV2350" s="101"/>
      <c r="AW2350" s="101"/>
      <c r="AX2350" s="101"/>
      <c r="AY2350" s="101"/>
      <c r="AZ2350" s="101"/>
      <c r="BA2350" s="101"/>
    </row>
    <row r="2351" spans="33:53">
      <c r="AG2351" s="101"/>
      <c r="AH2351" s="101"/>
      <c r="AI2351" s="101"/>
      <c r="AJ2351" s="101"/>
      <c r="AK2351" s="101"/>
      <c r="AL2351" s="104"/>
      <c r="AM2351" s="195"/>
      <c r="AT2351" s="101"/>
      <c r="AU2351" s="101"/>
      <c r="AV2351" s="101"/>
      <c r="AW2351" s="101"/>
      <c r="AX2351" s="101"/>
      <c r="AY2351" s="101"/>
      <c r="AZ2351" s="101"/>
      <c r="BA2351" s="101"/>
    </row>
    <row r="2352" spans="33:53">
      <c r="AG2352" s="101"/>
      <c r="AH2352" s="101"/>
      <c r="AI2352" s="101"/>
      <c r="AJ2352" s="101"/>
      <c r="AK2352" s="101"/>
      <c r="AL2352" s="104"/>
      <c r="AM2352" s="195"/>
      <c r="AT2352" s="101"/>
      <c r="AU2352" s="101"/>
      <c r="AV2352" s="101"/>
      <c r="AW2352" s="101"/>
      <c r="AX2352" s="101"/>
      <c r="AY2352" s="101"/>
      <c r="AZ2352" s="101"/>
      <c r="BA2352" s="101"/>
    </row>
    <row r="2353" spans="33:53">
      <c r="AG2353" s="101"/>
      <c r="AH2353" s="101"/>
      <c r="AI2353" s="101"/>
      <c r="AJ2353" s="101"/>
      <c r="AK2353" s="101"/>
      <c r="AL2353" s="104"/>
      <c r="AM2353" s="195"/>
      <c r="AT2353" s="101"/>
      <c r="AU2353" s="101"/>
      <c r="AV2353" s="101"/>
      <c r="AW2353" s="101"/>
      <c r="AX2353" s="101"/>
      <c r="AY2353" s="101"/>
      <c r="AZ2353" s="101"/>
      <c r="BA2353" s="101"/>
    </row>
    <row r="2354" spans="33:53">
      <c r="AG2354" s="101"/>
      <c r="AH2354" s="101"/>
      <c r="AI2354" s="101"/>
      <c r="AJ2354" s="101"/>
      <c r="AK2354" s="101"/>
      <c r="AL2354" s="104"/>
      <c r="AM2354" s="195"/>
      <c r="AT2354" s="101"/>
      <c r="AU2354" s="101"/>
      <c r="AV2354" s="101"/>
      <c r="AW2354" s="101"/>
      <c r="AX2354" s="101"/>
      <c r="AY2354" s="101"/>
      <c r="AZ2354" s="101"/>
      <c r="BA2354" s="101"/>
    </row>
    <row r="2355" spans="33:53">
      <c r="AG2355" s="101"/>
      <c r="AH2355" s="101"/>
      <c r="AI2355" s="101"/>
      <c r="AJ2355" s="101"/>
      <c r="AK2355" s="101"/>
      <c r="AL2355" s="104"/>
      <c r="AM2355" s="195"/>
      <c r="AT2355" s="101"/>
      <c r="AU2355" s="101"/>
      <c r="AV2355" s="101"/>
      <c r="AW2355" s="101"/>
      <c r="AX2355" s="101"/>
      <c r="AY2355" s="101"/>
      <c r="AZ2355" s="101"/>
      <c r="BA2355" s="101"/>
    </row>
    <row r="2356" spans="33:53">
      <c r="AG2356" s="101"/>
      <c r="AH2356" s="101"/>
      <c r="AI2356" s="101"/>
      <c r="AJ2356" s="101"/>
      <c r="AK2356" s="101"/>
      <c r="AL2356" s="104"/>
      <c r="AM2356" s="195"/>
      <c r="AT2356" s="101"/>
      <c r="AU2356" s="101"/>
      <c r="AV2356" s="101"/>
      <c r="AW2356" s="101"/>
      <c r="AX2356" s="101"/>
      <c r="AY2356" s="101"/>
      <c r="AZ2356" s="101"/>
      <c r="BA2356" s="101"/>
    </row>
    <row r="2357" spans="33:53">
      <c r="AG2357" s="101"/>
      <c r="AH2357" s="101"/>
      <c r="AI2357" s="101"/>
      <c r="AJ2357" s="101"/>
      <c r="AK2357" s="101"/>
      <c r="AL2357" s="104"/>
      <c r="AM2357" s="195"/>
      <c r="AT2357" s="101"/>
      <c r="AU2357" s="101"/>
      <c r="AV2357" s="101"/>
      <c r="AW2357" s="101"/>
      <c r="AX2357" s="101"/>
      <c r="AY2357" s="101"/>
      <c r="AZ2357" s="101"/>
      <c r="BA2357" s="101"/>
    </row>
    <row r="2358" spans="33:53">
      <c r="AG2358" s="101"/>
      <c r="AH2358" s="101"/>
      <c r="AI2358" s="101"/>
      <c r="AJ2358" s="101"/>
      <c r="AK2358" s="101"/>
      <c r="AL2358" s="104"/>
      <c r="AM2358" s="195"/>
      <c r="AT2358" s="101"/>
      <c r="AU2358" s="101"/>
      <c r="AV2358" s="101"/>
      <c r="AW2358" s="101"/>
      <c r="AX2358" s="101"/>
      <c r="AY2358" s="101"/>
      <c r="AZ2358" s="101"/>
      <c r="BA2358" s="101"/>
    </row>
    <row r="2359" spans="33:53">
      <c r="AG2359" s="101"/>
      <c r="AH2359" s="101"/>
      <c r="AI2359" s="101"/>
      <c r="AJ2359" s="101"/>
      <c r="AK2359" s="101"/>
      <c r="AL2359" s="104"/>
      <c r="AM2359" s="195"/>
      <c r="AT2359" s="101"/>
      <c r="AU2359" s="101"/>
      <c r="AV2359" s="101"/>
      <c r="AW2359" s="101"/>
      <c r="AX2359" s="101"/>
      <c r="AY2359" s="101"/>
      <c r="AZ2359" s="101"/>
      <c r="BA2359" s="101"/>
    </row>
    <row r="2360" spans="33:53">
      <c r="AG2360" s="101"/>
      <c r="AH2360" s="101"/>
      <c r="AI2360" s="101"/>
      <c r="AJ2360" s="101"/>
      <c r="AK2360" s="101"/>
      <c r="AL2360" s="104"/>
      <c r="AM2360" s="195"/>
      <c r="AT2360" s="101"/>
      <c r="AU2360" s="101"/>
      <c r="AV2360" s="101"/>
      <c r="AW2360" s="101"/>
      <c r="AX2360" s="101"/>
      <c r="AY2360" s="101"/>
      <c r="AZ2360" s="101"/>
      <c r="BA2360" s="101"/>
    </row>
    <row r="2361" spans="33:53">
      <c r="AG2361" s="101"/>
      <c r="AH2361" s="101"/>
      <c r="AI2361" s="101"/>
      <c r="AJ2361" s="101"/>
      <c r="AK2361" s="101"/>
      <c r="AL2361" s="104"/>
      <c r="AM2361" s="195"/>
      <c r="AT2361" s="101"/>
      <c r="AU2361" s="101"/>
      <c r="AV2361" s="101"/>
      <c r="AW2361" s="101"/>
      <c r="AX2361" s="101"/>
      <c r="AY2361" s="101"/>
      <c r="AZ2361" s="101"/>
      <c r="BA2361" s="101"/>
    </row>
    <row r="2362" spans="33:53">
      <c r="AG2362" s="101"/>
      <c r="AH2362" s="101"/>
      <c r="AI2362" s="101"/>
      <c r="AJ2362" s="101"/>
      <c r="AK2362" s="101"/>
      <c r="AL2362" s="104"/>
      <c r="AM2362" s="195"/>
      <c r="AT2362" s="101"/>
      <c r="AU2362" s="101"/>
      <c r="AV2362" s="101"/>
      <c r="AW2362" s="101"/>
      <c r="AX2362" s="101"/>
      <c r="AY2362" s="101"/>
      <c r="AZ2362" s="101"/>
      <c r="BA2362" s="101"/>
    </row>
    <row r="2363" spans="33:53">
      <c r="AG2363" s="101"/>
      <c r="AH2363" s="101"/>
      <c r="AI2363" s="101"/>
      <c r="AJ2363" s="101"/>
      <c r="AK2363" s="101"/>
      <c r="AL2363" s="104"/>
      <c r="AM2363" s="195"/>
      <c r="AT2363" s="101"/>
      <c r="AU2363" s="101"/>
      <c r="AV2363" s="101"/>
      <c r="AW2363" s="101"/>
      <c r="AX2363" s="101"/>
      <c r="AY2363" s="101"/>
      <c r="AZ2363" s="101"/>
      <c r="BA2363" s="101"/>
    </row>
    <row r="2364" spans="33:53">
      <c r="AG2364" s="101"/>
      <c r="AH2364" s="101"/>
      <c r="AI2364" s="101"/>
      <c r="AJ2364" s="101"/>
      <c r="AK2364" s="101"/>
      <c r="AL2364" s="104"/>
      <c r="AM2364" s="195"/>
      <c r="AT2364" s="101"/>
      <c r="AU2364" s="101"/>
      <c r="AV2364" s="101"/>
      <c r="AW2364" s="101"/>
      <c r="AX2364" s="101"/>
      <c r="AY2364" s="101"/>
      <c r="AZ2364" s="101"/>
      <c r="BA2364" s="101"/>
    </row>
    <row r="2365" spans="33:53">
      <c r="AG2365" s="101"/>
      <c r="AH2365" s="101"/>
      <c r="AI2365" s="101"/>
      <c r="AJ2365" s="101"/>
      <c r="AK2365" s="101"/>
      <c r="AL2365" s="104"/>
      <c r="AM2365" s="195"/>
      <c r="AT2365" s="101"/>
      <c r="AU2365" s="101"/>
      <c r="AV2365" s="101"/>
      <c r="AW2365" s="101"/>
      <c r="AX2365" s="101"/>
      <c r="AY2365" s="101"/>
      <c r="AZ2365" s="101"/>
      <c r="BA2365" s="101"/>
    </row>
    <row r="2366" spans="33:53">
      <c r="AG2366" s="101"/>
      <c r="AH2366" s="101"/>
      <c r="AI2366" s="101"/>
      <c r="AJ2366" s="101"/>
      <c r="AK2366" s="101"/>
      <c r="AL2366" s="104"/>
      <c r="AM2366" s="195"/>
      <c r="AT2366" s="101"/>
      <c r="AU2366" s="101"/>
      <c r="AV2366" s="101"/>
      <c r="AW2366" s="101"/>
      <c r="AX2366" s="101"/>
      <c r="AY2366" s="101"/>
      <c r="AZ2366" s="101"/>
      <c r="BA2366" s="101"/>
    </row>
    <row r="2367" spans="33:53">
      <c r="AG2367" s="101"/>
      <c r="AH2367" s="101"/>
      <c r="AI2367" s="101"/>
      <c r="AJ2367" s="101"/>
      <c r="AK2367" s="101"/>
      <c r="AL2367" s="104"/>
      <c r="AM2367" s="195"/>
      <c r="AT2367" s="101"/>
      <c r="AU2367" s="101"/>
      <c r="AV2367" s="101"/>
      <c r="AW2367" s="101"/>
      <c r="AX2367" s="101"/>
      <c r="AY2367" s="101"/>
      <c r="AZ2367" s="101"/>
      <c r="BA2367" s="101"/>
    </row>
    <row r="2368" spans="33:53">
      <c r="AG2368" s="101"/>
      <c r="AH2368" s="101"/>
      <c r="AI2368" s="101"/>
      <c r="AJ2368" s="101"/>
      <c r="AK2368" s="101"/>
      <c r="AL2368" s="104"/>
      <c r="AM2368" s="195"/>
      <c r="AT2368" s="101"/>
      <c r="AU2368" s="101"/>
      <c r="AV2368" s="101"/>
      <c r="AW2368" s="101"/>
      <c r="AX2368" s="101"/>
      <c r="AY2368" s="101"/>
      <c r="AZ2368" s="101"/>
      <c r="BA2368" s="101"/>
    </row>
    <row r="2369" spans="33:53">
      <c r="AG2369" s="101"/>
      <c r="AH2369" s="101"/>
      <c r="AI2369" s="101"/>
      <c r="AJ2369" s="101"/>
      <c r="AK2369" s="101"/>
      <c r="AL2369" s="104"/>
      <c r="AM2369" s="195"/>
      <c r="AT2369" s="101"/>
      <c r="AU2369" s="101"/>
      <c r="AV2369" s="101"/>
      <c r="AW2369" s="101"/>
      <c r="AX2369" s="101"/>
      <c r="AY2369" s="101"/>
      <c r="AZ2369" s="101"/>
      <c r="BA2369" s="101"/>
    </row>
    <row r="2370" spans="33:53">
      <c r="AG2370" s="101"/>
      <c r="AH2370" s="101"/>
      <c r="AI2370" s="101"/>
      <c r="AJ2370" s="101"/>
      <c r="AK2370" s="101"/>
      <c r="AL2370" s="104"/>
      <c r="AM2370" s="195"/>
      <c r="AT2370" s="101"/>
      <c r="AU2370" s="101"/>
      <c r="AV2370" s="101"/>
      <c r="AW2370" s="101"/>
      <c r="AX2370" s="101"/>
      <c r="AY2370" s="101"/>
      <c r="AZ2370" s="101"/>
      <c r="BA2370" s="101"/>
    </row>
    <row r="2371" spans="33:53">
      <c r="AG2371" s="101"/>
      <c r="AH2371" s="101"/>
      <c r="AI2371" s="101"/>
      <c r="AJ2371" s="101"/>
      <c r="AK2371" s="101"/>
      <c r="AL2371" s="104"/>
      <c r="AM2371" s="195"/>
      <c r="AT2371" s="101"/>
      <c r="AU2371" s="101"/>
      <c r="AV2371" s="101"/>
      <c r="AW2371" s="101"/>
      <c r="AX2371" s="101"/>
      <c r="AY2371" s="101"/>
      <c r="AZ2371" s="101"/>
      <c r="BA2371" s="101"/>
    </row>
    <row r="2372" spans="33:53">
      <c r="AG2372" s="101"/>
      <c r="AH2372" s="101"/>
      <c r="AI2372" s="101"/>
      <c r="AJ2372" s="101"/>
      <c r="AK2372" s="101"/>
      <c r="AL2372" s="104"/>
      <c r="AM2372" s="195"/>
      <c r="AT2372" s="101"/>
      <c r="AU2372" s="101"/>
      <c r="AV2372" s="101"/>
      <c r="AW2372" s="101"/>
      <c r="AX2372" s="101"/>
      <c r="AY2372" s="101"/>
      <c r="AZ2372" s="101"/>
      <c r="BA2372" s="101"/>
    </row>
    <row r="2373" spans="33:53">
      <c r="AG2373" s="101"/>
      <c r="AH2373" s="101"/>
      <c r="AI2373" s="101"/>
      <c r="AJ2373" s="101"/>
      <c r="AK2373" s="101"/>
      <c r="AL2373" s="104"/>
      <c r="AM2373" s="195"/>
      <c r="AT2373" s="101"/>
      <c r="AU2373" s="101"/>
      <c r="AV2373" s="101"/>
      <c r="AW2373" s="101"/>
      <c r="AX2373" s="101"/>
      <c r="AY2373" s="101"/>
      <c r="AZ2373" s="101"/>
      <c r="BA2373" s="101"/>
    </row>
    <row r="2374" spans="33:53">
      <c r="AG2374" s="101"/>
      <c r="AH2374" s="101"/>
      <c r="AI2374" s="101"/>
      <c r="AJ2374" s="101"/>
      <c r="AK2374" s="101"/>
      <c r="AL2374" s="104"/>
      <c r="AM2374" s="195"/>
      <c r="AT2374" s="101"/>
      <c r="AU2374" s="101"/>
      <c r="AV2374" s="101"/>
      <c r="AW2374" s="101"/>
      <c r="AX2374" s="101"/>
      <c r="AY2374" s="101"/>
      <c r="AZ2374" s="101"/>
      <c r="BA2374" s="101"/>
    </row>
    <row r="2375" spans="33:53">
      <c r="AG2375" s="101"/>
      <c r="AH2375" s="101"/>
      <c r="AI2375" s="101"/>
      <c r="AJ2375" s="101"/>
      <c r="AK2375" s="101"/>
      <c r="AL2375" s="104"/>
      <c r="AM2375" s="195"/>
      <c r="AT2375" s="101"/>
      <c r="AU2375" s="101"/>
      <c r="AV2375" s="101"/>
      <c r="AW2375" s="101"/>
      <c r="AX2375" s="101"/>
      <c r="AY2375" s="101"/>
      <c r="AZ2375" s="101"/>
      <c r="BA2375" s="101"/>
    </row>
    <row r="2376" spans="33:53">
      <c r="AG2376" s="101"/>
      <c r="AH2376" s="101"/>
      <c r="AI2376" s="101"/>
      <c r="AJ2376" s="101"/>
      <c r="AK2376" s="101"/>
      <c r="AL2376" s="104"/>
      <c r="AM2376" s="195"/>
      <c r="AT2376" s="101"/>
      <c r="AU2376" s="101"/>
      <c r="AV2376" s="101"/>
      <c r="AW2376" s="101"/>
      <c r="AX2376" s="101"/>
      <c r="AY2376" s="101"/>
      <c r="AZ2376" s="101"/>
      <c r="BA2376" s="101"/>
    </row>
    <row r="2377" spans="33:53">
      <c r="AG2377" s="101"/>
      <c r="AH2377" s="101"/>
      <c r="AI2377" s="101"/>
      <c r="AJ2377" s="101"/>
      <c r="AK2377" s="101"/>
      <c r="AL2377" s="104"/>
      <c r="AM2377" s="195"/>
      <c r="AT2377" s="101"/>
      <c r="AU2377" s="101"/>
      <c r="AV2377" s="101"/>
      <c r="AW2377" s="101"/>
      <c r="AX2377" s="101"/>
      <c r="AY2377" s="101"/>
      <c r="AZ2377" s="101"/>
      <c r="BA2377" s="101"/>
    </row>
    <row r="2378" spans="33:53">
      <c r="AG2378" s="101"/>
      <c r="AH2378" s="101"/>
      <c r="AI2378" s="101"/>
      <c r="AJ2378" s="101"/>
      <c r="AK2378" s="101"/>
      <c r="AL2378" s="104"/>
      <c r="AM2378" s="195"/>
      <c r="AT2378" s="101"/>
      <c r="AU2378" s="101"/>
      <c r="AV2378" s="101"/>
      <c r="AW2378" s="101"/>
      <c r="AX2378" s="101"/>
      <c r="AY2378" s="101"/>
      <c r="AZ2378" s="101"/>
      <c r="BA2378" s="101"/>
    </row>
    <row r="2379" spans="33:53">
      <c r="AG2379" s="101"/>
      <c r="AH2379" s="101"/>
      <c r="AI2379" s="101"/>
      <c r="AJ2379" s="101"/>
      <c r="AK2379" s="101"/>
      <c r="AL2379" s="104"/>
      <c r="AM2379" s="195"/>
      <c r="AT2379" s="101"/>
      <c r="AU2379" s="101"/>
      <c r="AV2379" s="101"/>
      <c r="AW2379" s="101"/>
      <c r="AX2379" s="101"/>
      <c r="AY2379" s="101"/>
      <c r="AZ2379" s="101"/>
      <c r="BA2379" s="101"/>
    </row>
    <row r="2380" spans="33:53">
      <c r="AG2380" s="101"/>
      <c r="AH2380" s="101"/>
      <c r="AI2380" s="101"/>
      <c r="AJ2380" s="101"/>
      <c r="AK2380" s="101"/>
      <c r="AL2380" s="104"/>
      <c r="AM2380" s="195"/>
      <c r="AT2380" s="101"/>
      <c r="AU2380" s="101"/>
      <c r="AV2380" s="101"/>
      <c r="AW2380" s="101"/>
      <c r="AX2380" s="101"/>
      <c r="AY2380" s="101"/>
      <c r="AZ2380" s="101"/>
      <c r="BA2380" s="101"/>
    </row>
    <row r="2381" spans="33:53">
      <c r="AG2381" s="101"/>
      <c r="AH2381" s="101"/>
      <c r="AI2381" s="101"/>
      <c r="AJ2381" s="101"/>
      <c r="AK2381" s="101"/>
      <c r="AL2381" s="104"/>
      <c r="AM2381" s="195"/>
      <c r="AT2381" s="101"/>
      <c r="AU2381" s="101"/>
      <c r="AV2381" s="101"/>
      <c r="AW2381" s="101"/>
      <c r="AX2381" s="101"/>
      <c r="AY2381" s="101"/>
      <c r="AZ2381" s="101"/>
      <c r="BA2381" s="101"/>
    </row>
    <row r="2382" spans="33:53">
      <c r="AG2382" s="101"/>
      <c r="AH2382" s="101"/>
      <c r="AI2382" s="101"/>
      <c r="AJ2382" s="101"/>
      <c r="AK2382" s="101"/>
      <c r="AL2382" s="104"/>
      <c r="AM2382" s="195"/>
      <c r="AT2382" s="101"/>
      <c r="AU2382" s="101"/>
      <c r="AV2382" s="101"/>
      <c r="AW2382" s="101"/>
      <c r="AX2382" s="101"/>
      <c r="AY2382" s="101"/>
      <c r="AZ2382" s="101"/>
      <c r="BA2382" s="101"/>
    </row>
    <row r="2383" spans="33:53">
      <c r="AG2383" s="101"/>
      <c r="AH2383" s="101"/>
      <c r="AI2383" s="101"/>
      <c r="AJ2383" s="101"/>
      <c r="AK2383" s="101"/>
      <c r="AL2383" s="104"/>
      <c r="AM2383" s="195"/>
      <c r="AT2383" s="101"/>
      <c r="AU2383" s="101"/>
      <c r="AV2383" s="101"/>
      <c r="AW2383" s="101"/>
      <c r="AX2383" s="101"/>
      <c r="AY2383" s="101"/>
      <c r="AZ2383" s="101"/>
      <c r="BA2383" s="101"/>
    </row>
    <row r="2384" spans="33:53">
      <c r="AG2384" s="101"/>
      <c r="AH2384" s="101"/>
      <c r="AI2384" s="101"/>
      <c r="AJ2384" s="101"/>
      <c r="AK2384" s="101"/>
      <c r="AL2384" s="104"/>
      <c r="AM2384" s="195"/>
      <c r="AT2384" s="101"/>
      <c r="AU2384" s="101"/>
      <c r="AV2384" s="101"/>
      <c r="AW2384" s="101"/>
      <c r="AX2384" s="101"/>
      <c r="AY2384" s="101"/>
      <c r="AZ2384" s="101"/>
      <c r="BA2384" s="101"/>
    </row>
    <row r="2385" spans="33:53">
      <c r="AG2385" s="101"/>
      <c r="AH2385" s="101"/>
      <c r="AI2385" s="101"/>
      <c r="AJ2385" s="101"/>
      <c r="AK2385" s="101"/>
      <c r="AL2385" s="104"/>
      <c r="AM2385" s="195"/>
      <c r="AT2385" s="101"/>
      <c r="AU2385" s="101"/>
      <c r="AV2385" s="101"/>
      <c r="AW2385" s="101"/>
      <c r="AX2385" s="101"/>
      <c r="AY2385" s="101"/>
      <c r="AZ2385" s="101"/>
      <c r="BA2385" s="101"/>
    </row>
    <row r="2386" spans="33:53">
      <c r="AG2386" s="101"/>
      <c r="AH2386" s="101"/>
      <c r="AI2386" s="101"/>
      <c r="AJ2386" s="101"/>
      <c r="AK2386" s="101"/>
      <c r="AL2386" s="104"/>
      <c r="AM2386" s="195"/>
      <c r="AT2386" s="101"/>
      <c r="AU2386" s="101"/>
      <c r="AV2386" s="101"/>
      <c r="AW2386" s="101"/>
      <c r="AX2386" s="101"/>
      <c r="AY2386" s="101"/>
      <c r="AZ2386" s="101"/>
      <c r="BA2386" s="101"/>
    </row>
    <row r="2387" spans="33:53">
      <c r="AG2387" s="101"/>
      <c r="AH2387" s="101"/>
      <c r="AI2387" s="101"/>
      <c r="AJ2387" s="101"/>
      <c r="AK2387" s="101"/>
      <c r="AL2387" s="104"/>
      <c r="AM2387" s="195"/>
      <c r="AT2387" s="101"/>
      <c r="AU2387" s="101"/>
      <c r="AV2387" s="101"/>
      <c r="AW2387" s="101"/>
      <c r="AX2387" s="101"/>
      <c r="AY2387" s="101"/>
      <c r="AZ2387" s="101"/>
      <c r="BA2387" s="101"/>
    </row>
    <row r="2388" spans="33:53">
      <c r="AG2388" s="101"/>
      <c r="AH2388" s="101"/>
      <c r="AI2388" s="101"/>
      <c r="AJ2388" s="101"/>
      <c r="AK2388" s="101"/>
      <c r="AL2388" s="104"/>
      <c r="AM2388" s="195"/>
      <c r="AT2388" s="101"/>
      <c r="AU2388" s="101"/>
      <c r="AV2388" s="101"/>
      <c r="AW2388" s="101"/>
      <c r="AX2388" s="101"/>
      <c r="AY2388" s="101"/>
      <c r="AZ2388" s="101"/>
      <c r="BA2388" s="101"/>
    </row>
    <row r="2389" spans="33:53">
      <c r="AG2389" s="101"/>
      <c r="AH2389" s="101"/>
      <c r="AI2389" s="101"/>
      <c r="AJ2389" s="101"/>
      <c r="AK2389" s="101"/>
      <c r="AL2389" s="104"/>
      <c r="AM2389" s="195"/>
      <c r="AT2389" s="101"/>
      <c r="AU2389" s="101"/>
      <c r="AV2389" s="101"/>
      <c r="AW2389" s="101"/>
      <c r="AX2389" s="101"/>
      <c r="AY2389" s="101"/>
      <c r="AZ2389" s="101"/>
      <c r="BA2389" s="101"/>
    </row>
    <row r="2390" spans="33:53">
      <c r="AG2390" s="101"/>
      <c r="AH2390" s="101"/>
      <c r="AI2390" s="101"/>
      <c r="AJ2390" s="101"/>
      <c r="AK2390" s="101"/>
      <c r="AL2390" s="104"/>
      <c r="AM2390" s="195"/>
      <c r="AT2390" s="101"/>
      <c r="AU2390" s="101"/>
      <c r="AV2390" s="101"/>
      <c r="AW2390" s="101"/>
      <c r="AX2390" s="101"/>
      <c r="AY2390" s="101"/>
      <c r="AZ2390" s="101"/>
      <c r="BA2390" s="101"/>
    </row>
    <row r="2391" spans="33:53">
      <c r="AG2391" s="101"/>
      <c r="AH2391" s="101"/>
      <c r="AI2391" s="101"/>
      <c r="AJ2391" s="101"/>
      <c r="AK2391" s="101"/>
      <c r="AL2391" s="104"/>
      <c r="AM2391" s="195"/>
      <c r="AT2391" s="101"/>
      <c r="AU2391" s="101"/>
      <c r="AV2391" s="101"/>
      <c r="AW2391" s="101"/>
      <c r="AX2391" s="101"/>
      <c r="AY2391" s="101"/>
      <c r="AZ2391" s="101"/>
      <c r="BA2391" s="101"/>
    </row>
    <row r="2392" spans="33:53">
      <c r="AG2392" s="101"/>
      <c r="AH2392" s="101"/>
      <c r="AI2392" s="101"/>
      <c r="AJ2392" s="101"/>
      <c r="AK2392" s="101"/>
      <c r="AL2392" s="104"/>
      <c r="AM2392" s="195"/>
      <c r="AT2392" s="101"/>
      <c r="AU2392" s="101"/>
      <c r="AV2392" s="101"/>
      <c r="AW2392" s="101"/>
      <c r="AX2392" s="101"/>
      <c r="AY2392" s="101"/>
      <c r="AZ2392" s="101"/>
      <c r="BA2392" s="101"/>
    </row>
    <row r="2393" spans="33:53">
      <c r="AG2393" s="101"/>
      <c r="AH2393" s="101"/>
      <c r="AI2393" s="101"/>
      <c r="AJ2393" s="101"/>
      <c r="AK2393" s="101"/>
      <c r="AL2393" s="104"/>
      <c r="AM2393" s="195"/>
      <c r="AT2393" s="101"/>
      <c r="AU2393" s="101"/>
      <c r="AV2393" s="101"/>
      <c r="AW2393" s="101"/>
      <c r="AX2393" s="101"/>
      <c r="AY2393" s="101"/>
      <c r="AZ2393" s="101"/>
      <c r="BA2393" s="101"/>
    </row>
    <row r="2394" spans="33:53">
      <c r="AG2394" s="101"/>
      <c r="AH2394" s="101"/>
      <c r="AI2394" s="101"/>
      <c r="AJ2394" s="101"/>
      <c r="AK2394" s="101"/>
      <c r="AL2394" s="104"/>
      <c r="AM2394" s="195"/>
      <c r="AT2394" s="101"/>
      <c r="AU2394" s="101"/>
      <c r="AV2394" s="101"/>
      <c r="AW2394" s="101"/>
      <c r="AX2394" s="101"/>
      <c r="AY2394" s="101"/>
      <c r="AZ2394" s="101"/>
      <c r="BA2394" s="101"/>
    </row>
    <row r="2395" spans="33:53">
      <c r="AG2395" s="101"/>
      <c r="AH2395" s="101"/>
      <c r="AI2395" s="101"/>
      <c r="AJ2395" s="101"/>
      <c r="AK2395" s="101"/>
      <c r="AL2395" s="104"/>
      <c r="AM2395" s="195"/>
      <c r="AT2395" s="101"/>
      <c r="AU2395" s="101"/>
      <c r="AV2395" s="101"/>
      <c r="AW2395" s="101"/>
      <c r="AX2395" s="101"/>
      <c r="AY2395" s="101"/>
      <c r="AZ2395" s="101"/>
      <c r="BA2395" s="101"/>
    </row>
    <row r="2396" spans="33:53">
      <c r="AG2396" s="101"/>
      <c r="AH2396" s="101"/>
      <c r="AI2396" s="101"/>
      <c r="AJ2396" s="101"/>
      <c r="AK2396" s="101"/>
      <c r="AL2396" s="104"/>
      <c r="AM2396" s="195"/>
      <c r="AT2396" s="101"/>
      <c r="AU2396" s="101"/>
      <c r="AV2396" s="101"/>
      <c r="AW2396" s="101"/>
      <c r="AX2396" s="101"/>
      <c r="AY2396" s="101"/>
      <c r="AZ2396" s="101"/>
      <c r="BA2396" s="101"/>
    </row>
    <row r="2397" spans="33:53">
      <c r="AG2397" s="101"/>
      <c r="AH2397" s="101"/>
      <c r="AI2397" s="101"/>
      <c r="AJ2397" s="101"/>
      <c r="AK2397" s="101"/>
      <c r="AL2397" s="104"/>
      <c r="AM2397" s="195"/>
      <c r="AT2397" s="101"/>
      <c r="AU2397" s="101"/>
      <c r="AV2397" s="101"/>
      <c r="AW2397" s="101"/>
      <c r="AX2397" s="101"/>
      <c r="AY2397" s="101"/>
      <c r="AZ2397" s="101"/>
      <c r="BA2397" s="101"/>
    </row>
    <row r="2398" spans="33:53">
      <c r="AG2398" s="101"/>
      <c r="AH2398" s="101"/>
      <c r="AI2398" s="101"/>
      <c r="AJ2398" s="101"/>
      <c r="AK2398" s="101"/>
      <c r="AL2398" s="104"/>
      <c r="AM2398" s="195"/>
      <c r="AT2398" s="101"/>
      <c r="AU2398" s="101"/>
      <c r="AV2398" s="101"/>
      <c r="AW2398" s="101"/>
      <c r="AX2398" s="101"/>
      <c r="AY2398" s="101"/>
      <c r="AZ2398" s="101"/>
      <c r="BA2398" s="101"/>
    </row>
    <row r="2399" spans="33:53">
      <c r="AG2399" s="101"/>
      <c r="AH2399" s="101"/>
      <c r="AI2399" s="101"/>
      <c r="AJ2399" s="101"/>
      <c r="AK2399" s="101"/>
      <c r="AL2399" s="104"/>
      <c r="AM2399" s="195"/>
      <c r="AT2399" s="101"/>
      <c r="AU2399" s="101"/>
      <c r="AV2399" s="101"/>
      <c r="AW2399" s="101"/>
      <c r="AX2399" s="101"/>
      <c r="AY2399" s="101"/>
      <c r="AZ2399" s="101"/>
      <c r="BA2399" s="101"/>
    </row>
    <row r="2400" spans="33:53">
      <c r="AG2400" s="101"/>
      <c r="AH2400" s="101"/>
      <c r="AI2400" s="101"/>
      <c r="AJ2400" s="101"/>
      <c r="AK2400" s="101"/>
      <c r="AL2400" s="104"/>
      <c r="AM2400" s="195"/>
      <c r="AT2400" s="101"/>
      <c r="AU2400" s="101"/>
      <c r="AV2400" s="101"/>
      <c r="AW2400" s="101"/>
      <c r="AX2400" s="101"/>
      <c r="AY2400" s="101"/>
      <c r="AZ2400" s="101"/>
      <c r="BA2400" s="101"/>
    </row>
    <row r="2401" spans="33:53">
      <c r="AG2401" s="101"/>
      <c r="AH2401" s="101"/>
      <c r="AI2401" s="101"/>
      <c r="AJ2401" s="101"/>
      <c r="AK2401" s="101"/>
      <c r="AL2401" s="104"/>
      <c r="AM2401" s="195"/>
      <c r="AT2401" s="101"/>
      <c r="AU2401" s="101"/>
      <c r="AV2401" s="101"/>
      <c r="AW2401" s="101"/>
      <c r="AX2401" s="101"/>
      <c r="AY2401" s="101"/>
      <c r="AZ2401" s="101"/>
      <c r="BA2401" s="101"/>
    </row>
    <row r="2402" spans="33:53">
      <c r="AG2402" s="101"/>
      <c r="AH2402" s="101"/>
      <c r="AI2402" s="101"/>
      <c r="AJ2402" s="101"/>
      <c r="AK2402" s="101"/>
      <c r="AL2402" s="104"/>
      <c r="AM2402" s="195"/>
      <c r="AT2402" s="101"/>
      <c r="AU2402" s="101"/>
      <c r="AV2402" s="101"/>
      <c r="AW2402" s="101"/>
      <c r="AX2402" s="101"/>
      <c r="AY2402" s="101"/>
      <c r="AZ2402" s="101"/>
      <c r="BA2402" s="101"/>
    </row>
    <row r="2403" spans="33:53">
      <c r="AG2403" s="101"/>
      <c r="AH2403" s="101"/>
      <c r="AI2403" s="101"/>
      <c r="AJ2403" s="101"/>
      <c r="AK2403" s="101"/>
      <c r="AL2403" s="104"/>
      <c r="AM2403" s="195"/>
      <c r="AT2403" s="101"/>
      <c r="AU2403" s="101"/>
      <c r="AV2403" s="101"/>
      <c r="AW2403" s="101"/>
      <c r="AX2403" s="101"/>
      <c r="AY2403" s="101"/>
      <c r="AZ2403" s="101"/>
      <c r="BA2403" s="101"/>
    </row>
    <row r="2404" spans="33:53">
      <c r="AG2404" s="101"/>
      <c r="AH2404" s="101"/>
      <c r="AI2404" s="101"/>
      <c r="AJ2404" s="101"/>
      <c r="AK2404" s="101"/>
      <c r="AL2404" s="104"/>
      <c r="AM2404" s="195"/>
      <c r="AT2404" s="101"/>
      <c r="AU2404" s="101"/>
      <c r="AV2404" s="101"/>
      <c r="AW2404" s="101"/>
      <c r="AX2404" s="101"/>
      <c r="AY2404" s="101"/>
      <c r="AZ2404" s="101"/>
      <c r="BA2404" s="101"/>
    </row>
    <row r="2405" spans="33:53">
      <c r="AG2405" s="101"/>
      <c r="AH2405" s="101"/>
      <c r="AI2405" s="101"/>
      <c r="AJ2405" s="101"/>
      <c r="AK2405" s="101"/>
      <c r="AL2405" s="104"/>
      <c r="AM2405" s="195"/>
      <c r="AT2405" s="101"/>
      <c r="AU2405" s="101"/>
      <c r="AV2405" s="101"/>
      <c r="AW2405" s="101"/>
      <c r="AX2405" s="101"/>
      <c r="AY2405" s="101"/>
      <c r="AZ2405" s="101"/>
      <c r="BA2405" s="101"/>
    </row>
    <row r="2406" spans="33:53">
      <c r="AG2406" s="101"/>
      <c r="AH2406" s="101"/>
      <c r="AI2406" s="101"/>
      <c r="AJ2406" s="101"/>
      <c r="AK2406" s="101"/>
      <c r="AL2406" s="104"/>
      <c r="AM2406" s="195"/>
      <c r="AT2406" s="101"/>
      <c r="AU2406" s="101"/>
      <c r="AV2406" s="101"/>
      <c r="AW2406" s="101"/>
      <c r="AX2406" s="101"/>
      <c r="AY2406" s="101"/>
      <c r="AZ2406" s="101"/>
      <c r="BA2406" s="101"/>
    </row>
    <row r="2407" spans="33:53">
      <c r="AG2407" s="101"/>
      <c r="AH2407" s="101"/>
      <c r="AI2407" s="101"/>
      <c r="AJ2407" s="101"/>
      <c r="AK2407" s="101"/>
      <c r="AL2407" s="104"/>
      <c r="AM2407" s="195"/>
      <c r="AT2407" s="101"/>
      <c r="AU2407" s="101"/>
      <c r="AV2407" s="101"/>
      <c r="AW2407" s="101"/>
      <c r="AX2407" s="101"/>
      <c r="AY2407" s="101"/>
      <c r="AZ2407" s="101"/>
      <c r="BA2407" s="101"/>
    </row>
    <row r="2408" spans="33:53">
      <c r="AG2408" s="101"/>
      <c r="AH2408" s="101"/>
      <c r="AI2408" s="101"/>
      <c r="AJ2408" s="101"/>
      <c r="AK2408" s="101"/>
      <c r="AL2408" s="104"/>
      <c r="AM2408" s="195"/>
      <c r="AT2408" s="101"/>
      <c r="AU2408" s="101"/>
      <c r="AV2408" s="101"/>
      <c r="AW2408" s="101"/>
      <c r="AX2408" s="101"/>
      <c r="AY2408" s="101"/>
      <c r="AZ2408" s="101"/>
      <c r="BA2408" s="101"/>
    </row>
    <row r="2409" spans="33:53">
      <c r="AG2409" s="101"/>
      <c r="AH2409" s="101"/>
      <c r="AI2409" s="101"/>
      <c r="AJ2409" s="101"/>
      <c r="AK2409" s="101"/>
      <c r="AL2409" s="104"/>
      <c r="AM2409" s="195"/>
      <c r="AT2409" s="101"/>
      <c r="AU2409" s="101"/>
      <c r="AV2409" s="101"/>
      <c r="AW2409" s="101"/>
      <c r="AX2409" s="101"/>
      <c r="AY2409" s="101"/>
      <c r="AZ2409" s="101"/>
      <c r="BA2409" s="101"/>
    </row>
    <row r="2410" spans="33:53">
      <c r="AG2410" s="101"/>
      <c r="AH2410" s="101"/>
      <c r="AI2410" s="101"/>
      <c r="AJ2410" s="101"/>
      <c r="AK2410" s="101"/>
      <c r="AL2410" s="104"/>
      <c r="AM2410" s="195"/>
      <c r="AT2410" s="101"/>
      <c r="AU2410" s="101"/>
      <c r="AV2410" s="101"/>
      <c r="AW2410" s="101"/>
      <c r="AX2410" s="101"/>
      <c r="AY2410" s="101"/>
      <c r="AZ2410" s="101"/>
      <c r="BA2410" s="101"/>
    </row>
    <row r="2411" spans="33:53">
      <c r="AG2411" s="101"/>
      <c r="AH2411" s="101"/>
      <c r="AI2411" s="101"/>
      <c r="AJ2411" s="101"/>
      <c r="AK2411" s="101"/>
      <c r="AL2411" s="104"/>
      <c r="AM2411" s="195"/>
      <c r="AT2411" s="101"/>
      <c r="AU2411" s="101"/>
      <c r="AV2411" s="101"/>
      <c r="AW2411" s="101"/>
      <c r="AX2411" s="101"/>
      <c r="AY2411" s="101"/>
      <c r="AZ2411" s="101"/>
      <c r="BA2411" s="101"/>
    </row>
    <row r="2412" spans="33:53">
      <c r="AG2412" s="101"/>
      <c r="AH2412" s="101"/>
      <c r="AI2412" s="101"/>
      <c r="AJ2412" s="101"/>
      <c r="AK2412" s="101"/>
      <c r="AL2412" s="104"/>
      <c r="AM2412" s="195"/>
      <c r="AT2412" s="101"/>
      <c r="AU2412" s="101"/>
      <c r="AV2412" s="101"/>
      <c r="AW2412" s="101"/>
      <c r="AX2412" s="101"/>
      <c r="AY2412" s="101"/>
      <c r="AZ2412" s="101"/>
      <c r="BA2412" s="101"/>
    </row>
    <row r="2413" spans="33:53">
      <c r="AG2413" s="101"/>
      <c r="AH2413" s="101"/>
      <c r="AI2413" s="101"/>
      <c r="AJ2413" s="101"/>
      <c r="AK2413" s="101"/>
      <c r="AL2413" s="104"/>
      <c r="AM2413" s="195"/>
      <c r="AT2413" s="101"/>
      <c r="AU2413" s="101"/>
      <c r="AV2413" s="101"/>
      <c r="AW2413" s="101"/>
      <c r="AX2413" s="101"/>
      <c r="AY2413" s="101"/>
      <c r="AZ2413" s="101"/>
      <c r="BA2413" s="101"/>
    </row>
    <row r="2414" spans="33:53">
      <c r="AG2414" s="101"/>
      <c r="AH2414" s="101"/>
      <c r="AI2414" s="101"/>
      <c r="AJ2414" s="101"/>
      <c r="AK2414" s="101"/>
      <c r="AL2414" s="104"/>
      <c r="AM2414" s="195"/>
      <c r="AT2414" s="101"/>
      <c r="AU2414" s="101"/>
      <c r="AV2414" s="101"/>
      <c r="AW2414" s="101"/>
      <c r="AX2414" s="101"/>
      <c r="AY2414" s="101"/>
      <c r="AZ2414" s="101"/>
      <c r="BA2414" s="101"/>
    </row>
    <row r="2415" spans="33:53">
      <c r="AG2415" s="101"/>
      <c r="AH2415" s="101"/>
      <c r="AI2415" s="101"/>
      <c r="AJ2415" s="101"/>
      <c r="AK2415" s="101"/>
      <c r="AL2415" s="104"/>
      <c r="AM2415" s="195"/>
      <c r="AT2415" s="101"/>
      <c r="AU2415" s="101"/>
      <c r="AV2415" s="101"/>
      <c r="AW2415" s="101"/>
      <c r="AX2415" s="101"/>
      <c r="AY2415" s="101"/>
      <c r="AZ2415" s="101"/>
      <c r="BA2415" s="101"/>
    </row>
    <row r="2416" spans="33:53">
      <c r="AG2416" s="101"/>
      <c r="AH2416" s="101"/>
      <c r="AI2416" s="101"/>
      <c r="AJ2416" s="101"/>
      <c r="AK2416" s="101"/>
      <c r="AL2416" s="104"/>
      <c r="AM2416" s="195"/>
      <c r="AT2416" s="101"/>
      <c r="AU2416" s="101"/>
      <c r="AV2416" s="101"/>
      <c r="AW2416" s="101"/>
      <c r="AX2416" s="101"/>
      <c r="AY2416" s="101"/>
      <c r="AZ2416" s="101"/>
      <c r="BA2416" s="101"/>
    </row>
    <row r="2417" spans="33:53">
      <c r="AG2417" s="101"/>
      <c r="AH2417" s="101"/>
      <c r="AI2417" s="101"/>
      <c r="AJ2417" s="101"/>
      <c r="AK2417" s="101"/>
      <c r="AL2417" s="104"/>
      <c r="AM2417" s="195"/>
      <c r="AT2417" s="101"/>
      <c r="AU2417" s="101"/>
      <c r="AV2417" s="101"/>
      <c r="AW2417" s="101"/>
      <c r="AX2417" s="101"/>
      <c r="AY2417" s="101"/>
      <c r="AZ2417" s="101"/>
      <c r="BA2417" s="101"/>
    </row>
    <row r="2418" spans="33:53">
      <c r="AG2418" s="101"/>
      <c r="AH2418" s="101"/>
      <c r="AI2418" s="101"/>
      <c r="AJ2418" s="101"/>
      <c r="AK2418" s="101"/>
      <c r="AL2418" s="104"/>
      <c r="AM2418" s="195"/>
      <c r="AT2418" s="101"/>
      <c r="AU2418" s="101"/>
      <c r="AV2418" s="101"/>
      <c r="AW2418" s="101"/>
      <c r="AX2418" s="101"/>
      <c r="AY2418" s="101"/>
      <c r="AZ2418" s="101"/>
      <c r="BA2418" s="101"/>
    </row>
    <row r="2419" spans="33:53">
      <c r="AG2419" s="101"/>
      <c r="AH2419" s="101"/>
      <c r="AI2419" s="101"/>
      <c r="AJ2419" s="101"/>
      <c r="AK2419" s="101"/>
      <c r="AL2419" s="104"/>
      <c r="AM2419" s="195"/>
      <c r="AT2419" s="101"/>
      <c r="AU2419" s="101"/>
      <c r="AV2419" s="101"/>
      <c r="AW2419" s="101"/>
      <c r="AX2419" s="101"/>
      <c r="AY2419" s="101"/>
      <c r="AZ2419" s="101"/>
      <c r="BA2419" s="101"/>
    </row>
    <row r="2420" spans="33:53">
      <c r="AG2420" s="101"/>
      <c r="AH2420" s="101"/>
      <c r="AI2420" s="101"/>
      <c r="AJ2420" s="101"/>
      <c r="AK2420" s="101"/>
      <c r="AL2420" s="104"/>
      <c r="AM2420" s="195"/>
      <c r="AT2420" s="101"/>
      <c r="AU2420" s="101"/>
      <c r="AV2420" s="101"/>
      <c r="AW2420" s="101"/>
      <c r="AX2420" s="101"/>
      <c r="AY2420" s="101"/>
      <c r="AZ2420" s="101"/>
      <c r="BA2420" s="101"/>
    </row>
    <row r="2421" spans="33:53">
      <c r="AG2421" s="101"/>
      <c r="AH2421" s="101"/>
      <c r="AI2421" s="101"/>
      <c r="AJ2421" s="101"/>
      <c r="AK2421" s="101"/>
      <c r="AL2421" s="104"/>
      <c r="AM2421" s="195"/>
      <c r="AT2421" s="101"/>
      <c r="AU2421" s="101"/>
      <c r="AV2421" s="101"/>
      <c r="AW2421" s="101"/>
      <c r="AX2421" s="101"/>
      <c r="AY2421" s="101"/>
      <c r="AZ2421" s="101"/>
      <c r="BA2421" s="101"/>
    </row>
    <row r="2422" spans="33:53">
      <c r="AG2422" s="101"/>
      <c r="AH2422" s="101"/>
      <c r="AI2422" s="101"/>
      <c r="AJ2422" s="101"/>
      <c r="AK2422" s="101"/>
      <c r="AL2422" s="104"/>
      <c r="AM2422" s="195"/>
      <c r="AT2422" s="101"/>
      <c r="AU2422" s="101"/>
      <c r="AV2422" s="101"/>
      <c r="AW2422" s="101"/>
      <c r="AX2422" s="101"/>
      <c r="AY2422" s="101"/>
      <c r="AZ2422" s="101"/>
      <c r="BA2422" s="101"/>
    </row>
    <row r="2423" spans="33:53">
      <c r="AG2423" s="101"/>
      <c r="AH2423" s="101"/>
      <c r="AI2423" s="101"/>
      <c r="AJ2423" s="101"/>
      <c r="AK2423" s="101"/>
      <c r="AL2423" s="104"/>
      <c r="AM2423" s="195"/>
      <c r="AT2423" s="101"/>
      <c r="AU2423" s="101"/>
      <c r="AV2423" s="101"/>
      <c r="AW2423" s="101"/>
      <c r="AX2423" s="101"/>
      <c r="AY2423" s="101"/>
      <c r="AZ2423" s="101"/>
      <c r="BA2423" s="101"/>
    </row>
    <row r="2424" spans="33:53">
      <c r="AG2424" s="101"/>
      <c r="AH2424" s="101"/>
      <c r="AI2424" s="101"/>
      <c r="AJ2424" s="101"/>
      <c r="AK2424" s="101"/>
      <c r="AL2424" s="104"/>
      <c r="AM2424" s="195"/>
      <c r="AT2424" s="101"/>
      <c r="AU2424" s="101"/>
      <c r="AV2424" s="101"/>
      <c r="AW2424" s="101"/>
      <c r="AX2424" s="101"/>
      <c r="AY2424" s="101"/>
      <c r="AZ2424" s="101"/>
      <c r="BA2424" s="101"/>
    </row>
    <row r="2425" spans="33:53">
      <c r="AG2425" s="101"/>
      <c r="AH2425" s="101"/>
      <c r="AI2425" s="101"/>
      <c r="AJ2425" s="101"/>
      <c r="AK2425" s="101"/>
      <c r="AL2425" s="104"/>
      <c r="AM2425" s="195"/>
      <c r="AT2425" s="101"/>
      <c r="AU2425" s="101"/>
      <c r="AV2425" s="101"/>
      <c r="AW2425" s="101"/>
      <c r="AX2425" s="101"/>
      <c r="AY2425" s="101"/>
      <c r="AZ2425" s="101"/>
      <c r="BA2425" s="101"/>
    </row>
    <row r="2426" spans="33:53">
      <c r="AG2426" s="101"/>
      <c r="AH2426" s="101"/>
      <c r="AI2426" s="101"/>
      <c r="AJ2426" s="101"/>
      <c r="AK2426" s="101"/>
      <c r="AL2426" s="104"/>
      <c r="AM2426" s="195"/>
      <c r="AT2426" s="101"/>
      <c r="AU2426" s="101"/>
      <c r="AV2426" s="101"/>
      <c r="AW2426" s="101"/>
      <c r="AX2426" s="101"/>
      <c r="AY2426" s="101"/>
      <c r="AZ2426" s="101"/>
      <c r="BA2426" s="101"/>
    </row>
    <row r="2427" spans="33:53">
      <c r="AG2427" s="101"/>
      <c r="AH2427" s="101"/>
      <c r="AI2427" s="101"/>
      <c r="AJ2427" s="101"/>
      <c r="AK2427" s="101"/>
      <c r="AL2427" s="104"/>
      <c r="AM2427" s="195"/>
      <c r="AT2427" s="101"/>
      <c r="AU2427" s="101"/>
      <c r="AV2427" s="101"/>
      <c r="AW2427" s="101"/>
      <c r="AX2427" s="101"/>
      <c r="AY2427" s="101"/>
      <c r="AZ2427" s="101"/>
      <c r="BA2427" s="101"/>
    </row>
    <row r="2428" spans="33:53">
      <c r="AG2428" s="101"/>
      <c r="AH2428" s="101"/>
      <c r="AI2428" s="101"/>
      <c r="AJ2428" s="101"/>
      <c r="AK2428" s="101"/>
      <c r="AL2428" s="104"/>
      <c r="AM2428" s="195"/>
      <c r="AT2428" s="101"/>
      <c r="AU2428" s="101"/>
      <c r="AV2428" s="101"/>
      <c r="AW2428" s="101"/>
      <c r="AX2428" s="101"/>
      <c r="AY2428" s="101"/>
      <c r="AZ2428" s="101"/>
      <c r="BA2428" s="101"/>
    </row>
    <row r="2429" spans="33:53">
      <c r="AG2429" s="101"/>
      <c r="AH2429" s="101"/>
      <c r="AI2429" s="101"/>
      <c r="AJ2429" s="101"/>
      <c r="AK2429" s="101"/>
      <c r="AL2429" s="104"/>
      <c r="AM2429" s="195"/>
      <c r="AT2429" s="101"/>
      <c r="AU2429" s="101"/>
      <c r="AV2429" s="101"/>
      <c r="AW2429" s="101"/>
      <c r="AX2429" s="101"/>
      <c r="AY2429" s="101"/>
      <c r="AZ2429" s="101"/>
      <c r="BA2429" s="101"/>
    </row>
    <row r="2430" spans="33:53">
      <c r="AG2430" s="101"/>
      <c r="AH2430" s="101"/>
      <c r="AI2430" s="101"/>
      <c r="AJ2430" s="101"/>
      <c r="AK2430" s="101"/>
      <c r="AL2430" s="104"/>
      <c r="AM2430" s="195"/>
      <c r="AT2430" s="101"/>
      <c r="AU2430" s="101"/>
      <c r="AV2430" s="101"/>
      <c r="AW2430" s="101"/>
      <c r="AX2430" s="101"/>
      <c r="AY2430" s="101"/>
      <c r="AZ2430" s="101"/>
      <c r="BA2430" s="101"/>
    </row>
    <row r="2431" spans="33:53">
      <c r="AG2431" s="101"/>
      <c r="AH2431" s="101"/>
      <c r="AI2431" s="101"/>
      <c r="AJ2431" s="101"/>
      <c r="AK2431" s="101"/>
      <c r="AL2431" s="104"/>
      <c r="AM2431" s="195"/>
      <c r="AT2431" s="101"/>
      <c r="AU2431" s="101"/>
      <c r="AV2431" s="101"/>
      <c r="AW2431" s="101"/>
      <c r="AX2431" s="101"/>
      <c r="AY2431" s="101"/>
      <c r="AZ2431" s="101"/>
      <c r="BA2431" s="101"/>
    </row>
    <row r="2432" spans="33:53">
      <c r="AG2432" s="101"/>
      <c r="AH2432" s="101"/>
      <c r="AI2432" s="101"/>
      <c r="AJ2432" s="101"/>
      <c r="AK2432" s="101"/>
      <c r="AL2432" s="104"/>
      <c r="AM2432" s="195"/>
      <c r="AT2432" s="101"/>
      <c r="AU2432" s="101"/>
      <c r="AV2432" s="101"/>
      <c r="AW2432" s="101"/>
      <c r="AX2432" s="101"/>
      <c r="AY2432" s="101"/>
      <c r="AZ2432" s="101"/>
      <c r="BA2432" s="101"/>
    </row>
    <row r="2433" spans="33:53">
      <c r="AG2433" s="101"/>
      <c r="AH2433" s="101"/>
      <c r="AI2433" s="101"/>
      <c r="AJ2433" s="101"/>
      <c r="AK2433" s="101"/>
      <c r="AL2433" s="104"/>
      <c r="AM2433" s="195"/>
      <c r="AT2433" s="101"/>
      <c r="AU2433" s="101"/>
      <c r="AV2433" s="101"/>
      <c r="AW2433" s="101"/>
      <c r="AX2433" s="101"/>
      <c r="AY2433" s="101"/>
      <c r="AZ2433" s="101"/>
      <c r="BA2433" s="101"/>
    </row>
    <row r="2434" spans="33:53">
      <c r="AG2434" s="101"/>
      <c r="AH2434" s="101"/>
      <c r="AI2434" s="101"/>
      <c r="AJ2434" s="101"/>
      <c r="AK2434" s="101"/>
      <c r="AL2434" s="104"/>
      <c r="AM2434" s="195"/>
      <c r="AT2434" s="101"/>
      <c r="AU2434" s="101"/>
      <c r="AV2434" s="101"/>
      <c r="AW2434" s="101"/>
      <c r="AX2434" s="101"/>
      <c r="AY2434" s="101"/>
      <c r="AZ2434" s="101"/>
      <c r="BA2434" s="101"/>
    </row>
    <row r="2435" spans="33:53">
      <c r="AG2435" s="101"/>
      <c r="AH2435" s="101"/>
      <c r="AI2435" s="101"/>
      <c r="AJ2435" s="101"/>
      <c r="AK2435" s="101"/>
      <c r="AL2435" s="104"/>
      <c r="AM2435" s="195"/>
      <c r="AT2435" s="101"/>
      <c r="AU2435" s="101"/>
      <c r="AV2435" s="101"/>
      <c r="AW2435" s="101"/>
      <c r="AX2435" s="101"/>
      <c r="AY2435" s="101"/>
      <c r="AZ2435" s="101"/>
      <c r="BA2435" s="101"/>
    </row>
    <row r="2436" spans="33:53">
      <c r="AG2436" s="101"/>
      <c r="AH2436" s="101"/>
      <c r="AI2436" s="101"/>
      <c r="AJ2436" s="101"/>
      <c r="AK2436" s="101"/>
      <c r="AL2436" s="104"/>
      <c r="AM2436" s="195"/>
      <c r="AT2436" s="101"/>
      <c r="AU2436" s="101"/>
      <c r="AV2436" s="101"/>
      <c r="AW2436" s="101"/>
      <c r="AX2436" s="101"/>
      <c r="AY2436" s="101"/>
      <c r="AZ2436" s="101"/>
      <c r="BA2436" s="101"/>
    </row>
    <row r="2437" spans="33:53">
      <c r="AG2437" s="101"/>
      <c r="AH2437" s="101"/>
      <c r="AI2437" s="101"/>
      <c r="AJ2437" s="101"/>
      <c r="AK2437" s="101"/>
      <c r="AL2437" s="104"/>
      <c r="AM2437" s="195"/>
      <c r="AT2437" s="101"/>
      <c r="AU2437" s="101"/>
      <c r="AV2437" s="101"/>
      <c r="AW2437" s="101"/>
      <c r="AX2437" s="101"/>
      <c r="AY2437" s="101"/>
      <c r="AZ2437" s="101"/>
      <c r="BA2437" s="101"/>
    </row>
    <row r="2438" spans="33:53">
      <c r="AG2438" s="101"/>
      <c r="AH2438" s="101"/>
      <c r="AI2438" s="101"/>
      <c r="AJ2438" s="101"/>
      <c r="AK2438" s="101"/>
      <c r="AL2438" s="104"/>
      <c r="AM2438" s="195"/>
      <c r="AT2438" s="101"/>
      <c r="AU2438" s="101"/>
      <c r="AV2438" s="101"/>
      <c r="AW2438" s="101"/>
      <c r="AX2438" s="101"/>
      <c r="AY2438" s="101"/>
      <c r="AZ2438" s="101"/>
      <c r="BA2438" s="101"/>
    </row>
    <row r="2439" spans="33:53">
      <c r="AG2439" s="101"/>
      <c r="AH2439" s="101"/>
      <c r="AI2439" s="101"/>
      <c r="AJ2439" s="101"/>
      <c r="AK2439" s="101"/>
      <c r="AL2439" s="104"/>
      <c r="AM2439" s="195"/>
      <c r="AT2439" s="101"/>
      <c r="AU2439" s="101"/>
      <c r="AV2439" s="101"/>
      <c r="AW2439" s="101"/>
      <c r="AX2439" s="101"/>
      <c r="AY2439" s="101"/>
      <c r="AZ2439" s="101"/>
      <c r="BA2439" s="101"/>
    </row>
    <row r="2440" spans="33:53">
      <c r="AG2440" s="101"/>
      <c r="AH2440" s="101"/>
      <c r="AI2440" s="101"/>
      <c r="AJ2440" s="101"/>
      <c r="AK2440" s="101"/>
      <c r="AL2440" s="104"/>
      <c r="AM2440" s="195"/>
      <c r="AT2440" s="101"/>
      <c r="AU2440" s="101"/>
      <c r="AV2440" s="101"/>
      <c r="AW2440" s="101"/>
      <c r="AX2440" s="101"/>
      <c r="AY2440" s="101"/>
      <c r="AZ2440" s="101"/>
      <c r="BA2440" s="101"/>
    </row>
    <row r="2441" spans="33:53">
      <c r="AG2441" s="101"/>
      <c r="AH2441" s="101"/>
      <c r="AI2441" s="101"/>
      <c r="AJ2441" s="101"/>
      <c r="AK2441" s="101"/>
      <c r="AL2441" s="104"/>
      <c r="AM2441" s="195"/>
      <c r="AT2441" s="101"/>
      <c r="AU2441" s="101"/>
      <c r="AV2441" s="101"/>
      <c r="AW2441" s="101"/>
      <c r="AX2441" s="101"/>
      <c r="AY2441" s="101"/>
      <c r="AZ2441" s="101"/>
      <c r="BA2441" s="101"/>
    </row>
    <row r="2442" spans="33:53">
      <c r="AG2442" s="101"/>
      <c r="AH2442" s="101"/>
      <c r="AI2442" s="101"/>
      <c r="AJ2442" s="101"/>
      <c r="AK2442" s="101"/>
      <c r="AL2442" s="104"/>
      <c r="AM2442" s="195"/>
      <c r="AT2442" s="101"/>
      <c r="AU2442" s="101"/>
      <c r="AV2442" s="101"/>
      <c r="AW2442" s="101"/>
      <c r="AX2442" s="101"/>
      <c r="AY2442" s="101"/>
      <c r="AZ2442" s="101"/>
      <c r="BA2442" s="101"/>
    </row>
    <row r="2443" spans="33:53">
      <c r="AG2443" s="101"/>
      <c r="AH2443" s="101"/>
      <c r="AI2443" s="101"/>
      <c r="AJ2443" s="101"/>
      <c r="AK2443" s="101"/>
      <c r="AL2443" s="104"/>
      <c r="AM2443" s="195"/>
      <c r="AT2443" s="101"/>
      <c r="AU2443" s="101"/>
      <c r="AV2443" s="101"/>
      <c r="AW2443" s="101"/>
      <c r="AX2443" s="101"/>
      <c r="AY2443" s="101"/>
      <c r="AZ2443" s="101"/>
      <c r="BA2443" s="101"/>
    </row>
    <row r="2444" spans="33:53">
      <c r="AG2444" s="101"/>
      <c r="AH2444" s="101"/>
      <c r="AI2444" s="101"/>
      <c r="AJ2444" s="101"/>
      <c r="AK2444" s="101"/>
      <c r="AL2444" s="104"/>
      <c r="AM2444" s="195"/>
      <c r="AT2444" s="101"/>
      <c r="AU2444" s="101"/>
      <c r="AV2444" s="101"/>
      <c r="AW2444" s="101"/>
      <c r="AX2444" s="101"/>
      <c r="AY2444" s="101"/>
      <c r="AZ2444" s="101"/>
      <c r="BA2444" s="101"/>
    </row>
    <row r="2445" spans="33:53">
      <c r="AG2445" s="101"/>
      <c r="AH2445" s="101"/>
      <c r="AI2445" s="101"/>
      <c r="AJ2445" s="101"/>
      <c r="AK2445" s="101"/>
      <c r="AL2445" s="104"/>
      <c r="AM2445" s="195"/>
      <c r="AT2445" s="101"/>
      <c r="AU2445" s="101"/>
      <c r="AV2445" s="101"/>
      <c r="AW2445" s="101"/>
      <c r="AX2445" s="101"/>
      <c r="AY2445" s="101"/>
      <c r="AZ2445" s="101"/>
      <c r="BA2445" s="101"/>
    </row>
    <row r="2446" spans="33:53">
      <c r="AG2446" s="101"/>
      <c r="AH2446" s="101"/>
      <c r="AI2446" s="101"/>
      <c r="AJ2446" s="101"/>
      <c r="AK2446" s="101"/>
      <c r="AL2446" s="104"/>
      <c r="AM2446" s="195"/>
      <c r="AT2446" s="101"/>
      <c r="AU2446" s="101"/>
      <c r="AV2446" s="101"/>
      <c r="AW2446" s="101"/>
      <c r="AX2446" s="101"/>
      <c r="AY2446" s="101"/>
      <c r="AZ2446" s="101"/>
      <c r="BA2446" s="101"/>
    </row>
    <row r="2447" spans="33:53">
      <c r="AG2447" s="101"/>
      <c r="AH2447" s="101"/>
      <c r="AI2447" s="101"/>
      <c r="AJ2447" s="101"/>
      <c r="AK2447" s="101"/>
      <c r="AL2447" s="104"/>
      <c r="AM2447" s="195"/>
      <c r="AT2447" s="101"/>
      <c r="AU2447" s="101"/>
      <c r="AV2447" s="101"/>
      <c r="AW2447" s="101"/>
      <c r="AX2447" s="101"/>
      <c r="AY2447" s="101"/>
      <c r="AZ2447" s="101"/>
      <c r="BA2447" s="101"/>
    </row>
    <row r="2448" spans="33:53">
      <c r="AG2448" s="101"/>
      <c r="AH2448" s="101"/>
      <c r="AI2448" s="101"/>
      <c r="AJ2448" s="101"/>
      <c r="AK2448" s="101"/>
      <c r="AL2448" s="104"/>
      <c r="AM2448" s="195"/>
      <c r="AT2448" s="101"/>
      <c r="AU2448" s="101"/>
      <c r="AV2448" s="101"/>
      <c r="AW2448" s="101"/>
      <c r="AX2448" s="101"/>
      <c r="AY2448" s="101"/>
      <c r="AZ2448" s="101"/>
      <c r="BA2448" s="101"/>
    </row>
    <row r="2449" spans="33:53">
      <c r="AG2449" s="101"/>
      <c r="AH2449" s="101"/>
      <c r="AI2449" s="101"/>
      <c r="AJ2449" s="101"/>
      <c r="AK2449" s="101"/>
      <c r="AL2449" s="104"/>
      <c r="AM2449" s="195"/>
      <c r="AT2449" s="101"/>
      <c r="AU2449" s="101"/>
      <c r="AV2449" s="101"/>
      <c r="AW2449" s="101"/>
      <c r="AX2449" s="101"/>
      <c r="AY2449" s="101"/>
      <c r="AZ2449" s="101"/>
      <c r="BA2449" s="101"/>
    </row>
    <row r="2450" spans="33:53">
      <c r="AG2450" s="101"/>
      <c r="AH2450" s="101"/>
      <c r="AI2450" s="101"/>
      <c r="AJ2450" s="101"/>
      <c r="AK2450" s="101"/>
      <c r="AL2450" s="104"/>
      <c r="AM2450" s="195"/>
      <c r="AT2450" s="101"/>
      <c r="AU2450" s="101"/>
      <c r="AV2450" s="101"/>
      <c r="AW2450" s="101"/>
      <c r="AX2450" s="101"/>
      <c r="AY2450" s="101"/>
      <c r="AZ2450" s="101"/>
      <c r="BA2450" s="101"/>
    </row>
    <row r="2451" spans="33:53">
      <c r="AG2451" s="101"/>
      <c r="AH2451" s="101"/>
      <c r="AI2451" s="101"/>
      <c r="AJ2451" s="101"/>
      <c r="AK2451" s="101"/>
      <c r="AL2451" s="104"/>
      <c r="AM2451" s="195"/>
      <c r="AT2451" s="101"/>
      <c r="AU2451" s="101"/>
      <c r="AV2451" s="101"/>
      <c r="AW2451" s="101"/>
      <c r="AX2451" s="101"/>
      <c r="AY2451" s="101"/>
      <c r="AZ2451" s="101"/>
      <c r="BA2451" s="101"/>
    </row>
    <row r="2452" spans="33:53">
      <c r="AG2452" s="101"/>
      <c r="AH2452" s="101"/>
      <c r="AI2452" s="101"/>
      <c r="AJ2452" s="101"/>
      <c r="AK2452" s="101"/>
      <c r="AL2452" s="104"/>
      <c r="AM2452" s="195"/>
      <c r="AT2452" s="101"/>
      <c r="AU2452" s="101"/>
      <c r="AV2452" s="101"/>
      <c r="AW2452" s="101"/>
      <c r="AX2452" s="101"/>
      <c r="AY2452" s="101"/>
      <c r="AZ2452" s="101"/>
      <c r="BA2452" s="101"/>
    </row>
    <row r="2453" spans="33:53">
      <c r="AG2453" s="101"/>
      <c r="AH2453" s="101"/>
      <c r="AI2453" s="101"/>
      <c r="AJ2453" s="101"/>
      <c r="AK2453" s="101"/>
      <c r="AL2453" s="104"/>
      <c r="AM2453" s="195"/>
      <c r="AT2453" s="101"/>
      <c r="AU2453" s="101"/>
      <c r="AV2453" s="101"/>
      <c r="AW2453" s="101"/>
      <c r="AX2453" s="101"/>
      <c r="AY2453" s="101"/>
      <c r="AZ2453" s="101"/>
      <c r="BA2453" s="101"/>
    </row>
    <row r="2454" spans="33:53">
      <c r="AG2454" s="101"/>
      <c r="AH2454" s="101"/>
      <c r="AI2454" s="101"/>
      <c r="AJ2454" s="101"/>
      <c r="AK2454" s="101"/>
      <c r="AL2454" s="104"/>
      <c r="AM2454" s="195"/>
      <c r="AT2454" s="101"/>
      <c r="AU2454" s="101"/>
      <c r="AV2454" s="101"/>
      <c r="AW2454" s="101"/>
      <c r="AX2454" s="101"/>
      <c r="AY2454" s="101"/>
      <c r="AZ2454" s="101"/>
      <c r="BA2454" s="101"/>
    </row>
    <row r="2455" spans="33:53">
      <c r="AG2455" s="101"/>
      <c r="AH2455" s="101"/>
      <c r="AI2455" s="101"/>
      <c r="AJ2455" s="101"/>
      <c r="AK2455" s="101"/>
      <c r="AL2455" s="104"/>
      <c r="AM2455" s="195"/>
      <c r="AT2455" s="101"/>
      <c r="AU2455" s="101"/>
      <c r="AV2455" s="101"/>
      <c r="AW2455" s="101"/>
      <c r="AX2455" s="101"/>
      <c r="AY2455" s="101"/>
      <c r="AZ2455" s="101"/>
      <c r="BA2455" s="101"/>
    </row>
    <row r="2456" spans="33:53">
      <c r="AG2456" s="101"/>
      <c r="AH2456" s="101"/>
      <c r="AI2456" s="101"/>
      <c r="AJ2456" s="101"/>
      <c r="AK2456" s="101"/>
      <c r="AL2456" s="104"/>
      <c r="AM2456" s="195"/>
      <c r="AT2456" s="101"/>
      <c r="AU2456" s="101"/>
      <c r="AV2456" s="101"/>
      <c r="AW2456" s="101"/>
      <c r="AX2456" s="101"/>
      <c r="AY2456" s="101"/>
      <c r="AZ2456" s="101"/>
      <c r="BA2456" s="101"/>
    </row>
    <row r="2457" spans="33:53">
      <c r="AG2457" s="101"/>
      <c r="AH2457" s="101"/>
      <c r="AI2457" s="101"/>
      <c r="AJ2457" s="101"/>
      <c r="AK2457" s="101"/>
      <c r="AL2457" s="104"/>
      <c r="AM2457" s="195"/>
      <c r="AT2457" s="101"/>
      <c r="AU2457" s="101"/>
      <c r="AV2457" s="101"/>
      <c r="AW2457" s="101"/>
      <c r="AX2457" s="101"/>
      <c r="AY2457" s="101"/>
      <c r="AZ2457" s="101"/>
      <c r="BA2457" s="101"/>
    </row>
    <row r="2458" spans="33:53">
      <c r="AG2458" s="101"/>
      <c r="AH2458" s="101"/>
      <c r="AI2458" s="101"/>
      <c r="AJ2458" s="101"/>
      <c r="AK2458" s="101"/>
      <c r="AL2458" s="104"/>
      <c r="AM2458" s="195"/>
      <c r="AT2458" s="101"/>
      <c r="AU2458" s="101"/>
      <c r="AV2458" s="101"/>
      <c r="AW2458" s="101"/>
      <c r="AX2458" s="101"/>
      <c r="AY2458" s="101"/>
      <c r="AZ2458" s="101"/>
      <c r="BA2458" s="101"/>
    </row>
    <row r="2459" spans="33:53">
      <c r="AG2459" s="101"/>
      <c r="AH2459" s="101"/>
      <c r="AI2459" s="101"/>
      <c r="AJ2459" s="101"/>
      <c r="AK2459" s="101"/>
      <c r="AL2459" s="104"/>
      <c r="AM2459" s="195"/>
      <c r="AT2459" s="101"/>
      <c r="AU2459" s="101"/>
      <c r="AV2459" s="101"/>
      <c r="AW2459" s="101"/>
      <c r="AX2459" s="101"/>
      <c r="AY2459" s="101"/>
      <c r="AZ2459" s="101"/>
      <c r="BA2459" s="101"/>
    </row>
    <row r="2460" spans="33:53">
      <c r="AG2460" s="101"/>
      <c r="AH2460" s="101"/>
      <c r="AI2460" s="101"/>
      <c r="AJ2460" s="101"/>
      <c r="AK2460" s="101"/>
      <c r="AL2460" s="104"/>
      <c r="AM2460" s="195"/>
      <c r="AT2460" s="101"/>
      <c r="AU2460" s="101"/>
      <c r="AV2460" s="101"/>
      <c r="AW2460" s="101"/>
      <c r="AX2460" s="101"/>
      <c r="AY2460" s="101"/>
      <c r="AZ2460" s="101"/>
      <c r="BA2460" s="101"/>
    </row>
    <row r="2461" spans="33:53">
      <c r="AG2461" s="101"/>
      <c r="AH2461" s="101"/>
      <c r="AI2461" s="101"/>
      <c r="AJ2461" s="101"/>
      <c r="AK2461" s="101"/>
      <c r="AL2461" s="104"/>
      <c r="AM2461" s="195"/>
      <c r="AT2461" s="101"/>
      <c r="AU2461" s="101"/>
      <c r="AV2461" s="101"/>
      <c r="AW2461" s="101"/>
      <c r="AX2461" s="101"/>
      <c r="AY2461" s="101"/>
      <c r="AZ2461" s="101"/>
      <c r="BA2461" s="101"/>
    </row>
    <row r="2462" spans="33:53">
      <c r="AG2462" s="101"/>
      <c r="AH2462" s="101"/>
      <c r="AI2462" s="101"/>
      <c r="AJ2462" s="101"/>
      <c r="AK2462" s="101"/>
      <c r="AL2462" s="104"/>
      <c r="AM2462" s="195"/>
      <c r="AT2462" s="101"/>
      <c r="AU2462" s="101"/>
      <c r="AV2462" s="101"/>
      <c r="AW2462" s="101"/>
      <c r="AX2462" s="101"/>
      <c r="AY2462" s="101"/>
      <c r="AZ2462" s="101"/>
      <c r="BA2462" s="101"/>
    </row>
    <row r="2463" spans="33:53">
      <c r="AG2463" s="101"/>
      <c r="AH2463" s="101"/>
      <c r="AI2463" s="101"/>
      <c r="AJ2463" s="101"/>
      <c r="AK2463" s="101"/>
      <c r="AL2463" s="104"/>
      <c r="AM2463" s="195"/>
      <c r="AT2463" s="101"/>
      <c r="AU2463" s="101"/>
      <c r="AV2463" s="101"/>
      <c r="AW2463" s="101"/>
      <c r="AX2463" s="101"/>
      <c r="AY2463" s="101"/>
      <c r="AZ2463" s="101"/>
      <c r="BA2463" s="101"/>
    </row>
    <row r="2464" spans="33:53">
      <c r="AG2464" s="101"/>
      <c r="AH2464" s="101"/>
      <c r="AI2464" s="101"/>
      <c r="AJ2464" s="101"/>
      <c r="AK2464" s="101"/>
      <c r="AL2464" s="104"/>
      <c r="AM2464" s="195"/>
      <c r="AT2464" s="101"/>
      <c r="AU2464" s="101"/>
      <c r="AV2464" s="101"/>
      <c r="AW2464" s="101"/>
      <c r="AX2464" s="101"/>
      <c r="AY2464" s="101"/>
      <c r="AZ2464" s="101"/>
      <c r="BA2464" s="101"/>
    </row>
    <row r="2465" spans="33:53">
      <c r="AG2465" s="101"/>
      <c r="AH2465" s="101"/>
      <c r="AI2465" s="101"/>
      <c r="AJ2465" s="101"/>
      <c r="AK2465" s="101"/>
      <c r="AL2465" s="104"/>
      <c r="AM2465" s="195"/>
      <c r="AT2465" s="101"/>
      <c r="AU2465" s="101"/>
      <c r="AV2465" s="101"/>
      <c r="AW2465" s="101"/>
      <c r="AX2465" s="101"/>
      <c r="AY2465" s="101"/>
      <c r="AZ2465" s="101"/>
      <c r="BA2465" s="101"/>
    </row>
    <row r="2466" spans="33:53">
      <c r="AG2466" s="101"/>
      <c r="AH2466" s="101"/>
      <c r="AI2466" s="101"/>
      <c r="AJ2466" s="101"/>
      <c r="AK2466" s="101"/>
      <c r="AL2466" s="104"/>
      <c r="AM2466" s="195"/>
      <c r="AT2466" s="101"/>
      <c r="AU2466" s="101"/>
      <c r="AV2466" s="101"/>
      <c r="AW2466" s="101"/>
      <c r="AX2466" s="101"/>
      <c r="AY2466" s="101"/>
      <c r="AZ2466" s="101"/>
      <c r="BA2466" s="101"/>
    </row>
    <row r="2467" spans="33:53">
      <c r="AG2467" s="101"/>
      <c r="AH2467" s="101"/>
      <c r="AI2467" s="101"/>
      <c r="AJ2467" s="101"/>
      <c r="AK2467" s="101"/>
      <c r="AL2467" s="104"/>
      <c r="AM2467" s="195"/>
      <c r="AT2467" s="101"/>
      <c r="AU2467" s="101"/>
      <c r="AV2467" s="101"/>
      <c r="AW2467" s="101"/>
      <c r="AX2467" s="101"/>
      <c r="AY2467" s="101"/>
      <c r="AZ2467" s="101"/>
      <c r="BA2467" s="101"/>
    </row>
    <row r="2468" spans="33:53">
      <c r="AG2468" s="101"/>
      <c r="AH2468" s="101"/>
      <c r="AI2468" s="101"/>
      <c r="AJ2468" s="101"/>
      <c r="AK2468" s="101"/>
      <c r="AL2468" s="104"/>
      <c r="AM2468" s="195"/>
      <c r="AT2468" s="101"/>
      <c r="AU2468" s="101"/>
      <c r="AV2468" s="101"/>
      <c r="AW2468" s="101"/>
      <c r="AX2468" s="101"/>
      <c r="AY2468" s="101"/>
      <c r="AZ2468" s="101"/>
      <c r="BA2468" s="101"/>
    </row>
    <row r="2469" spans="33:53">
      <c r="AG2469" s="101"/>
      <c r="AH2469" s="101"/>
      <c r="AI2469" s="101"/>
      <c r="AJ2469" s="101"/>
      <c r="AK2469" s="101"/>
      <c r="AL2469" s="104"/>
      <c r="AM2469" s="195"/>
      <c r="AT2469" s="101"/>
      <c r="AU2469" s="101"/>
      <c r="AV2469" s="101"/>
      <c r="AW2469" s="101"/>
      <c r="AX2469" s="101"/>
      <c r="AY2469" s="101"/>
      <c r="AZ2469" s="101"/>
      <c r="BA2469" s="101"/>
    </row>
    <row r="2470" spans="33:53">
      <c r="AG2470" s="101"/>
      <c r="AH2470" s="101"/>
      <c r="AI2470" s="101"/>
      <c r="AJ2470" s="101"/>
      <c r="AK2470" s="101"/>
      <c r="AL2470" s="104"/>
      <c r="AM2470" s="195"/>
      <c r="AT2470" s="101"/>
      <c r="AU2470" s="101"/>
      <c r="AV2470" s="101"/>
      <c r="AW2470" s="101"/>
      <c r="AX2470" s="101"/>
      <c r="AY2470" s="101"/>
      <c r="AZ2470" s="101"/>
      <c r="BA2470" s="101"/>
    </row>
    <row r="2471" spans="33:53">
      <c r="AG2471" s="101"/>
      <c r="AH2471" s="101"/>
      <c r="AI2471" s="101"/>
      <c r="AJ2471" s="101"/>
      <c r="AK2471" s="101"/>
      <c r="AL2471" s="104"/>
      <c r="AM2471" s="195"/>
      <c r="AT2471" s="101"/>
      <c r="AU2471" s="101"/>
      <c r="AV2471" s="101"/>
      <c r="AW2471" s="101"/>
      <c r="AX2471" s="101"/>
      <c r="AY2471" s="101"/>
      <c r="AZ2471" s="101"/>
      <c r="BA2471" s="101"/>
    </row>
    <row r="2472" spans="33:53">
      <c r="AG2472" s="101"/>
      <c r="AH2472" s="101"/>
      <c r="AI2472" s="101"/>
      <c r="AJ2472" s="101"/>
      <c r="AK2472" s="101"/>
      <c r="AL2472" s="104"/>
      <c r="AM2472" s="195"/>
      <c r="AT2472" s="101"/>
      <c r="AU2472" s="101"/>
      <c r="AV2472" s="101"/>
      <c r="AW2472" s="101"/>
      <c r="AX2472" s="101"/>
      <c r="AY2472" s="101"/>
      <c r="AZ2472" s="101"/>
      <c r="BA2472" s="101"/>
    </row>
    <row r="2473" spans="33:53">
      <c r="AG2473" s="101"/>
      <c r="AH2473" s="101"/>
      <c r="AI2473" s="101"/>
      <c r="AJ2473" s="101"/>
      <c r="AK2473" s="101"/>
      <c r="AL2473" s="104"/>
      <c r="AM2473" s="195"/>
      <c r="AT2473" s="101"/>
      <c r="AU2473" s="101"/>
      <c r="AV2473" s="101"/>
      <c r="AW2473" s="101"/>
      <c r="AX2473" s="101"/>
      <c r="AY2473" s="101"/>
      <c r="AZ2473" s="101"/>
      <c r="BA2473" s="101"/>
    </row>
    <row r="2474" spans="33:53">
      <c r="AG2474" s="101"/>
      <c r="AH2474" s="101"/>
      <c r="AI2474" s="101"/>
      <c r="AJ2474" s="101"/>
      <c r="AK2474" s="101"/>
      <c r="AL2474" s="104"/>
      <c r="AM2474" s="195"/>
      <c r="AT2474" s="101"/>
      <c r="AU2474" s="101"/>
      <c r="AV2474" s="101"/>
      <c r="AW2474" s="101"/>
      <c r="AX2474" s="101"/>
      <c r="AY2474" s="101"/>
      <c r="AZ2474" s="101"/>
      <c r="BA2474" s="101"/>
    </row>
    <row r="2475" spans="33:53">
      <c r="AG2475" s="101"/>
      <c r="AH2475" s="101"/>
      <c r="AI2475" s="101"/>
      <c r="AJ2475" s="101"/>
      <c r="AK2475" s="101"/>
      <c r="AL2475" s="104"/>
      <c r="AM2475" s="195"/>
      <c r="AT2475" s="101"/>
      <c r="AU2475" s="101"/>
      <c r="AV2475" s="101"/>
      <c r="AW2475" s="101"/>
      <c r="AX2475" s="101"/>
      <c r="AY2475" s="101"/>
      <c r="AZ2475" s="101"/>
      <c r="BA2475" s="101"/>
    </row>
    <row r="2476" spans="33:53">
      <c r="AG2476" s="101"/>
      <c r="AH2476" s="101"/>
      <c r="AI2476" s="101"/>
      <c r="AJ2476" s="101"/>
      <c r="AK2476" s="101"/>
      <c r="AL2476" s="104"/>
      <c r="AM2476" s="195"/>
      <c r="AT2476" s="101"/>
      <c r="AU2476" s="101"/>
      <c r="AV2476" s="101"/>
      <c r="AW2476" s="101"/>
      <c r="AX2476" s="101"/>
      <c r="AY2476" s="101"/>
      <c r="AZ2476" s="101"/>
      <c r="BA2476" s="101"/>
    </row>
    <row r="2477" spans="33:53">
      <c r="AG2477" s="101"/>
      <c r="AH2477" s="101"/>
      <c r="AI2477" s="101"/>
      <c r="AJ2477" s="101"/>
      <c r="AK2477" s="101"/>
      <c r="AL2477" s="104"/>
      <c r="AM2477" s="195"/>
      <c r="AT2477" s="101"/>
      <c r="AU2477" s="101"/>
      <c r="AV2477" s="101"/>
      <c r="AW2477" s="101"/>
      <c r="AX2477" s="101"/>
      <c r="AY2477" s="101"/>
      <c r="AZ2477" s="101"/>
      <c r="BA2477" s="101"/>
    </row>
    <row r="2478" spans="33:53">
      <c r="AG2478" s="101"/>
      <c r="AH2478" s="101"/>
      <c r="AI2478" s="101"/>
      <c r="AJ2478" s="101"/>
      <c r="AK2478" s="101"/>
      <c r="AL2478" s="104"/>
      <c r="AM2478" s="195"/>
      <c r="AT2478" s="101"/>
      <c r="AU2478" s="101"/>
      <c r="AV2478" s="101"/>
      <c r="AW2478" s="101"/>
      <c r="AX2478" s="101"/>
      <c r="AY2478" s="101"/>
      <c r="AZ2478" s="101"/>
      <c r="BA2478" s="101"/>
    </row>
    <row r="2479" spans="33:53">
      <c r="AG2479" s="101"/>
      <c r="AH2479" s="101"/>
      <c r="AI2479" s="101"/>
      <c r="AJ2479" s="101"/>
      <c r="AK2479" s="101"/>
      <c r="AL2479" s="104"/>
      <c r="AM2479" s="195"/>
      <c r="AT2479" s="101"/>
      <c r="AU2479" s="101"/>
      <c r="AV2479" s="101"/>
      <c r="AW2479" s="101"/>
      <c r="AX2479" s="101"/>
      <c r="AY2479" s="101"/>
      <c r="AZ2479" s="101"/>
      <c r="BA2479" s="101"/>
    </row>
    <row r="2480" spans="33:53">
      <c r="AG2480" s="101"/>
      <c r="AH2480" s="101"/>
      <c r="AI2480" s="101"/>
      <c r="AJ2480" s="101"/>
      <c r="AK2480" s="101"/>
      <c r="AL2480" s="104"/>
      <c r="AM2480" s="195"/>
      <c r="AT2480" s="101"/>
      <c r="AU2480" s="101"/>
      <c r="AV2480" s="101"/>
      <c r="AW2480" s="101"/>
      <c r="AX2480" s="101"/>
      <c r="AY2480" s="101"/>
      <c r="AZ2480" s="101"/>
      <c r="BA2480" s="101"/>
    </row>
    <row r="2481" spans="33:53">
      <c r="AG2481" s="101"/>
      <c r="AH2481" s="101"/>
      <c r="AI2481" s="101"/>
      <c r="AJ2481" s="101"/>
      <c r="AK2481" s="101"/>
      <c r="AL2481" s="104"/>
      <c r="AM2481" s="195"/>
      <c r="AT2481" s="101"/>
      <c r="AU2481" s="101"/>
      <c r="AV2481" s="101"/>
      <c r="AW2481" s="101"/>
      <c r="AX2481" s="101"/>
      <c r="AY2481" s="101"/>
      <c r="AZ2481" s="101"/>
      <c r="BA2481" s="101"/>
    </row>
    <row r="2482" spans="33:53">
      <c r="AG2482" s="101"/>
      <c r="AH2482" s="101"/>
      <c r="AI2482" s="101"/>
      <c r="AJ2482" s="101"/>
      <c r="AK2482" s="101"/>
      <c r="AL2482" s="104"/>
      <c r="AM2482" s="195"/>
      <c r="AT2482" s="101"/>
      <c r="AU2482" s="101"/>
      <c r="AV2482" s="101"/>
      <c r="AW2482" s="101"/>
      <c r="AX2482" s="101"/>
      <c r="AY2482" s="101"/>
      <c r="AZ2482" s="101"/>
      <c r="BA2482" s="101"/>
    </row>
    <row r="2483" spans="33:53">
      <c r="AG2483" s="101"/>
      <c r="AH2483" s="101"/>
      <c r="AI2483" s="101"/>
      <c r="AJ2483" s="101"/>
      <c r="AK2483" s="101"/>
      <c r="AL2483" s="104"/>
      <c r="AM2483" s="195"/>
      <c r="AT2483" s="101"/>
      <c r="AU2483" s="101"/>
      <c r="AV2483" s="101"/>
      <c r="AW2483" s="101"/>
      <c r="AX2483" s="101"/>
      <c r="AY2483" s="101"/>
      <c r="AZ2483" s="101"/>
      <c r="BA2483" s="101"/>
    </row>
    <row r="2484" spans="33:53">
      <c r="AG2484" s="101"/>
      <c r="AH2484" s="101"/>
      <c r="AI2484" s="101"/>
      <c r="AJ2484" s="101"/>
      <c r="AK2484" s="101"/>
      <c r="AL2484" s="104"/>
      <c r="AM2484" s="195"/>
      <c r="AT2484" s="101"/>
      <c r="AU2484" s="101"/>
      <c r="AV2484" s="101"/>
      <c r="AW2484" s="101"/>
      <c r="AX2484" s="101"/>
      <c r="AY2484" s="101"/>
      <c r="AZ2484" s="101"/>
      <c r="BA2484" s="101"/>
    </row>
    <row r="2485" spans="33:53">
      <c r="AG2485" s="101"/>
      <c r="AH2485" s="101"/>
      <c r="AI2485" s="101"/>
      <c r="AJ2485" s="101"/>
      <c r="AK2485" s="101"/>
      <c r="AL2485" s="104"/>
      <c r="AM2485" s="195"/>
      <c r="AT2485" s="101"/>
      <c r="AU2485" s="101"/>
      <c r="AV2485" s="101"/>
      <c r="AW2485" s="101"/>
      <c r="AX2485" s="101"/>
      <c r="AY2485" s="101"/>
      <c r="AZ2485" s="101"/>
      <c r="BA2485" s="101"/>
    </row>
    <row r="2486" spans="33:53">
      <c r="AG2486" s="101"/>
      <c r="AH2486" s="101"/>
      <c r="AI2486" s="101"/>
      <c r="AJ2486" s="101"/>
      <c r="AK2486" s="101"/>
      <c r="AL2486" s="104"/>
      <c r="AM2486" s="195"/>
      <c r="AT2486" s="101"/>
      <c r="AU2486" s="101"/>
      <c r="AV2486" s="101"/>
      <c r="AW2486" s="101"/>
      <c r="AX2486" s="101"/>
      <c r="AY2486" s="101"/>
      <c r="AZ2486" s="101"/>
      <c r="BA2486" s="101"/>
    </row>
    <row r="2487" spans="33:53">
      <c r="AG2487" s="101"/>
      <c r="AH2487" s="101"/>
      <c r="AI2487" s="101"/>
      <c r="AJ2487" s="101"/>
      <c r="AK2487" s="101"/>
      <c r="AL2487" s="104"/>
      <c r="AM2487" s="195"/>
      <c r="AT2487" s="101"/>
      <c r="AU2487" s="101"/>
      <c r="AV2487" s="101"/>
      <c r="AW2487" s="101"/>
      <c r="AX2487" s="101"/>
      <c r="AY2487" s="101"/>
      <c r="AZ2487" s="101"/>
      <c r="BA2487" s="101"/>
    </row>
    <row r="2488" spans="33:53">
      <c r="AG2488" s="101"/>
      <c r="AH2488" s="101"/>
      <c r="AI2488" s="101"/>
      <c r="AJ2488" s="101"/>
      <c r="AK2488" s="101"/>
      <c r="AL2488" s="104"/>
      <c r="AM2488" s="195"/>
      <c r="AT2488" s="101"/>
      <c r="AU2488" s="101"/>
      <c r="AV2488" s="101"/>
      <c r="AW2488" s="101"/>
      <c r="AX2488" s="101"/>
      <c r="AY2488" s="101"/>
      <c r="AZ2488" s="101"/>
      <c r="BA2488" s="101"/>
    </row>
    <row r="2489" spans="33:53">
      <c r="AG2489" s="101"/>
      <c r="AH2489" s="101"/>
      <c r="AI2489" s="101"/>
      <c r="AJ2489" s="101"/>
      <c r="AK2489" s="101"/>
      <c r="AL2489" s="104"/>
      <c r="AM2489" s="195"/>
      <c r="AT2489" s="101"/>
      <c r="AU2489" s="101"/>
      <c r="AV2489" s="101"/>
      <c r="AW2489" s="101"/>
      <c r="AX2489" s="101"/>
      <c r="AY2489" s="101"/>
      <c r="AZ2489" s="101"/>
      <c r="BA2489" s="101"/>
    </row>
    <row r="2490" spans="33:53">
      <c r="AG2490" s="101"/>
      <c r="AH2490" s="101"/>
      <c r="AI2490" s="101"/>
      <c r="AJ2490" s="101"/>
      <c r="AK2490" s="101"/>
      <c r="AL2490" s="104"/>
      <c r="AM2490" s="195"/>
      <c r="AT2490" s="101"/>
      <c r="AU2490" s="101"/>
      <c r="AV2490" s="101"/>
      <c r="AW2490" s="101"/>
      <c r="AX2490" s="101"/>
      <c r="AY2490" s="101"/>
      <c r="AZ2490" s="101"/>
      <c r="BA2490" s="101"/>
    </row>
    <row r="2491" spans="33:53">
      <c r="AG2491" s="101"/>
      <c r="AH2491" s="101"/>
      <c r="AI2491" s="101"/>
      <c r="AJ2491" s="101"/>
      <c r="AK2491" s="101"/>
      <c r="AL2491" s="104"/>
      <c r="AM2491" s="195"/>
      <c r="AT2491" s="101"/>
      <c r="AU2491" s="101"/>
      <c r="AV2491" s="101"/>
      <c r="AW2491" s="101"/>
      <c r="AX2491" s="101"/>
      <c r="AY2491" s="101"/>
      <c r="AZ2491" s="101"/>
      <c r="BA2491" s="101"/>
    </row>
    <row r="2492" spans="33:53">
      <c r="AG2492" s="101"/>
      <c r="AH2492" s="101"/>
      <c r="AI2492" s="101"/>
      <c r="AJ2492" s="101"/>
      <c r="AK2492" s="101"/>
      <c r="AL2492" s="104"/>
      <c r="AM2492" s="195"/>
      <c r="AT2492" s="101"/>
      <c r="AU2492" s="101"/>
      <c r="AV2492" s="101"/>
      <c r="AW2492" s="101"/>
      <c r="AX2492" s="101"/>
      <c r="AY2492" s="101"/>
      <c r="AZ2492" s="101"/>
      <c r="BA2492" s="101"/>
    </row>
    <row r="2493" spans="33:53">
      <c r="AG2493" s="101"/>
      <c r="AH2493" s="101"/>
      <c r="AI2493" s="101"/>
      <c r="AJ2493" s="101"/>
      <c r="AK2493" s="101"/>
      <c r="AL2493" s="104"/>
      <c r="AM2493" s="195"/>
      <c r="AT2493" s="101"/>
      <c r="AU2493" s="101"/>
      <c r="AV2493" s="101"/>
      <c r="AW2493" s="101"/>
      <c r="AX2493" s="101"/>
      <c r="AY2493" s="101"/>
      <c r="AZ2493" s="101"/>
      <c r="BA2493" s="101"/>
    </row>
    <row r="2494" spans="33:53">
      <c r="AG2494" s="101"/>
      <c r="AH2494" s="101"/>
      <c r="AI2494" s="101"/>
      <c r="AJ2494" s="101"/>
      <c r="AK2494" s="101"/>
      <c r="AL2494" s="104"/>
      <c r="AM2494" s="195"/>
      <c r="AT2494" s="101"/>
      <c r="AU2494" s="101"/>
      <c r="AV2494" s="101"/>
      <c r="AW2494" s="101"/>
      <c r="AX2494" s="101"/>
      <c r="AY2494" s="101"/>
      <c r="AZ2494" s="101"/>
      <c r="BA2494" s="101"/>
    </row>
    <row r="2495" spans="33:53">
      <c r="AG2495" s="101"/>
      <c r="AH2495" s="101"/>
      <c r="AI2495" s="101"/>
      <c r="AJ2495" s="101"/>
      <c r="AK2495" s="101"/>
      <c r="AL2495" s="104"/>
      <c r="AM2495" s="195"/>
      <c r="AT2495" s="101"/>
      <c r="AU2495" s="101"/>
      <c r="AV2495" s="101"/>
      <c r="AW2495" s="101"/>
      <c r="AX2495" s="101"/>
      <c r="AY2495" s="101"/>
      <c r="AZ2495" s="101"/>
      <c r="BA2495" s="101"/>
    </row>
    <row r="2496" spans="33:53">
      <c r="AG2496" s="101"/>
      <c r="AH2496" s="101"/>
      <c r="AI2496" s="101"/>
      <c r="AJ2496" s="101"/>
      <c r="AK2496" s="101"/>
      <c r="AL2496" s="104"/>
      <c r="AM2496" s="195"/>
      <c r="AT2496" s="101"/>
      <c r="AU2496" s="101"/>
      <c r="AV2496" s="101"/>
      <c r="AW2496" s="101"/>
      <c r="AX2496" s="101"/>
      <c r="AY2496" s="101"/>
      <c r="AZ2496" s="101"/>
      <c r="BA2496" s="101"/>
    </row>
    <row r="2497" spans="33:53">
      <c r="AG2497" s="101"/>
      <c r="AH2497" s="101"/>
      <c r="AI2497" s="101"/>
      <c r="AJ2497" s="101"/>
      <c r="AK2497" s="101"/>
      <c r="AL2497" s="104"/>
      <c r="AM2497" s="195"/>
      <c r="AT2497" s="101"/>
      <c r="AU2497" s="101"/>
      <c r="AV2497" s="101"/>
      <c r="AW2497" s="101"/>
      <c r="AX2497" s="101"/>
      <c r="AY2497" s="101"/>
      <c r="AZ2497" s="101"/>
      <c r="BA2497" s="101"/>
    </row>
    <row r="2498" spans="33:53">
      <c r="AG2498" s="101"/>
      <c r="AH2498" s="101"/>
      <c r="AI2498" s="101"/>
      <c r="AJ2498" s="101"/>
      <c r="AK2498" s="101"/>
      <c r="AL2498" s="104"/>
      <c r="AM2498" s="195"/>
      <c r="AT2498" s="101"/>
      <c r="AU2498" s="101"/>
      <c r="AV2498" s="101"/>
      <c r="AW2498" s="101"/>
      <c r="AX2498" s="101"/>
      <c r="AY2498" s="101"/>
      <c r="AZ2498" s="101"/>
      <c r="BA2498" s="101"/>
    </row>
    <row r="2499" spans="33:53">
      <c r="AG2499" s="101"/>
      <c r="AH2499" s="101"/>
      <c r="AI2499" s="101"/>
      <c r="AJ2499" s="101"/>
      <c r="AK2499" s="101"/>
      <c r="AL2499" s="104"/>
      <c r="AM2499" s="195"/>
      <c r="AT2499" s="101"/>
      <c r="AU2499" s="101"/>
      <c r="AV2499" s="101"/>
      <c r="AW2499" s="101"/>
      <c r="AX2499" s="101"/>
      <c r="AY2499" s="101"/>
      <c r="AZ2499" s="101"/>
      <c r="BA2499" s="101"/>
    </row>
    <row r="2500" spans="33:53">
      <c r="AG2500" s="101"/>
      <c r="AH2500" s="101"/>
      <c r="AI2500" s="101"/>
      <c r="AJ2500" s="101"/>
      <c r="AK2500" s="101"/>
      <c r="AL2500" s="104"/>
      <c r="AM2500" s="195"/>
      <c r="AT2500" s="101"/>
      <c r="AU2500" s="101"/>
      <c r="AV2500" s="101"/>
      <c r="AW2500" s="101"/>
      <c r="AX2500" s="101"/>
      <c r="AY2500" s="101"/>
      <c r="AZ2500" s="101"/>
      <c r="BA2500" s="101"/>
    </row>
    <row r="2501" spans="33:53">
      <c r="AG2501" s="101"/>
      <c r="AH2501" s="101"/>
      <c r="AI2501" s="101"/>
      <c r="AJ2501" s="101"/>
      <c r="AK2501" s="101"/>
      <c r="AL2501" s="104"/>
      <c r="AM2501" s="195"/>
      <c r="AT2501" s="101"/>
      <c r="AU2501" s="101"/>
      <c r="AV2501" s="101"/>
      <c r="AW2501" s="101"/>
      <c r="AX2501" s="101"/>
      <c r="AY2501" s="101"/>
      <c r="AZ2501" s="101"/>
      <c r="BA2501" s="101"/>
    </row>
    <row r="2502" spans="33:53">
      <c r="AG2502" s="101"/>
      <c r="AH2502" s="101"/>
      <c r="AI2502" s="101"/>
      <c r="AJ2502" s="101"/>
      <c r="AK2502" s="101"/>
      <c r="AL2502" s="104"/>
      <c r="AM2502" s="195"/>
      <c r="AT2502" s="101"/>
      <c r="AU2502" s="101"/>
      <c r="AV2502" s="101"/>
      <c r="AW2502" s="101"/>
      <c r="AX2502" s="101"/>
      <c r="AY2502" s="101"/>
      <c r="AZ2502" s="101"/>
      <c r="BA2502" s="101"/>
    </row>
    <row r="2503" spans="33:53">
      <c r="AG2503" s="101"/>
      <c r="AH2503" s="101"/>
      <c r="AI2503" s="101"/>
      <c r="AJ2503" s="101"/>
      <c r="AK2503" s="101"/>
      <c r="AL2503" s="104"/>
      <c r="AM2503" s="195"/>
      <c r="AT2503" s="101"/>
      <c r="AU2503" s="101"/>
      <c r="AV2503" s="101"/>
      <c r="AW2503" s="101"/>
      <c r="AX2503" s="101"/>
      <c r="AY2503" s="101"/>
      <c r="AZ2503" s="101"/>
      <c r="BA2503" s="101"/>
    </row>
    <row r="2504" spans="33:53">
      <c r="AG2504" s="101"/>
      <c r="AH2504" s="101"/>
      <c r="AI2504" s="101"/>
      <c r="AJ2504" s="101"/>
      <c r="AK2504" s="101"/>
      <c r="AL2504" s="104"/>
      <c r="AM2504" s="195"/>
      <c r="AT2504" s="101"/>
      <c r="AU2504" s="101"/>
      <c r="AV2504" s="101"/>
      <c r="AW2504" s="101"/>
      <c r="AX2504" s="101"/>
      <c r="AY2504" s="101"/>
      <c r="AZ2504" s="101"/>
      <c r="BA2504" s="101"/>
    </row>
    <row r="2505" spans="33:53">
      <c r="AG2505" s="101"/>
      <c r="AH2505" s="101"/>
      <c r="AI2505" s="101"/>
      <c r="AJ2505" s="101"/>
      <c r="AK2505" s="101"/>
      <c r="AL2505" s="104"/>
      <c r="AM2505" s="195"/>
      <c r="AT2505" s="101"/>
      <c r="AU2505" s="101"/>
      <c r="AV2505" s="101"/>
      <c r="AW2505" s="101"/>
      <c r="AX2505" s="101"/>
      <c r="AY2505" s="101"/>
      <c r="AZ2505" s="101"/>
      <c r="BA2505" s="101"/>
    </row>
    <row r="2506" spans="33:53">
      <c r="AG2506" s="101"/>
      <c r="AH2506" s="101"/>
      <c r="AI2506" s="101"/>
      <c r="AJ2506" s="101"/>
      <c r="AK2506" s="101"/>
      <c r="AL2506" s="104"/>
      <c r="AM2506" s="195"/>
      <c r="AT2506" s="101"/>
      <c r="AU2506" s="101"/>
      <c r="AV2506" s="101"/>
      <c r="AW2506" s="101"/>
      <c r="AX2506" s="101"/>
      <c r="AY2506" s="101"/>
      <c r="AZ2506" s="101"/>
      <c r="BA2506" s="101"/>
    </row>
    <row r="2507" spans="33:53">
      <c r="AG2507" s="101"/>
      <c r="AH2507" s="101"/>
      <c r="AI2507" s="101"/>
      <c r="AJ2507" s="101"/>
      <c r="AK2507" s="101"/>
      <c r="AL2507" s="104"/>
      <c r="AM2507" s="195"/>
      <c r="AT2507" s="101"/>
      <c r="AU2507" s="101"/>
      <c r="AV2507" s="101"/>
      <c r="AW2507" s="101"/>
      <c r="AX2507" s="101"/>
      <c r="AY2507" s="101"/>
      <c r="AZ2507" s="101"/>
      <c r="BA2507" s="101"/>
    </row>
    <row r="2508" spans="33:53">
      <c r="AG2508" s="101"/>
      <c r="AH2508" s="101"/>
      <c r="AI2508" s="101"/>
      <c r="AJ2508" s="101"/>
      <c r="AK2508" s="101"/>
      <c r="AL2508" s="104"/>
      <c r="AM2508" s="195"/>
      <c r="AT2508" s="101"/>
      <c r="AU2508" s="101"/>
      <c r="AV2508" s="101"/>
      <c r="AW2508" s="101"/>
      <c r="AX2508" s="101"/>
      <c r="AY2508" s="101"/>
      <c r="AZ2508" s="101"/>
      <c r="BA2508" s="101"/>
    </row>
    <row r="2509" spans="33:53">
      <c r="AG2509" s="101"/>
      <c r="AH2509" s="101"/>
      <c r="AI2509" s="101"/>
      <c r="AJ2509" s="101"/>
      <c r="AK2509" s="101"/>
      <c r="AL2509" s="104"/>
      <c r="AM2509" s="195"/>
      <c r="AT2509" s="101"/>
      <c r="AU2509" s="101"/>
      <c r="AV2509" s="101"/>
      <c r="AW2509" s="101"/>
      <c r="AX2509" s="101"/>
      <c r="AY2509" s="101"/>
      <c r="AZ2509" s="101"/>
      <c r="BA2509" s="101"/>
    </row>
    <row r="2510" spans="33:53">
      <c r="AG2510" s="101"/>
      <c r="AH2510" s="101"/>
      <c r="AI2510" s="101"/>
      <c r="AJ2510" s="101"/>
      <c r="AK2510" s="101"/>
      <c r="AL2510" s="104"/>
      <c r="AM2510" s="195"/>
      <c r="AT2510" s="101"/>
      <c r="AU2510" s="101"/>
      <c r="AV2510" s="101"/>
      <c r="AW2510" s="101"/>
      <c r="AX2510" s="101"/>
      <c r="AY2510" s="101"/>
      <c r="AZ2510" s="101"/>
      <c r="BA2510" s="101"/>
    </row>
    <row r="2511" spans="33:53">
      <c r="AG2511" s="101"/>
      <c r="AH2511" s="101"/>
      <c r="AI2511" s="101"/>
      <c r="AJ2511" s="101"/>
      <c r="AK2511" s="101"/>
      <c r="AL2511" s="104"/>
      <c r="AM2511" s="195"/>
      <c r="AT2511" s="101"/>
      <c r="AU2511" s="101"/>
      <c r="AV2511" s="101"/>
      <c r="AW2511" s="101"/>
      <c r="AX2511" s="101"/>
      <c r="AY2511" s="101"/>
      <c r="AZ2511" s="101"/>
      <c r="BA2511" s="101"/>
    </row>
    <row r="2512" spans="33:53">
      <c r="AG2512" s="101"/>
      <c r="AH2512" s="101"/>
      <c r="AI2512" s="101"/>
      <c r="AJ2512" s="101"/>
      <c r="AK2512" s="101"/>
      <c r="AL2512" s="104"/>
      <c r="AM2512" s="195"/>
      <c r="AT2512" s="101"/>
      <c r="AU2512" s="101"/>
      <c r="AV2512" s="101"/>
      <c r="AW2512" s="101"/>
      <c r="AX2512" s="101"/>
      <c r="AY2512" s="101"/>
      <c r="AZ2512" s="101"/>
      <c r="BA2512" s="101"/>
    </row>
    <row r="2513" spans="33:53">
      <c r="AG2513" s="101"/>
      <c r="AH2513" s="101"/>
      <c r="AI2513" s="101"/>
      <c r="AJ2513" s="101"/>
      <c r="AK2513" s="101"/>
      <c r="AL2513" s="104"/>
      <c r="AM2513" s="195"/>
      <c r="AT2513" s="101"/>
      <c r="AU2513" s="101"/>
      <c r="AV2513" s="101"/>
      <c r="AW2513" s="101"/>
      <c r="AX2513" s="101"/>
      <c r="AY2513" s="101"/>
      <c r="AZ2513" s="101"/>
      <c r="BA2513" s="101"/>
    </row>
    <row r="2514" spans="33:53">
      <c r="AG2514" s="101"/>
      <c r="AH2514" s="101"/>
      <c r="AI2514" s="101"/>
      <c r="AJ2514" s="101"/>
      <c r="AK2514" s="101"/>
      <c r="AL2514" s="104"/>
      <c r="AM2514" s="195"/>
      <c r="AT2514" s="101"/>
      <c r="AU2514" s="101"/>
      <c r="AV2514" s="101"/>
      <c r="AW2514" s="101"/>
      <c r="AX2514" s="101"/>
      <c r="AY2514" s="101"/>
      <c r="AZ2514" s="101"/>
      <c r="BA2514" s="101"/>
    </row>
    <row r="2515" spans="33:53">
      <c r="AG2515" s="101"/>
      <c r="AH2515" s="101"/>
      <c r="AI2515" s="101"/>
      <c r="AJ2515" s="101"/>
      <c r="AK2515" s="101"/>
      <c r="AL2515" s="104"/>
      <c r="AM2515" s="195"/>
      <c r="AT2515" s="101"/>
      <c r="AU2515" s="101"/>
      <c r="AV2515" s="101"/>
      <c r="AW2515" s="101"/>
      <c r="AX2515" s="101"/>
      <c r="AY2515" s="101"/>
      <c r="AZ2515" s="101"/>
      <c r="BA2515" s="101"/>
    </row>
    <row r="2516" spans="33:53">
      <c r="AG2516" s="101"/>
      <c r="AH2516" s="101"/>
      <c r="AI2516" s="101"/>
      <c r="AJ2516" s="101"/>
      <c r="AK2516" s="101"/>
      <c r="AL2516" s="104"/>
      <c r="AM2516" s="195"/>
      <c r="AT2516" s="101"/>
      <c r="AU2516" s="101"/>
      <c r="AV2516" s="101"/>
      <c r="AW2516" s="101"/>
      <c r="AX2516" s="101"/>
      <c r="AY2516" s="101"/>
      <c r="AZ2516" s="101"/>
      <c r="BA2516" s="101"/>
    </row>
    <row r="2517" spans="33:53">
      <c r="AG2517" s="101"/>
      <c r="AH2517" s="101"/>
      <c r="AI2517" s="101"/>
      <c r="AJ2517" s="101"/>
      <c r="AK2517" s="101"/>
      <c r="AL2517" s="104"/>
      <c r="AM2517" s="195"/>
      <c r="AT2517" s="101"/>
      <c r="AU2517" s="101"/>
      <c r="AV2517" s="101"/>
      <c r="AW2517" s="101"/>
      <c r="AX2517" s="101"/>
      <c r="AY2517" s="101"/>
      <c r="AZ2517" s="101"/>
      <c r="BA2517" s="101"/>
    </row>
    <row r="2518" spans="33:53">
      <c r="AG2518" s="101"/>
      <c r="AH2518" s="101"/>
      <c r="AI2518" s="101"/>
      <c r="AJ2518" s="101"/>
      <c r="AK2518" s="101"/>
      <c r="AL2518" s="104"/>
      <c r="AM2518" s="195"/>
      <c r="AT2518" s="101"/>
      <c r="AU2518" s="101"/>
      <c r="AV2518" s="101"/>
      <c r="AW2518" s="101"/>
      <c r="AX2518" s="101"/>
      <c r="AY2518" s="101"/>
      <c r="AZ2518" s="101"/>
      <c r="BA2518" s="101"/>
    </row>
    <row r="2519" spans="33:53">
      <c r="AG2519" s="101"/>
      <c r="AH2519" s="101"/>
      <c r="AI2519" s="101"/>
      <c r="AJ2519" s="101"/>
      <c r="AK2519" s="101"/>
      <c r="AL2519" s="104"/>
      <c r="AM2519" s="195"/>
      <c r="AT2519" s="101"/>
      <c r="AU2519" s="101"/>
      <c r="AV2519" s="101"/>
      <c r="AW2519" s="101"/>
      <c r="AX2519" s="101"/>
      <c r="AY2519" s="101"/>
      <c r="AZ2519" s="101"/>
      <c r="BA2519" s="101"/>
    </row>
    <row r="2520" spans="33:53">
      <c r="AG2520" s="101"/>
      <c r="AH2520" s="101"/>
      <c r="AI2520" s="101"/>
      <c r="AJ2520" s="101"/>
      <c r="AK2520" s="101"/>
      <c r="AL2520" s="104"/>
      <c r="AM2520" s="195"/>
      <c r="AT2520" s="101"/>
      <c r="AU2520" s="101"/>
      <c r="AV2520" s="101"/>
      <c r="AW2520" s="101"/>
      <c r="AX2520" s="101"/>
      <c r="AY2520" s="101"/>
      <c r="AZ2520" s="101"/>
      <c r="BA2520" s="101"/>
    </row>
    <row r="2521" spans="33:53">
      <c r="AG2521" s="101"/>
      <c r="AH2521" s="101"/>
      <c r="AI2521" s="101"/>
      <c r="AJ2521" s="101"/>
      <c r="AK2521" s="101"/>
      <c r="AL2521" s="104"/>
      <c r="AM2521" s="195"/>
      <c r="AT2521" s="101"/>
      <c r="AU2521" s="101"/>
      <c r="AV2521" s="101"/>
      <c r="AW2521" s="101"/>
      <c r="AX2521" s="101"/>
      <c r="AY2521" s="101"/>
      <c r="AZ2521" s="101"/>
      <c r="BA2521" s="101"/>
    </row>
    <row r="2522" spans="33:53">
      <c r="AG2522" s="101"/>
      <c r="AH2522" s="101"/>
      <c r="AI2522" s="101"/>
      <c r="AJ2522" s="101"/>
      <c r="AK2522" s="101"/>
      <c r="AL2522" s="104"/>
      <c r="AM2522" s="195"/>
      <c r="AT2522" s="101"/>
      <c r="AU2522" s="101"/>
      <c r="AV2522" s="101"/>
      <c r="AW2522" s="101"/>
      <c r="AX2522" s="101"/>
      <c r="AY2522" s="101"/>
      <c r="AZ2522" s="101"/>
      <c r="BA2522" s="101"/>
    </row>
    <row r="2523" spans="33:53">
      <c r="AG2523" s="101"/>
      <c r="AH2523" s="101"/>
      <c r="AI2523" s="101"/>
      <c r="AJ2523" s="101"/>
      <c r="AK2523" s="101"/>
      <c r="AL2523" s="104"/>
      <c r="AM2523" s="195"/>
      <c r="AT2523" s="101"/>
      <c r="AU2523" s="101"/>
      <c r="AV2523" s="101"/>
      <c r="AW2523" s="101"/>
      <c r="AX2523" s="101"/>
      <c r="AY2523" s="101"/>
      <c r="AZ2523" s="101"/>
      <c r="BA2523" s="101"/>
    </row>
    <row r="2524" spans="33:53">
      <c r="AG2524" s="101"/>
      <c r="AH2524" s="101"/>
      <c r="AI2524" s="101"/>
      <c r="AJ2524" s="101"/>
      <c r="AK2524" s="101"/>
      <c r="AL2524" s="104"/>
      <c r="AM2524" s="195"/>
      <c r="AT2524" s="101"/>
      <c r="AU2524" s="101"/>
      <c r="AV2524" s="101"/>
      <c r="AW2524" s="101"/>
      <c r="AX2524" s="101"/>
      <c r="AY2524" s="101"/>
      <c r="AZ2524" s="101"/>
      <c r="BA2524" s="101"/>
    </row>
    <row r="2525" spans="33:53">
      <c r="AG2525" s="101"/>
      <c r="AH2525" s="101"/>
      <c r="AI2525" s="101"/>
      <c r="AJ2525" s="101"/>
      <c r="AK2525" s="101"/>
      <c r="AL2525" s="104"/>
      <c r="AM2525" s="195"/>
      <c r="AT2525" s="101"/>
      <c r="AU2525" s="101"/>
      <c r="AV2525" s="101"/>
      <c r="AW2525" s="101"/>
      <c r="AX2525" s="101"/>
      <c r="AY2525" s="101"/>
      <c r="AZ2525" s="101"/>
      <c r="BA2525" s="101"/>
    </row>
    <row r="2526" spans="33:53">
      <c r="AG2526" s="101"/>
      <c r="AH2526" s="101"/>
      <c r="AI2526" s="101"/>
      <c r="AJ2526" s="101"/>
      <c r="AK2526" s="101"/>
      <c r="AL2526" s="104"/>
      <c r="AM2526" s="195"/>
      <c r="AT2526" s="101"/>
      <c r="AU2526" s="101"/>
      <c r="AV2526" s="101"/>
      <c r="AW2526" s="101"/>
      <c r="AX2526" s="101"/>
      <c r="AY2526" s="101"/>
      <c r="AZ2526" s="101"/>
      <c r="BA2526" s="101"/>
    </row>
    <row r="2527" spans="33:53">
      <c r="AG2527" s="101"/>
      <c r="AH2527" s="101"/>
      <c r="AI2527" s="101"/>
      <c r="AJ2527" s="101"/>
      <c r="AK2527" s="101"/>
      <c r="AL2527" s="104"/>
      <c r="AM2527" s="195"/>
      <c r="AT2527" s="101"/>
      <c r="AU2527" s="101"/>
      <c r="AV2527" s="101"/>
      <c r="AW2527" s="101"/>
      <c r="AX2527" s="101"/>
      <c r="AY2527" s="101"/>
      <c r="AZ2527" s="101"/>
      <c r="BA2527" s="101"/>
    </row>
    <row r="2528" spans="33:53">
      <c r="AG2528" s="101"/>
      <c r="AH2528" s="101"/>
      <c r="AI2528" s="101"/>
      <c r="AJ2528" s="101"/>
      <c r="AK2528" s="101"/>
      <c r="AL2528" s="104"/>
      <c r="AM2528" s="195"/>
      <c r="AT2528" s="101"/>
      <c r="AU2528" s="101"/>
      <c r="AV2528" s="101"/>
      <c r="AW2528" s="101"/>
      <c r="AX2528" s="101"/>
      <c r="AY2528" s="101"/>
      <c r="AZ2528" s="101"/>
      <c r="BA2528" s="101"/>
    </row>
    <row r="2529" spans="33:53">
      <c r="AG2529" s="101"/>
      <c r="AH2529" s="101"/>
      <c r="AI2529" s="101"/>
      <c r="AJ2529" s="101"/>
      <c r="AK2529" s="101"/>
      <c r="AL2529" s="104"/>
      <c r="AM2529" s="195"/>
      <c r="AT2529" s="101"/>
      <c r="AU2529" s="101"/>
      <c r="AV2529" s="101"/>
      <c r="AW2529" s="101"/>
      <c r="AX2529" s="101"/>
      <c r="AY2529" s="101"/>
      <c r="AZ2529" s="101"/>
      <c r="BA2529" s="101"/>
    </row>
    <row r="2530" spans="33:53">
      <c r="AG2530" s="101"/>
      <c r="AH2530" s="101"/>
      <c r="AI2530" s="101"/>
      <c r="AJ2530" s="101"/>
      <c r="AK2530" s="101"/>
      <c r="AL2530" s="104"/>
      <c r="AM2530" s="195"/>
      <c r="AT2530" s="101"/>
      <c r="AU2530" s="101"/>
      <c r="AV2530" s="101"/>
      <c r="AW2530" s="101"/>
      <c r="AX2530" s="101"/>
      <c r="AY2530" s="101"/>
      <c r="AZ2530" s="101"/>
      <c r="BA2530" s="101"/>
    </row>
    <row r="2531" spans="33:53">
      <c r="AG2531" s="101"/>
      <c r="AH2531" s="101"/>
      <c r="AI2531" s="101"/>
      <c r="AJ2531" s="101"/>
      <c r="AK2531" s="101"/>
      <c r="AL2531" s="104"/>
      <c r="AM2531" s="195"/>
      <c r="AT2531" s="101"/>
      <c r="AU2531" s="101"/>
      <c r="AV2531" s="101"/>
      <c r="AW2531" s="101"/>
      <c r="AX2531" s="101"/>
      <c r="AY2531" s="101"/>
      <c r="AZ2531" s="101"/>
      <c r="BA2531" s="101"/>
    </row>
    <row r="2532" spans="33:53">
      <c r="AG2532" s="101"/>
      <c r="AH2532" s="101"/>
      <c r="AI2532" s="101"/>
      <c r="AJ2532" s="101"/>
      <c r="AK2532" s="101"/>
      <c r="AL2532" s="104"/>
      <c r="AM2532" s="195"/>
      <c r="AT2532" s="101"/>
      <c r="AU2532" s="101"/>
      <c r="AV2532" s="101"/>
      <c r="AW2532" s="101"/>
      <c r="AX2532" s="101"/>
      <c r="AY2532" s="101"/>
      <c r="AZ2532" s="101"/>
      <c r="BA2532" s="101"/>
    </row>
    <row r="2533" spans="33:53">
      <c r="AG2533" s="101"/>
      <c r="AH2533" s="101"/>
      <c r="AI2533" s="101"/>
      <c r="AJ2533" s="101"/>
      <c r="AK2533" s="101"/>
      <c r="AL2533" s="104"/>
      <c r="AM2533" s="195"/>
      <c r="AT2533" s="101"/>
      <c r="AU2533" s="101"/>
      <c r="AV2533" s="101"/>
      <c r="AW2533" s="101"/>
      <c r="AX2533" s="101"/>
      <c r="AY2533" s="101"/>
      <c r="AZ2533" s="101"/>
      <c r="BA2533" s="101"/>
    </row>
    <row r="2534" spans="33:53">
      <c r="AG2534" s="101"/>
      <c r="AH2534" s="101"/>
      <c r="AI2534" s="101"/>
      <c r="AJ2534" s="101"/>
      <c r="AK2534" s="101"/>
      <c r="AL2534" s="104"/>
      <c r="AM2534" s="195"/>
      <c r="AT2534" s="101"/>
      <c r="AU2534" s="101"/>
      <c r="AV2534" s="101"/>
      <c r="AW2534" s="101"/>
      <c r="AX2534" s="101"/>
      <c r="AY2534" s="101"/>
      <c r="AZ2534" s="101"/>
      <c r="BA2534" s="101"/>
    </row>
    <row r="2535" spans="33:53">
      <c r="AG2535" s="101"/>
      <c r="AH2535" s="101"/>
      <c r="AI2535" s="101"/>
      <c r="AJ2535" s="101"/>
      <c r="AK2535" s="101"/>
      <c r="AL2535" s="104"/>
      <c r="AM2535" s="195"/>
      <c r="AT2535" s="101"/>
      <c r="AU2535" s="101"/>
      <c r="AV2535" s="101"/>
      <c r="AW2535" s="101"/>
      <c r="AX2535" s="101"/>
      <c r="AY2535" s="101"/>
      <c r="AZ2535" s="101"/>
      <c r="BA2535" s="101"/>
    </row>
    <row r="2536" spans="33:53">
      <c r="AG2536" s="101"/>
      <c r="AH2536" s="101"/>
      <c r="AI2536" s="101"/>
      <c r="AJ2536" s="101"/>
      <c r="AK2536" s="101"/>
      <c r="AL2536" s="104"/>
      <c r="AM2536" s="195"/>
      <c r="AT2536" s="101"/>
      <c r="AU2536" s="101"/>
      <c r="AV2536" s="101"/>
      <c r="AW2536" s="101"/>
      <c r="AX2536" s="101"/>
      <c r="AY2536" s="101"/>
      <c r="AZ2536" s="101"/>
      <c r="BA2536" s="101"/>
    </row>
  </sheetData>
  <phoneticPr fontId="26" type="noConversion"/>
  <hyperlinks>
    <hyperlink ref="H2866" r:id="rId1" display="http://vsolj.cetus-net.org/bulletin.html" xr:uid="{00000000-0004-0000-0300-000000000000}"/>
    <hyperlink ref="H64970" r:id="rId2" display="http://vsolj.cetus-net.org/bulletin.html" xr:uid="{00000000-0004-0000-0300-000001000000}"/>
    <hyperlink ref="H64963" r:id="rId3" display="https://www.aavso.org/ejaavso" xr:uid="{00000000-0004-0000-0300-000002000000}"/>
    <hyperlink ref="I64970" r:id="rId4" display="http://vsolj.cetus-net.org/bulletin.html" xr:uid="{00000000-0004-0000-0300-000003000000}"/>
    <hyperlink ref="H64967" r:id="rId5" display="https://www.aavso.org/ejaavso" xr:uid="{00000000-0004-0000-0300-000004000000}"/>
    <hyperlink ref="I3091" r:id="rId6" display="http://vsolj.cetus-net.org/bulletin.html" xr:uid="{00000000-0004-0000-0300-000005000000}"/>
    <hyperlink ref="H3091" r:id="rId7" display="http://vsolj.cetus-net.org/bulletin.html" xr:uid="{00000000-0004-0000-0300-000006000000}"/>
    <hyperlink ref="AV4457" r:id="rId8" display="http://cdsbib.u-strasbg.fr/cgi-bin/cdsbib?1990RMxAA..21..381G" xr:uid="{00000000-0004-0000-0300-000007000000}"/>
    <hyperlink ref="AV4460" r:id="rId9" display="http://cdsbib.u-strasbg.fr/cgi-bin/cdsbib?1990RMxAA..21..381G" xr:uid="{00000000-0004-0000-0300-000008000000}"/>
    <hyperlink ref="AV4458" r:id="rId10" display="http://cdsbib.u-strasbg.fr/cgi-bin/cdsbib?1990RMxAA..21..381G" xr:uid="{00000000-0004-0000-0300-000009000000}"/>
    <hyperlink ref="AV4436" r:id="rId11" display="http://cdsbib.u-strasbg.fr/cgi-bin/cdsbib?1990RMxAA..21..381G" xr:uid="{00000000-0004-0000-0300-00000A000000}"/>
    <hyperlink ref="AW4570" r:id="rId12" display="http://cdsbib.u-strasbg.fr/cgi-bin/cdsbib?1990RMxAA..21..381G" xr:uid="{00000000-0004-0000-0300-00000B000000}"/>
    <hyperlink ref="AW2839" r:id="rId13" display="http://cdsbib.u-strasbg.fr/cgi-bin/cdsbib?1990RMxAA..21..381G" xr:uid="{00000000-0004-0000-0300-00000C000000}"/>
    <hyperlink ref="AW4571" r:id="rId14" display="http://cdsbib.u-strasbg.fr/cgi-bin/cdsbib?1990RMxAA..21..381G" xr:uid="{00000000-0004-0000-0300-00000D000000}"/>
    <hyperlink ref="AZ3744" r:id="rId15" display="http://cdsbib.u-strasbg.fr/cgi-bin/cdsbib?1990RMxAA..21..381G" xr:uid="{00000000-0004-0000-0300-00000E000000}"/>
    <hyperlink ref="AZ3741" r:id="rId16" display="http://cdsbib.u-strasbg.fr/cgi-bin/cdsbib?1990RMxAA..21..381G" xr:uid="{00000000-0004-0000-0300-00000F000000}"/>
    <hyperlink ref="AZ3743" r:id="rId17" display="http://cdsbib.u-strasbg.fr/cgi-bin/cdsbib?1990RMxAA..21..381G" xr:uid="{00000000-0004-0000-0300-000010000000}"/>
    <hyperlink ref="AZ3719" r:id="rId18" display="http://cdsbib.u-strasbg.fr/cgi-bin/cdsbib?1990RMxAA..21..381G" xr:uid="{00000000-0004-0000-0300-000011000000}"/>
    <hyperlink ref="BA3880" r:id="rId19" display="http://cdsbib.u-strasbg.fr/cgi-bin/cdsbib?1990RMxAA..21..381G" xr:uid="{00000000-0004-0000-0300-000012000000}"/>
    <hyperlink ref="BA5524" r:id="rId20" display="http://cdsbib.u-strasbg.fr/cgi-bin/cdsbib?1990RMxAA..21..381G" xr:uid="{00000000-0004-0000-0300-000013000000}"/>
    <hyperlink ref="BA3881" r:id="rId21" display="http://cdsbib.u-strasbg.fr/cgi-bin/cdsbib?1990RMxAA..21..381G" xr:uid="{00000000-0004-0000-0300-000014000000}"/>
    <hyperlink ref="AZ7969" r:id="rId22" display="http://cdsbib.u-strasbg.fr/cgi-bin/cdsbib?1990RMxAA..21..381G" xr:uid="{00000000-0004-0000-0300-000015000000}"/>
    <hyperlink ref="AZ7972" r:id="rId23" display="http://cdsbib.u-strasbg.fr/cgi-bin/cdsbib?1990RMxAA..21..381G" xr:uid="{00000000-0004-0000-0300-000016000000}"/>
    <hyperlink ref="AZ7970" r:id="rId24" display="http://cdsbib.u-strasbg.fr/cgi-bin/cdsbib?1990RMxAA..21..381G" xr:uid="{00000000-0004-0000-0300-000017000000}"/>
    <hyperlink ref="AZ7948" r:id="rId25" display="http://cdsbib.u-strasbg.fr/cgi-bin/cdsbib?1990RMxAA..21..381G" xr:uid="{00000000-0004-0000-0300-000018000000}"/>
    <hyperlink ref="BA8082" r:id="rId26" display="http://cdsbib.u-strasbg.fr/cgi-bin/cdsbib?1990RMxAA..21..381G" xr:uid="{00000000-0004-0000-0300-000019000000}"/>
    <hyperlink ref="BA2634" r:id="rId27" display="http://cdsbib.u-strasbg.fr/cgi-bin/cdsbib?1990RMxAA..21..381G" xr:uid="{00000000-0004-0000-0300-00001A000000}"/>
    <hyperlink ref="BA8083" r:id="rId28" display="http://cdsbib.u-strasbg.fr/cgi-bin/cdsbib?1990RMxAA..21..381G" xr:uid="{00000000-0004-0000-0300-00001B000000}"/>
    <hyperlink ref="AW60636" r:id="rId29" display="http://cdsbib.u-strasbg.fr/cgi-bin/cdsbib?1990RMxAA..21..381G" xr:uid="{00000000-0004-0000-0300-00001C000000}"/>
    <hyperlink ref="AV8000" r:id="rId30" display="http://cdsbib.u-strasbg.fr/cgi-bin/cdsbib?1990RMxAA..21..381G" xr:uid="{00000000-0004-0000-0300-00001D000000}"/>
    <hyperlink ref="AV8003" r:id="rId31" display="http://cdsbib.u-strasbg.fr/cgi-bin/cdsbib?1990RMxAA..21..381G" xr:uid="{00000000-0004-0000-0300-00001E000000}"/>
    <hyperlink ref="AV8001" r:id="rId32" display="http://cdsbib.u-strasbg.fr/cgi-bin/cdsbib?1990RMxAA..21..381G" xr:uid="{00000000-0004-0000-0300-00001F000000}"/>
    <hyperlink ref="AV7985" r:id="rId33" display="http://cdsbib.u-strasbg.fr/cgi-bin/cdsbib?1990RMxAA..21..381G" xr:uid="{00000000-0004-0000-0300-000020000000}"/>
    <hyperlink ref="AW8214" r:id="rId34" display="http://cdsbib.u-strasbg.fr/cgi-bin/cdsbib?1990RMxAA..21..381G" xr:uid="{00000000-0004-0000-0300-000021000000}"/>
    <hyperlink ref="AW8218" r:id="rId35" display="http://cdsbib.u-strasbg.fr/cgi-bin/cdsbib?1990RMxAA..21..381G" xr:uid="{00000000-0004-0000-0300-000022000000}"/>
    <hyperlink ref="AW2723" r:id="rId36" display="http://cdsbib.u-strasbg.fr/cgi-bin/cdsbib?1990RMxAA..21..381G" xr:uid="{00000000-0004-0000-0300-000023000000}"/>
    <hyperlink ref="AW4286" r:id="rId37" display="http://cdsbib.u-strasbg.fr/cgi-bin/cdsbib?1990RMxAA..21..381G" xr:uid="{00000000-0004-0000-0300-000024000000}"/>
    <hyperlink ref="AW4285" r:id="rId38" display="http://cdsbib.u-strasbg.fr/cgi-bin/cdsbib?1990RMxAA..21..381G" xr:uid="{00000000-0004-0000-0300-000025000000}"/>
    <hyperlink ref="AV4040" r:id="rId39" display="http://cdsbib.u-strasbg.fr/cgi-bin/cdsbib?1990RMxAA..21..381G" xr:uid="{00000000-0004-0000-0300-000026000000}"/>
    <hyperlink ref="AV4066" r:id="rId40" display="http://cdsbib.u-strasbg.fr/cgi-bin/cdsbib?1990RMxAA..21..381G" xr:uid="{00000000-0004-0000-0300-000027000000}"/>
    <hyperlink ref="AV4067" r:id="rId41" display="http://cdsbib.u-strasbg.fr/cgi-bin/cdsbib?1990RMxAA..21..381G" xr:uid="{00000000-0004-0000-0300-000028000000}"/>
    <hyperlink ref="AV4063" r:id="rId42" display="http://cdsbib.u-strasbg.fr/cgi-bin/cdsbib?1990RMxAA..21..381G" xr:uid="{00000000-0004-0000-03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2"/>
  <sheetViews>
    <sheetView topLeftCell="A79" workbookViewId="0">
      <selection activeCell="Q123" sqref="Q12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115</v>
      </c>
      <c r="C1" s="11"/>
      <c r="V1" s="6" t="s">
        <v>65</v>
      </c>
      <c r="W1" s="8" t="s">
        <v>77</v>
      </c>
    </row>
    <row r="2" spans="1:23">
      <c r="A2" t="s">
        <v>80</v>
      </c>
      <c r="B2" t="s">
        <v>85</v>
      </c>
      <c r="D2" s="12"/>
      <c r="S2" t="s">
        <v>245</v>
      </c>
      <c r="T2">
        <v>4.7000000000000002E-3</v>
      </c>
      <c r="V2" s="101">
        <v>-4000</v>
      </c>
      <c r="W2" s="101">
        <f>+T$2*SIN(RADIANS(T$3*V2+T$4))</f>
        <v>-4.1343482924730973E-3</v>
      </c>
    </row>
    <row r="3" spans="1:23" ht="13.5" thickBot="1">
      <c r="A3" s="47" t="s">
        <v>123</v>
      </c>
      <c r="C3" s="11"/>
      <c r="S3" t="s">
        <v>246</v>
      </c>
      <c r="T3">
        <v>1.6199999999999999E-2</v>
      </c>
      <c r="V3" s="101">
        <v>-2000</v>
      </c>
      <c r="W3" s="101">
        <f t="shared" ref="W3:W20" si="0">+T$2*SIN(RADIANS(T$3*V3+T$4))</f>
        <v>-4.6885510362211745E-3</v>
      </c>
    </row>
    <row r="4" spans="1:23" ht="14.25" thickTop="1" thickBot="1">
      <c r="A4" s="7" t="s">
        <v>56</v>
      </c>
      <c r="C4" s="2">
        <v>44559.960400000004</v>
      </c>
      <c r="D4" s="3">
        <v>0.32991700000000002</v>
      </c>
      <c r="E4" s="33" t="s">
        <v>110</v>
      </c>
      <c r="S4" t="s">
        <v>247</v>
      </c>
      <c r="T4">
        <v>306.39999999999998</v>
      </c>
      <c r="V4" s="101">
        <v>0</v>
      </c>
      <c r="W4" s="101">
        <f t="shared" si="0"/>
        <v>-3.7830008475727983E-3</v>
      </c>
    </row>
    <row r="5" spans="1:23" ht="13.5" thickTop="1">
      <c r="A5" t="s">
        <v>225</v>
      </c>
      <c r="C5" s="23">
        <v>7</v>
      </c>
      <c r="D5" s="106" t="s">
        <v>226</v>
      </c>
      <c r="V5" s="101">
        <v>2000</v>
      </c>
      <c r="W5" s="101">
        <f t="shared" si="0"/>
        <v>-1.6996354793858391E-3</v>
      </c>
    </row>
    <row r="6" spans="1:23">
      <c r="A6" s="7" t="s">
        <v>57</v>
      </c>
      <c r="V6" s="101">
        <v>4000</v>
      </c>
      <c r="W6" s="101">
        <f t="shared" si="0"/>
        <v>9.1290145073386845E-4</v>
      </c>
    </row>
    <row r="7" spans="1:23">
      <c r="A7" t="s">
        <v>58</v>
      </c>
      <c r="C7" s="11">
        <v>45745.6394</v>
      </c>
      <c r="D7" s="37" t="s">
        <v>244</v>
      </c>
      <c r="V7" s="101">
        <v>6000</v>
      </c>
      <c r="W7" s="101">
        <f t="shared" si="0"/>
        <v>3.2412118555576459E-3</v>
      </c>
    </row>
    <row r="8" spans="1:23">
      <c r="A8" t="s">
        <v>59</v>
      </c>
      <c r="C8">
        <v>0.32990551899999998</v>
      </c>
      <c r="D8" s="37" t="s">
        <v>244</v>
      </c>
      <c r="V8" s="101">
        <v>8000</v>
      </c>
      <c r="W8" s="101">
        <f t="shared" si="0"/>
        <v>4.5603899134971839E-3</v>
      </c>
    </row>
    <row r="9" spans="1:23">
      <c r="A9" s="44" t="s">
        <v>141</v>
      </c>
      <c r="C9" s="90">
        <v>21</v>
      </c>
      <c r="D9" s="44" t="str">
        <f>"F"&amp;C9</f>
        <v>F21</v>
      </c>
      <c r="E9" s="44" t="str">
        <f>"G"&amp;C9</f>
        <v>G21</v>
      </c>
      <c r="V9" s="101">
        <v>10000</v>
      </c>
      <c r="W9" s="101">
        <f t="shared" si="0"/>
        <v>4.4597172547291347E-3</v>
      </c>
    </row>
    <row r="10" spans="1:23" ht="13.5" thickBot="1">
      <c r="C10" s="6" t="s">
        <v>75</v>
      </c>
      <c r="D10" s="6" t="s">
        <v>76</v>
      </c>
      <c r="V10" s="101">
        <v>12000</v>
      </c>
      <c r="W10" s="101">
        <f t="shared" si="0"/>
        <v>2.9705377225248009E-3</v>
      </c>
    </row>
    <row r="11" spans="1:23">
      <c r="A11" t="s">
        <v>71</v>
      </c>
      <c r="C11" s="37">
        <f ca="1">INTERCEPT(INDIRECT(E9):G1005,INDIRECT(D9):$F1005)</f>
        <v>4.0602554679420692E-3</v>
      </c>
      <c r="D11" s="5">
        <f>+E11*F11</f>
        <v>-4.2815808689797112E-2</v>
      </c>
      <c r="E11" s="91">
        <v>-4.2815808689797112E-2</v>
      </c>
      <c r="F11">
        <v>1</v>
      </c>
      <c r="V11" s="101">
        <v>14000</v>
      </c>
      <c r="W11" s="101">
        <f t="shared" si="0"/>
        <v>5.5649865104056315E-4</v>
      </c>
    </row>
    <row r="12" spans="1:23">
      <c r="A12" t="s">
        <v>72</v>
      </c>
      <c r="C12" s="37">
        <f ca="1">SLOPE(INDIRECT(E9):G1005,INDIRECT(D9):$F1005)</f>
        <v>-1.4461917651822668E-6</v>
      </c>
      <c r="D12" s="5">
        <f>+E12*F12</f>
        <v>4.285054317109103E-6</v>
      </c>
      <c r="E12" s="92">
        <v>4.2850543171091028E-2</v>
      </c>
      <c r="F12" s="107">
        <v>1E-4</v>
      </c>
      <c r="V12" s="101">
        <v>16000</v>
      </c>
      <c r="W12" s="101">
        <f t="shared" si="0"/>
        <v>-2.0308030193693103E-3</v>
      </c>
    </row>
    <row r="13" spans="1:23" ht="13.5" thickBot="1">
      <c r="A13" t="s">
        <v>74</v>
      </c>
      <c r="C13" s="5" t="s">
        <v>69</v>
      </c>
      <c r="D13" s="5">
        <f>+E13*F13</f>
        <v>-1.5151279805483432E-10</v>
      </c>
      <c r="E13" s="93">
        <v>-1.5151279805483432E-2</v>
      </c>
      <c r="F13" s="107">
        <v>1E-8</v>
      </c>
      <c r="V13" s="101">
        <v>18000</v>
      </c>
      <c r="W13" s="101">
        <f t="shared" si="0"/>
        <v>-3.985826051935204E-3</v>
      </c>
    </row>
    <row r="14" spans="1:23">
      <c r="A14" t="s">
        <v>79</v>
      </c>
      <c r="E14">
        <f>SUM(U21:U950)</f>
        <v>1.0091404525475681E-4</v>
      </c>
      <c r="V14" s="101">
        <v>20000</v>
      </c>
      <c r="W14" s="101">
        <f t="shared" si="0"/>
        <v>-4.6998854643153553E-3</v>
      </c>
    </row>
    <row r="15" spans="1:23">
      <c r="A15" s="4" t="s">
        <v>73</v>
      </c>
      <c r="C15" s="35">
        <f ca="1">(C7+C11)+(C8+C12)*INT(MAX(F21:F3533))</f>
        <v>55874.688207686697</v>
      </c>
      <c r="D15" s="10">
        <f>+C7+INT(MAX(F21:F1588))*C8+D11+D12*INT(MAX(F21:F4023))+D13*INT(MAX(F21:F4050)^2)</f>
        <v>55874.674466212047</v>
      </c>
      <c r="E15" s="80" t="s">
        <v>142</v>
      </c>
      <c r="F15" s="89">
        <v>1</v>
      </c>
      <c r="V15" s="101">
        <v>22000</v>
      </c>
      <c r="W15" s="101">
        <f t="shared" si="0"/>
        <v>-3.9506630364297178E-3</v>
      </c>
    </row>
    <row r="16" spans="1:23">
      <c r="A16" s="7" t="s">
        <v>60</v>
      </c>
      <c r="C16" s="36">
        <f ca="1">+C8+C12</f>
        <v>0.32990407280823481</v>
      </c>
      <c r="D16" s="10">
        <f>+C8+D12+2*D13*MAX(F21:F896)</f>
        <v>0.32990050010792693</v>
      </c>
      <c r="E16" s="80" t="s">
        <v>143</v>
      </c>
      <c r="F16" s="94">
        <f ca="1">NOW()+15018.5+$C$5/24</f>
        <v>60679.47959224537</v>
      </c>
      <c r="V16" s="101">
        <v>24000</v>
      </c>
      <c r="W16" s="101">
        <f t="shared" si="0"/>
        <v>-1.9714247874970409E-3</v>
      </c>
    </row>
    <row r="17" spans="1:32" ht="13.5" thickBot="1">
      <c r="A17" s="37" t="s">
        <v>113</v>
      </c>
      <c r="C17">
        <f>COUNT(C21:C4739)</f>
        <v>103</v>
      </c>
      <c r="E17" s="80" t="s">
        <v>144</v>
      </c>
      <c r="F17" s="94">
        <f ca="1">ROUND(2*(F16-$C$7)/$C$8,0)/2+F15</f>
        <v>45268</v>
      </c>
      <c r="V17" s="101">
        <v>26000</v>
      </c>
      <c r="W17" s="101">
        <f t="shared" si="0"/>
        <v>6.2160503420846788E-4</v>
      </c>
    </row>
    <row r="18" spans="1:32" ht="14.25" thickTop="1" thickBot="1">
      <c r="A18" s="7" t="s">
        <v>147</v>
      </c>
      <c r="C18" s="95">
        <f ca="1">+C15</f>
        <v>55874.688207686697</v>
      </c>
      <c r="D18" s="96">
        <f ca="1">C16</f>
        <v>0.32990407280823481</v>
      </c>
      <c r="E18" s="80" t="s">
        <v>145</v>
      </c>
      <c r="F18" s="10">
        <f ca="1">ROUND(2*(F16-$C$15)/$C$16,0)/2+F15</f>
        <v>14565</v>
      </c>
      <c r="V18" s="101">
        <v>28000</v>
      </c>
      <c r="W18" s="101">
        <f t="shared" si="0"/>
        <v>3.0211017655267366E-3</v>
      </c>
    </row>
    <row r="19" spans="1:32" ht="13.5" thickBot="1">
      <c r="A19" s="7" t="s">
        <v>148</v>
      </c>
      <c r="C19" s="97">
        <f>+D15</f>
        <v>55874.674466212047</v>
      </c>
      <c r="D19" s="98">
        <f>+D16</f>
        <v>0.32990050010792693</v>
      </c>
      <c r="E19" s="80" t="s">
        <v>146</v>
      </c>
      <c r="F19" s="99">
        <f ca="1">+$C$15+$C$16*F18-15018.5-$C$5/24</f>
        <v>45660.949361471976</v>
      </c>
      <c r="V19" s="101">
        <v>30000</v>
      </c>
      <c r="W19" s="101">
        <f t="shared" si="0"/>
        <v>4.4799961386268496E-3</v>
      </c>
    </row>
    <row r="20" spans="1:32" ht="15" thickBot="1">
      <c r="A20" s="6" t="s">
        <v>61</v>
      </c>
      <c r="B20" s="6" t="s">
        <v>62</v>
      </c>
      <c r="C20" s="6" t="s">
        <v>63</v>
      </c>
      <c r="D20" s="6" t="s">
        <v>68</v>
      </c>
      <c r="E20" s="6" t="s">
        <v>64</v>
      </c>
      <c r="F20" s="6" t="s">
        <v>65</v>
      </c>
      <c r="G20" s="6" t="s">
        <v>66</v>
      </c>
      <c r="H20" s="9" t="s">
        <v>67</v>
      </c>
      <c r="I20" s="9" t="s">
        <v>220</v>
      </c>
      <c r="J20" s="9" t="s">
        <v>92</v>
      </c>
      <c r="K20" s="9" t="s">
        <v>98</v>
      </c>
      <c r="L20" s="9" t="s">
        <v>82</v>
      </c>
      <c r="M20" s="9" t="s">
        <v>219</v>
      </c>
      <c r="N20" s="9" t="s">
        <v>83</v>
      </c>
      <c r="O20" s="9" t="s">
        <v>78</v>
      </c>
      <c r="P20" s="86" t="s">
        <v>77</v>
      </c>
      <c r="Q20" s="6" t="s">
        <v>70</v>
      </c>
      <c r="R20" s="9" t="s">
        <v>221</v>
      </c>
      <c r="S20" s="8" t="s">
        <v>222</v>
      </c>
      <c r="T20" s="6" t="s">
        <v>224</v>
      </c>
      <c r="U20" s="8" t="s">
        <v>223</v>
      </c>
      <c r="V20" s="101">
        <v>32000</v>
      </c>
      <c r="W20" s="101">
        <f t="shared" si="0"/>
        <v>4.5440699264409599E-3</v>
      </c>
    </row>
    <row r="21" spans="1:32" s="101" customFormat="1">
      <c r="A21" s="10" t="s">
        <v>99</v>
      </c>
      <c r="B21"/>
      <c r="C21" s="113">
        <v>44520.700599999996</v>
      </c>
      <c r="D21" s="25"/>
      <c r="E21" s="101">
        <f t="shared" ref="E21:E52" si="1">+(C21-C$7)/C$8</f>
        <v>-3712.9988116385639</v>
      </c>
      <c r="F21" s="101">
        <f t="shared" ref="F21:F52" si="2">ROUND(2*E21,0)/2</f>
        <v>-3713</v>
      </c>
      <c r="G21" s="101">
        <f t="shared" ref="G21:G52" si="3">+C21-(C$7+F21*C$8)</f>
        <v>3.9204699714900926E-4</v>
      </c>
      <c r="N21" s="105">
        <f>G21</f>
        <v>3.9204699714900926E-4</v>
      </c>
      <c r="P21" s="103"/>
      <c r="Q21" s="104">
        <f t="shared" ref="Q21:Q52" si="4">+C21-15018.5</f>
        <v>29502.200599999996</v>
      </c>
    </row>
    <row r="22" spans="1:32" s="101" customFormat="1">
      <c r="A22" s="10" t="s">
        <v>99</v>
      </c>
      <c r="B22"/>
      <c r="C22" s="25">
        <v>44520.865299999998</v>
      </c>
      <c r="D22" s="25"/>
      <c r="E22" s="101">
        <f t="shared" si="1"/>
        <v>-3712.4995777957943</v>
      </c>
      <c r="F22" s="101">
        <f t="shared" si="2"/>
        <v>-3712.5</v>
      </c>
      <c r="G22" s="101">
        <f t="shared" si="3"/>
        <v>1.3928749831393361E-4</v>
      </c>
      <c r="I22" s="102"/>
      <c r="N22" s="105">
        <f>G22</f>
        <v>1.3928749831393361E-4</v>
      </c>
      <c r="P22" s="103"/>
      <c r="Q22" s="104">
        <f t="shared" si="4"/>
        <v>29502.365299999998</v>
      </c>
    </row>
    <row r="23" spans="1:32" s="101" customFormat="1">
      <c r="A23" s="10" t="s">
        <v>99</v>
      </c>
      <c r="B23" t="s">
        <v>86</v>
      </c>
      <c r="C23" s="25">
        <v>44556.825700000001</v>
      </c>
      <c r="D23" s="25"/>
      <c r="E23" s="101">
        <f t="shared" si="1"/>
        <v>-3603.4974607381419</v>
      </c>
      <c r="F23" s="101">
        <f t="shared" si="2"/>
        <v>-3603.5</v>
      </c>
      <c r="G23" s="101">
        <f t="shared" si="3"/>
        <v>8.3771649951813743E-4</v>
      </c>
      <c r="N23" s="105">
        <f>G23</f>
        <v>8.3771649951813743E-4</v>
      </c>
      <c r="P23" s="103"/>
      <c r="Q23" s="104">
        <f t="shared" si="4"/>
        <v>29538.325700000001</v>
      </c>
    </row>
    <row r="24" spans="1:32" s="101" customFormat="1">
      <c r="A24" s="10" t="s">
        <v>99</v>
      </c>
      <c r="B24" s="5" t="s">
        <v>86</v>
      </c>
      <c r="C24" s="113">
        <v>44558.805699999997</v>
      </c>
      <c r="D24" s="25"/>
      <c r="E24" s="101">
        <f t="shared" si="1"/>
        <v>-3597.4957424098229</v>
      </c>
      <c r="F24" s="101">
        <f t="shared" si="2"/>
        <v>-3597.5</v>
      </c>
      <c r="G24" s="101">
        <f t="shared" si="3"/>
        <v>1.4046024953131564E-3</v>
      </c>
      <c r="N24" s="105">
        <f>G24</f>
        <v>1.4046024953131564E-3</v>
      </c>
      <c r="P24" s="103"/>
      <c r="Q24" s="104">
        <f t="shared" si="4"/>
        <v>29540.305699999997</v>
      </c>
    </row>
    <row r="25" spans="1:32" s="101" customFormat="1">
      <c r="A25" s="15" t="s">
        <v>97</v>
      </c>
      <c r="B25" s="5" t="s">
        <v>86</v>
      </c>
      <c r="C25" s="114">
        <v>44559.794999999998</v>
      </c>
      <c r="D25" s="26"/>
      <c r="E25" s="101">
        <f t="shared" si="1"/>
        <v>-3594.4970050652651</v>
      </c>
      <c r="F25" s="101">
        <f t="shared" si="2"/>
        <v>-3594.5</v>
      </c>
      <c r="G25" s="101">
        <f t="shared" si="3"/>
        <v>9.8804549634223804E-4</v>
      </c>
      <c r="K25" s="105">
        <f>G25</f>
        <v>9.8804549634223804E-4</v>
      </c>
      <c r="P25" s="103"/>
      <c r="Q25" s="104">
        <f t="shared" si="4"/>
        <v>29541.294999999998</v>
      </c>
      <c r="AB25" s="101">
        <v>12</v>
      </c>
      <c r="AD25" s="101" t="s">
        <v>136</v>
      </c>
      <c r="AF25" s="101" t="s">
        <v>137</v>
      </c>
    </row>
    <row r="26" spans="1:32" s="101" customFormat="1">
      <c r="A26" s="15" t="s">
        <v>67</v>
      </c>
      <c r="B26"/>
      <c r="C26" s="115">
        <v>44559.960400000004</v>
      </c>
      <c r="D26" s="25" t="s">
        <v>69</v>
      </c>
      <c r="E26" s="101">
        <f t="shared" si="1"/>
        <v>-3593.995649402872</v>
      </c>
      <c r="F26" s="101">
        <f t="shared" si="2"/>
        <v>-3594</v>
      </c>
      <c r="G26" s="101">
        <f t="shared" si="3"/>
        <v>1.4352860016515478E-3</v>
      </c>
      <c r="H26" s="101">
        <f>G26</f>
        <v>1.4352860016515478E-3</v>
      </c>
      <c r="P26" s="103"/>
      <c r="Q26" s="104">
        <f t="shared" si="4"/>
        <v>29541.460400000004</v>
      </c>
    </row>
    <row r="27" spans="1:32" s="101" customFormat="1">
      <c r="A27" s="15" t="s">
        <v>97</v>
      </c>
      <c r="B27" s="5" t="s">
        <v>87</v>
      </c>
      <c r="C27" s="114">
        <v>44559.961000000003</v>
      </c>
      <c r="D27" s="26"/>
      <c r="E27" s="101">
        <f t="shared" si="1"/>
        <v>-3593.9938307003499</v>
      </c>
      <c r="F27" s="101">
        <f t="shared" si="2"/>
        <v>-3594</v>
      </c>
      <c r="G27" s="101">
        <f t="shared" si="3"/>
        <v>2.0352860010461882E-3</v>
      </c>
      <c r="K27" s="105">
        <f>G27</f>
        <v>2.0352860010461882E-3</v>
      </c>
      <c r="P27" s="103"/>
      <c r="Q27" s="104">
        <f t="shared" si="4"/>
        <v>29541.461000000003</v>
      </c>
      <c r="AA27" s="101" t="s">
        <v>138</v>
      </c>
      <c r="AB27" s="101">
        <v>6</v>
      </c>
      <c r="AD27" s="101" t="s">
        <v>136</v>
      </c>
      <c r="AF27" s="101" t="s">
        <v>137</v>
      </c>
    </row>
    <row r="28" spans="1:32" s="101" customFormat="1">
      <c r="A28" s="10" t="s">
        <v>100</v>
      </c>
      <c r="B28" s="5" t="s">
        <v>86</v>
      </c>
      <c r="C28" s="113">
        <v>45732.607600000003</v>
      </c>
      <c r="D28" s="25"/>
      <c r="E28" s="101">
        <f t="shared" si="1"/>
        <v>-39.50161258137976</v>
      </c>
      <c r="F28" s="101">
        <f t="shared" si="2"/>
        <v>-39.5</v>
      </c>
      <c r="G28" s="101">
        <f t="shared" si="3"/>
        <v>-5.3199949616100639E-4</v>
      </c>
      <c r="J28" s="101">
        <f t="shared" ref="J28:J33" si="5">G28</f>
        <v>-5.3199949616100639E-4</v>
      </c>
      <c r="P28" s="103"/>
      <c r="Q28" s="104">
        <f t="shared" si="4"/>
        <v>30714.107600000003</v>
      </c>
    </row>
    <row r="29" spans="1:32" s="101" customFormat="1">
      <c r="A29" s="10" t="s">
        <v>100</v>
      </c>
      <c r="B29" s="5" t="s">
        <v>86</v>
      </c>
      <c r="C29" s="113">
        <v>45738.546300000002</v>
      </c>
      <c r="D29" s="25"/>
      <c r="E29" s="101">
        <f t="shared" si="1"/>
        <v>-21.50039811852384</v>
      </c>
      <c r="F29" s="101">
        <f t="shared" si="2"/>
        <v>-21.5</v>
      </c>
      <c r="G29" s="101">
        <f t="shared" si="3"/>
        <v>-1.3134149776306003E-4</v>
      </c>
      <c r="J29" s="101">
        <f t="shared" si="5"/>
        <v>-1.3134149776306003E-4</v>
      </c>
      <c r="P29" s="103"/>
      <c r="Q29" s="104">
        <f t="shared" si="4"/>
        <v>30720.046300000002</v>
      </c>
      <c r="AA29" s="101" t="s">
        <v>138</v>
      </c>
      <c r="AB29" s="101">
        <v>6</v>
      </c>
      <c r="AD29" s="101" t="s">
        <v>136</v>
      </c>
      <c r="AF29" s="101" t="s">
        <v>137</v>
      </c>
    </row>
    <row r="30" spans="1:32" s="101" customFormat="1">
      <c r="A30" s="10" t="s">
        <v>100</v>
      </c>
      <c r="B30" s="5" t="s">
        <v>87</v>
      </c>
      <c r="C30" s="25">
        <v>45745.640200000002</v>
      </c>
      <c r="D30" s="25"/>
      <c r="E30" s="101">
        <f t="shared" si="1"/>
        <v>2.4249367032206969E-3</v>
      </c>
      <c r="F30" s="101">
        <f t="shared" si="2"/>
        <v>0</v>
      </c>
      <c r="G30" s="101">
        <f t="shared" si="3"/>
        <v>8.0000000161817297E-4</v>
      </c>
      <c r="J30" s="101">
        <f t="shared" si="5"/>
        <v>8.0000000161817297E-4</v>
      </c>
      <c r="P30" s="103"/>
      <c r="Q30" s="104">
        <f t="shared" si="4"/>
        <v>30727.140200000002</v>
      </c>
    </row>
    <row r="31" spans="1:32" s="101" customFormat="1">
      <c r="A31" s="10" t="s">
        <v>100</v>
      </c>
      <c r="B31" s="5" t="s">
        <v>87</v>
      </c>
      <c r="C31" s="22">
        <v>45752.567600000002</v>
      </c>
      <c r="D31" s="25"/>
      <c r="E31" s="101">
        <f t="shared" si="1"/>
        <v>21.000558041595259</v>
      </c>
      <c r="F31" s="101">
        <f t="shared" si="2"/>
        <v>21</v>
      </c>
      <c r="G31" s="101">
        <f t="shared" si="3"/>
        <v>1.8410100165056065E-4</v>
      </c>
      <c r="J31" s="101">
        <f t="shared" si="5"/>
        <v>1.8410100165056065E-4</v>
      </c>
      <c r="P31" s="103"/>
      <c r="Q31" s="104">
        <f t="shared" si="4"/>
        <v>30734.067600000002</v>
      </c>
      <c r="AA31" s="101" t="s">
        <v>138</v>
      </c>
      <c r="AB31" s="101">
        <v>7</v>
      </c>
      <c r="AD31" s="101" t="s">
        <v>136</v>
      </c>
      <c r="AF31" s="101" t="s">
        <v>137</v>
      </c>
    </row>
    <row r="32" spans="1:32" s="101" customFormat="1">
      <c r="A32" s="31" t="s">
        <v>93</v>
      </c>
      <c r="B32" s="19" t="s">
        <v>86</v>
      </c>
      <c r="C32" s="27">
        <v>46006.428099999997</v>
      </c>
      <c r="D32" s="27"/>
      <c r="E32" s="101">
        <f t="shared" si="1"/>
        <v>790.49511142005883</v>
      </c>
      <c r="F32" s="101">
        <f t="shared" si="2"/>
        <v>790.5</v>
      </c>
      <c r="G32" s="101">
        <f t="shared" si="3"/>
        <v>-1.6127695053000934E-3</v>
      </c>
      <c r="J32" s="101">
        <f t="shared" si="5"/>
        <v>-1.6127695053000934E-3</v>
      </c>
      <c r="P32" s="103"/>
      <c r="Q32" s="104">
        <f t="shared" si="4"/>
        <v>30987.928099999997</v>
      </c>
      <c r="AA32" s="101" t="s">
        <v>138</v>
      </c>
      <c r="AB32" s="101">
        <v>6</v>
      </c>
      <c r="AD32" s="101" t="s">
        <v>136</v>
      </c>
      <c r="AF32" s="101" t="s">
        <v>137</v>
      </c>
    </row>
    <row r="33" spans="1:32" s="101" customFormat="1">
      <c r="A33" s="31" t="s">
        <v>93</v>
      </c>
      <c r="B33" s="19" t="s">
        <v>94</v>
      </c>
      <c r="C33" s="27">
        <v>46022.429000000004</v>
      </c>
      <c r="D33" s="27"/>
      <c r="E33" s="101">
        <f t="shared" si="1"/>
        <v>838.99657344017851</v>
      </c>
      <c r="F33" s="101">
        <f t="shared" si="2"/>
        <v>839</v>
      </c>
      <c r="G33" s="101">
        <f t="shared" si="3"/>
        <v>-1.1304409927106462E-3</v>
      </c>
      <c r="J33" s="101">
        <f t="shared" si="5"/>
        <v>-1.1304409927106462E-3</v>
      </c>
      <c r="P33" s="103"/>
      <c r="Q33" s="104">
        <f t="shared" si="4"/>
        <v>31003.929000000004</v>
      </c>
      <c r="AA33" s="101" t="s">
        <v>138</v>
      </c>
      <c r="AB33" s="101">
        <v>10</v>
      </c>
      <c r="AD33" s="101" t="s">
        <v>136</v>
      </c>
      <c r="AF33" s="101" t="s">
        <v>137</v>
      </c>
    </row>
    <row r="34" spans="1:32" s="101" customFormat="1">
      <c r="A34" s="10" t="s">
        <v>101</v>
      </c>
      <c r="B34"/>
      <c r="C34" s="25">
        <v>46024.738899999997</v>
      </c>
      <c r="D34" s="25"/>
      <c r="E34" s="101">
        <f t="shared" si="1"/>
        <v>845.99827503945653</v>
      </c>
      <c r="F34" s="101">
        <f t="shared" si="2"/>
        <v>846</v>
      </c>
      <c r="G34" s="101">
        <f t="shared" si="3"/>
        <v>-5.6907399994088337E-4</v>
      </c>
      <c r="N34" s="105">
        <f>G34</f>
        <v>-5.6907399994088337E-4</v>
      </c>
      <c r="P34" s="103"/>
      <c r="Q34" s="104">
        <f t="shared" si="4"/>
        <v>31006.238899999997</v>
      </c>
      <c r="AA34" s="101" t="s">
        <v>138</v>
      </c>
      <c r="AB34" s="101">
        <v>8</v>
      </c>
      <c r="AD34" s="101" t="s">
        <v>139</v>
      </c>
      <c r="AF34" s="101" t="s">
        <v>137</v>
      </c>
    </row>
    <row r="35" spans="1:32" s="101" customFormat="1">
      <c r="A35" s="10" t="s">
        <v>93</v>
      </c>
      <c r="B35"/>
      <c r="C35" s="25">
        <v>46036.285799999998</v>
      </c>
      <c r="D35" s="25"/>
      <c r="E35" s="101">
        <f t="shared" si="1"/>
        <v>880.9989019916876</v>
      </c>
      <c r="F35" s="101">
        <f t="shared" si="2"/>
        <v>881</v>
      </c>
      <c r="G35" s="101">
        <f t="shared" si="3"/>
        <v>-3.6223899951437488E-4</v>
      </c>
      <c r="J35" s="101">
        <f>G35</f>
        <v>-3.6223899951437488E-4</v>
      </c>
      <c r="P35" s="103"/>
      <c r="Q35" s="104">
        <f t="shared" si="4"/>
        <v>31017.785799999998</v>
      </c>
      <c r="AA35" s="101" t="s">
        <v>138</v>
      </c>
      <c r="AB35" s="101">
        <v>5</v>
      </c>
      <c r="AD35" s="101" t="s">
        <v>136</v>
      </c>
      <c r="AF35" s="101" t="s">
        <v>137</v>
      </c>
    </row>
    <row r="36" spans="1:32" s="101" customFormat="1">
      <c r="A36" s="31" t="s">
        <v>93</v>
      </c>
      <c r="B36" s="19" t="s">
        <v>86</v>
      </c>
      <c r="C36" s="27">
        <v>46036.449800000002</v>
      </c>
      <c r="D36" s="27"/>
      <c r="E36" s="101">
        <f t="shared" si="1"/>
        <v>881.4960140148554</v>
      </c>
      <c r="F36" s="101">
        <f t="shared" si="2"/>
        <v>881.5</v>
      </c>
      <c r="G36" s="101">
        <f t="shared" si="3"/>
        <v>-1.3149984952178784E-3</v>
      </c>
      <c r="J36" s="101">
        <f>G36</f>
        <v>-1.3149984952178784E-3</v>
      </c>
      <c r="P36" s="103"/>
      <c r="Q36" s="104">
        <f t="shared" si="4"/>
        <v>31017.949800000002</v>
      </c>
      <c r="AA36" s="101" t="s">
        <v>138</v>
      </c>
      <c r="AB36" s="101">
        <v>6</v>
      </c>
      <c r="AD36" s="101" t="s">
        <v>136</v>
      </c>
      <c r="AF36" s="101" t="s">
        <v>137</v>
      </c>
    </row>
    <row r="37" spans="1:32" s="101" customFormat="1">
      <c r="A37" s="31" t="s">
        <v>93</v>
      </c>
      <c r="B37" s="19" t="s">
        <v>94</v>
      </c>
      <c r="C37" s="27">
        <v>46036.615700000002</v>
      </c>
      <c r="D37" s="27"/>
      <c r="E37" s="101">
        <f t="shared" si="1"/>
        <v>881.99888526266852</v>
      </c>
      <c r="F37" s="101">
        <f t="shared" si="2"/>
        <v>882</v>
      </c>
      <c r="G37" s="101">
        <f t="shared" si="3"/>
        <v>-3.6775799526367337E-4</v>
      </c>
      <c r="J37" s="101">
        <f>G37</f>
        <v>-3.6775799526367337E-4</v>
      </c>
      <c r="P37" s="103"/>
      <c r="Q37" s="104">
        <f t="shared" si="4"/>
        <v>31018.115700000002</v>
      </c>
      <c r="AA37" s="101" t="s">
        <v>138</v>
      </c>
      <c r="AB37" s="101">
        <v>6</v>
      </c>
      <c r="AD37" s="101" t="s">
        <v>136</v>
      </c>
      <c r="AF37" s="101" t="s">
        <v>137</v>
      </c>
    </row>
    <row r="38" spans="1:32" s="101" customFormat="1">
      <c r="A38" s="10" t="s">
        <v>102</v>
      </c>
      <c r="B38" s="5" t="s">
        <v>87</v>
      </c>
      <c r="C38" s="26">
        <v>46100.287100000001</v>
      </c>
      <c r="D38" s="25"/>
      <c r="E38" s="101">
        <f t="shared" si="1"/>
        <v>1074.9977783790921</v>
      </c>
      <c r="F38" s="101">
        <f t="shared" si="2"/>
        <v>1075</v>
      </c>
      <c r="G38" s="101">
        <f t="shared" si="3"/>
        <v>-7.3292500019306317E-4</v>
      </c>
      <c r="J38" s="101">
        <f>G38</f>
        <v>-7.3292500019306317E-4</v>
      </c>
      <c r="P38" s="103"/>
      <c r="Q38" s="104">
        <f t="shared" si="4"/>
        <v>31081.787100000001</v>
      </c>
    </row>
    <row r="39" spans="1:32" s="101" customFormat="1">
      <c r="A39" s="10" t="s">
        <v>102</v>
      </c>
      <c r="B39" s="5" t="s">
        <v>86</v>
      </c>
      <c r="C39" s="26">
        <v>46107.3796</v>
      </c>
      <c r="D39" s="25"/>
      <c r="E39" s="101">
        <f t="shared" si="1"/>
        <v>1096.4963577950941</v>
      </c>
      <c r="F39" s="101">
        <f t="shared" si="2"/>
        <v>1096.5</v>
      </c>
      <c r="G39" s="101">
        <f t="shared" si="3"/>
        <v>-1.2015835018246435E-3</v>
      </c>
      <c r="J39" s="101">
        <f>G39</f>
        <v>-1.2015835018246435E-3</v>
      </c>
      <c r="P39" s="103"/>
      <c r="Q39" s="104">
        <f t="shared" si="4"/>
        <v>31088.8796</v>
      </c>
      <c r="AA39" s="101" t="s">
        <v>138</v>
      </c>
      <c r="AB39" s="101">
        <v>6</v>
      </c>
      <c r="AD39" s="101" t="s">
        <v>136</v>
      </c>
      <c r="AF39" s="101" t="s">
        <v>137</v>
      </c>
    </row>
    <row r="40" spans="1:32" s="101" customFormat="1">
      <c r="A40" s="10" t="s">
        <v>103</v>
      </c>
      <c r="B40" s="5" t="s">
        <v>86</v>
      </c>
      <c r="C40" s="26">
        <v>46429.697899999999</v>
      </c>
      <c r="D40" s="25"/>
      <c r="E40" s="101">
        <f t="shared" si="1"/>
        <v>2073.4982005560182</v>
      </c>
      <c r="F40" s="101">
        <f t="shared" si="2"/>
        <v>2073.5</v>
      </c>
      <c r="G40" s="101">
        <f t="shared" si="3"/>
        <v>-5.936465022386983E-4</v>
      </c>
      <c r="J40" s="102"/>
      <c r="N40" s="105">
        <f>G40</f>
        <v>-5.936465022386983E-4</v>
      </c>
      <c r="P40" s="103"/>
      <c r="Q40" s="104">
        <f t="shared" si="4"/>
        <v>31411.197899999999</v>
      </c>
    </row>
    <row r="41" spans="1:32" s="101" customFormat="1">
      <c r="A41" s="10" t="s">
        <v>103</v>
      </c>
      <c r="B41" s="5" t="s">
        <v>86</v>
      </c>
      <c r="C41" s="26">
        <v>46436.625999999997</v>
      </c>
      <c r="D41" s="25"/>
      <c r="E41" s="101">
        <f t="shared" si="1"/>
        <v>2094.4984554805114</v>
      </c>
      <c r="F41" s="101">
        <f t="shared" si="2"/>
        <v>2094.5</v>
      </c>
      <c r="G41" s="101">
        <f t="shared" si="3"/>
        <v>-5.0954550533788279E-4</v>
      </c>
      <c r="J41" s="102"/>
      <c r="N41" s="105">
        <f>G41</f>
        <v>-5.0954550533788279E-4</v>
      </c>
      <c r="P41" s="103"/>
      <c r="Q41" s="104">
        <f t="shared" si="4"/>
        <v>31418.125999999997</v>
      </c>
    </row>
    <row r="42" spans="1:32" s="101" customFormat="1">
      <c r="A42" s="10" t="s">
        <v>104</v>
      </c>
      <c r="B42"/>
      <c r="C42" s="25">
        <v>46442.394899999999</v>
      </c>
      <c r="D42" s="25"/>
      <c r="E42" s="101">
        <f t="shared" si="1"/>
        <v>2111.984977129162</v>
      </c>
      <c r="F42" s="101">
        <f t="shared" si="2"/>
        <v>2112</v>
      </c>
      <c r="G42" s="101">
        <f t="shared" si="3"/>
        <v>-4.9561280029593036E-3</v>
      </c>
      <c r="J42" s="102"/>
      <c r="N42" s="105">
        <f>G42</f>
        <v>-4.9561280029593036E-3</v>
      </c>
      <c r="P42" s="103"/>
      <c r="Q42" s="104">
        <f t="shared" si="4"/>
        <v>31423.894899999999</v>
      </c>
      <c r="AA42" s="101" t="s">
        <v>138</v>
      </c>
      <c r="AF42" s="101" t="s">
        <v>140</v>
      </c>
    </row>
    <row r="43" spans="1:32" s="101" customFormat="1">
      <c r="A43" s="10" t="s">
        <v>105</v>
      </c>
      <c r="B43" s="5" t="s">
        <v>86</v>
      </c>
      <c r="C43" s="26">
        <v>47864.787900000003</v>
      </c>
      <c r="D43" s="25"/>
      <c r="E43" s="101">
        <f t="shared" si="1"/>
        <v>6423.5012085384451</v>
      </c>
      <c r="F43" s="101">
        <f t="shared" si="2"/>
        <v>6423.5</v>
      </c>
      <c r="G43" s="101">
        <f t="shared" si="3"/>
        <v>3.9870350155979395E-4</v>
      </c>
      <c r="J43" s="101">
        <f>G43</f>
        <v>3.9870350155979395E-4</v>
      </c>
      <c r="P43" s="103"/>
      <c r="Q43" s="104">
        <f t="shared" si="4"/>
        <v>32846.287900000003</v>
      </c>
      <c r="AA43" s="101" t="s">
        <v>138</v>
      </c>
      <c r="AB43" s="101">
        <v>8</v>
      </c>
      <c r="AD43" s="101" t="s">
        <v>136</v>
      </c>
      <c r="AF43" s="101" t="s">
        <v>137</v>
      </c>
    </row>
    <row r="44" spans="1:32" s="101" customFormat="1">
      <c r="A44" s="15" t="s">
        <v>81</v>
      </c>
      <c r="B44" s="16" t="s">
        <v>86</v>
      </c>
      <c r="C44" s="28">
        <v>50415.281000000003</v>
      </c>
      <c r="D44" s="28">
        <v>1.7999999999999999E-2</v>
      </c>
      <c r="E44" s="101">
        <f t="shared" si="1"/>
        <v>14154.481604777284</v>
      </c>
      <c r="F44" s="101">
        <f t="shared" si="2"/>
        <v>14154.5</v>
      </c>
      <c r="G44" s="101">
        <f t="shared" si="3"/>
        <v>-6.0686854994855821E-3</v>
      </c>
      <c r="N44" s="101">
        <f>G44</f>
        <v>-6.0686854994855821E-3</v>
      </c>
      <c r="P44" s="103"/>
      <c r="Q44" s="104">
        <f t="shared" si="4"/>
        <v>35396.781000000003</v>
      </c>
      <c r="AA44" s="101" t="s">
        <v>138</v>
      </c>
      <c r="AF44" s="101" t="s">
        <v>140</v>
      </c>
    </row>
    <row r="45" spans="1:32" s="101" customFormat="1">
      <c r="A45" s="15" t="s">
        <v>81</v>
      </c>
      <c r="B45" s="16" t="s">
        <v>86</v>
      </c>
      <c r="C45" s="28">
        <v>50421.22</v>
      </c>
      <c r="D45" s="28">
        <v>1.0999999999999999E-2</v>
      </c>
      <c r="E45" s="101">
        <f t="shared" si="1"/>
        <v>14172.483728591402</v>
      </c>
      <c r="F45" s="101">
        <f t="shared" si="2"/>
        <v>14172.5</v>
      </c>
      <c r="G45" s="101">
        <f t="shared" si="3"/>
        <v>-5.3680275013903156E-3</v>
      </c>
      <c r="N45" s="101">
        <f>G45</f>
        <v>-5.3680275013903156E-3</v>
      </c>
      <c r="P45" s="103"/>
      <c r="Q45" s="104">
        <f t="shared" si="4"/>
        <v>35402.720000000001</v>
      </c>
    </row>
    <row r="46" spans="1:32" s="101" customFormat="1" ht="13.5" thickBot="1">
      <c r="A46" s="15" t="s">
        <v>81</v>
      </c>
      <c r="B46" s="16" t="s">
        <v>87</v>
      </c>
      <c r="C46" s="28">
        <v>50434.245999999999</v>
      </c>
      <c r="D46" s="28">
        <v>1.2E-2</v>
      </c>
      <c r="E46" s="101">
        <f t="shared" si="1"/>
        <v>14211.967760381722</v>
      </c>
      <c r="F46" s="112">
        <f t="shared" si="2"/>
        <v>14212</v>
      </c>
      <c r="G46" s="112">
        <f t="shared" si="3"/>
        <v>-1.0636028004228137E-2</v>
      </c>
      <c r="N46" s="101">
        <f>G46</f>
        <v>-1.0636028004228137E-2</v>
      </c>
      <c r="P46" s="103"/>
      <c r="Q46" s="104">
        <f t="shared" si="4"/>
        <v>35415.745999999999</v>
      </c>
    </row>
    <row r="47" spans="1:32" s="101" customFormat="1">
      <c r="A47" s="10" t="s">
        <v>106</v>
      </c>
      <c r="B47" s="5" t="s">
        <v>86</v>
      </c>
      <c r="C47" s="26">
        <v>51199.458500000001</v>
      </c>
      <c r="D47" s="25">
        <v>1E-4</v>
      </c>
      <c r="E47" s="101">
        <f t="shared" si="1"/>
        <v>16531.457601956641</v>
      </c>
      <c r="F47" s="101">
        <f t="shared" si="2"/>
        <v>16531.5</v>
      </c>
      <c r="G47" s="101">
        <f t="shared" si="3"/>
        <v>-1.3987348494993057E-2</v>
      </c>
      <c r="J47" s="101">
        <f>G47</f>
        <v>-1.3987348494993057E-2</v>
      </c>
      <c r="P47" s="103">
        <f t="shared" ref="P47:P78" si="6">+D$11+D$12*F47+D$13*F47^2</f>
        <v>-1.338444040908849E-2</v>
      </c>
      <c r="Q47" s="104">
        <f t="shared" si="4"/>
        <v>36180.958500000001</v>
      </c>
      <c r="S47" s="101">
        <f t="shared" ref="S47:S78" si="7">+(P47-G47)^2</f>
        <v>3.6349816004910921E-7</v>
      </c>
      <c r="T47" s="101">
        <v>1</v>
      </c>
      <c r="U47" s="101">
        <f t="shared" ref="U47:U78" si="8">S47*T47</f>
        <v>3.6349816004910921E-7</v>
      </c>
    </row>
    <row r="48" spans="1:32" s="101" customFormat="1">
      <c r="A48" s="10" t="s">
        <v>106</v>
      </c>
      <c r="B48" s="5" t="s">
        <v>87</v>
      </c>
      <c r="C48" s="26">
        <v>51199.623699999996</v>
      </c>
      <c r="D48" s="25">
        <v>1E-4</v>
      </c>
      <c r="E48" s="101">
        <f t="shared" si="1"/>
        <v>16531.95835138483</v>
      </c>
      <c r="F48" s="101">
        <f t="shared" si="2"/>
        <v>16532</v>
      </c>
      <c r="G48" s="101">
        <f t="shared" si="3"/>
        <v>-1.3740107999183238E-2</v>
      </c>
      <c r="J48" s="101">
        <f>G48</f>
        <v>-1.3740107999183238E-2</v>
      </c>
      <c r="P48" s="103">
        <f t="shared" si="6"/>
        <v>-1.338480265362918E-2</v>
      </c>
      <c r="Q48" s="104">
        <f t="shared" si="4"/>
        <v>36181.123699999996</v>
      </c>
      <c r="S48" s="101">
        <f t="shared" si="7"/>
        <v>1.2624188857928842E-7</v>
      </c>
      <c r="T48" s="101">
        <v>1</v>
      </c>
      <c r="U48" s="101">
        <f t="shared" si="8"/>
        <v>1.2624188857928842E-7</v>
      </c>
    </row>
    <row r="49" spans="1:21" s="101" customFormat="1">
      <c r="A49" s="10" t="s">
        <v>106</v>
      </c>
      <c r="B49" s="5" t="s">
        <v>86</v>
      </c>
      <c r="C49" s="26">
        <v>51237.396999999997</v>
      </c>
      <c r="D49" s="25">
        <v>4.0000000000000001E-3</v>
      </c>
      <c r="E49" s="101">
        <f t="shared" si="1"/>
        <v>16646.455678117945</v>
      </c>
      <c r="F49" s="101">
        <f t="shared" si="2"/>
        <v>16646.5</v>
      </c>
      <c r="G49" s="101">
        <f t="shared" si="3"/>
        <v>-1.46220335009275E-2</v>
      </c>
      <c r="J49" s="101">
        <f>G49</f>
        <v>-1.46220335009275E-2</v>
      </c>
      <c r="P49" s="103">
        <f t="shared" si="6"/>
        <v>-1.3469751698215217E-2</v>
      </c>
      <c r="Q49" s="104">
        <f t="shared" si="4"/>
        <v>36218.896999999997</v>
      </c>
      <c r="S49" s="101">
        <f t="shared" si="7"/>
        <v>1.32775335286187E-6</v>
      </c>
      <c r="T49" s="101">
        <v>0.2</v>
      </c>
      <c r="U49" s="101">
        <f t="shared" si="8"/>
        <v>2.6555067057237403E-7</v>
      </c>
    </row>
    <row r="50" spans="1:21" s="101" customFormat="1">
      <c r="A50" s="15" t="s">
        <v>97</v>
      </c>
      <c r="B50" s="5" t="s">
        <v>87</v>
      </c>
      <c r="C50" s="26">
        <v>51241.522299999997</v>
      </c>
      <c r="D50" s="25">
        <v>2.0000000000000001E-4</v>
      </c>
      <c r="E50" s="101">
        <f t="shared" si="1"/>
        <v>16658.960167319896</v>
      </c>
      <c r="F50" s="101">
        <f t="shared" si="2"/>
        <v>16659</v>
      </c>
      <c r="G50" s="101">
        <f t="shared" si="3"/>
        <v>-1.314102100150194E-2</v>
      </c>
      <c r="K50" s="105">
        <f>G50</f>
        <v>-1.314102100150194E-2</v>
      </c>
      <c r="P50" s="103">
        <f t="shared" si="6"/>
        <v>-1.347926613794654E-2</v>
      </c>
      <c r="Q50" s="104">
        <f t="shared" si="4"/>
        <v>36223.022299999997</v>
      </c>
      <c r="S50" s="101">
        <f t="shared" si="7"/>
        <v>1.1440977232842579E-7</v>
      </c>
      <c r="T50" s="101">
        <v>1</v>
      </c>
      <c r="U50" s="101">
        <f t="shared" si="8"/>
        <v>1.1440977232842579E-7</v>
      </c>
    </row>
    <row r="51" spans="1:21" s="101" customFormat="1">
      <c r="A51" s="15" t="s">
        <v>88</v>
      </c>
      <c r="B51" s="16" t="s">
        <v>86</v>
      </c>
      <c r="C51" s="28">
        <v>51457.777099999999</v>
      </c>
      <c r="D51" s="28"/>
      <c r="E51" s="101">
        <f t="shared" si="1"/>
        <v>17314.465418203567</v>
      </c>
      <c r="F51" s="101">
        <f t="shared" si="2"/>
        <v>17314.5</v>
      </c>
      <c r="G51" s="101">
        <f t="shared" si="3"/>
        <v>-1.1408725498768035E-2</v>
      </c>
      <c r="N51" s="105">
        <f>G51</f>
        <v>-1.1408725498768035E-2</v>
      </c>
      <c r="P51" s="103">
        <f t="shared" si="6"/>
        <v>-1.4044546872392816E-2</v>
      </c>
      <c r="Q51" s="104">
        <f t="shared" si="4"/>
        <v>36439.277099999999</v>
      </c>
      <c r="S51" s="101">
        <f t="shared" si="7"/>
        <v>6.9475543136572247E-6</v>
      </c>
      <c r="T51" s="101">
        <v>0.05</v>
      </c>
      <c r="U51" s="101">
        <f t="shared" si="8"/>
        <v>3.4737771568286123E-7</v>
      </c>
    </row>
    <row r="52" spans="1:21" s="101" customFormat="1">
      <c r="A52" s="15" t="s">
        <v>88</v>
      </c>
      <c r="B52" s="16" t="s">
        <v>87</v>
      </c>
      <c r="C52" s="28">
        <v>51550.6443</v>
      </c>
      <c r="D52" s="28"/>
      <c r="E52" s="101">
        <f t="shared" si="1"/>
        <v>17595.961769890851</v>
      </c>
      <c r="F52" s="101">
        <f t="shared" si="2"/>
        <v>17596</v>
      </c>
      <c r="G52" s="101">
        <f t="shared" si="3"/>
        <v>-1.2612323997018393E-2</v>
      </c>
      <c r="N52" s="105">
        <f>G52</f>
        <v>-1.2612323997018393E-2</v>
      </c>
      <c r="P52" s="103">
        <f t="shared" si="6"/>
        <v>-1.4327266673649454E-2</v>
      </c>
      <c r="Q52" s="104">
        <f t="shared" si="4"/>
        <v>36532.1443</v>
      </c>
      <c r="S52" s="101">
        <f t="shared" si="7"/>
        <v>2.941028384130507E-6</v>
      </c>
      <c r="T52" s="101">
        <v>0.05</v>
      </c>
      <c r="U52" s="101">
        <f t="shared" si="8"/>
        <v>1.4705141920652537E-7</v>
      </c>
    </row>
    <row r="53" spans="1:21" s="101" customFormat="1">
      <c r="A53" s="10" t="s">
        <v>107</v>
      </c>
      <c r="B53"/>
      <c r="C53" s="25">
        <v>51591.392999999996</v>
      </c>
      <c r="D53" s="25"/>
      <c r="E53" s="101">
        <f t="shared" ref="E53:E84" si="9">+(C53-C$7)/C$8</f>
        <v>17719.478042439165</v>
      </c>
      <c r="F53" s="101">
        <f t="shared" ref="F53:F84" si="10">ROUND(2*E53,0)/2</f>
        <v>17719.5</v>
      </c>
      <c r="G53" s="101">
        <f t="shared" ref="G53:G84" si="11">+C53-(C$7+F53*C$8)</f>
        <v>-7.243920503242407E-3</v>
      </c>
      <c r="I53" s="101">
        <f>G53</f>
        <v>-7.243920503242407E-3</v>
      </c>
      <c r="P53" s="103">
        <f t="shared" si="6"/>
        <v>-1.4458880117620122E-2</v>
      </c>
      <c r="Q53" s="104">
        <f t="shared" ref="Q53:Q84" si="12">+C53-15018.5</f>
        <v>36572.892999999996</v>
      </c>
      <c r="S53" s="101">
        <f t="shared" si="7"/>
        <v>5.2055642237101434E-5</v>
      </c>
      <c r="T53" s="101">
        <v>0.1</v>
      </c>
      <c r="U53" s="101">
        <f t="shared" si="8"/>
        <v>5.2055642237101441E-6</v>
      </c>
    </row>
    <row r="54" spans="1:21" s="101" customFormat="1">
      <c r="A54" s="10" t="s">
        <v>107</v>
      </c>
      <c r="B54"/>
      <c r="C54" s="25">
        <v>51596.341</v>
      </c>
      <c r="D54" s="25"/>
      <c r="E54" s="101">
        <f t="shared" si="9"/>
        <v>17734.476275918259</v>
      </c>
      <c r="F54" s="101">
        <f t="shared" si="10"/>
        <v>17734.5</v>
      </c>
      <c r="G54" s="101">
        <f t="shared" si="11"/>
        <v>-7.826705499610398E-3</v>
      </c>
      <c r="I54" s="101">
        <f>G54</f>
        <v>-7.826705499610398E-3</v>
      </c>
      <c r="P54" s="103">
        <f t="shared" si="6"/>
        <v>-1.4475180323997021E-2</v>
      </c>
      <c r="Q54" s="104">
        <f t="shared" si="12"/>
        <v>36577.841</v>
      </c>
      <c r="S54" s="101">
        <f t="shared" si="7"/>
        <v>4.4202217490502734E-5</v>
      </c>
      <c r="T54" s="101">
        <v>0.1</v>
      </c>
      <c r="U54" s="101">
        <f t="shared" si="8"/>
        <v>4.4202217490502736E-6</v>
      </c>
    </row>
    <row r="55" spans="1:21" s="101" customFormat="1">
      <c r="A55" s="10" t="s">
        <v>106</v>
      </c>
      <c r="B55" s="5" t="s">
        <v>87</v>
      </c>
      <c r="C55" s="25">
        <v>51597.485999999997</v>
      </c>
      <c r="D55" s="25"/>
      <c r="E55" s="101">
        <f t="shared" si="9"/>
        <v>17737.946966567713</v>
      </c>
      <c r="F55" s="101">
        <f t="shared" si="10"/>
        <v>17738</v>
      </c>
      <c r="G55" s="101">
        <f t="shared" si="11"/>
        <v>-1.7496022002887912E-2</v>
      </c>
      <c r="J55" s="101">
        <f>G55</f>
        <v>-1.7496022002887912E-2</v>
      </c>
      <c r="P55" s="103">
        <f t="shared" si="6"/>
        <v>-1.4478993515938635E-2</v>
      </c>
      <c r="Q55" s="104">
        <f t="shared" si="12"/>
        <v>36578.985999999997</v>
      </c>
      <c r="S55" s="101">
        <f t="shared" si="7"/>
        <v>9.1024608910634464E-6</v>
      </c>
      <c r="T55" s="101">
        <v>0.2</v>
      </c>
      <c r="U55" s="101">
        <f t="shared" si="8"/>
        <v>1.8204921782126893E-6</v>
      </c>
    </row>
    <row r="56" spans="1:21" s="101" customFormat="1">
      <c r="A56" s="10" t="s">
        <v>107</v>
      </c>
      <c r="B56"/>
      <c r="C56" s="25">
        <v>51602.444000000003</v>
      </c>
      <c r="D56" s="25"/>
      <c r="E56" s="101">
        <f t="shared" si="9"/>
        <v>17752.975511755543</v>
      </c>
      <c r="F56" s="101">
        <f t="shared" si="10"/>
        <v>17753</v>
      </c>
      <c r="G56" s="101">
        <f t="shared" si="11"/>
        <v>-8.0788069972186349E-3</v>
      </c>
      <c r="I56" s="101">
        <f>G56</f>
        <v>-8.0788069972186349E-3</v>
      </c>
      <c r="P56" s="103">
        <f t="shared" si="6"/>
        <v>-1.4495377811918474E-2</v>
      </c>
      <c r="Q56" s="104">
        <f t="shared" si="12"/>
        <v>36583.944000000003</v>
      </c>
      <c r="S56" s="101">
        <f t="shared" si="7"/>
        <v>4.1172381020057754E-5</v>
      </c>
      <c r="T56" s="101">
        <v>0.1</v>
      </c>
      <c r="U56" s="101">
        <f t="shared" si="8"/>
        <v>4.1172381020057756E-6</v>
      </c>
    </row>
    <row r="57" spans="1:21" s="101" customFormat="1">
      <c r="A57" s="10" t="s">
        <v>107</v>
      </c>
      <c r="B57"/>
      <c r="C57" s="25">
        <v>51625.362999999998</v>
      </c>
      <c r="D57" s="25"/>
      <c r="E57" s="101">
        <f t="shared" si="9"/>
        <v>17822.446916991401</v>
      </c>
      <c r="F57" s="101">
        <f t="shared" si="10"/>
        <v>17822.5</v>
      </c>
      <c r="G57" s="101">
        <f t="shared" si="11"/>
        <v>-1.7512377504317556E-2</v>
      </c>
      <c r="I57" s="101">
        <f>G57</f>
        <v>-1.7512377504317556E-2</v>
      </c>
      <c r="P57" s="103">
        <f t="shared" si="6"/>
        <v>-1.457218151340977E-2</v>
      </c>
      <c r="Q57" s="104">
        <f t="shared" si="12"/>
        <v>36606.862999999998</v>
      </c>
      <c r="S57" s="101">
        <f t="shared" si="7"/>
        <v>8.6447524649502178E-6</v>
      </c>
      <c r="T57" s="101">
        <v>0.1</v>
      </c>
      <c r="U57" s="101">
        <f t="shared" si="8"/>
        <v>8.6447524649502187E-7</v>
      </c>
    </row>
    <row r="58" spans="1:21" s="101" customFormat="1">
      <c r="A58" s="10" t="s">
        <v>107</v>
      </c>
      <c r="B58"/>
      <c r="C58" s="25">
        <v>51625.370999999999</v>
      </c>
      <c r="D58" s="25"/>
      <c r="E58" s="101">
        <f t="shared" si="9"/>
        <v>17822.471166358388</v>
      </c>
      <c r="F58" s="101">
        <f t="shared" si="10"/>
        <v>17822.5</v>
      </c>
      <c r="G58" s="101">
        <f t="shared" si="11"/>
        <v>-9.5123775026877411E-3</v>
      </c>
      <c r="I58" s="101">
        <f>G58</f>
        <v>-9.5123775026877411E-3</v>
      </c>
      <c r="P58" s="103">
        <f t="shared" si="6"/>
        <v>-1.457218151340977E-2</v>
      </c>
      <c r="Q58" s="104">
        <f t="shared" si="12"/>
        <v>36606.870999999999</v>
      </c>
      <c r="S58" s="101">
        <f t="shared" si="7"/>
        <v>2.5601616626918726E-5</v>
      </c>
      <c r="T58" s="101">
        <v>0.1</v>
      </c>
      <c r="U58" s="101">
        <f t="shared" si="8"/>
        <v>2.5601616626918727E-6</v>
      </c>
    </row>
    <row r="59" spans="1:21" s="101" customFormat="1">
      <c r="A59" s="10" t="s">
        <v>109</v>
      </c>
      <c r="B59"/>
      <c r="C59" s="25">
        <v>51628.343000000001</v>
      </c>
      <c r="D59" s="25"/>
      <c r="E59" s="101">
        <f t="shared" si="9"/>
        <v>17831.479806192638</v>
      </c>
      <c r="F59" s="101">
        <f t="shared" si="10"/>
        <v>17831.5</v>
      </c>
      <c r="G59" s="101">
        <f t="shared" si="11"/>
        <v>-6.6620485013118014E-3</v>
      </c>
      <c r="N59" s="101">
        <f>G59</f>
        <v>-6.6620485013118014E-3</v>
      </c>
      <c r="P59" s="103">
        <f t="shared" si="6"/>
        <v>-1.4582234360272409E-2</v>
      </c>
      <c r="Q59" s="104">
        <f t="shared" si="12"/>
        <v>36609.843000000001</v>
      </c>
      <c r="S59" s="101">
        <f t="shared" si="7"/>
        <v>6.2729344040479565E-5</v>
      </c>
      <c r="T59" s="101">
        <v>0.1</v>
      </c>
      <c r="U59" s="101">
        <f t="shared" si="8"/>
        <v>6.2729344040479569E-6</v>
      </c>
    </row>
    <row r="60" spans="1:21" s="101" customFormat="1">
      <c r="A60" s="10" t="s">
        <v>108</v>
      </c>
      <c r="B60"/>
      <c r="C60" s="25">
        <v>51749.41</v>
      </c>
      <c r="D60" s="25"/>
      <c r="E60" s="101">
        <f t="shared" si="9"/>
        <v>18198.454570261383</v>
      </c>
      <c r="F60" s="101">
        <f t="shared" si="10"/>
        <v>18198.5</v>
      </c>
      <c r="G60" s="101">
        <f t="shared" si="11"/>
        <v>-1.4987521499278955E-2</v>
      </c>
      <c r="I60" s="101">
        <f>G60</f>
        <v>-1.4987521499278955E-2</v>
      </c>
      <c r="P60" s="103">
        <f t="shared" si="6"/>
        <v>-1.5013074669700428E-2</v>
      </c>
      <c r="Q60" s="104">
        <f t="shared" si="12"/>
        <v>36730.910000000003</v>
      </c>
      <c r="S60" s="101">
        <f t="shared" si="7"/>
        <v>6.529645185888502E-10</v>
      </c>
      <c r="T60" s="101">
        <v>0.1</v>
      </c>
      <c r="U60" s="101">
        <f t="shared" si="8"/>
        <v>6.529645185888502E-11</v>
      </c>
    </row>
    <row r="61" spans="1:21" s="101" customFormat="1">
      <c r="A61" s="10" t="s">
        <v>108</v>
      </c>
      <c r="B61"/>
      <c r="C61" s="25">
        <v>51749.415000000001</v>
      </c>
      <c r="D61" s="25"/>
      <c r="E61" s="101">
        <f t="shared" si="9"/>
        <v>18198.469726115742</v>
      </c>
      <c r="F61" s="101">
        <f t="shared" si="10"/>
        <v>18198.5</v>
      </c>
      <c r="G61" s="101">
        <f t="shared" si="11"/>
        <v>-9.9875215018982999E-3</v>
      </c>
      <c r="I61" s="101">
        <f>G61</f>
        <v>-9.9875215018982999E-3</v>
      </c>
      <c r="P61" s="103">
        <f t="shared" si="6"/>
        <v>-1.5013074669700428E-2</v>
      </c>
      <c r="Q61" s="104">
        <f t="shared" si="12"/>
        <v>36730.915000000001</v>
      </c>
      <c r="S61" s="101">
        <f t="shared" si="7"/>
        <v>2.5256184642406006E-5</v>
      </c>
      <c r="T61" s="101">
        <v>0.1</v>
      </c>
      <c r="U61" s="101">
        <f t="shared" si="8"/>
        <v>2.5256184642406006E-6</v>
      </c>
    </row>
    <row r="62" spans="1:21" s="101" customFormat="1">
      <c r="A62" s="13" t="s">
        <v>90</v>
      </c>
      <c r="B62" s="16" t="s">
        <v>86</v>
      </c>
      <c r="C62" s="13">
        <v>51798.567300000002</v>
      </c>
      <c r="D62" s="13">
        <v>2.0000000000000001E-4</v>
      </c>
      <c r="E62" s="101">
        <f t="shared" si="9"/>
        <v>18347.458746211527</v>
      </c>
      <c r="F62" s="101">
        <f t="shared" si="10"/>
        <v>18347.5</v>
      </c>
      <c r="G62" s="101">
        <f t="shared" si="11"/>
        <v>-1.3609852496301755E-2</v>
      </c>
      <c r="J62" s="101">
        <f>G62</f>
        <v>-1.3609852496301755E-2</v>
      </c>
      <c r="P62" s="103">
        <f t="shared" si="6"/>
        <v>-1.5199642397390259E-2</v>
      </c>
      <c r="Q62" s="104">
        <f t="shared" si="12"/>
        <v>36780.067300000002</v>
      </c>
      <c r="S62" s="101">
        <f t="shared" si="7"/>
        <v>2.5274319296029941E-6</v>
      </c>
      <c r="T62" s="101">
        <v>1</v>
      </c>
      <c r="U62" s="101">
        <f t="shared" si="8"/>
        <v>2.5274319296029941E-6</v>
      </c>
    </row>
    <row r="63" spans="1:21" s="101" customFormat="1">
      <c r="A63" s="13" t="s">
        <v>90</v>
      </c>
      <c r="B63" s="16" t="s">
        <v>86</v>
      </c>
      <c r="C63" s="13">
        <v>51798.567499999997</v>
      </c>
      <c r="D63" s="13">
        <v>1E-4</v>
      </c>
      <c r="E63" s="101">
        <f t="shared" si="9"/>
        <v>18347.459352445687</v>
      </c>
      <c r="F63" s="101">
        <f t="shared" si="10"/>
        <v>18347.5</v>
      </c>
      <c r="G63" s="101">
        <f t="shared" si="11"/>
        <v>-1.340985250135418E-2</v>
      </c>
      <c r="J63" s="101">
        <f>G63</f>
        <v>-1.340985250135418E-2</v>
      </c>
      <c r="P63" s="103">
        <f t="shared" si="6"/>
        <v>-1.5199642397390259E-2</v>
      </c>
      <c r="Q63" s="104">
        <f t="shared" si="12"/>
        <v>36780.067499999997</v>
      </c>
      <c r="S63" s="101">
        <f t="shared" si="7"/>
        <v>3.2033478719528371E-6</v>
      </c>
      <c r="T63" s="101">
        <v>1</v>
      </c>
      <c r="U63" s="101">
        <f t="shared" si="8"/>
        <v>3.2033478719528371E-6</v>
      </c>
    </row>
    <row r="64" spans="1:21" s="101" customFormat="1">
      <c r="A64" s="13" t="s">
        <v>95</v>
      </c>
      <c r="B64" s="5" t="s">
        <v>87</v>
      </c>
      <c r="C64" s="26">
        <v>52203.523000000001</v>
      </c>
      <c r="D64" s="26">
        <v>2.0000000000000001E-4</v>
      </c>
      <c r="E64" s="101">
        <f t="shared" si="9"/>
        <v>19574.948668864195</v>
      </c>
      <c r="F64" s="101">
        <f t="shared" si="10"/>
        <v>19575</v>
      </c>
      <c r="G64" s="101">
        <f t="shared" si="11"/>
        <v>-1.693442500254605E-2</v>
      </c>
      <c r="J64" s="101">
        <f>G64</f>
        <v>-1.693442500254605E-2</v>
      </c>
      <c r="P64" s="103">
        <f t="shared" si="6"/>
        <v>-1.6992639086536622E-2</v>
      </c>
      <c r="Q64" s="104">
        <f t="shared" si="12"/>
        <v>37185.023000000001</v>
      </c>
      <c r="S64" s="101">
        <f t="shared" si="7"/>
        <v>3.3888795748614082E-9</v>
      </c>
      <c r="T64" s="101">
        <v>1</v>
      </c>
      <c r="U64" s="101">
        <f t="shared" si="8"/>
        <v>3.3888795748614082E-9</v>
      </c>
    </row>
    <row r="65" spans="1:21" s="101" customFormat="1">
      <c r="A65" s="13" t="s">
        <v>95</v>
      </c>
      <c r="B65" s="5" t="s">
        <v>87</v>
      </c>
      <c r="C65" s="26">
        <v>52271.480600000003</v>
      </c>
      <c r="D65" s="26">
        <v>5.0000000000000001E-4</v>
      </c>
      <c r="E65" s="101">
        <f t="shared" si="9"/>
        <v>19780.939766576026</v>
      </c>
      <c r="F65" s="101">
        <f t="shared" si="10"/>
        <v>19781</v>
      </c>
      <c r="G65" s="101">
        <f t="shared" si="11"/>
        <v>-1.9871338998200372E-2</v>
      </c>
      <c r="J65" s="101">
        <f>G65</f>
        <v>-1.9871338998200372E-2</v>
      </c>
      <c r="P65" s="103">
        <f t="shared" si="6"/>
        <v>-1.7338283059342832E-2</v>
      </c>
      <c r="Q65" s="104">
        <f t="shared" si="12"/>
        <v>37252.980600000003</v>
      </c>
      <c r="S65" s="101">
        <f t="shared" si="7"/>
        <v>6.4163723893814518E-6</v>
      </c>
      <c r="T65" s="101">
        <v>1</v>
      </c>
      <c r="U65" s="101">
        <f t="shared" si="8"/>
        <v>6.4163723893814518E-6</v>
      </c>
    </row>
    <row r="66" spans="1:21" s="101" customFormat="1">
      <c r="A66" s="17" t="s">
        <v>97</v>
      </c>
      <c r="B66" s="5" t="s">
        <v>87</v>
      </c>
      <c r="C66" s="25">
        <v>52311.068899999838</v>
      </c>
      <c r="D66" s="25">
        <v>2.9999999999999997E-4</v>
      </c>
      <c r="E66" s="101">
        <f t="shared" si="9"/>
        <v>19900.938668442945</v>
      </c>
      <c r="F66" s="101">
        <f t="shared" si="10"/>
        <v>19901</v>
      </c>
      <c r="G66" s="101">
        <f t="shared" si="11"/>
        <v>-2.023361915780697E-2</v>
      </c>
      <c r="K66" s="105">
        <f>G66</f>
        <v>-2.023361915780697E-2</v>
      </c>
      <c r="P66" s="103">
        <f t="shared" si="6"/>
        <v>-1.7545556243579175E-2</v>
      </c>
      <c r="Q66" s="104">
        <f t="shared" si="12"/>
        <v>37292.568899999838</v>
      </c>
      <c r="S66" s="101">
        <f t="shared" si="7"/>
        <v>7.2256822308468291E-6</v>
      </c>
      <c r="T66" s="101">
        <v>1</v>
      </c>
      <c r="U66" s="101">
        <f t="shared" si="8"/>
        <v>7.2256822308468291E-6</v>
      </c>
    </row>
    <row r="67" spans="1:21" s="101" customFormat="1">
      <c r="A67" s="13" t="s">
        <v>95</v>
      </c>
      <c r="B67" s="5" t="s">
        <v>86</v>
      </c>
      <c r="C67" s="26">
        <v>52311.565600000002</v>
      </c>
      <c r="D67" s="26">
        <v>5.0000000000000001E-4</v>
      </c>
      <c r="E67" s="101">
        <f t="shared" si="9"/>
        <v>19902.444251016008</v>
      </c>
      <c r="F67" s="101">
        <f t="shared" si="10"/>
        <v>19902.5</v>
      </c>
      <c r="G67" s="101">
        <f t="shared" si="11"/>
        <v>-1.8391897494439036E-2</v>
      </c>
      <c r="J67" s="101">
        <f>G67</f>
        <v>-1.8391897494439036E-2</v>
      </c>
      <c r="P67" s="103">
        <f t="shared" si="6"/>
        <v>-1.7548174771589577E-2</v>
      </c>
      <c r="Q67" s="104">
        <f t="shared" si="12"/>
        <v>37293.065600000002</v>
      </c>
      <c r="S67" s="101">
        <f t="shared" si="7"/>
        <v>7.1186803305250502E-7</v>
      </c>
      <c r="T67" s="101">
        <v>1</v>
      </c>
      <c r="U67" s="101">
        <f t="shared" si="8"/>
        <v>7.1186803305250502E-7</v>
      </c>
    </row>
    <row r="68" spans="1:21" s="101" customFormat="1">
      <c r="A68" s="17" t="s">
        <v>97</v>
      </c>
      <c r="B68" s="5" t="s">
        <v>87</v>
      </c>
      <c r="C68" s="25">
        <v>52313.048400000203</v>
      </c>
      <c r="D68" s="25">
        <v>2.0000000000000001E-4</v>
      </c>
      <c r="E68" s="101">
        <f t="shared" si="9"/>
        <v>19906.938871186947</v>
      </c>
      <c r="F68" s="101">
        <f t="shared" si="10"/>
        <v>19907</v>
      </c>
      <c r="G68" s="101">
        <f t="shared" si="11"/>
        <v>-2.0166732792858966E-2</v>
      </c>
      <c r="K68" s="105">
        <f>G68</f>
        <v>-2.0166732792858966E-2</v>
      </c>
      <c r="P68" s="103">
        <f t="shared" si="6"/>
        <v>-1.7556034446466327E-2</v>
      </c>
      <c r="Q68" s="104">
        <f t="shared" si="12"/>
        <v>37294.548400000203</v>
      </c>
      <c r="S68" s="101">
        <f t="shared" si="7"/>
        <v>6.8157458558572565E-6</v>
      </c>
      <c r="T68" s="101">
        <v>1</v>
      </c>
      <c r="U68" s="101">
        <f t="shared" si="8"/>
        <v>6.8157458558572565E-6</v>
      </c>
    </row>
    <row r="69" spans="1:21" s="101" customFormat="1">
      <c r="A69" s="17" t="s">
        <v>97</v>
      </c>
      <c r="B69" s="5" t="s">
        <v>87</v>
      </c>
      <c r="C69" s="25">
        <v>52314.038699999917</v>
      </c>
      <c r="D69" s="25">
        <v>2.9999999999999997E-4</v>
      </c>
      <c r="E69" s="101">
        <f t="shared" si="9"/>
        <v>19909.940639701508</v>
      </c>
      <c r="F69" s="101">
        <f t="shared" si="10"/>
        <v>19910</v>
      </c>
      <c r="G69" s="101">
        <f t="shared" si="11"/>
        <v>-1.9583290079026483E-2</v>
      </c>
      <c r="K69" s="105">
        <f>G69</f>
        <v>-1.9583290079026483E-2</v>
      </c>
      <c r="P69" s="103">
        <f t="shared" si="6"/>
        <v>-1.7561277638755438E-2</v>
      </c>
      <c r="Q69" s="104">
        <f t="shared" si="12"/>
        <v>37295.538699999917</v>
      </c>
      <c r="S69" s="101">
        <f t="shared" si="7"/>
        <v>4.0885343086108677E-6</v>
      </c>
      <c r="T69" s="101">
        <v>1</v>
      </c>
      <c r="U69" s="101">
        <f t="shared" si="8"/>
        <v>4.0885343086108677E-6</v>
      </c>
    </row>
    <row r="70" spans="1:21" s="101" customFormat="1">
      <c r="A70" s="13" t="s">
        <v>95</v>
      </c>
      <c r="B70" s="5" t="s">
        <v>86</v>
      </c>
      <c r="C70" s="26">
        <v>52547.449099999998</v>
      </c>
      <c r="D70" s="26">
        <v>2.0000000000000001E-4</v>
      </c>
      <c r="E70" s="101">
        <f t="shared" si="9"/>
        <v>20617.447445612448</v>
      </c>
      <c r="F70" s="101">
        <f t="shared" si="10"/>
        <v>20617.5</v>
      </c>
      <c r="G70" s="101">
        <f t="shared" si="11"/>
        <v>-1.7337982499157079E-2</v>
      </c>
      <c r="J70" s="101">
        <f t="shared" ref="J70:J76" si="13">G70</f>
        <v>-1.7337982499157079E-2</v>
      </c>
      <c r="P70" s="103">
        <f t="shared" si="6"/>
        <v>-1.8873959417541615E-2</v>
      </c>
      <c r="Q70" s="104">
        <f t="shared" si="12"/>
        <v>37528.949099999998</v>
      </c>
      <c r="S70" s="101">
        <f t="shared" si="7"/>
        <v>2.3592250938100571E-6</v>
      </c>
      <c r="T70" s="101">
        <v>1</v>
      </c>
      <c r="U70" s="101">
        <f t="shared" si="8"/>
        <v>2.3592250938100571E-6</v>
      </c>
    </row>
    <row r="71" spans="1:21" s="101" customFormat="1">
      <c r="A71" s="13" t="s">
        <v>95</v>
      </c>
      <c r="B71" s="5" t="s">
        <v>87</v>
      </c>
      <c r="C71" s="26">
        <v>52547.6132</v>
      </c>
      <c r="D71" s="26">
        <v>8.0000000000000004E-4</v>
      </c>
      <c r="E71" s="101">
        <f t="shared" si="9"/>
        <v>20617.944860752694</v>
      </c>
      <c r="F71" s="101">
        <f t="shared" si="10"/>
        <v>20618</v>
      </c>
      <c r="G71" s="101">
        <f t="shared" si="11"/>
        <v>-1.8190741997386795E-2</v>
      </c>
      <c r="J71" s="101">
        <f t="shared" si="13"/>
        <v>-1.8190741997386795E-2</v>
      </c>
      <c r="P71" s="103">
        <f t="shared" si="6"/>
        <v>-1.8874940743375153E-2</v>
      </c>
      <c r="Q71" s="104">
        <f t="shared" si="12"/>
        <v>37529.1132</v>
      </c>
      <c r="S71" s="101">
        <f t="shared" si="7"/>
        <v>4.6812792401204209E-7</v>
      </c>
      <c r="T71" s="101">
        <v>0.5</v>
      </c>
      <c r="U71" s="101">
        <f t="shared" si="8"/>
        <v>2.3406396200602105E-7</v>
      </c>
    </row>
    <row r="72" spans="1:21" s="101" customFormat="1">
      <c r="A72" s="13" t="s">
        <v>95</v>
      </c>
      <c r="B72" s="5" t="s">
        <v>87</v>
      </c>
      <c r="C72" s="26">
        <v>52548.273000000001</v>
      </c>
      <c r="D72" s="26">
        <v>5.0000000000000001E-4</v>
      </c>
      <c r="E72" s="101">
        <f t="shared" si="9"/>
        <v>20619.944827294632</v>
      </c>
      <c r="F72" s="101">
        <f t="shared" si="10"/>
        <v>20620</v>
      </c>
      <c r="G72" s="101">
        <f t="shared" si="11"/>
        <v>-1.8201779996161349E-2</v>
      </c>
      <c r="J72" s="101">
        <f t="shared" si="13"/>
        <v>-1.8201779996161349E-2</v>
      </c>
      <c r="P72" s="103">
        <f t="shared" si="6"/>
        <v>-1.8878866804273302E-2</v>
      </c>
      <c r="Q72" s="104">
        <f t="shared" si="12"/>
        <v>37529.773000000001</v>
      </c>
      <c r="S72" s="101">
        <f t="shared" si="7"/>
        <v>4.5844654571923229E-7</v>
      </c>
      <c r="T72" s="101">
        <v>1</v>
      </c>
      <c r="U72" s="101">
        <f t="shared" si="8"/>
        <v>4.5844654571923229E-7</v>
      </c>
    </row>
    <row r="73" spans="1:21" s="101" customFormat="1">
      <c r="A73" s="13" t="s">
        <v>95</v>
      </c>
      <c r="B73" s="5" t="s">
        <v>87</v>
      </c>
      <c r="C73" s="26">
        <v>52548.602099999996</v>
      </c>
      <c r="D73" s="26">
        <v>2.9999999999999997E-4</v>
      </c>
      <c r="E73" s="101">
        <f t="shared" si="9"/>
        <v>20620.942385628889</v>
      </c>
      <c r="F73" s="101">
        <f t="shared" si="10"/>
        <v>20621</v>
      </c>
      <c r="G73" s="101">
        <f t="shared" si="11"/>
        <v>-1.9007299000804778E-2</v>
      </c>
      <c r="J73" s="101">
        <f t="shared" si="13"/>
        <v>-1.9007299000804778E-2</v>
      </c>
      <c r="P73" s="103">
        <f t="shared" si="6"/>
        <v>-1.8880830289260776E-2</v>
      </c>
      <c r="Q73" s="104">
        <f t="shared" si="12"/>
        <v>37530.102099999996</v>
      </c>
      <c r="S73" s="101">
        <f t="shared" si="7"/>
        <v>1.5994334999599961E-8</v>
      </c>
      <c r="T73" s="101">
        <v>1</v>
      </c>
      <c r="U73" s="101">
        <f t="shared" si="8"/>
        <v>1.5994334999599961E-8</v>
      </c>
    </row>
    <row r="74" spans="1:21" s="101" customFormat="1">
      <c r="A74" s="13" t="s">
        <v>95</v>
      </c>
      <c r="B74" s="5" t="s">
        <v>86</v>
      </c>
      <c r="C74" s="26">
        <v>52591.3246</v>
      </c>
      <c r="D74" s="26">
        <v>4.0000000000000002E-4</v>
      </c>
      <c r="E74" s="101">
        <f t="shared" si="9"/>
        <v>20750.441583246142</v>
      </c>
      <c r="F74" s="101">
        <f t="shared" si="10"/>
        <v>20750.5</v>
      </c>
      <c r="G74" s="101">
        <f t="shared" si="11"/>
        <v>-1.9272009500127751E-2</v>
      </c>
      <c r="J74" s="101">
        <f t="shared" si="13"/>
        <v>-1.9272009500127751E-2</v>
      </c>
      <c r="P74" s="103">
        <f t="shared" si="6"/>
        <v>-1.913766212354711E-2</v>
      </c>
      <c r="Q74" s="104">
        <f t="shared" si="12"/>
        <v>37572.8246</v>
      </c>
      <c r="S74" s="101">
        <f t="shared" si="7"/>
        <v>1.8049217594100728E-8</v>
      </c>
      <c r="T74" s="101">
        <v>1</v>
      </c>
      <c r="U74" s="101">
        <f t="shared" si="8"/>
        <v>1.8049217594100728E-8</v>
      </c>
    </row>
    <row r="75" spans="1:21" s="101" customFormat="1">
      <c r="A75" s="22" t="s">
        <v>91</v>
      </c>
      <c r="B75" s="18" t="s">
        <v>87</v>
      </c>
      <c r="C75" s="29">
        <v>52607.654999999999</v>
      </c>
      <c r="D75" s="29">
        <v>1E-4</v>
      </c>
      <c r="E75" s="101">
        <f t="shared" si="9"/>
        <v>20799.941816068858</v>
      </c>
      <c r="F75" s="101">
        <f t="shared" si="10"/>
        <v>20800</v>
      </c>
      <c r="G75" s="101">
        <f t="shared" si="11"/>
        <v>-1.9195200002286583E-2</v>
      </c>
      <c r="J75" s="101">
        <f t="shared" si="13"/>
        <v>-1.9195200002286583E-2</v>
      </c>
      <c r="P75" s="103">
        <f t="shared" si="6"/>
        <v>-1.9237175844371283E-2</v>
      </c>
      <c r="Q75" s="104">
        <f t="shared" si="12"/>
        <v>37589.154999999999</v>
      </c>
      <c r="S75" s="101">
        <f t="shared" si="7"/>
        <v>1.761971318719691E-9</v>
      </c>
      <c r="T75" s="101">
        <v>1</v>
      </c>
      <c r="U75" s="101">
        <f t="shared" si="8"/>
        <v>1.761971318719691E-9</v>
      </c>
    </row>
    <row r="76" spans="1:21" s="101" customFormat="1">
      <c r="A76" s="53" t="s">
        <v>129</v>
      </c>
      <c r="B76" s="54" t="s">
        <v>87</v>
      </c>
      <c r="C76" s="53">
        <v>52631.737699999998</v>
      </c>
      <c r="D76" s="53">
        <v>1E-4</v>
      </c>
      <c r="E76" s="101">
        <f t="shared" si="9"/>
        <v>20872.940594849515</v>
      </c>
      <c r="F76" s="101">
        <f t="shared" si="10"/>
        <v>20873</v>
      </c>
      <c r="G76" s="101">
        <f t="shared" si="11"/>
        <v>-1.959808700485155E-2</v>
      </c>
      <c r="J76" s="101">
        <f t="shared" si="13"/>
        <v>-1.959808700485155E-2</v>
      </c>
      <c r="P76" s="103">
        <f t="shared" si="6"/>
        <v>-1.9385288356056081E-2</v>
      </c>
      <c r="Q76" s="104">
        <f t="shared" si="12"/>
        <v>37613.237699999998</v>
      </c>
      <c r="S76" s="101">
        <f t="shared" si="7"/>
        <v>4.5283264929177316E-8</v>
      </c>
      <c r="T76" s="101">
        <v>1</v>
      </c>
      <c r="U76" s="101">
        <f t="shared" si="8"/>
        <v>4.5283264929177316E-8</v>
      </c>
    </row>
    <row r="77" spans="1:21" s="101" customFormat="1">
      <c r="A77" s="23" t="s">
        <v>84</v>
      </c>
      <c r="B77" s="16"/>
      <c r="C77" s="28">
        <v>52631.737905870934</v>
      </c>
      <c r="D77" s="28">
        <v>1E-4</v>
      </c>
      <c r="E77" s="101">
        <f t="shared" si="9"/>
        <v>20872.9412188795</v>
      </c>
      <c r="F77" s="101">
        <f t="shared" si="10"/>
        <v>20873</v>
      </c>
      <c r="G77" s="101">
        <f t="shared" si="11"/>
        <v>-1.9392216068808921E-2</v>
      </c>
      <c r="L77" s="101">
        <f>G77</f>
        <v>-1.9392216068808921E-2</v>
      </c>
      <c r="P77" s="103">
        <f t="shared" si="6"/>
        <v>-1.9385288356056081E-2</v>
      </c>
      <c r="Q77" s="104">
        <f t="shared" si="12"/>
        <v>37613.237905870934</v>
      </c>
      <c r="S77" s="101">
        <f t="shared" si="7"/>
        <v>4.7993203985857947E-11</v>
      </c>
      <c r="T77" s="101">
        <v>1</v>
      </c>
      <c r="U77" s="101">
        <f t="shared" si="8"/>
        <v>4.7993203985857947E-11</v>
      </c>
    </row>
    <row r="78" spans="1:21" s="101" customFormat="1">
      <c r="A78" s="23" t="s">
        <v>89</v>
      </c>
      <c r="B78" s="16"/>
      <c r="C78" s="28">
        <v>52943.82675</v>
      </c>
      <c r="D78" s="28">
        <v>5.0000000000000002E-5</v>
      </c>
      <c r="E78" s="101">
        <f t="shared" si="9"/>
        <v>21818.93583295889</v>
      </c>
      <c r="F78" s="101">
        <f t="shared" si="10"/>
        <v>21819</v>
      </c>
      <c r="G78" s="101">
        <f t="shared" si="11"/>
        <v>-2.1169061001273803E-2</v>
      </c>
      <c r="L78" s="101">
        <f>G78</f>
        <v>-2.1169061001273803E-2</v>
      </c>
      <c r="P78" s="103">
        <f t="shared" si="6"/>
        <v>-2.145071859040177E-2</v>
      </c>
      <c r="Q78" s="104">
        <f t="shared" si="12"/>
        <v>37925.32675</v>
      </c>
      <c r="S78" s="101">
        <f t="shared" si="7"/>
        <v>7.9330997513378278E-8</v>
      </c>
      <c r="T78" s="101">
        <v>1</v>
      </c>
      <c r="U78" s="101">
        <f t="shared" si="8"/>
        <v>7.9330997513378278E-8</v>
      </c>
    </row>
    <row r="79" spans="1:21" s="101" customFormat="1">
      <c r="A79" s="21" t="s">
        <v>96</v>
      </c>
      <c r="B79" s="20" t="s">
        <v>86</v>
      </c>
      <c r="C79" s="30">
        <v>53083.211900000002</v>
      </c>
      <c r="D79" s="30">
        <v>2.0000000000000001E-4</v>
      </c>
      <c r="E79" s="101">
        <f t="shared" si="9"/>
        <v>22241.436039752953</v>
      </c>
      <c r="F79" s="101">
        <f t="shared" si="10"/>
        <v>22241.5</v>
      </c>
      <c r="G79" s="101">
        <f t="shared" si="11"/>
        <v>-2.1100838501297403E-2</v>
      </c>
      <c r="J79" s="101">
        <f>G79</f>
        <v>-2.1100838501297403E-2</v>
      </c>
      <c r="P79" s="103">
        <f t="shared" ref="P79:P110" si="14">+D$11+D$12*F79+D$13*F79^2</f>
        <v>-2.246077891377183E-2</v>
      </c>
      <c r="Q79" s="104">
        <f t="shared" si="12"/>
        <v>38064.711900000002</v>
      </c>
      <c r="S79" s="101">
        <f t="shared" ref="S79:S110" si="15">+(P79-G79)^2</f>
        <v>1.8494379254811135E-6</v>
      </c>
      <c r="T79" s="101">
        <v>1</v>
      </c>
      <c r="U79" s="101">
        <f t="shared" ref="U79:U110" si="16">S79*T79</f>
        <v>1.8494379254811135E-6</v>
      </c>
    </row>
    <row r="80" spans="1:21" s="101" customFormat="1">
      <c r="A80" s="34" t="s">
        <v>112</v>
      </c>
      <c r="B80" s="14"/>
      <c r="C80" s="39">
        <v>53360.483999999997</v>
      </c>
      <c r="D80" s="26">
        <v>1E-4</v>
      </c>
      <c r="E80" s="101">
        <f t="shared" si="9"/>
        <v>23081.895153139274</v>
      </c>
      <c r="F80" s="101">
        <f t="shared" si="10"/>
        <v>23082</v>
      </c>
      <c r="G80" s="101">
        <f t="shared" si="11"/>
        <v>-3.4589558003062848E-2</v>
      </c>
      <c r="P80" s="103">
        <f t="shared" si="14"/>
        <v>-2.4630980159609107E-2</v>
      </c>
      <c r="Q80" s="104">
        <f t="shared" si="12"/>
        <v>38341.983999999997</v>
      </c>
      <c r="R80" s="101">
        <f>G80</f>
        <v>-3.4589558003062848E-2</v>
      </c>
      <c r="S80" s="101">
        <f t="shared" si="15"/>
        <v>9.9173272664127761E-5</v>
      </c>
      <c r="U80" s="101">
        <f t="shared" si="16"/>
        <v>0</v>
      </c>
    </row>
    <row r="81" spans="1:21" s="101" customFormat="1">
      <c r="A81" s="34" t="s">
        <v>112</v>
      </c>
      <c r="B81" s="14"/>
      <c r="C81" s="26">
        <v>53407.339399999997</v>
      </c>
      <c r="D81" s="26">
        <v>3.0999999999999999E-3</v>
      </c>
      <c r="E81" s="101">
        <f t="shared" si="9"/>
        <v>23223.921876857105</v>
      </c>
      <c r="F81" s="101">
        <f t="shared" si="10"/>
        <v>23224</v>
      </c>
      <c r="G81" s="101">
        <f t="shared" si="11"/>
        <v>-2.5773255998501554E-2</v>
      </c>
      <c r="J81" s="101">
        <f>G81</f>
        <v>-2.5773255998501554E-2</v>
      </c>
      <c r="P81" s="103">
        <f t="shared" si="14"/>
        <v>-2.5018767577574867E-2</v>
      </c>
      <c r="Q81" s="104">
        <f t="shared" si="12"/>
        <v>38388.839399999997</v>
      </c>
      <c r="S81" s="101">
        <f t="shared" si="15"/>
        <v>5.6925277731244558E-7</v>
      </c>
      <c r="T81" s="101">
        <v>0.2</v>
      </c>
      <c r="U81" s="101">
        <f t="shared" si="16"/>
        <v>1.1385055546248913E-7</v>
      </c>
    </row>
    <row r="82" spans="1:21" s="101" customFormat="1">
      <c r="A82" s="23" t="s">
        <v>111</v>
      </c>
      <c r="B82" s="5"/>
      <c r="C82" s="32">
        <v>53699.964</v>
      </c>
      <c r="D82" s="25">
        <v>1E-4</v>
      </c>
      <c r="E82" s="101">
        <f t="shared" si="9"/>
        <v>24110.91704106957</v>
      </c>
      <c r="F82" s="101">
        <f t="shared" si="10"/>
        <v>24111</v>
      </c>
      <c r="G82" s="101">
        <f t="shared" si="11"/>
        <v>-2.7368609000404831E-2</v>
      </c>
      <c r="L82" s="101">
        <f>G82</f>
        <v>-2.7368609000404831E-2</v>
      </c>
      <c r="P82" s="103">
        <f t="shared" si="14"/>
        <v>-2.7579362706785092E-2</v>
      </c>
      <c r="Q82" s="104">
        <f t="shared" si="12"/>
        <v>38681.464</v>
      </c>
      <c r="S82" s="101">
        <f t="shared" si="15"/>
        <v>4.4417124753017207E-8</v>
      </c>
      <c r="T82" s="101">
        <v>1</v>
      </c>
      <c r="U82" s="101">
        <f t="shared" si="16"/>
        <v>4.4417124753017207E-8</v>
      </c>
    </row>
    <row r="83" spans="1:21" s="101" customFormat="1">
      <c r="A83" s="42" t="s">
        <v>119</v>
      </c>
      <c r="B83" s="14" t="s">
        <v>87</v>
      </c>
      <c r="C83" s="43">
        <v>53742.5213</v>
      </c>
      <c r="D83" s="43">
        <v>2.0000000000000001E-4</v>
      </c>
      <c r="E83" s="101">
        <f t="shared" si="9"/>
        <v>24239.915489258612</v>
      </c>
      <c r="F83" s="101">
        <f t="shared" si="10"/>
        <v>24240</v>
      </c>
      <c r="G83" s="101">
        <f t="shared" si="11"/>
        <v>-2.7880560002813581E-2</v>
      </c>
      <c r="J83" s="101">
        <f>G83</f>
        <v>-2.7880560002813581E-2</v>
      </c>
      <c r="P83" s="103">
        <f t="shared" si="14"/>
        <v>-2.7971618293416677E-2</v>
      </c>
      <c r="Q83" s="104">
        <f t="shared" si="12"/>
        <v>38724.0213</v>
      </c>
      <c r="S83" s="101">
        <f t="shared" si="15"/>
        <v>8.2916122875577308E-9</v>
      </c>
      <c r="T83" s="101">
        <v>1</v>
      </c>
      <c r="U83" s="101">
        <f t="shared" si="16"/>
        <v>8.2916122875577308E-9</v>
      </c>
    </row>
    <row r="84" spans="1:21" s="101" customFormat="1">
      <c r="A84" s="31" t="s">
        <v>116</v>
      </c>
      <c r="B84" s="40" t="s">
        <v>87</v>
      </c>
      <c r="C84" s="41">
        <v>53746.642800000001</v>
      </c>
      <c r="D84" s="41">
        <v>5.9999999999999995E-4</v>
      </c>
      <c r="E84" s="101">
        <f t="shared" si="9"/>
        <v>24252.408460011247</v>
      </c>
      <c r="F84" s="101">
        <f t="shared" si="10"/>
        <v>24252.5</v>
      </c>
      <c r="G84" s="101">
        <f t="shared" si="11"/>
        <v>-3.0199547501979396E-2</v>
      </c>
      <c r="J84" s="101">
        <f>G84</f>
        <v>-3.0199547501979396E-2</v>
      </c>
      <c r="P84" s="103">
        <f t="shared" si="14"/>
        <v>-2.8009895543948733E-2</v>
      </c>
      <c r="Q84" s="104">
        <f t="shared" si="12"/>
        <v>38728.142800000001</v>
      </c>
      <c r="S84" s="101">
        <f t="shared" si="15"/>
        <v>4.7945756973075145E-6</v>
      </c>
      <c r="T84" s="101">
        <v>0.5</v>
      </c>
      <c r="U84" s="101">
        <f t="shared" si="16"/>
        <v>2.3972878486537573E-6</v>
      </c>
    </row>
    <row r="85" spans="1:21" s="101" customFormat="1">
      <c r="A85" s="24" t="s">
        <v>114</v>
      </c>
      <c r="B85" s="38"/>
      <c r="C85" s="26">
        <v>53760.335800000001</v>
      </c>
      <c r="D85" s="26">
        <v>6.9999999999999999E-4</v>
      </c>
      <c r="E85" s="101">
        <f t="shared" ref="E85:E116" si="17">+(C85-C$7)/C$8</f>
        <v>24293.914282773792</v>
      </c>
      <c r="F85" s="101">
        <f t="shared" ref="F85:F116" si="18">ROUND(2*E85,0)/2</f>
        <v>24294</v>
      </c>
      <c r="G85" s="101">
        <f t="shared" ref="G85:G116" si="19">+C85-(C$7+F85*C$8)</f>
        <v>-2.8278585996304173E-2</v>
      </c>
      <c r="J85" s="101">
        <f>G85</f>
        <v>-2.8278585996304173E-2</v>
      </c>
      <c r="P85" s="103">
        <f t="shared" si="14"/>
        <v>-2.8137315555895624E-2</v>
      </c>
      <c r="Q85" s="104">
        <f t="shared" ref="Q85:Q116" si="20">+C85-15018.5</f>
        <v>38741.835800000001</v>
      </c>
      <c r="S85" s="101">
        <f t="shared" si="15"/>
        <v>1.9957337333225338E-8</v>
      </c>
      <c r="T85" s="101">
        <v>0.5</v>
      </c>
      <c r="U85" s="101">
        <f t="shared" si="16"/>
        <v>9.9786686666126692E-9</v>
      </c>
    </row>
    <row r="86" spans="1:21" s="101" customFormat="1">
      <c r="A86" s="22" t="s">
        <v>118</v>
      </c>
      <c r="B86" s="5" t="s">
        <v>86</v>
      </c>
      <c r="C86" s="26">
        <v>53809.352899999998</v>
      </c>
      <c r="D86" s="26">
        <v>1E-4</v>
      </c>
      <c r="E86" s="101">
        <f t="shared" si="17"/>
        <v>24442.49348856755</v>
      </c>
      <c r="F86" s="101">
        <f t="shared" si="18"/>
        <v>24442.5</v>
      </c>
      <c r="G86" s="101">
        <f t="shared" si="19"/>
        <v>-2.1481575022335164E-3</v>
      </c>
      <c r="P86" s="103">
        <f t="shared" si="14"/>
        <v>-2.859753920694124E-2</v>
      </c>
      <c r="Q86" s="104">
        <f t="shared" si="20"/>
        <v>38790.852899999998</v>
      </c>
      <c r="R86" s="101">
        <f>G86</f>
        <v>-2.1481575022335164E-3</v>
      </c>
      <c r="S86" s="101">
        <f t="shared" si="15"/>
        <v>6.9956979256132769E-4</v>
      </c>
      <c r="U86" s="101">
        <f t="shared" si="16"/>
        <v>0</v>
      </c>
    </row>
    <row r="87" spans="1:21" s="101" customFormat="1">
      <c r="A87" s="31" t="s">
        <v>116</v>
      </c>
      <c r="B87" s="40" t="s">
        <v>86</v>
      </c>
      <c r="C87" s="41">
        <v>54020.464099999997</v>
      </c>
      <c r="D87" s="41">
        <v>1E-4</v>
      </c>
      <c r="E87" s="101">
        <f t="shared" si="17"/>
        <v>25082.40760894939</v>
      </c>
      <c r="F87" s="101">
        <f t="shared" si="18"/>
        <v>25082.5</v>
      </c>
      <c r="G87" s="101">
        <f t="shared" si="19"/>
        <v>-3.0480317502224352E-2</v>
      </c>
      <c r="J87" s="101">
        <f>G87</f>
        <v>-3.0480317502224352E-2</v>
      </c>
      <c r="P87" s="103">
        <f t="shared" si="14"/>
        <v>-3.0657454091137445E-2</v>
      </c>
      <c r="Q87" s="104">
        <f t="shared" si="20"/>
        <v>39001.964099999997</v>
      </c>
      <c r="S87" s="101">
        <f t="shared" si="15"/>
        <v>3.1377371131766192E-8</v>
      </c>
      <c r="T87" s="101">
        <v>1</v>
      </c>
      <c r="U87" s="101">
        <f t="shared" si="16"/>
        <v>3.1377371131766192E-8</v>
      </c>
    </row>
    <row r="88" spans="1:21" s="101" customFormat="1">
      <c r="A88" s="31" t="s">
        <v>116</v>
      </c>
      <c r="B88" s="40" t="s">
        <v>87</v>
      </c>
      <c r="C88" s="41">
        <v>54027.558400000002</v>
      </c>
      <c r="D88" s="41">
        <v>4.0000000000000002E-4</v>
      </c>
      <c r="E88" s="101">
        <f t="shared" si="17"/>
        <v>25103.911644472981</v>
      </c>
      <c r="F88" s="101">
        <f t="shared" si="18"/>
        <v>25104</v>
      </c>
      <c r="G88" s="101">
        <f t="shared" si="19"/>
        <v>-2.9148975998396054E-2</v>
      </c>
      <c r="J88" s="101">
        <f>G88</f>
        <v>-2.9148975998396054E-2</v>
      </c>
      <c r="P88" s="103">
        <f t="shared" si="14"/>
        <v>-3.0728809209670541E-2</v>
      </c>
      <c r="Q88" s="104">
        <f t="shared" si="20"/>
        <v>39009.058400000002</v>
      </c>
      <c r="S88" s="101">
        <f t="shared" si="15"/>
        <v>2.495872975445857E-6</v>
      </c>
      <c r="T88" s="101">
        <v>1</v>
      </c>
      <c r="U88" s="101">
        <f t="shared" si="16"/>
        <v>2.495872975445857E-6</v>
      </c>
    </row>
    <row r="89" spans="1:21" s="101" customFormat="1">
      <c r="A89" s="23" t="s">
        <v>120</v>
      </c>
      <c r="B89"/>
      <c r="C89" s="25">
        <v>54134.609792267584</v>
      </c>
      <c r="D89" s="25">
        <v>1E-4</v>
      </c>
      <c r="E89" s="101">
        <f t="shared" si="17"/>
        <v>25428.402706617297</v>
      </c>
      <c r="F89" s="101">
        <f t="shared" si="18"/>
        <v>25428.5</v>
      </c>
      <c r="G89" s="101">
        <f t="shared" si="19"/>
        <v>-3.2097623916342854E-2</v>
      </c>
      <c r="L89" s="101">
        <f>G89</f>
        <v>-3.2097623916342854E-2</v>
      </c>
      <c r="P89" s="103">
        <f t="shared" si="14"/>
        <v>-3.182278507553922E-2</v>
      </c>
      <c r="Q89" s="104">
        <f t="shared" si="20"/>
        <v>39116.109792267584</v>
      </c>
      <c r="S89" s="101">
        <f t="shared" si="15"/>
        <v>7.5536388414285562E-8</v>
      </c>
      <c r="T89" s="101">
        <v>1</v>
      </c>
      <c r="U89" s="101">
        <f t="shared" si="16"/>
        <v>7.5536388414285562E-8</v>
      </c>
    </row>
    <row r="90" spans="1:21" s="101" customFormat="1">
      <c r="A90" s="53" t="s">
        <v>120</v>
      </c>
      <c r="B90" s="54" t="s">
        <v>86</v>
      </c>
      <c r="C90" s="53">
        <v>54134.609799999998</v>
      </c>
      <c r="D90" s="53">
        <v>1E-4</v>
      </c>
      <c r="E90" s="101">
        <f t="shared" si="17"/>
        <v>25428.402730055568</v>
      </c>
      <c r="F90" s="101">
        <f t="shared" si="18"/>
        <v>25428.5</v>
      </c>
      <c r="G90" s="101">
        <f t="shared" si="19"/>
        <v>-3.2089891501527745E-2</v>
      </c>
      <c r="J90" s="101">
        <f t="shared" ref="J90:J106" si="21">G90</f>
        <v>-3.2089891501527745E-2</v>
      </c>
      <c r="P90" s="103">
        <f t="shared" si="14"/>
        <v>-3.182278507553922E-2</v>
      </c>
      <c r="Q90" s="104">
        <f t="shared" si="20"/>
        <v>39116.109799999998</v>
      </c>
      <c r="S90" s="101">
        <f t="shared" si="15"/>
        <v>7.1345842804363548E-8</v>
      </c>
      <c r="T90" s="101">
        <v>1</v>
      </c>
      <c r="U90" s="101">
        <f t="shared" si="16"/>
        <v>7.1345842804363548E-8</v>
      </c>
    </row>
    <row r="91" spans="1:21" s="101" customFormat="1">
      <c r="A91" s="31" t="s">
        <v>117</v>
      </c>
      <c r="B91" s="5" t="s">
        <v>87</v>
      </c>
      <c r="C91" s="26">
        <v>54173.374499999998</v>
      </c>
      <c r="D91" s="26">
        <v>2.9999999999999997E-4</v>
      </c>
      <c r="E91" s="101">
        <f t="shared" si="17"/>
        <v>25545.905159592068</v>
      </c>
      <c r="F91" s="101">
        <f t="shared" si="18"/>
        <v>25546</v>
      </c>
      <c r="G91" s="101">
        <f t="shared" si="19"/>
        <v>-3.1288374004361685E-2</v>
      </c>
      <c r="J91" s="101">
        <f t="shared" si="21"/>
        <v>-3.1288374004361685E-2</v>
      </c>
      <c r="P91" s="103">
        <f t="shared" si="14"/>
        <v>-3.2226777665401302E-2</v>
      </c>
      <c r="Q91" s="104">
        <f t="shared" si="20"/>
        <v>39154.874499999998</v>
      </c>
      <c r="S91" s="101">
        <f t="shared" si="15"/>
        <v>8.8060143105255499E-7</v>
      </c>
      <c r="T91" s="101">
        <v>1</v>
      </c>
      <c r="U91" s="101">
        <f t="shared" si="16"/>
        <v>8.8060143105255499E-7</v>
      </c>
    </row>
    <row r="92" spans="1:21" s="101" customFormat="1">
      <c r="A92" s="13" t="s">
        <v>121</v>
      </c>
      <c r="B92" s="16" t="s">
        <v>87</v>
      </c>
      <c r="C92" s="13">
        <v>54472.2644</v>
      </c>
      <c r="D92" s="13">
        <v>2.9999999999999997E-4</v>
      </c>
      <c r="E92" s="101">
        <f t="shared" si="17"/>
        <v>26451.891518674474</v>
      </c>
      <c r="F92" s="101">
        <f t="shared" si="18"/>
        <v>26452</v>
      </c>
      <c r="G92" s="101">
        <f t="shared" si="19"/>
        <v>-3.5788588000286836E-2</v>
      </c>
      <c r="J92" s="101">
        <f t="shared" si="21"/>
        <v>-3.5788588000286836E-2</v>
      </c>
      <c r="P92" s="103">
        <f t="shared" si="14"/>
        <v>-3.5482314854869745E-2</v>
      </c>
      <c r="Q92" s="104">
        <f t="shared" si="20"/>
        <v>39453.7644</v>
      </c>
      <c r="S92" s="101">
        <f t="shared" si="15"/>
        <v>9.3803239603678465E-8</v>
      </c>
      <c r="T92" s="101">
        <v>1</v>
      </c>
      <c r="U92" s="101">
        <f t="shared" si="16"/>
        <v>9.3803239603678465E-8</v>
      </c>
    </row>
    <row r="93" spans="1:21" s="101" customFormat="1">
      <c r="A93" s="13" t="s">
        <v>121</v>
      </c>
      <c r="B93" s="16" t="s">
        <v>86</v>
      </c>
      <c r="C93" s="13">
        <v>54510.366699999999</v>
      </c>
      <c r="D93" s="13">
        <v>1E-3</v>
      </c>
      <c r="E93" s="101">
        <f t="shared" si="17"/>
        <v>26567.386100624764</v>
      </c>
      <c r="F93" s="101">
        <f t="shared" si="18"/>
        <v>26567.5</v>
      </c>
      <c r="G93" s="101">
        <f t="shared" si="19"/>
        <v>-3.7576032496872358E-2</v>
      </c>
      <c r="J93" s="101">
        <f t="shared" si="21"/>
        <v>-3.7576032496872358E-2</v>
      </c>
      <c r="P93" s="103">
        <f t="shared" si="14"/>
        <v>-3.5915217919235742E-2</v>
      </c>
      <c r="Q93" s="104">
        <f t="shared" si="20"/>
        <v>39491.866699999999</v>
      </c>
      <c r="S93" s="101">
        <f t="shared" si="15"/>
        <v>2.75830506129029E-6</v>
      </c>
      <c r="T93" s="101">
        <v>0.5</v>
      </c>
      <c r="U93" s="101">
        <f t="shared" si="16"/>
        <v>1.379152530645145E-6</v>
      </c>
    </row>
    <row r="94" spans="1:21" s="101" customFormat="1">
      <c r="A94" s="29" t="s">
        <v>122</v>
      </c>
      <c r="B94" s="18" t="s">
        <v>86</v>
      </c>
      <c r="C94" s="29">
        <v>54544.348599999998</v>
      </c>
      <c r="D94" s="29">
        <v>1E-4</v>
      </c>
      <c r="E94" s="101">
        <f t="shared" si="17"/>
        <v>26670.391046110381</v>
      </c>
      <c r="F94" s="101">
        <f t="shared" si="18"/>
        <v>26670.5</v>
      </c>
      <c r="G94" s="101">
        <f t="shared" si="19"/>
        <v>-3.594448950025253E-2</v>
      </c>
      <c r="J94" s="101">
        <f t="shared" si="21"/>
        <v>-3.594448950025253E-2</v>
      </c>
      <c r="P94" s="103">
        <f t="shared" si="14"/>
        <v>-3.6304679873886359E-2</v>
      </c>
      <c r="Q94" s="104">
        <f t="shared" si="20"/>
        <v>39525.848599999998</v>
      </c>
      <c r="S94" s="101">
        <f t="shared" si="15"/>
        <v>1.29737105258477E-7</v>
      </c>
      <c r="T94" s="101">
        <v>1</v>
      </c>
      <c r="U94" s="101">
        <f t="shared" si="16"/>
        <v>1.29737105258477E-7</v>
      </c>
    </row>
    <row r="95" spans="1:21" s="101" customFormat="1">
      <c r="A95" s="29" t="s">
        <v>122</v>
      </c>
      <c r="B95" s="18" t="s">
        <v>87</v>
      </c>
      <c r="C95" s="29">
        <v>54556.390299999999</v>
      </c>
      <c r="D95" s="29">
        <v>1E-4</v>
      </c>
      <c r="E95" s="101">
        <f t="shared" si="17"/>
        <v>26706.891496410521</v>
      </c>
      <c r="F95" s="101">
        <f t="shared" si="18"/>
        <v>26707</v>
      </c>
      <c r="G95" s="101">
        <f t="shared" si="19"/>
        <v>-3.5795932999462821E-2</v>
      </c>
      <c r="J95" s="101">
        <f t="shared" si="21"/>
        <v>-3.5795932999462821E-2</v>
      </c>
      <c r="P95" s="103">
        <f t="shared" si="14"/>
        <v>-3.6443464556115121E-2</v>
      </c>
      <c r="Q95" s="104">
        <f t="shared" si="20"/>
        <v>39537.890299999999</v>
      </c>
      <c r="S95" s="101">
        <f t="shared" si="15"/>
        <v>4.192971168605514E-7</v>
      </c>
      <c r="T95" s="101">
        <v>1</v>
      </c>
      <c r="U95" s="101">
        <f t="shared" si="16"/>
        <v>4.192971168605514E-7</v>
      </c>
    </row>
    <row r="96" spans="1:21" s="101" customFormat="1">
      <c r="A96" s="29" t="s">
        <v>122</v>
      </c>
      <c r="B96" s="18" t="s">
        <v>87</v>
      </c>
      <c r="C96" s="29">
        <v>54706.496700000003</v>
      </c>
      <c r="D96" s="29">
        <v>2.9999999999999997E-4</v>
      </c>
      <c r="E96" s="101">
        <f t="shared" si="17"/>
        <v>27161.88964392561</v>
      </c>
      <c r="F96" s="101">
        <f t="shared" si="18"/>
        <v>27162</v>
      </c>
      <c r="G96" s="101">
        <f t="shared" si="19"/>
        <v>-3.640707799786469E-2</v>
      </c>
      <c r="J96" s="101">
        <f t="shared" si="21"/>
        <v>-3.640707799786469E-2</v>
      </c>
      <c r="P96" s="103">
        <f t="shared" si="14"/>
        <v>-3.8207403369709722E-2</v>
      </c>
      <c r="Q96" s="104">
        <f t="shared" si="20"/>
        <v>39687.996700000003</v>
      </c>
      <c r="S96" s="101">
        <f t="shared" si="15"/>
        <v>3.2411714445089543E-6</v>
      </c>
      <c r="T96" s="101">
        <v>1</v>
      </c>
      <c r="U96" s="101">
        <f t="shared" si="16"/>
        <v>3.2411714445089543E-6</v>
      </c>
    </row>
    <row r="97" spans="1:21" s="101" customFormat="1">
      <c r="A97" s="29" t="s">
        <v>122</v>
      </c>
      <c r="B97" s="18" t="s">
        <v>87</v>
      </c>
      <c r="C97" s="29">
        <v>54803.486199999999</v>
      </c>
      <c r="D97" s="29">
        <v>2.9999999999999997E-4</v>
      </c>
      <c r="E97" s="101">
        <f t="shared" si="17"/>
        <v>27455.881391302217</v>
      </c>
      <c r="F97" s="101">
        <f t="shared" si="18"/>
        <v>27456</v>
      </c>
      <c r="G97" s="101">
        <f t="shared" si="19"/>
        <v>-3.9129664000938646E-2</v>
      </c>
      <c r="J97" s="101">
        <f t="shared" si="21"/>
        <v>-3.9129664000938646E-2</v>
      </c>
      <c r="P97" s="103">
        <f t="shared" si="14"/>
        <v>-3.9380543245702365E-2</v>
      </c>
      <c r="Q97" s="104">
        <f t="shared" si="20"/>
        <v>39784.986199999999</v>
      </c>
      <c r="S97" s="101">
        <f t="shared" si="15"/>
        <v>6.2940395453213882E-8</v>
      </c>
      <c r="T97" s="101">
        <v>1</v>
      </c>
      <c r="U97" s="101">
        <f t="shared" si="16"/>
        <v>6.2940395453213882E-8</v>
      </c>
    </row>
    <row r="98" spans="1:21" s="101" customFormat="1">
      <c r="A98" s="53" t="s">
        <v>130</v>
      </c>
      <c r="B98" s="54" t="s">
        <v>86</v>
      </c>
      <c r="C98" s="53">
        <v>54830.703600000001</v>
      </c>
      <c r="D98" s="53">
        <v>4.0000000000000002E-4</v>
      </c>
      <c r="E98" s="101">
        <f t="shared" si="17"/>
        <v>27538.381981418144</v>
      </c>
      <c r="F98" s="101">
        <f t="shared" si="18"/>
        <v>27538.5</v>
      </c>
      <c r="G98" s="101">
        <f t="shared" si="19"/>
        <v>-3.8934981501370203E-2</v>
      </c>
      <c r="J98" s="101">
        <f t="shared" si="21"/>
        <v>-3.8934981501370203E-2</v>
      </c>
      <c r="P98" s="103">
        <f t="shared" si="14"/>
        <v>-3.9714446836782574E-2</v>
      </c>
      <c r="Q98" s="104">
        <f t="shared" si="20"/>
        <v>39812.203600000001</v>
      </c>
      <c r="S98" s="101">
        <f t="shared" si="15"/>
        <v>6.0756620910952077E-7</v>
      </c>
      <c r="T98" s="101">
        <v>1</v>
      </c>
      <c r="U98" s="101">
        <f t="shared" si="16"/>
        <v>6.0756620910952077E-7</v>
      </c>
    </row>
    <row r="99" spans="1:21" s="101" customFormat="1">
      <c r="A99" s="53" t="s">
        <v>131</v>
      </c>
      <c r="B99" s="54" t="s">
        <v>86</v>
      </c>
      <c r="C99" s="53">
        <v>54843.239500000003</v>
      </c>
      <c r="D99" s="53">
        <v>4.0000000000000002E-4</v>
      </c>
      <c r="E99" s="101">
        <f t="shared" si="17"/>
        <v>27576.380436363674</v>
      </c>
      <c r="F99" s="101">
        <f t="shared" si="18"/>
        <v>27576.5</v>
      </c>
      <c r="G99" s="101">
        <f t="shared" si="19"/>
        <v>-3.9444703499611933E-2</v>
      </c>
      <c r="J99" s="101">
        <f t="shared" si="21"/>
        <v>-3.9444703499611933E-2</v>
      </c>
      <c r="P99" s="103">
        <f t="shared" si="14"/>
        <v>-3.9868938631594519E-2</v>
      </c>
      <c r="Q99" s="104">
        <f t="shared" si="20"/>
        <v>39824.739500000003</v>
      </c>
      <c r="S99" s="101">
        <f t="shared" si="15"/>
        <v>1.7997544720828262E-7</v>
      </c>
      <c r="T99" s="101">
        <v>1</v>
      </c>
      <c r="U99" s="101">
        <f t="shared" si="16"/>
        <v>1.7997544720828262E-7</v>
      </c>
    </row>
    <row r="100" spans="1:21" s="101" customFormat="1">
      <c r="A100" s="53" t="s">
        <v>131</v>
      </c>
      <c r="B100" s="54" t="s">
        <v>87</v>
      </c>
      <c r="C100" s="53">
        <v>54843.404799999997</v>
      </c>
      <c r="D100" s="30">
        <v>2.0000000000000001E-4</v>
      </c>
      <c r="E100" s="101">
        <f t="shared" si="17"/>
        <v>27576.881488908941</v>
      </c>
      <c r="F100" s="101">
        <f t="shared" si="18"/>
        <v>27577</v>
      </c>
      <c r="G100" s="101">
        <f t="shared" si="19"/>
        <v>-3.9097463006328326E-2</v>
      </c>
      <c r="J100" s="101">
        <f t="shared" si="21"/>
        <v>-3.9097463006328326E-2</v>
      </c>
      <c r="P100" s="103">
        <f t="shared" si="14"/>
        <v>-3.987097433498972E-2</v>
      </c>
      <c r="Q100" s="104">
        <f t="shared" si="20"/>
        <v>39824.904799999997</v>
      </c>
      <c r="S100" s="101">
        <f t="shared" si="15"/>
        <v>5.9831977556751547E-7</v>
      </c>
      <c r="T100" s="101">
        <v>1</v>
      </c>
      <c r="U100" s="101">
        <f t="shared" si="16"/>
        <v>5.9831977556751547E-7</v>
      </c>
    </row>
    <row r="101" spans="1:21" s="101" customFormat="1">
      <c r="A101" s="53" t="s">
        <v>131</v>
      </c>
      <c r="B101" s="54" t="s">
        <v>86</v>
      </c>
      <c r="C101" s="53">
        <v>54843.568899999998</v>
      </c>
      <c r="D101" s="29">
        <v>2.9999999999999997E-4</v>
      </c>
      <c r="E101" s="101">
        <f t="shared" si="17"/>
        <v>27577.37890404919</v>
      </c>
      <c r="F101" s="101">
        <f t="shared" si="18"/>
        <v>27577.5</v>
      </c>
      <c r="G101" s="101">
        <f t="shared" si="19"/>
        <v>-3.9950222504558042E-2</v>
      </c>
      <c r="J101" s="101">
        <f t="shared" si="21"/>
        <v>-3.9950222504558042E-2</v>
      </c>
      <c r="P101" s="103">
        <f t="shared" si="14"/>
        <v>-3.9873010114141336E-2</v>
      </c>
      <c r="Q101" s="104">
        <f t="shared" si="20"/>
        <v>39825.068899999998</v>
      </c>
      <c r="S101" s="101">
        <f t="shared" si="15"/>
        <v>5.9617532338618359E-9</v>
      </c>
      <c r="T101" s="101">
        <v>1</v>
      </c>
      <c r="U101" s="101">
        <f t="shared" si="16"/>
        <v>5.9617532338618359E-9</v>
      </c>
    </row>
    <row r="102" spans="1:21" s="101" customFormat="1">
      <c r="A102" s="53" t="s">
        <v>132</v>
      </c>
      <c r="B102" s="54" t="s">
        <v>86</v>
      </c>
      <c r="C102" s="53">
        <v>54844.2284</v>
      </c>
      <c r="D102" s="43">
        <v>2.0000000000000001E-4</v>
      </c>
      <c r="E102" s="101">
        <f t="shared" si="17"/>
        <v>27579.377961239868</v>
      </c>
      <c r="F102" s="101">
        <f t="shared" si="18"/>
        <v>27579.5</v>
      </c>
      <c r="G102" s="101">
        <f t="shared" si="19"/>
        <v>-4.0261260503029916E-2</v>
      </c>
      <c r="J102" s="101">
        <f t="shared" si="21"/>
        <v>-4.0261260503029916E-2</v>
      </c>
      <c r="P102" s="103">
        <f t="shared" si="14"/>
        <v>-3.9881153988311727E-2</v>
      </c>
      <c r="Q102" s="104">
        <f t="shared" si="20"/>
        <v>39825.7284</v>
      </c>
      <c r="S102" s="101">
        <f t="shared" si="15"/>
        <v>1.4448096253120944E-7</v>
      </c>
      <c r="T102" s="101">
        <v>1</v>
      </c>
      <c r="U102" s="101">
        <f t="shared" si="16"/>
        <v>1.4448096253120944E-7</v>
      </c>
    </row>
    <row r="103" spans="1:21" s="101" customFormat="1">
      <c r="A103" s="51" t="s">
        <v>126</v>
      </c>
      <c r="B103" s="18" t="s">
        <v>87</v>
      </c>
      <c r="C103" s="29">
        <v>55059.488599999997</v>
      </c>
      <c r="D103" s="29">
        <v>1E-4</v>
      </c>
      <c r="E103" s="101">
        <f t="shared" si="17"/>
        <v>28231.868409573341</v>
      </c>
      <c r="F103" s="101">
        <f t="shared" si="18"/>
        <v>28232</v>
      </c>
      <c r="G103" s="101">
        <f t="shared" si="19"/>
        <v>-4.3412408005679026E-2</v>
      </c>
      <c r="J103" s="101">
        <f t="shared" si="21"/>
        <v>-4.3412408005679026E-2</v>
      </c>
      <c r="P103" s="103">
        <f t="shared" si="14"/>
        <v>-4.2602798181333945E-2</v>
      </c>
      <c r="Q103" s="104">
        <f t="shared" si="20"/>
        <v>40040.988599999997</v>
      </c>
      <c r="S103" s="101">
        <f t="shared" si="15"/>
        <v>6.5546806767607312E-7</v>
      </c>
      <c r="T103" s="101">
        <v>1</v>
      </c>
      <c r="U103" s="101">
        <f t="shared" si="16"/>
        <v>6.5546806767607312E-7</v>
      </c>
    </row>
    <row r="104" spans="1:21" s="101" customFormat="1">
      <c r="A104" s="51" t="s">
        <v>126</v>
      </c>
      <c r="B104" s="18" t="s">
        <v>86</v>
      </c>
      <c r="C104" s="29">
        <v>55068.561300000001</v>
      </c>
      <c r="D104" s="30">
        <v>2.0000000000000001E-4</v>
      </c>
      <c r="E104" s="101">
        <f t="shared" si="17"/>
        <v>28259.369313551866</v>
      </c>
      <c r="F104" s="101">
        <f t="shared" si="18"/>
        <v>28259.5</v>
      </c>
      <c r="G104" s="101">
        <f t="shared" si="19"/>
        <v>-4.3114180502016097E-2</v>
      </c>
      <c r="J104" s="101">
        <f t="shared" si="21"/>
        <v>-4.3114180502016097E-2</v>
      </c>
      <c r="P104" s="103">
        <f t="shared" si="14"/>
        <v>-4.2720336781474591E-2</v>
      </c>
      <c r="Q104" s="104">
        <f t="shared" si="20"/>
        <v>40050.061300000001</v>
      </c>
      <c r="S104" s="101">
        <f t="shared" si="15"/>
        <v>1.551128762099761E-7</v>
      </c>
      <c r="T104" s="101">
        <v>1</v>
      </c>
      <c r="U104" s="101">
        <f t="shared" si="16"/>
        <v>1.551128762099761E-7</v>
      </c>
    </row>
    <row r="105" spans="1:21" s="101" customFormat="1">
      <c r="A105" s="51" t="s">
        <v>126</v>
      </c>
      <c r="B105" s="18" t="s">
        <v>86</v>
      </c>
      <c r="C105" s="29">
        <v>55100.561300000001</v>
      </c>
      <c r="D105" s="29">
        <v>2.9999999999999997E-4</v>
      </c>
      <c r="E105" s="101">
        <f t="shared" si="17"/>
        <v>28356.366781484496</v>
      </c>
      <c r="F105" s="101">
        <f t="shared" si="18"/>
        <v>28356.5</v>
      </c>
      <c r="G105" s="101">
        <f t="shared" si="19"/>
        <v>-4.3949523496848997E-2</v>
      </c>
      <c r="J105" s="101">
        <f t="shared" si="21"/>
        <v>-4.3949523496848997E-2</v>
      </c>
      <c r="P105" s="103">
        <f t="shared" si="14"/>
        <v>-4.3136757224458241E-2</v>
      </c>
      <c r="Q105" s="104">
        <f t="shared" si="20"/>
        <v>40082.061300000001</v>
      </c>
      <c r="S105" s="101">
        <f t="shared" si="15"/>
        <v>6.6058901353596341E-7</v>
      </c>
      <c r="T105" s="101">
        <v>1</v>
      </c>
      <c r="U105" s="101">
        <f t="shared" si="16"/>
        <v>6.6058901353596341E-7</v>
      </c>
    </row>
    <row r="106" spans="1:21" s="101" customFormat="1">
      <c r="A106" s="31" t="s">
        <v>124</v>
      </c>
      <c r="B106" s="49" t="s">
        <v>86</v>
      </c>
      <c r="C106" s="31">
        <v>55135.863599999997</v>
      </c>
      <c r="D106" s="31">
        <v>5.9999999999999995E-4</v>
      </c>
      <c r="E106" s="101">
        <f t="shared" si="17"/>
        <v>28463.374084990672</v>
      </c>
      <c r="F106" s="101">
        <f t="shared" si="18"/>
        <v>28463.5</v>
      </c>
      <c r="G106" s="101">
        <f t="shared" si="19"/>
        <v>-4.1540056503436062E-2</v>
      </c>
      <c r="J106" s="101">
        <f t="shared" si="21"/>
        <v>-4.1540056503436062E-2</v>
      </c>
      <c r="P106" s="103">
        <f t="shared" si="14"/>
        <v>-4.3599414831373473E-2</v>
      </c>
      <c r="Q106" s="104">
        <f t="shared" si="20"/>
        <v>40117.363599999997</v>
      </c>
      <c r="S106" s="101">
        <f t="shared" si="15"/>
        <v>4.2409567228451678E-6</v>
      </c>
      <c r="T106" s="101">
        <v>0.5</v>
      </c>
      <c r="U106" s="101">
        <f t="shared" si="16"/>
        <v>2.1204783614225839E-6</v>
      </c>
    </row>
    <row r="107" spans="1:21" s="101" customFormat="1">
      <c r="A107" s="48" t="s">
        <v>125</v>
      </c>
      <c r="B107" s="13"/>
      <c r="C107" s="13">
        <v>55149.717499999999</v>
      </c>
      <c r="D107" s="13">
        <v>1E-4</v>
      </c>
      <c r="E107" s="101">
        <f t="shared" si="17"/>
        <v>28505.367623146671</v>
      </c>
      <c r="F107" s="101">
        <f t="shared" si="18"/>
        <v>28505.5</v>
      </c>
      <c r="G107" s="101">
        <f t="shared" si="19"/>
        <v>-4.3671854502463248E-2</v>
      </c>
      <c r="L107" s="101">
        <f>G107</f>
        <v>-4.3671854502463248E-2</v>
      </c>
      <c r="P107" s="103">
        <f t="shared" si="14"/>
        <v>-4.37819669189351E-2</v>
      </c>
      <c r="Q107" s="104">
        <f t="shared" si="20"/>
        <v>40131.217499999999</v>
      </c>
      <c r="S107" s="101">
        <f t="shared" si="15"/>
        <v>1.2124744261270705E-8</v>
      </c>
      <c r="T107" s="101">
        <v>1</v>
      </c>
      <c r="U107" s="101">
        <f t="shared" si="16"/>
        <v>1.2124744261270705E-8</v>
      </c>
    </row>
    <row r="108" spans="1:21" s="101" customFormat="1">
      <c r="A108" s="53" t="s">
        <v>132</v>
      </c>
      <c r="B108" s="54" t="s">
        <v>87</v>
      </c>
      <c r="C108" s="53">
        <v>55194.4182</v>
      </c>
      <c r="D108" s="13">
        <v>1E-4</v>
      </c>
      <c r="E108" s="101">
        <f t="shared" si="17"/>
        <v>28640.863082984681</v>
      </c>
      <c r="F108" s="101">
        <f t="shared" si="18"/>
        <v>28641</v>
      </c>
      <c r="G108" s="101">
        <f t="shared" si="19"/>
        <v>-4.5169678996899165E-2</v>
      </c>
      <c r="J108" s="101">
        <f>G108</f>
        <v>-4.5169678996899165E-2</v>
      </c>
      <c r="P108" s="103">
        <f t="shared" si="14"/>
        <v>-4.4374558797419306E-2</v>
      </c>
      <c r="Q108" s="104">
        <f t="shared" si="20"/>
        <v>40175.9182</v>
      </c>
      <c r="S108" s="101">
        <f t="shared" si="15"/>
        <v>6.3221613162089169E-7</v>
      </c>
      <c r="T108" s="101">
        <v>1</v>
      </c>
      <c r="U108" s="101">
        <f t="shared" si="16"/>
        <v>6.3221613162089169E-7</v>
      </c>
    </row>
    <row r="109" spans="1:21" s="101" customFormat="1">
      <c r="A109" s="51" t="s">
        <v>126</v>
      </c>
      <c r="B109" s="18" t="s">
        <v>86</v>
      </c>
      <c r="C109" s="29">
        <v>55212.4</v>
      </c>
      <c r="D109" s="43">
        <v>2.0000000000000001E-4</v>
      </c>
      <c r="E109" s="101">
        <f t="shared" si="17"/>
        <v>28695.368991386902</v>
      </c>
      <c r="F109" s="101">
        <f t="shared" si="18"/>
        <v>28695.5</v>
      </c>
      <c r="G109" s="101">
        <f t="shared" si="19"/>
        <v>-4.3220464496698696E-2</v>
      </c>
      <c r="J109" s="101">
        <f>G109</f>
        <v>-4.3220464496698696E-2</v>
      </c>
      <c r="P109" s="103">
        <f t="shared" si="14"/>
        <v>-4.4614476475375919E-2</v>
      </c>
      <c r="Q109" s="104">
        <f t="shared" si="20"/>
        <v>40193.9</v>
      </c>
      <c r="S109" s="101">
        <f t="shared" si="15"/>
        <v>1.9432693966955869E-6</v>
      </c>
      <c r="T109" s="101">
        <v>1</v>
      </c>
      <c r="U109" s="101">
        <f t="shared" si="16"/>
        <v>1.9432693966955869E-6</v>
      </c>
    </row>
    <row r="110" spans="1:21" s="101" customFormat="1">
      <c r="A110" s="51" t="s">
        <v>126</v>
      </c>
      <c r="B110" s="18" t="s">
        <v>86</v>
      </c>
      <c r="C110" s="29">
        <v>55213.388800000001</v>
      </c>
      <c r="D110" s="29">
        <v>1E-4</v>
      </c>
      <c r="E110" s="101">
        <f t="shared" si="17"/>
        <v>28698.366213146015</v>
      </c>
      <c r="F110" s="101">
        <f t="shared" si="18"/>
        <v>28698.5</v>
      </c>
      <c r="G110" s="101">
        <f t="shared" si="19"/>
        <v>-4.4137021497590467E-2</v>
      </c>
      <c r="J110" s="101">
        <f>G110</f>
        <v>-4.4137021497590467E-2</v>
      </c>
      <c r="P110" s="103">
        <f t="shared" si="14"/>
        <v>-4.4627709089019266E-2</v>
      </c>
      <c r="Q110" s="104">
        <f t="shared" si="20"/>
        <v>40194.888800000001</v>
      </c>
      <c r="S110" s="101">
        <f t="shared" si="15"/>
        <v>2.4077431238219538E-7</v>
      </c>
      <c r="T110" s="101">
        <v>1</v>
      </c>
      <c r="U110" s="101">
        <f t="shared" si="16"/>
        <v>2.4077431238219538E-7</v>
      </c>
    </row>
    <row r="111" spans="1:21" s="101" customFormat="1">
      <c r="A111" s="53" t="s">
        <v>132</v>
      </c>
      <c r="B111" s="54" t="s">
        <v>87</v>
      </c>
      <c r="C111" s="53">
        <v>55263.366099999999</v>
      </c>
      <c r="D111" s="13">
        <v>1E-3</v>
      </c>
      <c r="E111" s="101">
        <f t="shared" si="17"/>
        <v>28849.855949211931</v>
      </c>
      <c r="F111" s="101">
        <f t="shared" si="18"/>
        <v>28850</v>
      </c>
      <c r="G111" s="101">
        <f t="shared" si="19"/>
        <v>-4.7523150002234615E-2</v>
      </c>
      <c r="J111" s="101">
        <f>G111</f>
        <v>-4.7523150002234615E-2</v>
      </c>
      <c r="P111" s="103">
        <f t="shared" ref="P111:P123" si="22">+D$11+D$12*F111+D$13*F111^2</f>
        <v>-4.5299502500194322E-2</v>
      </c>
      <c r="Q111" s="104">
        <f t="shared" si="20"/>
        <v>40244.866099999999</v>
      </c>
      <c r="S111" s="101">
        <f t="shared" ref="S111:S123" si="23">+(P111-G111)^2</f>
        <v>4.9446082133300372E-6</v>
      </c>
      <c r="T111" s="101">
        <v>0.5</v>
      </c>
      <c r="U111" s="101">
        <f t="shared" ref="U111:U123" si="24">S111*T111</f>
        <v>2.4723041066650186E-6</v>
      </c>
    </row>
    <row r="112" spans="1:21" s="101" customFormat="1">
      <c r="A112" s="52" t="s">
        <v>127</v>
      </c>
      <c r="B112" s="16" t="s">
        <v>87</v>
      </c>
      <c r="C112" s="13">
        <v>55476.813000000002</v>
      </c>
      <c r="D112" s="13">
        <v>8.9999999999999998E-4</v>
      </c>
      <c r="E112" s="101">
        <f t="shared" si="17"/>
        <v>29496.849975401601</v>
      </c>
      <c r="F112" s="101">
        <f t="shared" si="18"/>
        <v>29497</v>
      </c>
      <c r="G112" s="101">
        <f t="shared" si="19"/>
        <v>-4.9493942999106366E-2</v>
      </c>
      <c r="J112" s="101">
        <f>G112</f>
        <v>-4.9493942999106366E-2</v>
      </c>
      <c r="P112" s="103">
        <f t="shared" si="22"/>
        <v>-4.824675760360897E-2</v>
      </c>
      <c r="Q112" s="104">
        <f t="shared" si="20"/>
        <v>40458.313000000002</v>
      </c>
      <c r="S112" s="101">
        <f t="shared" si="23"/>
        <v>1.5554714107419975E-6</v>
      </c>
      <c r="T112" s="101">
        <v>0.5</v>
      </c>
      <c r="U112" s="101">
        <f t="shared" si="24"/>
        <v>7.7773570537099875E-7</v>
      </c>
    </row>
    <row r="113" spans="1:21" s="101" customFormat="1">
      <c r="A113" s="50" t="s">
        <v>128</v>
      </c>
      <c r="B113" s="46" t="s">
        <v>86</v>
      </c>
      <c r="C113" s="45">
        <v>55483.576639999999</v>
      </c>
      <c r="D113" s="30">
        <v>2.0000000000000001E-4</v>
      </c>
      <c r="E113" s="101">
        <f t="shared" si="17"/>
        <v>29517.351723964337</v>
      </c>
      <c r="F113" s="101">
        <f t="shared" si="18"/>
        <v>29517.5</v>
      </c>
      <c r="G113" s="101">
        <f t="shared" si="19"/>
        <v>-4.8917082502157427E-2</v>
      </c>
      <c r="M113" s="105">
        <f>G113</f>
        <v>-4.8917082502157427E-2</v>
      </c>
      <c r="P113" s="103">
        <f t="shared" si="22"/>
        <v>-4.8342213756534747E-2</v>
      </c>
      <c r="Q113" s="104">
        <f t="shared" si="20"/>
        <v>40465.076639999999</v>
      </c>
      <c r="S113" s="101">
        <f t="shared" si="23"/>
        <v>3.3047407469379455E-7</v>
      </c>
      <c r="T113" s="101">
        <v>1</v>
      </c>
      <c r="U113" s="101">
        <f t="shared" si="24"/>
        <v>3.3047407469379455E-7</v>
      </c>
    </row>
    <row r="114" spans="1:21" s="101" customFormat="1">
      <c r="A114" s="50" t="s">
        <v>128</v>
      </c>
      <c r="B114" s="46" t="s">
        <v>86</v>
      </c>
      <c r="C114" s="45">
        <v>55483.576849999998</v>
      </c>
      <c r="D114" s="45">
        <v>2.9999999999999997E-4</v>
      </c>
      <c r="E114" s="101">
        <f t="shared" si="17"/>
        <v>29517.352360510216</v>
      </c>
      <c r="F114" s="101">
        <f t="shared" si="18"/>
        <v>29517.5</v>
      </c>
      <c r="G114" s="101">
        <f t="shared" si="19"/>
        <v>-4.8707082503824495E-2</v>
      </c>
      <c r="M114" s="105">
        <f>G114</f>
        <v>-4.8707082503824495E-2</v>
      </c>
      <c r="P114" s="103">
        <f t="shared" si="22"/>
        <v>-4.8342213756534747E-2</v>
      </c>
      <c r="Q114" s="104">
        <f t="shared" si="20"/>
        <v>40465.076849999998</v>
      </c>
      <c r="S114" s="101">
        <f t="shared" si="23"/>
        <v>1.3312920274879019E-7</v>
      </c>
      <c r="T114" s="101">
        <v>1</v>
      </c>
      <c r="U114" s="101">
        <f t="shared" si="24"/>
        <v>1.3312920274879019E-7</v>
      </c>
    </row>
    <row r="115" spans="1:21" s="101" customFormat="1">
      <c r="A115" s="53" t="s">
        <v>133</v>
      </c>
      <c r="B115" s="54" t="s">
        <v>86</v>
      </c>
      <c r="C115" s="53">
        <v>55584.360800000002</v>
      </c>
      <c r="D115" s="43">
        <v>2.0000000000000001E-4</v>
      </c>
      <c r="E115" s="101">
        <f t="shared" si="17"/>
        <v>29822.845734205504</v>
      </c>
      <c r="F115" s="101">
        <f t="shared" si="18"/>
        <v>29823</v>
      </c>
      <c r="G115" s="101">
        <f t="shared" si="19"/>
        <v>-5.0893136998638511E-2</v>
      </c>
      <c r="J115" s="101">
        <f>G115</f>
        <v>-5.0893136998638511E-2</v>
      </c>
      <c r="P115" s="103">
        <f t="shared" si="22"/>
        <v>-4.9779832869111168E-2</v>
      </c>
      <c r="Q115" s="104">
        <f t="shared" si="20"/>
        <v>40565.860800000002</v>
      </c>
      <c r="S115" s="101">
        <f t="shared" si="23"/>
        <v>1.2394460848226342E-6</v>
      </c>
      <c r="T115" s="101">
        <v>1</v>
      </c>
      <c r="U115" s="101">
        <f t="shared" si="24"/>
        <v>1.2394460848226342E-6</v>
      </c>
    </row>
    <row r="116" spans="1:21" s="101" customFormat="1">
      <c r="A116" s="50" t="s">
        <v>128</v>
      </c>
      <c r="B116" s="46" t="s">
        <v>86</v>
      </c>
      <c r="C116" s="45">
        <v>55600.36176</v>
      </c>
      <c r="D116" s="45">
        <v>2.9999999999999997E-4</v>
      </c>
      <c r="E116" s="101">
        <f t="shared" si="17"/>
        <v>29871.347378095848</v>
      </c>
      <c r="F116" s="101">
        <f t="shared" si="18"/>
        <v>29871.5</v>
      </c>
      <c r="G116" s="101">
        <f t="shared" si="19"/>
        <v>-5.0350808502116706E-2</v>
      </c>
      <c r="M116" s="105">
        <f t="shared" ref="M116:M122" si="25">G116</f>
        <v>-5.0350808502116706E-2</v>
      </c>
      <c r="P116" s="103">
        <f t="shared" si="22"/>
        <v>-5.0010665049820352E-2</v>
      </c>
      <c r="Q116" s="104">
        <f t="shared" si="20"/>
        <v>40581.86176</v>
      </c>
      <c r="S116" s="101">
        <f t="shared" si="23"/>
        <v>1.1569756814008221E-7</v>
      </c>
      <c r="T116" s="101">
        <v>1</v>
      </c>
      <c r="U116" s="101">
        <f t="shared" si="24"/>
        <v>1.1569756814008221E-7</v>
      </c>
    </row>
    <row r="117" spans="1:21" s="101" customFormat="1">
      <c r="A117" s="50" t="s">
        <v>128</v>
      </c>
      <c r="B117" s="46" t="s">
        <v>86</v>
      </c>
      <c r="C117" s="45">
        <v>55600.362260000002</v>
      </c>
      <c r="D117" s="45">
        <v>2.0000000000000001E-4</v>
      </c>
      <c r="E117" s="101">
        <f t="shared" ref="E117:E123" si="26">+(C117-C$7)/C$8</f>
        <v>29871.34889368129</v>
      </c>
      <c r="F117" s="101">
        <f t="shared" ref="F117:F123" si="27">ROUND(2*E117,0)/2</f>
        <v>29871.5</v>
      </c>
      <c r="G117" s="101">
        <f t="shared" ref="G117:G123" si="28">+C117-(C$7+F117*C$8)</f>
        <v>-4.9850808500195853E-2</v>
      </c>
      <c r="M117" s="105">
        <f t="shared" si="25"/>
        <v>-4.9850808500195853E-2</v>
      </c>
      <c r="P117" s="103">
        <f t="shared" si="22"/>
        <v>-5.0010665049820352E-2</v>
      </c>
      <c r="Q117" s="104">
        <f t="shared" ref="Q117:Q123" si="29">+C117-15018.5</f>
        <v>40581.862260000002</v>
      </c>
      <c r="S117" s="101">
        <f t="shared" si="23"/>
        <v>2.5554116457849775E-8</v>
      </c>
      <c r="T117" s="101">
        <v>1</v>
      </c>
      <c r="U117" s="101">
        <f t="shared" si="24"/>
        <v>2.5554116457849775E-8</v>
      </c>
    </row>
    <row r="118" spans="1:21" s="101" customFormat="1">
      <c r="A118" s="50" t="s">
        <v>128</v>
      </c>
      <c r="B118" s="46" t="s">
        <v>86</v>
      </c>
      <c r="C118" s="45">
        <v>55600.362760000004</v>
      </c>
      <c r="D118" s="45">
        <v>2.0000000000000001E-4</v>
      </c>
      <c r="E118" s="101">
        <f t="shared" si="26"/>
        <v>29871.350409266735</v>
      </c>
      <c r="F118" s="101">
        <f t="shared" si="27"/>
        <v>29871.5</v>
      </c>
      <c r="G118" s="101">
        <f t="shared" si="28"/>
        <v>-4.9350808498275001E-2</v>
      </c>
      <c r="M118" s="105">
        <f t="shared" si="25"/>
        <v>-4.9350808498275001E-2</v>
      </c>
      <c r="P118" s="103">
        <f t="shared" si="22"/>
        <v>-5.0010665049820352E-2</v>
      </c>
      <c r="Q118" s="104">
        <f t="shared" si="29"/>
        <v>40581.862760000004</v>
      </c>
      <c r="S118" s="101">
        <f t="shared" si="23"/>
        <v>4.3541066861732295E-7</v>
      </c>
      <c r="T118" s="101">
        <v>1</v>
      </c>
      <c r="U118" s="101">
        <f t="shared" si="24"/>
        <v>4.3541066861732295E-7</v>
      </c>
    </row>
    <row r="119" spans="1:21" s="101" customFormat="1">
      <c r="A119" s="50" t="s">
        <v>128</v>
      </c>
      <c r="B119" s="46" t="s">
        <v>87</v>
      </c>
      <c r="C119" s="45">
        <v>55622.298920000001</v>
      </c>
      <c r="D119" s="45">
        <v>2.0000000000000001E-4</v>
      </c>
      <c r="E119" s="101">
        <f t="shared" si="26"/>
        <v>29937.842658521884</v>
      </c>
      <c r="F119" s="101">
        <f t="shared" si="27"/>
        <v>29938</v>
      </c>
      <c r="G119" s="101">
        <f t="shared" si="28"/>
        <v>-5.1907821994973347E-2</v>
      </c>
      <c r="M119" s="105">
        <f t="shared" si="25"/>
        <v>-5.1907821994973347E-2</v>
      </c>
      <c r="P119" s="103">
        <f t="shared" si="22"/>
        <v>-5.0328325599967416E-2</v>
      </c>
      <c r="Q119" s="104">
        <f t="shared" si="29"/>
        <v>40603.798920000001</v>
      </c>
      <c r="S119" s="101">
        <f t="shared" si="23"/>
        <v>2.4948088618367301E-6</v>
      </c>
      <c r="T119" s="101">
        <v>1</v>
      </c>
      <c r="U119" s="101">
        <f t="shared" si="24"/>
        <v>2.4948088618367301E-6</v>
      </c>
    </row>
    <row r="120" spans="1:21" s="101" customFormat="1">
      <c r="A120" s="50" t="s">
        <v>128</v>
      </c>
      <c r="B120" s="46" t="s">
        <v>87</v>
      </c>
      <c r="C120" s="45">
        <v>55622.299619999998</v>
      </c>
      <c r="D120" s="45">
        <v>2.0000000000000001E-4</v>
      </c>
      <c r="E120" s="101">
        <f t="shared" si="26"/>
        <v>29937.844780341486</v>
      </c>
      <c r="F120" s="101">
        <f t="shared" si="27"/>
        <v>29938</v>
      </c>
      <c r="G120" s="101">
        <f t="shared" si="28"/>
        <v>-5.1207821998104919E-2</v>
      </c>
      <c r="M120" s="105">
        <f t="shared" si="25"/>
        <v>-5.1207821998104919E-2</v>
      </c>
      <c r="P120" s="103">
        <f t="shared" si="22"/>
        <v>-5.0328325599967416E-2</v>
      </c>
      <c r="Q120" s="104">
        <f t="shared" si="29"/>
        <v>40603.799619999998</v>
      </c>
      <c r="S120" s="101">
        <f t="shared" si="23"/>
        <v>7.735139143368405E-7</v>
      </c>
      <c r="T120" s="101">
        <v>1</v>
      </c>
      <c r="U120" s="101">
        <f t="shared" si="24"/>
        <v>7.735139143368405E-7</v>
      </c>
    </row>
    <row r="121" spans="1:21" s="101" customFormat="1">
      <c r="A121" s="50" t="s">
        <v>128</v>
      </c>
      <c r="B121" s="46" t="s">
        <v>87</v>
      </c>
      <c r="C121" s="45">
        <v>55622.29982</v>
      </c>
      <c r="D121" s="45">
        <v>2.0000000000000001E-4</v>
      </c>
      <c r="E121" s="101">
        <f t="shared" si="26"/>
        <v>29937.845386575667</v>
      </c>
      <c r="F121" s="101">
        <f t="shared" si="27"/>
        <v>29938</v>
      </c>
      <c r="G121" s="101">
        <f t="shared" si="28"/>
        <v>-5.1007821995881386E-2</v>
      </c>
      <c r="M121" s="105">
        <f t="shared" si="25"/>
        <v>-5.1007821995881386E-2</v>
      </c>
      <c r="P121" s="103">
        <f t="shared" si="22"/>
        <v>-5.0328325599967416E-2</v>
      </c>
      <c r="Q121" s="104">
        <f t="shared" si="29"/>
        <v>40603.79982</v>
      </c>
      <c r="S121" s="101">
        <f t="shared" si="23"/>
        <v>4.6171535206007455E-7</v>
      </c>
      <c r="T121" s="101">
        <v>1</v>
      </c>
      <c r="U121" s="101">
        <f t="shared" si="24"/>
        <v>4.6171535206007455E-7</v>
      </c>
    </row>
    <row r="122" spans="1:21" s="101" customFormat="1">
      <c r="A122" s="53" t="s">
        <v>134</v>
      </c>
      <c r="B122" s="54" t="s">
        <v>86</v>
      </c>
      <c r="C122" s="53">
        <v>55804.572</v>
      </c>
      <c r="D122" s="25">
        <v>4.0000000000000001E-3</v>
      </c>
      <c r="E122" s="101">
        <f t="shared" si="26"/>
        <v>30490.343509530681</v>
      </c>
      <c r="F122" s="101">
        <f t="shared" si="27"/>
        <v>30490.5</v>
      </c>
      <c r="G122" s="101">
        <f t="shared" si="28"/>
        <v>-5.162706950068241E-2</v>
      </c>
      <c r="M122" s="105">
        <f t="shared" si="25"/>
        <v>-5.162706950068241E-2</v>
      </c>
      <c r="P122" s="103">
        <f t="shared" si="22"/>
        <v>-5.3019352432048888E-2</v>
      </c>
      <c r="Q122" s="104">
        <f t="shared" si="29"/>
        <v>40786.072</v>
      </c>
      <c r="S122" s="101">
        <f t="shared" si="23"/>
        <v>1.9384517609744348E-6</v>
      </c>
      <c r="T122" s="101">
        <v>0.2</v>
      </c>
      <c r="U122" s="101">
        <f t="shared" si="24"/>
        <v>3.8769035219488699E-7</v>
      </c>
    </row>
    <row r="123" spans="1:21" s="101" customFormat="1">
      <c r="A123" s="53" t="s">
        <v>135</v>
      </c>
      <c r="B123" s="54" t="s">
        <v>86</v>
      </c>
      <c r="C123" s="53">
        <v>55874.841999999997</v>
      </c>
      <c r="D123" s="53">
        <v>2.9999999999999997E-4</v>
      </c>
      <c r="E123" s="101">
        <f t="shared" si="26"/>
        <v>30703.34388676898</v>
      </c>
      <c r="F123" s="101">
        <f t="shared" si="27"/>
        <v>30703.5</v>
      </c>
      <c r="G123" s="101">
        <f t="shared" si="28"/>
        <v>-5.1502616501238663E-2</v>
      </c>
      <c r="J123" s="101">
        <f>G123</f>
        <v>-5.1502616501238663E-2</v>
      </c>
      <c r="P123" s="103">
        <f t="shared" si="22"/>
        <v>-5.4081502459472325E-2</v>
      </c>
      <c r="Q123" s="104">
        <f t="shared" si="29"/>
        <v>40856.341999999997</v>
      </c>
      <c r="S123" s="101">
        <f t="shared" si="23"/>
        <v>6.6506527855747532E-6</v>
      </c>
      <c r="T123" s="101">
        <v>1</v>
      </c>
      <c r="U123" s="101">
        <f t="shared" si="24"/>
        <v>6.6506527855747532E-6</v>
      </c>
    </row>
    <row r="124" spans="1:21" s="101" customFormat="1">
      <c r="C124" s="100"/>
      <c r="D124" s="100"/>
      <c r="P124" s="103"/>
    </row>
    <row r="125" spans="1:21" s="101" customFormat="1">
      <c r="C125" s="100"/>
      <c r="D125" s="100"/>
      <c r="P125" s="103"/>
    </row>
    <row r="126" spans="1:21" s="101" customFormat="1">
      <c r="C126" s="100"/>
      <c r="D126" s="100"/>
      <c r="P126" s="103"/>
    </row>
    <row r="127" spans="1:21" s="101" customFormat="1">
      <c r="C127" s="100"/>
      <c r="D127" s="100"/>
      <c r="P127" s="103"/>
    </row>
    <row r="128" spans="1:21" s="101" customFormat="1">
      <c r="C128" s="100"/>
      <c r="D128" s="100"/>
      <c r="P128" s="103"/>
    </row>
    <row r="129" spans="3:16" s="101" customFormat="1">
      <c r="C129" s="100"/>
      <c r="D129" s="100"/>
      <c r="P129" s="103"/>
    </row>
    <row r="130" spans="3:16" s="101" customFormat="1">
      <c r="C130" s="100"/>
      <c r="D130" s="100"/>
      <c r="P130" s="103"/>
    </row>
    <row r="131" spans="3:16" s="101" customFormat="1">
      <c r="C131" s="100"/>
      <c r="D131" s="100"/>
      <c r="P131" s="103"/>
    </row>
    <row r="132" spans="3:16" s="101" customFormat="1">
      <c r="C132" s="100"/>
      <c r="D132" s="100"/>
      <c r="P132" s="103"/>
    </row>
    <row r="133" spans="3:16" s="101" customFormat="1">
      <c r="C133" s="100"/>
      <c r="D133" s="100"/>
      <c r="P133" s="103"/>
    </row>
    <row r="134" spans="3:16" s="101" customFormat="1">
      <c r="C134" s="100"/>
      <c r="D134" s="100"/>
      <c r="P134" s="103"/>
    </row>
    <row r="135" spans="3:16" s="101" customFormat="1">
      <c r="C135" s="100"/>
      <c r="D135" s="100"/>
      <c r="P135" s="103"/>
    </row>
    <row r="136" spans="3:16" s="101" customFormat="1">
      <c r="C136" s="100"/>
      <c r="D136" s="100"/>
      <c r="P136" s="103"/>
    </row>
    <row r="137" spans="3:16">
      <c r="C137" s="26"/>
      <c r="D137" s="26"/>
      <c r="P137" s="37"/>
    </row>
    <row r="138" spans="3:16">
      <c r="C138" s="26"/>
      <c r="D138" s="26"/>
      <c r="P138" s="37"/>
    </row>
    <row r="139" spans="3:16">
      <c r="C139" s="26"/>
      <c r="D139" s="26"/>
      <c r="P139" s="37"/>
    </row>
    <row r="140" spans="3:16">
      <c r="C140" s="26"/>
      <c r="D140" s="26"/>
      <c r="P140" s="37"/>
    </row>
    <row r="141" spans="3:16">
      <c r="C141" s="26"/>
      <c r="D141" s="26"/>
      <c r="P141" s="37"/>
    </row>
    <row r="142" spans="3:16">
      <c r="C142" s="26"/>
      <c r="D142" s="26"/>
      <c r="P142" s="37"/>
    </row>
    <row r="143" spans="3:16">
      <c r="C143" s="26"/>
      <c r="D143" s="26"/>
      <c r="P143" s="37"/>
    </row>
    <row r="144" spans="3:16">
      <c r="C144" s="26"/>
      <c r="D144" s="26"/>
      <c r="P144" s="37"/>
    </row>
    <row r="145" spans="3:16">
      <c r="C145" s="26"/>
      <c r="D145" s="26"/>
      <c r="P145" s="37"/>
    </row>
    <row r="146" spans="3:16">
      <c r="C146" s="26"/>
      <c r="D146" s="26"/>
      <c r="P146" s="37"/>
    </row>
    <row r="147" spans="3:16">
      <c r="C147" s="26"/>
      <c r="D147" s="26"/>
      <c r="P147" s="37"/>
    </row>
    <row r="148" spans="3:16">
      <c r="C148" s="26"/>
      <c r="D148" s="26"/>
      <c r="P148" s="37"/>
    </row>
    <row r="149" spans="3:16">
      <c r="C149" s="26"/>
      <c r="D149" s="26"/>
      <c r="P149" s="37"/>
    </row>
    <row r="150" spans="3:16">
      <c r="C150" s="26"/>
      <c r="D150" s="26"/>
      <c r="P150" s="37"/>
    </row>
    <row r="151" spans="3:16">
      <c r="C151" s="26"/>
      <c r="D151" s="26"/>
      <c r="P151" s="37"/>
    </row>
    <row r="152" spans="3:16">
      <c r="C152" s="26"/>
      <c r="D152" s="26"/>
      <c r="P152" s="37"/>
    </row>
    <row r="153" spans="3:16">
      <c r="C153" s="26"/>
      <c r="D153" s="26"/>
      <c r="P153" s="37"/>
    </row>
    <row r="154" spans="3:16">
      <c r="C154" s="26"/>
      <c r="D154" s="26"/>
      <c r="P154" s="37"/>
    </row>
    <row r="155" spans="3:16">
      <c r="C155" s="26"/>
      <c r="D155" s="26"/>
      <c r="P155" s="37"/>
    </row>
    <row r="156" spans="3:16">
      <c r="C156" s="26"/>
      <c r="D156" s="26"/>
      <c r="P156" s="37"/>
    </row>
    <row r="157" spans="3:16">
      <c r="C157" s="26"/>
      <c r="D157" s="26"/>
      <c r="P157" s="37"/>
    </row>
    <row r="158" spans="3:16">
      <c r="C158" s="26"/>
      <c r="D158" s="26"/>
      <c r="P158" s="37"/>
    </row>
    <row r="159" spans="3:16">
      <c r="C159" s="26"/>
      <c r="D159" s="26"/>
      <c r="P159" s="37"/>
    </row>
    <row r="160" spans="3:16">
      <c r="C160" s="26"/>
      <c r="D160" s="26"/>
      <c r="P160" s="37"/>
    </row>
    <row r="161" spans="3:16">
      <c r="C161" s="26"/>
      <c r="D161" s="26"/>
      <c r="P161" s="37"/>
    </row>
    <row r="162" spans="3:16">
      <c r="C162" s="26"/>
      <c r="D162" s="26"/>
      <c r="P162" s="37"/>
    </row>
    <row r="163" spans="3:16">
      <c r="C163" s="26"/>
      <c r="D163" s="26"/>
      <c r="P163" s="37"/>
    </row>
    <row r="164" spans="3:16">
      <c r="C164" s="26"/>
      <c r="D164" s="26"/>
      <c r="P164" s="37"/>
    </row>
    <row r="165" spans="3:16">
      <c r="C165" s="26"/>
      <c r="D165" s="26"/>
      <c r="P165" s="37"/>
    </row>
    <row r="166" spans="3:16">
      <c r="C166" s="26"/>
      <c r="D166" s="26"/>
      <c r="P166" s="37"/>
    </row>
    <row r="167" spans="3:16">
      <c r="C167" s="26"/>
      <c r="D167" s="26"/>
      <c r="P167" s="37"/>
    </row>
    <row r="168" spans="3:16">
      <c r="C168" s="26"/>
      <c r="D168" s="26"/>
      <c r="P168" s="37"/>
    </row>
    <row r="169" spans="3:16">
      <c r="C169" s="26"/>
      <c r="D169" s="26"/>
      <c r="P169" s="37"/>
    </row>
    <row r="170" spans="3:16">
      <c r="C170" s="26"/>
      <c r="D170" s="26"/>
      <c r="P170" s="37"/>
    </row>
    <row r="171" spans="3:16">
      <c r="C171" s="26"/>
      <c r="D171" s="26"/>
      <c r="P171" s="37"/>
    </row>
    <row r="172" spans="3:16">
      <c r="C172" s="26"/>
      <c r="D172" s="26"/>
      <c r="P172" s="37"/>
    </row>
    <row r="173" spans="3:16">
      <c r="C173" s="26"/>
      <c r="D173" s="26"/>
      <c r="P173" s="37"/>
    </row>
    <row r="174" spans="3:16">
      <c r="C174" s="26"/>
      <c r="D174" s="26"/>
      <c r="P174" s="37"/>
    </row>
    <row r="175" spans="3:16">
      <c r="C175" s="26"/>
      <c r="D175" s="26"/>
      <c r="P175" s="37"/>
    </row>
    <row r="176" spans="3:16">
      <c r="C176" s="26"/>
      <c r="D176" s="26"/>
      <c r="P176" s="37"/>
    </row>
    <row r="177" spans="3:16">
      <c r="C177" s="26"/>
      <c r="D177" s="26"/>
      <c r="P177" s="37"/>
    </row>
    <row r="178" spans="3:16">
      <c r="C178" s="26"/>
      <c r="D178" s="26"/>
      <c r="P178" s="37"/>
    </row>
    <row r="179" spans="3:16">
      <c r="C179" s="26"/>
      <c r="D179" s="26"/>
      <c r="P179" s="37"/>
    </row>
    <row r="180" spans="3:16">
      <c r="C180" s="26"/>
      <c r="D180" s="26"/>
      <c r="P180" s="37"/>
    </row>
    <row r="181" spans="3:16">
      <c r="C181" s="26"/>
      <c r="D181" s="26"/>
      <c r="P181" s="37"/>
    </row>
    <row r="182" spans="3:16">
      <c r="C182" s="26"/>
      <c r="D182" s="26"/>
      <c r="P182" s="37"/>
    </row>
    <row r="183" spans="3:16">
      <c r="C183" s="26"/>
      <c r="D183" s="26"/>
      <c r="P183" s="37"/>
    </row>
    <row r="184" spans="3:16">
      <c r="C184" s="26"/>
      <c r="D184" s="26"/>
      <c r="P184" s="37"/>
    </row>
    <row r="185" spans="3:16">
      <c r="C185" s="26"/>
      <c r="D185" s="26"/>
      <c r="P185" s="37"/>
    </row>
    <row r="186" spans="3:16">
      <c r="C186" s="26"/>
      <c r="D186" s="26"/>
      <c r="P186" s="37"/>
    </row>
    <row r="187" spans="3:16">
      <c r="C187" s="26"/>
      <c r="D187" s="26"/>
      <c r="P187" s="37"/>
    </row>
    <row r="188" spans="3:16">
      <c r="C188" s="26"/>
      <c r="D188" s="26"/>
      <c r="P188" s="37"/>
    </row>
    <row r="189" spans="3:16">
      <c r="C189" s="26"/>
      <c r="D189" s="26"/>
      <c r="P189" s="37"/>
    </row>
    <row r="190" spans="3:16">
      <c r="C190" s="26"/>
      <c r="D190" s="26"/>
      <c r="P190" s="37"/>
    </row>
    <row r="191" spans="3:16">
      <c r="C191" s="26"/>
      <c r="D191" s="26"/>
      <c r="P191" s="37"/>
    </row>
    <row r="192" spans="3:16">
      <c r="C192" s="26"/>
      <c r="D192" s="26"/>
      <c r="P192" s="37"/>
    </row>
    <row r="193" spans="3:16">
      <c r="C193" s="26"/>
      <c r="D193" s="26"/>
      <c r="P193" s="37"/>
    </row>
    <row r="194" spans="3:16">
      <c r="C194" s="26"/>
      <c r="D194" s="26"/>
      <c r="P194" s="37"/>
    </row>
    <row r="195" spans="3:16">
      <c r="C195" s="26"/>
      <c r="D195" s="26"/>
      <c r="P195" s="37"/>
    </row>
    <row r="196" spans="3:16">
      <c r="C196" s="26"/>
      <c r="D196" s="26"/>
      <c r="P196" s="37"/>
    </row>
    <row r="197" spans="3:16">
      <c r="C197" s="26"/>
      <c r="D197" s="26"/>
      <c r="P197" s="37"/>
    </row>
    <row r="198" spans="3:16">
      <c r="C198" s="26"/>
      <c r="D198" s="26"/>
      <c r="P198" s="37"/>
    </row>
    <row r="199" spans="3:16">
      <c r="C199" s="26"/>
      <c r="D199" s="26"/>
      <c r="P199" s="37"/>
    </row>
    <row r="200" spans="3:16">
      <c r="C200" s="26"/>
      <c r="D200" s="26"/>
      <c r="P200" s="37"/>
    </row>
    <row r="201" spans="3:16">
      <c r="C201" s="26"/>
      <c r="D201" s="26"/>
      <c r="P201" s="37"/>
    </row>
    <row r="202" spans="3:16">
      <c r="C202" s="26"/>
      <c r="D202" s="26"/>
      <c r="P202" s="37"/>
    </row>
    <row r="203" spans="3:16">
      <c r="C203" s="26"/>
      <c r="D203" s="26"/>
      <c r="P203" s="37"/>
    </row>
    <row r="204" spans="3:16">
      <c r="C204" s="26"/>
      <c r="D204" s="26"/>
      <c r="P204" s="37"/>
    </row>
    <row r="205" spans="3:16">
      <c r="C205" s="26"/>
      <c r="D205" s="26"/>
      <c r="P205" s="37"/>
    </row>
    <row r="206" spans="3:16">
      <c r="C206" s="26"/>
      <c r="D206" s="26"/>
      <c r="P206" s="37"/>
    </row>
    <row r="207" spans="3:16">
      <c r="C207" s="26"/>
      <c r="D207" s="26"/>
      <c r="P207" s="37"/>
    </row>
    <row r="208" spans="3:16">
      <c r="C208" s="26"/>
      <c r="D208" s="26"/>
      <c r="P208" s="37"/>
    </row>
    <row r="209" spans="3:16">
      <c r="C209" s="26"/>
      <c r="D209" s="26"/>
      <c r="P209" s="37"/>
    </row>
    <row r="210" spans="3:16">
      <c r="C210" s="26"/>
      <c r="D210" s="26"/>
      <c r="P210" s="37"/>
    </row>
    <row r="211" spans="3:16">
      <c r="C211" s="26"/>
      <c r="D211" s="26"/>
      <c r="P211" s="37"/>
    </row>
    <row r="212" spans="3:16">
      <c r="C212" s="26"/>
      <c r="D212" s="26"/>
      <c r="P212" s="37"/>
    </row>
    <row r="213" spans="3:16">
      <c r="C213" s="26"/>
      <c r="D213" s="26"/>
      <c r="P213" s="37"/>
    </row>
    <row r="214" spans="3:16">
      <c r="C214" s="26"/>
      <c r="D214" s="26"/>
      <c r="P214" s="37"/>
    </row>
    <row r="215" spans="3:16">
      <c r="C215" s="26"/>
      <c r="D215" s="26"/>
      <c r="P215" s="37"/>
    </row>
    <row r="216" spans="3:16">
      <c r="C216" s="26"/>
      <c r="D216" s="26"/>
      <c r="P216" s="37"/>
    </row>
    <row r="217" spans="3:16">
      <c r="C217" s="26"/>
      <c r="D217" s="26"/>
      <c r="P217" s="37"/>
    </row>
    <row r="218" spans="3:16">
      <c r="C218" s="26"/>
      <c r="D218" s="26"/>
      <c r="P218" s="37"/>
    </row>
    <row r="219" spans="3:16">
      <c r="C219" s="26"/>
      <c r="D219" s="26"/>
      <c r="P219" s="37"/>
    </row>
    <row r="220" spans="3:16">
      <c r="C220" s="26"/>
      <c r="D220" s="26"/>
      <c r="P220" s="37"/>
    </row>
    <row r="221" spans="3:16">
      <c r="C221" s="26"/>
      <c r="D221" s="26"/>
      <c r="P221" s="37"/>
    </row>
    <row r="222" spans="3:16">
      <c r="C222" s="26"/>
      <c r="D222" s="26"/>
      <c r="P222" s="37"/>
    </row>
    <row r="223" spans="3:16">
      <c r="C223" s="26"/>
      <c r="D223" s="26"/>
      <c r="P223" s="37"/>
    </row>
    <row r="224" spans="3:16">
      <c r="C224" s="26"/>
      <c r="D224" s="26"/>
      <c r="P224" s="37"/>
    </row>
    <row r="225" spans="3:16">
      <c r="C225" s="26"/>
      <c r="D225" s="26"/>
      <c r="P225" s="37"/>
    </row>
    <row r="226" spans="3:16">
      <c r="C226" s="26"/>
      <c r="D226" s="26"/>
      <c r="P226" s="37"/>
    </row>
    <row r="227" spans="3:16">
      <c r="C227" s="26"/>
      <c r="D227" s="26"/>
      <c r="P227" s="37"/>
    </row>
    <row r="228" spans="3:16">
      <c r="C228" s="26"/>
      <c r="D228" s="26"/>
      <c r="P228" s="37"/>
    </row>
    <row r="229" spans="3:16">
      <c r="C229" s="26"/>
      <c r="D229" s="26"/>
      <c r="P229" s="37"/>
    </row>
    <row r="230" spans="3:16">
      <c r="C230" s="26"/>
      <c r="D230" s="26"/>
      <c r="P230" s="37"/>
    </row>
    <row r="231" spans="3:16">
      <c r="C231" s="26"/>
      <c r="D231" s="26"/>
      <c r="P231" s="37"/>
    </row>
    <row r="232" spans="3:16">
      <c r="C232" s="26"/>
      <c r="D232" s="26"/>
      <c r="P232" s="37"/>
    </row>
    <row r="233" spans="3:16">
      <c r="C233" s="26"/>
      <c r="D233" s="26"/>
      <c r="P233" s="37"/>
    </row>
    <row r="234" spans="3:16">
      <c r="C234" s="26"/>
      <c r="D234" s="26"/>
      <c r="P234" s="37"/>
    </row>
    <row r="235" spans="3:16">
      <c r="C235" s="26"/>
      <c r="D235" s="26"/>
      <c r="P235" s="37"/>
    </row>
    <row r="236" spans="3:16">
      <c r="C236" s="26"/>
      <c r="D236" s="26"/>
      <c r="P236" s="37"/>
    </row>
    <row r="237" spans="3:16">
      <c r="C237" s="26"/>
      <c r="D237" s="26"/>
      <c r="P237" s="37"/>
    </row>
    <row r="238" spans="3:16">
      <c r="C238" s="26"/>
      <c r="D238" s="26"/>
      <c r="P238" s="37"/>
    </row>
    <row r="239" spans="3:16">
      <c r="C239" s="26"/>
      <c r="D239" s="26"/>
      <c r="P239" s="37"/>
    </row>
    <row r="240" spans="3:16">
      <c r="C240" s="26"/>
      <c r="D240" s="26"/>
      <c r="P240" s="37"/>
    </row>
    <row r="241" spans="3:16">
      <c r="C241" s="26"/>
      <c r="D241" s="26"/>
      <c r="P241" s="37"/>
    </row>
    <row r="242" spans="3:16">
      <c r="C242" s="26"/>
      <c r="D242" s="26"/>
      <c r="P242" s="37"/>
    </row>
    <row r="243" spans="3:16">
      <c r="C243" s="26"/>
      <c r="D243" s="26"/>
      <c r="P243" s="37"/>
    </row>
    <row r="244" spans="3:16">
      <c r="C244" s="26"/>
      <c r="D244" s="26"/>
      <c r="P244" s="37"/>
    </row>
    <row r="245" spans="3:16">
      <c r="C245" s="26"/>
      <c r="D245" s="26"/>
      <c r="P245" s="37"/>
    </row>
    <row r="246" spans="3:16">
      <c r="C246" s="26"/>
      <c r="D246" s="26"/>
      <c r="P246" s="37"/>
    </row>
    <row r="247" spans="3:16">
      <c r="C247" s="26"/>
      <c r="D247" s="26"/>
      <c r="P247" s="37"/>
    </row>
    <row r="248" spans="3:16">
      <c r="C248" s="26"/>
      <c r="D248" s="26"/>
      <c r="P248" s="37"/>
    </row>
    <row r="249" spans="3:16">
      <c r="C249" s="26"/>
      <c r="D249" s="26"/>
      <c r="P249" s="37"/>
    </row>
    <row r="250" spans="3:16">
      <c r="C250" s="26"/>
      <c r="D250" s="26"/>
      <c r="P250" s="37"/>
    </row>
    <row r="251" spans="3:16">
      <c r="C251" s="26"/>
      <c r="D251" s="26"/>
      <c r="P251" s="37"/>
    </row>
    <row r="252" spans="3:16">
      <c r="C252" s="26"/>
      <c r="D252" s="26"/>
      <c r="P252" s="37"/>
    </row>
    <row r="253" spans="3:16">
      <c r="C253" s="26"/>
      <c r="D253" s="26"/>
      <c r="P253" s="37"/>
    </row>
    <row r="254" spans="3:16">
      <c r="C254" s="26"/>
      <c r="D254" s="26"/>
      <c r="P254" s="37"/>
    </row>
    <row r="255" spans="3:16">
      <c r="C255" s="26"/>
      <c r="D255" s="26"/>
      <c r="P255" s="37"/>
    </row>
    <row r="256" spans="3:16">
      <c r="C256" s="26"/>
      <c r="D256" s="26"/>
      <c r="P256" s="37"/>
    </row>
    <row r="257" spans="3:16">
      <c r="C257" s="26"/>
      <c r="D257" s="26"/>
      <c r="P257" s="37"/>
    </row>
    <row r="258" spans="3:16">
      <c r="C258" s="26"/>
      <c r="D258" s="26"/>
      <c r="P258" s="37"/>
    </row>
    <row r="259" spans="3:16">
      <c r="C259" s="26"/>
      <c r="D259" s="26"/>
      <c r="P259" s="37"/>
    </row>
    <row r="260" spans="3:16">
      <c r="C260" s="26"/>
      <c r="D260" s="26"/>
      <c r="P260" s="37"/>
    </row>
    <row r="261" spans="3:16">
      <c r="C261" s="26"/>
      <c r="D261" s="26"/>
      <c r="P261" s="37"/>
    </row>
    <row r="262" spans="3:16">
      <c r="C262" s="26"/>
      <c r="D262" s="26"/>
      <c r="P262" s="37"/>
    </row>
    <row r="263" spans="3:16">
      <c r="C263" s="26"/>
      <c r="D263" s="26"/>
      <c r="P263" s="37"/>
    </row>
    <row r="264" spans="3:16">
      <c r="C264" s="26"/>
      <c r="D264" s="26"/>
      <c r="P264" s="37"/>
    </row>
    <row r="265" spans="3:16">
      <c r="C265" s="26"/>
      <c r="D265" s="26"/>
      <c r="P265" s="37"/>
    </row>
    <row r="266" spans="3:16">
      <c r="C266" s="26"/>
      <c r="D266" s="26"/>
      <c r="P266" s="37"/>
    </row>
    <row r="267" spans="3:16">
      <c r="C267" s="26"/>
      <c r="D267" s="26"/>
      <c r="P267" s="37"/>
    </row>
    <row r="268" spans="3:16">
      <c r="C268" s="26"/>
      <c r="D268" s="26"/>
      <c r="P268" s="37"/>
    </row>
    <row r="269" spans="3:16">
      <c r="C269" s="26"/>
      <c r="D269" s="26"/>
      <c r="P269" s="37"/>
    </row>
    <row r="270" spans="3:16">
      <c r="P270" s="37"/>
    </row>
    <row r="271" spans="3:16">
      <c r="P271" s="37"/>
    </row>
    <row r="272" spans="3:16">
      <c r="P272" s="37"/>
    </row>
    <row r="273" spans="16:16">
      <c r="P273" s="37"/>
    </row>
    <row r="274" spans="16:16">
      <c r="P274" s="37"/>
    </row>
    <row r="275" spans="16:16">
      <c r="P275" s="37"/>
    </row>
    <row r="276" spans="16:16">
      <c r="P276" s="37"/>
    </row>
    <row r="277" spans="16:16">
      <c r="P277" s="37"/>
    </row>
    <row r="278" spans="16:16">
      <c r="P278" s="37"/>
    </row>
    <row r="279" spans="16:16">
      <c r="P279" s="37"/>
    </row>
    <row r="280" spans="16:16">
      <c r="P280" s="37"/>
    </row>
    <row r="281" spans="16:16">
      <c r="P281" s="37"/>
    </row>
    <row r="282" spans="16:16">
      <c r="P282" s="37"/>
    </row>
    <row r="283" spans="16:16">
      <c r="P283" s="37"/>
    </row>
    <row r="284" spans="16:16">
      <c r="P284" s="37"/>
    </row>
    <row r="285" spans="16:16">
      <c r="P285" s="37"/>
    </row>
    <row r="286" spans="16:16">
      <c r="P286" s="37"/>
    </row>
    <row r="287" spans="16:16">
      <c r="P287" s="37"/>
    </row>
    <row r="288" spans="16:16">
      <c r="P288" s="37"/>
    </row>
    <row r="289" spans="16:16">
      <c r="P289" s="37"/>
    </row>
    <row r="290" spans="16:16">
      <c r="P290" s="37"/>
    </row>
    <row r="291" spans="16:16">
      <c r="P291" s="37"/>
    </row>
    <row r="292" spans="16:16">
      <c r="P292" s="37"/>
    </row>
    <row r="293" spans="16:16">
      <c r="P293" s="37"/>
    </row>
    <row r="294" spans="16:16">
      <c r="P294" s="37"/>
    </row>
    <row r="295" spans="16:16">
      <c r="P295" s="37"/>
    </row>
    <row r="296" spans="16:16">
      <c r="P296" s="37"/>
    </row>
    <row r="297" spans="16:16">
      <c r="P297" s="37"/>
    </row>
    <row r="298" spans="16:16">
      <c r="P298" s="37"/>
    </row>
    <row r="299" spans="16:16">
      <c r="P299" s="37"/>
    </row>
    <row r="300" spans="16:16">
      <c r="P300" s="37"/>
    </row>
    <row r="301" spans="16:16">
      <c r="P301" s="37"/>
    </row>
    <row r="302" spans="16:16">
      <c r="P302" s="37"/>
    </row>
    <row r="303" spans="16:16">
      <c r="P303" s="37"/>
    </row>
    <row r="304" spans="16:16">
      <c r="P304" s="37"/>
    </row>
    <row r="305" spans="16:16">
      <c r="P305" s="37"/>
    </row>
    <row r="306" spans="16:16">
      <c r="P306" s="37"/>
    </row>
    <row r="307" spans="16:16">
      <c r="P307" s="37"/>
    </row>
    <row r="308" spans="16:16">
      <c r="P308" s="37"/>
    </row>
    <row r="309" spans="16:16">
      <c r="P309" s="37"/>
    </row>
    <row r="310" spans="16:16">
      <c r="P310" s="37"/>
    </row>
    <row r="311" spans="16:16">
      <c r="P311" s="37"/>
    </row>
    <row r="312" spans="16:16">
      <c r="P312" s="37"/>
    </row>
  </sheetData>
  <sheetProtection sheet="1"/>
  <phoneticPr fontId="2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F312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115</v>
      </c>
      <c r="C1" s="11"/>
      <c r="V1" s="6" t="s">
        <v>65</v>
      </c>
      <c r="W1" s="8" t="s">
        <v>248</v>
      </c>
    </row>
    <row r="2" spans="1:23">
      <c r="A2" t="s">
        <v>80</v>
      </c>
      <c r="B2" t="s">
        <v>85</v>
      </c>
      <c r="D2" s="12"/>
      <c r="S2" t="s">
        <v>245</v>
      </c>
      <c r="T2">
        <v>4.7000000000000002E-3</v>
      </c>
      <c r="V2" s="101">
        <v>-4000</v>
      </c>
      <c r="W2" s="101">
        <f t="shared" ref="W2:W20" si="0">+T$2*SIN(RADIANS(T$3*V2+T$4))</f>
        <v>-4.1343482924730973E-3</v>
      </c>
    </row>
    <row r="3" spans="1:23" ht="13.5" thickBot="1">
      <c r="A3" s="47" t="s">
        <v>123</v>
      </c>
      <c r="C3" s="11"/>
      <c r="S3" t="s">
        <v>246</v>
      </c>
      <c r="T3">
        <v>1.6199999999999999E-2</v>
      </c>
      <c r="V3" s="101">
        <v>-2000</v>
      </c>
      <c r="W3" s="101">
        <f t="shared" si="0"/>
        <v>-4.6885510362211745E-3</v>
      </c>
    </row>
    <row r="4" spans="1:23" ht="14.25" thickTop="1" thickBot="1">
      <c r="A4" s="7" t="s">
        <v>56</v>
      </c>
      <c r="C4" s="2">
        <v>44559.960400000004</v>
      </c>
      <c r="D4" s="3">
        <v>0.32991700000000002</v>
      </c>
      <c r="E4" s="33" t="s">
        <v>110</v>
      </c>
      <c r="S4" t="s">
        <v>247</v>
      </c>
      <c r="T4">
        <v>306.39999999999998</v>
      </c>
      <c r="V4" s="101">
        <v>0</v>
      </c>
      <c r="W4" s="101">
        <f t="shared" si="0"/>
        <v>-3.7830008475727983E-3</v>
      </c>
    </row>
    <row r="5" spans="1:23" ht="13.5" thickTop="1">
      <c r="A5" t="s">
        <v>225</v>
      </c>
      <c r="C5" s="23">
        <v>7</v>
      </c>
      <c r="D5" s="106" t="s">
        <v>226</v>
      </c>
      <c r="V5" s="101">
        <v>2000</v>
      </c>
      <c r="W5" s="101">
        <f t="shared" si="0"/>
        <v>-1.6996354793858391E-3</v>
      </c>
    </row>
    <row r="6" spans="1:23">
      <c r="A6" s="7" t="s">
        <v>57</v>
      </c>
      <c r="V6" s="101">
        <v>4000</v>
      </c>
      <c r="W6" s="101">
        <f t="shared" si="0"/>
        <v>9.1290145073386845E-4</v>
      </c>
    </row>
    <row r="7" spans="1:23">
      <c r="A7" t="s">
        <v>58</v>
      </c>
      <c r="C7" s="11">
        <v>45745.6423</v>
      </c>
      <c r="D7" s="37" t="s">
        <v>97</v>
      </c>
      <c r="V7" s="101">
        <v>6000</v>
      </c>
      <c r="W7" s="101">
        <f t="shared" si="0"/>
        <v>3.2412118555576459E-3</v>
      </c>
    </row>
    <row r="8" spans="1:23">
      <c r="A8" t="s">
        <v>59</v>
      </c>
      <c r="C8">
        <v>0.32990465000000002</v>
      </c>
      <c r="D8" s="37" t="s">
        <v>97</v>
      </c>
      <c r="V8" s="101">
        <v>8000</v>
      </c>
      <c r="W8" s="101">
        <f t="shared" si="0"/>
        <v>4.5603899134971839E-3</v>
      </c>
    </row>
    <row r="9" spans="1:23">
      <c r="A9" s="44" t="s">
        <v>141</v>
      </c>
      <c r="C9" s="90">
        <v>21</v>
      </c>
      <c r="D9" s="44" t="str">
        <f>"F"&amp;C9</f>
        <v>F21</v>
      </c>
      <c r="E9" s="44" t="str">
        <f>"G"&amp;C9</f>
        <v>G21</v>
      </c>
      <c r="V9" s="101">
        <v>10000</v>
      </c>
      <c r="W9" s="101">
        <f t="shared" si="0"/>
        <v>4.4597172547291347E-3</v>
      </c>
    </row>
    <row r="10" spans="1:23" ht="13.5" thickBot="1">
      <c r="C10" s="6" t="s">
        <v>75</v>
      </c>
      <c r="D10" s="6" t="s">
        <v>76</v>
      </c>
      <c r="V10" s="101">
        <v>12000</v>
      </c>
      <c r="W10" s="101">
        <f t="shared" si="0"/>
        <v>2.9705377225248009E-3</v>
      </c>
    </row>
    <row r="11" spans="1:23">
      <c r="A11" t="s">
        <v>71</v>
      </c>
      <c r="C11" s="37">
        <f ca="1">INTERCEPT(INDIRECT(E9):G1005,INDIRECT(D9):$F1005)</f>
        <v>1.4952573575842294E-3</v>
      </c>
      <c r="D11" s="5">
        <f>+E11*F11</f>
        <v>-4.5700428195009662E-2</v>
      </c>
      <c r="E11" s="91">
        <v>-4.5700428195009662E-2</v>
      </c>
      <c r="F11">
        <v>1</v>
      </c>
      <c r="V11" s="101">
        <v>14000</v>
      </c>
      <c r="W11" s="101">
        <f t="shared" si="0"/>
        <v>5.5649865104056315E-4</v>
      </c>
    </row>
    <row r="12" spans="1:23">
      <c r="A12" t="s">
        <v>72</v>
      </c>
      <c r="C12" s="37">
        <f ca="1">SLOPE(INDIRECT(E9):G1005,INDIRECT(D9):$F1005)</f>
        <v>-6.1246746203730893E-7</v>
      </c>
      <c r="D12" s="5">
        <f>+E12*F12</f>
        <v>5.1530303584341068E-6</v>
      </c>
      <c r="E12" s="92">
        <v>5.1530303584341061E-2</v>
      </c>
      <c r="F12" s="107">
        <v>1E-4</v>
      </c>
      <c r="V12" s="101">
        <v>16000</v>
      </c>
      <c r="W12" s="101">
        <f t="shared" si="0"/>
        <v>-2.0308030193693103E-3</v>
      </c>
    </row>
    <row r="13" spans="1:23" ht="13.5" thickBot="1">
      <c r="A13" t="s">
        <v>74</v>
      </c>
      <c r="C13" s="5" t="s">
        <v>69</v>
      </c>
      <c r="D13" s="5">
        <f>+E13*F13</f>
        <v>-1.5149691635617257E-10</v>
      </c>
      <c r="E13" s="93">
        <v>-1.5149691635617257E-2</v>
      </c>
      <c r="F13" s="107">
        <v>1E-8</v>
      </c>
      <c r="V13" s="101">
        <v>18000</v>
      </c>
      <c r="W13" s="101">
        <f t="shared" si="0"/>
        <v>-3.985826051935204E-3</v>
      </c>
    </row>
    <row r="14" spans="1:23">
      <c r="A14" t="s">
        <v>79</v>
      </c>
      <c r="E14">
        <f>SUM(U21:U950)</f>
        <v>1.0538764630549592E-4</v>
      </c>
      <c r="V14" s="101">
        <v>20000</v>
      </c>
      <c r="W14" s="101">
        <f t="shared" si="0"/>
        <v>-4.6998854643153553E-3</v>
      </c>
    </row>
    <row r="15" spans="1:23">
      <c r="A15" s="4" t="s">
        <v>73</v>
      </c>
      <c r="C15" s="35">
        <f ca="1">(C7+C11)+(C8+C12)*INT(MAX(F21:F3533))</f>
        <v>56230.653916116476</v>
      </c>
      <c r="D15" s="10">
        <f>+C7+INT(MAX(F21:F1588))*C8+D11+D12*INT(MAX(F21:F4023))+D13*INT(MAX(F21:F4050)^2)</f>
        <v>56230.636928310676</v>
      </c>
      <c r="E15" s="80" t="s">
        <v>142</v>
      </c>
      <c r="F15" s="89">
        <v>1</v>
      </c>
      <c r="V15" s="101">
        <v>22000</v>
      </c>
      <c r="W15" s="101">
        <f t="shared" si="0"/>
        <v>-3.9506630364297178E-3</v>
      </c>
    </row>
    <row r="16" spans="1:23">
      <c r="A16" s="7" t="s">
        <v>60</v>
      </c>
      <c r="C16" s="36">
        <f ca="1">+C8+C12</f>
        <v>0.329904037532538</v>
      </c>
      <c r="D16" s="10">
        <f>+C8+D12+2*D13*MAX(F21:F896)</f>
        <v>0.32990017312887027</v>
      </c>
      <c r="E16" s="80" t="s">
        <v>143</v>
      </c>
      <c r="F16" s="94">
        <f ca="1">NOW()+15018.5+$C$5/24</f>
        <v>60679.47959224537</v>
      </c>
      <c r="V16" s="101">
        <v>24000</v>
      </c>
      <c r="W16" s="101">
        <f t="shared" si="0"/>
        <v>-1.9714247874970409E-3</v>
      </c>
    </row>
    <row r="17" spans="1:32" ht="13.5" thickBot="1">
      <c r="A17" s="37" t="s">
        <v>113</v>
      </c>
      <c r="C17">
        <f>COUNT(C21:C4739)</f>
        <v>105</v>
      </c>
      <c r="E17" s="80" t="s">
        <v>144</v>
      </c>
      <c r="F17" s="94">
        <f ca="1">ROUND(2*(F16-$C$7)/$C$8,0)/2+F15</f>
        <v>45268</v>
      </c>
      <c r="V17" s="101">
        <v>26000</v>
      </c>
      <c r="W17" s="101">
        <f t="shared" si="0"/>
        <v>6.2160503420846788E-4</v>
      </c>
    </row>
    <row r="18" spans="1:32" ht="14.25" thickTop="1" thickBot="1">
      <c r="A18" s="7" t="s">
        <v>147</v>
      </c>
      <c r="C18" s="95">
        <f ca="1">+C15</f>
        <v>56230.653916116476</v>
      </c>
      <c r="D18" s="96">
        <f ca="1">C16</f>
        <v>0.329904037532538</v>
      </c>
      <c r="E18" s="80" t="s">
        <v>145</v>
      </c>
      <c r="F18" s="10">
        <f ca="1">ROUND(2*(F16-$C$15)/$C$16,0)/2+F15</f>
        <v>13486</v>
      </c>
      <c r="V18" s="101">
        <v>28000</v>
      </c>
      <c r="W18" s="101">
        <f t="shared" si="0"/>
        <v>3.0211017655267366E-3</v>
      </c>
    </row>
    <row r="19" spans="1:32" ht="13.5" thickBot="1">
      <c r="A19" s="7" t="s">
        <v>148</v>
      </c>
      <c r="C19" s="97">
        <f>+D15</f>
        <v>56230.636928310676</v>
      </c>
      <c r="D19" s="98">
        <f>+D16</f>
        <v>0.32990017312887027</v>
      </c>
      <c r="E19" s="80" t="s">
        <v>146</v>
      </c>
      <c r="F19" s="99">
        <f ca="1">+$C$15+$C$16*F18-15018.5-$C$5/24</f>
        <v>45660.948099613619</v>
      </c>
      <c r="H19">
        <f>COUNT(H21:H129)</f>
        <v>33</v>
      </c>
      <c r="V19" s="101">
        <v>30000</v>
      </c>
      <c r="W19" s="101">
        <f t="shared" si="0"/>
        <v>4.4799961386268496E-3</v>
      </c>
    </row>
    <row r="20" spans="1:32" ht="15" thickBot="1">
      <c r="A20" s="6" t="s">
        <v>61</v>
      </c>
      <c r="B20" s="6" t="s">
        <v>62</v>
      </c>
      <c r="C20" s="6" t="s">
        <v>63</v>
      </c>
      <c r="D20" s="6" t="s">
        <v>68</v>
      </c>
      <c r="E20" s="6" t="s">
        <v>64</v>
      </c>
      <c r="F20" s="6" t="s">
        <v>65</v>
      </c>
      <c r="G20" s="6" t="s">
        <v>66</v>
      </c>
      <c r="H20" s="9" t="s">
        <v>98</v>
      </c>
      <c r="I20" s="9" t="s">
        <v>251</v>
      </c>
      <c r="J20" s="9" t="s">
        <v>92</v>
      </c>
      <c r="K20" s="9" t="s">
        <v>98</v>
      </c>
      <c r="L20" s="9" t="s">
        <v>82</v>
      </c>
      <c r="M20" s="9" t="s">
        <v>219</v>
      </c>
      <c r="N20" s="9" t="s">
        <v>83</v>
      </c>
      <c r="O20" s="9" t="s">
        <v>78</v>
      </c>
      <c r="P20" s="86" t="s">
        <v>77</v>
      </c>
      <c r="Q20" s="6" t="s">
        <v>70</v>
      </c>
      <c r="R20" s="9" t="s">
        <v>221</v>
      </c>
      <c r="S20" s="8" t="s">
        <v>222</v>
      </c>
      <c r="T20" s="6" t="s">
        <v>224</v>
      </c>
      <c r="U20" s="8" t="s">
        <v>223</v>
      </c>
      <c r="V20" s="101">
        <v>32000</v>
      </c>
      <c r="W20" s="101">
        <f t="shared" si="0"/>
        <v>4.5440699264409599E-3</v>
      </c>
    </row>
    <row r="21" spans="1:32" s="101" customFormat="1">
      <c r="A21" s="10" t="s">
        <v>99</v>
      </c>
      <c r="B21"/>
      <c r="C21" s="113">
        <v>44520.700599999996</v>
      </c>
      <c r="D21" s="25"/>
      <c r="E21" s="101">
        <f t="shared" ref="E21:E52" si="1">+(C21-C$7)/C$8</f>
        <v>-3713.0173824467252</v>
      </c>
      <c r="F21" s="101">
        <f t="shared" ref="F21:F52" si="2">ROUND(2*E21,0)/2</f>
        <v>-3713</v>
      </c>
      <c r="G21" s="101">
        <f t="shared" ref="G21:G52" si="3">+C21-(C$7+F21*C$8)</f>
        <v>-5.7345500026713125E-3</v>
      </c>
      <c r="H21" s="101">
        <f>G21</f>
        <v>-5.7345500026713125E-3</v>
      </c>
      <c r="N21" s="105"/>
      <c r="P21" s="103"/>
      <c r="Q21" s="104">
        <f t="shared" ref="Q21:Q52" si="4">+C21-15018.5</f>
        <v>29502.200599999996</v>
      </c>
    </row>
    <row r="22" spans="1:32" s="101" customFormat="1">
      <c r="A22" s="10" t="s">
        <v>99</v>
      </c>
      <c r="B22"/>
      <c r="C22" s="25">
        <v>44520.865299999998</v>
      </c>
      <c r="D22" s="25"/>
      <c r="E22" s="101">
        <f t="shared" si="1"/>
        <v>-3712.5181472889267</v>
      </c>
      <c r="F22" s="101">
        <f t="shared" si="2"/>
        <v>-3712.5</v>
      </c>
      <c r="G22" s="101">
        <f t="shared" si="3"/>
        <v>-5.986875003145542E-3</v>
      </c>
      <c r="I22" s="101">
        <f>G22</f>
        <v>-5.986875003145542E-3</v>
      </c>
      <c r="N22" s="105"/>
      <c r="P22" s="103"/>
      <c r="Q22" s="104">
        <f t="shared" si="4"/>
        <v>29502.365299999998</v>
      </c>
    </row>
    <row r="23" spans="1:32" s="101" customFormat="1">
      <c r="A23" s="10" t="s">
        <v>99</v>
      </c>
      <c r="B23" t="s">
        <v>86</v>
      </c>
      <c r="C23" s="25">
        <v>44556.825700000001</v>
      </c>
      <c r="D23" s="25"/>
      <c r="E23" s="101">
        <f t="shared" si="1"/>
        <v>-3603.5157431094053</v>
      </c>
      <c r="F23" s="101">
        <f t="shared" si="2"/>
        <v>-3603.5</v>
      </c>
      <c r="G23" s="101">
        <f t="shared" si="3"/>
        <v>-5.1937249954789877E-3</v>
      </c>
      <c r="I23" s="101">
        <f>G23</f>
        <v>-5.1937249954789877E-3</v>
      </c>
      <c r="N23" s="105"/>
      <c r="P23" s="103"/>
      <c r="Q23" s="104">
        <f t="shared" si="4"/>
        <v>29538.325700000001</v>
      </c>
    </row>
    <row r="24" spans="1:32" s="101" customFormat="1">
      <c r="A24" s="10" t="s">
        <v>99</v>
      </c>
      <c r="B24" s="5" t="s">
        <v>86</v>
      </c>
      <c r="C24" s="113">
        <v>44558.805699999997</v>
      </c>
      <c r="D24" s="25"/>
      <c r="E24" s="101">
        <f t="shared" si="1"/>
        <v>-3597.514008971993</v>
      </c>
      <c r="F24" s="101">
        <f t="shared" si="2"/>
        <v>-3597.5</v>
      </c>
      <c r="G24" s="101">
        <f t="shared" si="3"/>
        <v>-4.6216250048018992E-3</v>
      </c>
      <c r="H24" s="101">
        <f t="shared" ref="H24:H78" si="5">G24</f>
        <v>-4.6216250048018992E-3</v>
      </c>
      <c r="N24" s="105"/>
      <c r="P24" s="103"/>
      <c r="Q24" s="104">
        <f t="shared" si="4"/>
        <v>29540.305699999997</v>
      </c>
    </row>
    <row r="25" spans="1:32" s="101" customFormat="1">
      <c r="A25" s="15" t="s">
        <v>97</v>
      </c>
      <c r="B25" s="5" t="s">
        <v>86</v>
      </c>
      <c r="C25" s="114">
        <v>44559.794999999998</v>
      </c>
      <c r="D25" s="26"/>
      <c r="E25" s="101">
        <f t="shared" si="1"/>
        <v>-3594.5152637284777</v>
      </c>
      <c r="F25" s="101">
        <f t="shared" si="2"/>
        <v>-3594.5</v>
      </c>
      <c r="G25" s="101">
        <f t="shared" si="3"/>
        <v>-5.0355749990558252E-3</v>
      </c>
      <c r="H25" s="101">
        <f t="shared" si="5"/>
        <v>-5.0355749990558252E-3</v>
      </c>
      <c r="K25" s="105"/>
      <c r="P25" s="103"/>
      <c r="Q25" s="104">
        <f t="shared" si="4"/>
        <v>29541.294999999998</v>
      </c>
      <c r="AB25" s="101">
        <v>12</v>
      </c>
      <c r="AD25" s="101" t="s">
        <v>136</v>
      </c>
      <c r="AF25" s="101" t="s">
        <v>137</v>
      </c>
    </row>
    <row r="26" spans="1:32" s="101" customFormat="1">
      <c r="A26" s="15" t="s">
        <v>67</v>
      </c>
      <c r="B26"/>
      <c r="C26" s="115">
        <v>44559.960400000004</v>
      </c>
      <c r="D26" s="25" t="s">
        <v>69</v>
      </c>
      <c r="E26" s="101">
        <f t="shared" si="1"/>
        <v>-3594.013906745467</v>
      </c>
      <c r="F26" s="101">
        <f t="shared" si="2"/>
        <v>-3594</v>
      </c>
      <c r="G26" s="101">
        <f t="shared" si="3"/>
        <v>-4.5878999953856692E-3</v>
      </c>
      <c r="I26" s="101">
        <f>G26</f>
        <v>-4.5878999953856692E-3</v>
      </c>
      <c r="P26" s="103"/>
      <c r="Q26" s="104">
        <f t="shared" si="4"/>
        <v>29541.460400000004</v>
      </c>
    </row>
    <row r="27" spans="1:32" s="101" customFormat="1">
      <c r="A27" s="15" t="s">
        <v>97</v>
      </c>
      <c r="B27" s="5" t="s">
        <v>87</v>
      </c>
      <c r="C27" s="114">
        <v>44559.961000000003</v>
      </c>
      <c r="D27" s="26"/>
      <c r="E27" s="101">
        <f t="shared" si="1"/>
        <v>-3594.0120880381542</v>
      </c>
      <c r="F27" s="101">
        <f t="shared" si="2"/>
        <v>-3594</v>
      </c>
      <c r="G27" s="101">
        <f t="shared" si="3"/>
        <v>-3.9878999959910288E-3</v>
      </c>
      <c r="H27" s="101">
        <f t="shared" si="5"/>
        <v>-3.9878999959910288E-3</v>
      </c>
      <c r="K27" s="105"/>
      <c r="P27" s="103"/>
      <c r="Q27" s="104">
        <f t="shared" si="4"/>
        <v>29541.461000000003</v>
      </c>
      <c r="AA27" s="101" t="s">
        <v>138</v>
      </c>
      <c r="AB27" s="101">
        <v>6</v>
      </c>
      <c r="AD27" s="101" t="s">
        <v>136</v>
      </c>
      <c r="AF27" s="101" t="s">
        <v>137</v>
      </c>
    </row>
    <row r="28" spans="1:32" s="101" customFormat="1">
      <c r="A28" s="10" t="s">
        <v>100</v>
      </c>
      <c r="B28" s="5" t="s">
        <v>86</v>
      </c>
      <c r="C28" s="113">
        <v>45732.607600000003</v>
      </c>
      <c r="D28" s="25"/>
      <c r="E28" s="101">
        <f t="shared" si="1"/>
        <v>-39.510507051041927</v>
      </c>
      <c r="F28" s="101">
        <f t="shared" si="2"/>
        <v>-39.5</v>
      </c>
      <c r="G28" s="101">
        <f t="shared" si="3"/>
        <v>-3.4663249971345067E-3</v>
      </c>
      <c r="H28" s="101">
        <f t="shared" si="5"/>
        <v>-3.4663249971345067E-3</v>
      </c>
      <c r="P28" s="103"/>
      <c r="Q28" s="104">
        <f t="shared" si="4"/>
        <v>30714.107600000003</v>
      </c>
    </row>
    <row r="29" spans="1:32" s="101" customFormat="1">
      <c r="A29" s="10" t="s">
        <v>100</v>
      </c>
      <c r="B29" s="5" t="s">
        <v>86</v>
      </c>
      <c r="C29" s="113">
        <v>45738.546300000002</v>
      </c>
      <c r="D29" s="25"/>
      <c r="E29" s="101">
        <f t="shared" si="1"/>
        <v>-21.509245171287308</v>
      </c>
      <c r="F29" s="101">
        <f t="shared" si="2"/>
        <v>-21.5</v>
      </c>
      <c r="G29" s="101">
        <f t="shared" si="3"/>
        <v>-3.0500249995384365E-3</v>
      </c>
      <c r="H29" s="101">
        <f t="shared" si="5"/>
        <v>-3.0500249995384365E-3</v>
      </c>
      <c r="P29" s="103"/>
      <c r="Q29" s="104">
        <f t="shared" si="4"/>
        <v>30720.046300000002</v>
      </c>
      <c r="AA29" s="101" t="s">
        <v>138</v>
      </c>
      <c r="AB29" s="101">
        <v>6</v>
      </c>
      <c r="AD29" s="101" t="s">
        <v>136</v>
      </c>
      <c r="AF29" s="101" t="s">
        <v>137</v>
      </c>
    </row>
    <row r="30" spans="1:32" s="101" customFormat="1">
      <c r="A30" s="10" t="s">
        <v>100</v>
      </c>
      <c r="B30" s="5" t="s">
        <v>87</v>
      </c>
      <c r="C30" s="113">
        <v>45745.640200000002</v>
      </c>
      <c r="D30" s="25"/>
      <c r="E30" s="101">
        <f t="shared" si="1"/>
        <v>-6.3654755938761121E-3</v>
      </c>
      <c r="F30" s="101">
        <f t="shared" si="2"/>
        <v>0</v>
      </c>
      <c r="G30" s="101">
        <f t="shared" si="3"/>
        <v>-2.0999999978812411E-3</v>
      </c>
      <c r="H30" s="101">
        <f t="shared" si="5"/>
        <v>-2.0999999978812411E-3</v>
      </c>
      <c r="P30" s="103"/>
      <c r="Q30" s="104">
        <f t="shared" si="4"/>
        <v>30727.140200000002</v>
      </c>
    </row>
    <row r="31" spans="1:32" s="101" customFormat="1">
      <c r="A31" s="10" t="s">
        <v>100</v>
      </c>
      <c r="B31" s="5" t="s">
        <v>87</v>
      </c>
      <c r="C31" s="114">
        <v>45752.567600000002</v>
      </c>
      <c r="D31" s="25"/>
      <c r="E31" s="101">
        <f t="shared" si="1"/>
        <v>20.991822940363548</v>
      </c>
      <c r="F31" s="101">
        <f t="shared" si="2"/>
        <v>21</v>
      </c>
      <c r="G31" s="101">
        <f t="shared" si="3"/>
        <v>-2.6976499939337373E-3</v>
      </c>
      <c r="H31" s="101">
        <f t="shared" si="5"/>
        <v>-2.6976499939337373E-3</v>
      </c>
      <c r="P31" s="103"/>
      <c r="Q31" s="104">
        <f t="shared" si="4"/>
        <v>30734.067600000002</v>
      </c>
      <c r="AA31" s="101" t="s">
        <v>138</v>
      </c>
      <c r="AB31" s="101">
        <v>7</v>
      </c>
      <c r="AD31" s="101" t="s">
        <v>136</v>
      </c>
      <c r="AF31" s="101" t="s">
        <v>137</v>
      </c>
    </row>
    <row r="32" spans="1:32" s="101" customFormat="1">
      <c r="A32" s="31" t="s">
        <v>93</v>
      </c>
      <c r="B32" s="19" t="s">
        <v>86</v>
      </c>
      <c r="C32" s="116">
        <v>46006.428099999997</v>
      </c>
      <c r="D32" s="27"/>
      <c r="E32" s="101">
        <f t="shared" si="1"/>
        <v>790.48840324014168</v>
      </c>
      <c r="F32" s="101">
        <f t="shared" si="2"/>
        <v>790.5</v>
      </c>
      <c r="G32" s="101">
        <f t="shared" si="3"/>
        <v>-3.8258249987848103E-3</v>
      </c>
      <c r="H32" s="101">
        <f t="shared" si="5"/>
        <v>-3.8258249987848103E-3</v>
      </c>
      <c r="P32" s="103"/>
      <c r="Q32" s="104">
        <f t="shared" si="4"/>
        <v>30987.928099999997</v>
      </c>
      <c r="AA32" s="101" t="s">
        <v>138</v>
      </c>
      <c r="AB32" s="101">
        <v>6</v>
      </c>
      <c r="AD32" s="101" t="s">
        <v>136</v>
      </c>
      <c r="AF32" s="101" t="s">
        <v>137</v>
      </c>
    </row>
    <row r="33" spans="1:32" s="101" customFormat="1">
      <c r="A33" s="31" t="s">
        <v>93</v>
      </c>
      <c r="B33" s="19" t="s">
        <v>94</v>
      </c>
      <c r="C33" s="116">
        <v>46022.429000000004</v>
      </c>
      <c r="D33" s="27"/>
      <c r="E33" s="101">
        <f t="shared" si="1"/>
        <v>838.9899930176922</v>
      </c>
      <c r="F33" s="101">
        <f t="shared" si="2"/>
        <v>839</v>
      </c>
      <c r="G33" s="101">
        <f t="shared" si="3"/>
        <v>-3.3013499923981726E-3</v>
      </c>
      <c r="H33" s="101">
        <f t="shared" si="5"/>
        <v>-3.3013499923981726E-3</v>
      </c>
      <c r="P33" s="103"/>
      <c r="Q33" s="104">
        <f t="shared" si="4"/>
        <v>31003.929000000004</v>
      </c>
      <c r="AA33" s="101" t="s">
        <v>138</v>
      </c>
      <c r="AB33" s="101">
        <v>10</v>
      </c>
      <c r="AD33" s="101" t="s">
        <v>136</v>
      </c>
      <c r="AF33" s="101" t="s">
        <v>137</v>
      </c>
    </row>
    <row r="34" spans="1:32" s="101" customFormat="1">
      <c r="A34" s="10" t="s">
        <v>101</v>
      </c>
      <c r="B34"/>
      <c r="C34" s="113">
        <v>46024.738899999997</v>
      </c>
      <c r="D34" s="25"/>
      <c r="E34" s="101">
        <f t="shared" si="1"/>
        <v>845.99171306011328</v>
      </c>
      <c r="F34" s="101">
        <f t="shared" si="2"/>
        <v>846</v>
      </c>
      <c r="G34" s="101">
        <f t="shared" si="3"/>
        <v>-2.7339000007486902E-3</v>
      </c>
      <c r="H34" s="101">
        <f t="shared" si="5"/>
        <v>-2.7339000007486902E-3</v>
      </c>
      <c r="N34" s="105"/>
      <c r="P34" s="103"/>
      <c r="Q34" s="104">
        <f t="shared" si="4"/>
        <v>31006.238899999997</v>
      </c>
      <c r="AA34" s="101" t="s">
        <v>138</v>
      </c>
      <c r="AB34" s="101">
        <v>8</v>
      </c>
      <c r="AD34" s="101" t="s">
        <v>139</v>
      </c>
      <c r="AF34" s="101" t="s">
        <v>137</v>
      </c>
    </row>
    <row r="35" spans="1:32" s="101" customFormat="1">
      <c r="A35" s="10" t="s">
        <v>93</v>
      </c>
      <c r="B35"/>
      <c r="C35" s="113">
        <v>46036.285799999998</v>
      </c>
      <c r="D35" s="25"/>
      <c r="E35" s="101">
        <f t="shared" si="1"/>
        <v>880.99243220730079</v>
      </c>
      <c r="F35" s="101">
        <f t="shared" si="2"/>
        <v>881</v>
      </c>
      <c r="G35" s="101">
        <f t="shared" si="3"/>
        <v>-2.4966499986476265E-3</v>
      </c>
      <c r="H35" s="101">
        <f t="shared" si="5"/>
        <v>-2.4966499986476265E-3</v>
      </c>
      <c r="P35" s="103"/>
      <c r="Q35" s="104">
        <f t="shared" si="4"/>
        <v>31017.785799999998</v>
      </c>
      <c r="AA35" s="101" t="s">
        <v>138</v>
      </c>
      <c r="AB35" s="101">
        <v>5</v>
      </c>
      <c r="AD35" s="101" t="s">
        <v>136</v>
      </c>
      <c r="AF35" s="101" t="s">
        <v>137</v>
      </c>
    </row>
    <row r="36" spans="1:32" s="101" customFormat="1">
      <c r="A36" s="31" t="s">
        <v>93</v>
      </c>
      <c r="B36" s="19" t="s">
        <v>86</v>
      </c>
      <c r="C36" s="116">
        <v>46036.449800000002</v>
      </c>
      <c r="D36" s="27"/>
      <c r="E36" s="101">
        <f t="shared" si="1"/>
        <v>881.48954553990859</v>
      </c>
      <c r="F36" s="101">
        <f t="shared" si="2"/>
        <v>881.5</v>
      </c>
      <c r="G36" s="101">
        <f t="shared" si="3"/>
        <v>-3.4489749959902838E-3</v>
      </c>
      <c r="H36" s="101">
        <f t="shared" si="5"/>
        <v>-3.4489749959902838E-3</v>
      </c>
      <c r="P36" s="103"/>
      <c r="Q36" s="104">
        <f t="shared" si="4"/>
        <v>31017.949800000002</v>
      </c>
      <c r="AA36" s="101" t="s">
        <v>138</v>
      </c>
      <c r="AB36" s="101">
        <v>6</v>
      </c>
      <c r="AD36" s="101" t="s">
        <v>136</v>
      </c>
      <c r="AF36" s="101" t="s">
        <v>137</v>
      </c>
    </row>
    <row r="37" spans="1:32" s="101" customFormat="1">
      <c r="A37" s="31" t="s">
        <v>93</v>
      </c>
      <c r="B37" s="19" t="s">
        <v>94</v>
      </c>
      <c r="C37" s="116">
        <v>46036.615700000002</v>
      </c>
      <c r="D37" s="27"/>
      <c r="E37" s="101">
        <f t="shared" si="1"/>
        <v>881.99241811233207</v>
      </c>
      <c r="F37" s="101">
        <f t="shared" si="2"/>
        <v>882</v>
      </c>
      <c r="G37" s="101">
        <f t="shared" si="3"/>
        <v>-2.5012999976752326E-3</v>
      </c>
      <c r="H37" s="101">
        <f t="shared" si="5"/>
        <v>-2.5012999976752326E-3</v>
      </c>
      <c r="P37" s="103"/>
      <c r="Q37" s="104">
        <f t="shared" si="4"/>
        <v>31018.115700000002</v>
      </c>
      <c r="AA37" s="101" t="s">
        <v>138</v>
      </c>
      <c r="AB37" s="101">
        <v>6</v>
      </c>
      <c r="AD37" s="101" t="s">
        <v>136</v>
      </c>
      <c r="AF37" s="101" t="s">
        <v>137</v>
      </c>
    </row>
    <row r="38" spans="1:32" s="101" customFormat="1">
      <c r="A38" s="10" t="s">
        <v>102</v>
      </c>
      <c r="B38" s="5" t="s">
        <v>87</v>
      </c>
      <c r="C38" s="117">
        <v>46100.287100000001</v>
      </c>
      <c r="D38" s="25"/>
      <c r="E38" s="101">
        <f t="shared" si="1"/>
        <v>1074.9918196060644</v>
      </c>
      <c r="F38" s="101">
        <f t="shared" si="2"/>
        <v>1075</v>
      </c>
      <c r="G38" s="101">
        <f t="shared" si="3"/>
        <v>-2.6987499950337224E-3</v>
      </c>
      <c r="H38" s="101">
        <f t="shared" si="5"/>
        <v>-2.6987499950337224E-3</v>
      </c>
      <c r="P38" s="103"/>
      <c r="Q38" s="104">
        <f t="shared" si="4"/>
        <v>31081.787100000001</v>
      </c>
    </row>
    <row r="39" spans="1:32" s="101" customFormat="1">
      <c r="A39" s="10" t="s">
        <v>102</v>
      </c>
      <c r="B39" s="5" t="s">
        <v>86</v>
      </c>
      <c r="C39" s="117">
        <v>46107.3796</v>
      </c>
      <c r="D39" s="25"/>
      <c r="E39" s="101">
        <f t="shared" si="1"/>
        <v>1096.4904556513545</v>
      </c>
      <c r="F39" s="101">
        <f t="shared" si="2"/>
        <v>1096.5</v>
      </c>
      <c r="G39" s="101">
        <f t="shared" si="3"/>
        <v>-3.1487250016652979E-3</v>
      </c>
      <c r="H39" s="101">
        <f t="shared" si="5"/>
        <v>-3.1487250016652979E-3</v>
      </c>
      <c r="P39" s="103"/>
      <c r="Q39" s="104">
        <f t="shared" si="4"/>
        <v>31088.8796</v>
      </c>
      <c r="AA39" s="101" t="s">
        <v>138</v>
      </c>
      <c r="AB39" s="101">
        <v>6</v>
      </c>
      <c r="AD39" s="101" t="s">
        <v>136</v>
      </c>
      <c r="AF39" s="101" t="s">
        <v>137</v>
      </c>
    </row>
    <row r="40" spans="1:32" s="101" customFormat="1">
      <c r="A40" s="10" t="s">
        <v>103</v>
      </c>
      <c r="B40" s="5" t="s">
        <v>86</v>
      </c>
      <c r="C40" s="117">
        <v>46429.697899999999</v>
      </c>
      <c r="D40" s="25"/>
      <c r="E40" s="101">
        <f t="shared" si="1"/>
        <v>2073.4948719273875</v>
      </c>
      <c r="F40" s="101">
        <f t="shared" si="2"/>
        <v>2073.5</v>
      </c>
      <c r="G40" s="101">
        <f t="shared" si="3"/>
        <v>-1.691775003564544E-3</v>
      </c>
      <c r="H40" s="101">
        <f t="shared" si="5"/>
        <v>-1.691775003564544E-3</v>
      </c>
      <c r="J40" s="102"/>
      <c r="N40" s="105"/>
      <c r="P40" s="103"/>
      <c r="Q40" s="104">
        <f t="shared" si="4"/>
        <v>31411.197899999999</v>
      </c>
    </row>
    <row r="41" spans="1:32" s="101" customFormat="1">
      <c r="A41" s="10" t="s">
        <v>103</v>
      </c>
      <c r="B41" s="5" t="s">
        <v>86</v>
      </c>
      <c r="C41" s="117">
        <v>46436.625999999997</v>
      </c>
      <c r="D41" s="25"/>
      <c r="E41" s="101">
        <f t="shared" si="1"/>
        <v>2094.4951821685358</v>
      </c>
      <c r="F41" s="101">
        <f t="shared" si="2"/>
        <v>2094.5</v>
      </c>
      <c r="G41" s="101">
        <f t="shared" si="3"/>
        <v>-1.5894250027486123E-3</v>
      </c>
      <c r="H41" s="101">
        <f t="shared" si="5"/>
        <v>-1.5894250027486123E-3</v>
      </c>
      <c r="J41" s="102"/>
      <c r="N41" s="105"/>
      <c r="P41" s="103"/>
      <c r="Q41" s="104">
        <f t="shared" si="4"/>
        <v>31418.125999999997</v>
      </c>
    </row>
    <row r="42" spans="1:32" s="101" customFormat="1">
      <c r="A42" s="10" t="s">
        <v>104</v>
      </c>
      <c r="B42"/>
      <c r="C42" s="25">
        <v>46442.394899999999</v>
      </c>
      <c r="D42" s="25"/>
      <c r="E42" s="101">
        <f t="shared" si="1"/>
        <v>2111.9817498783354</v>
      </c>
      <c r="F42" s="101">
        <f t="shared" si="2"/>
        <v>2112</v>
      </c>
      <c r="G42" s="101">
        <f t="shared" si="3"/>
        <v>-6.0207999995327555E-3</v>
      </c>
      <c r="I42" s="101">
        <f>G42</f>
        <v>-6.0207999995327555E-3</v>
      </c>
      <c r="J42" s="102"/>
      <c r="N42" s="105"/>
      <c r="P42" s="103"/>
      <c r="Q42" s="104">
        <f t="shared" si="4"/>
        <v>31423.894899999999</v>
      </c>
      <c r="AA42" s="101" t="s">
        <v>138</v>
      </c>
      <c r="AF42" s="101" t="s">
        <v>140</v>
      </c>
    </row>
    <row r="43" spans="1:32" s="101" customFormat="1">
      <c r="A43" s="10" t="s">
        <v>105</v>
      </c>
      <c r="B43" s="5" t="s">
        <v>86</v>
      </c>
      <c r="C43" s="117">
        <v>47864.787900000003</v>
      </c>
      <c r="D43" s="25"/>
      <c r="E43" s="101">
        <f t="shared" si="1"/>
        <v>6423.5093382284949</v>
      </c>
      <c r="F43" s="101">
        <f t="shared" si="2"/>
        <v>6423.5</v>
      </c>
      <c r="G43" s="101">
        <f t="shared" si="3"/>
        <v>3.0807250004727393E-3</v>
      </c>
      <c r="H43" s="101">
        <f t="shared" si="5"/>
        <v>3.0807250004727393E-3</v>
      </c>
      <c r="P43" s="103"/>
      <c r="Q43" s="104">
        <f t="shared" si="4"/>
        <v>32846.287900000003</v>
      </c>
      <c r="AA43" s="101" t="s">
        <v>138</v>
      </c>
      <c r="AB43" s="101">
        <v>8</v>
      </c>
      <c r="AD43" s="101" t="s">
        <v>136</v>
      </c>
      <c r="AF43" s="101" t="s">
        <v>137</v>
      </c>
    </row>
    <row r="44" spans="1:32" s="101" customFormat="1">
      <c r="A44" s="15" t="s">
        <v>81</v>
      </c>
      <c r="B44" s="16" t="s">
        <v>86</v>
      </c>
      <c r="C44" s="118">
        <v>50415.281000000003</v>
      </c>
      <c r="D44" s="28">
        <v>1.7999999999999999E-2</v>
      </c>
      <c r="E44" s="101">
        <f t="shared" si="1"/>
        <v>14154.510098599711</v>
      </c>
      <c r="F44" s="101">
        <f t="shared" si="2"/>
        <v>14154.5</v>
      </c>
      <c r="G44" s="101">
        <f t="shared" si="3"/>
        <v>3.3315750042675063E-3</v>
      </c>
      <c r="H44" s="101">
        <f t="shared" si="5"/>
        <v>3.3315750042675063E-3</v>
      </c>
      <c r="P44" s="103"/>
      <c r="Q44" s="104">
        <f t="shared" si="4"/>
        <v>35396.781000000003</v>
      </c>
      <c r="AA44" s="101" t="s">
        <v>138</v>
      </c>
      <c r="AF44" s="101" t="s">
        <v>140</v>
      </c>
    </row>
    <row r="45" spans="1:32" s="101" customFormat="1">
      <c r="A45" s="15" t="s">
        <v>81</v>
      </c>
      <c r="B45" s="16" t="s">
        <v>86</v>
      </c>
      <c r="C45" s="118">
        <v>50421.22</v>
      </c>
      <c r="D45" s="28">
        <v>1.0999999999999999E-2</v>
      </c>
      <c r="E45" s="101">
        <f t="shared" si="1"/>
        <v>14172.512269833122</v>
      </c>
      <c r="F45" s="101">
        <f t="shared" si="2"/>
        <v>14172.5</v>
      </c>
      <c r="G45" s="101">
        <f t="shared" si="3"/>
        <v>4.0478750015608966E-3</v>
      </c>
      <c r="H45" s="101">
        <f t="shared" si="5"/>
        <v>4.0478750015608966E-3</v>
      </c>
      <c r="P45" s="103"/>
      <c r="Q45" s="104">
        <f t="shared" si="4"/>
        <v>35402.720000000001</v>
      </c>
    </row>
    <row r="46" spans="1:32" s="101" customFormat="1" ht="13.5" thickBot="1">
      <c r="A46" s="15" t="s">
        <v>81</v>
      </c>
      <c r="B46" s="16" t="s">
        <v>87</v>
      </c>
      <c r="C46" s="118">
        <v>50434.245999999999</v>
      </c>
      <c r="D46" s="28">
        <v>1.2E-2</v>
      </c>
      <c r="E46" s="101">
        <f t="shared" si="1"/>
        <v>14211.99640562811</v>
      </c>
      <c r="F46" s="112">
        <f t="shared" si="2"/>
        <v>14212</v>
      </c>
      <c r="G46" s="112">
        <f t="shared" si="3"/>
        <v>-1.185799999802839E-3</v>
      </c>
      <c r="H46" s="101">
        <f t="shared" si="5"/>
        <v>-1.185799999802839E-3</v>
      </c>
      <c r="P46" s="103"/>
      <c r="Q46" s="104">
        <f t="shared" si="4"/>
        <v>35415.745999999999</v>
      </c>
    </row>
    <row r="47" spans="1:32" s="101" customFormat="1">
      <c r="A47" s="10" t="s">
        <v>106</v>
      </c>
      <c r="B47" s="5" t="s">
        <v>86</v>
      </c>
      <c r="C47" s="117">
        <v>51199.458500000001</v>
      </c>
      <c r="D47" s="25">
        <v>1E-4</v>
      </c>
      <c r="E47" s="101">
        <f t="shared" si="1"/>
        <v>16531.492356958293</v>
      </c>
      <c r="F47" s="101">
        <f t="shared" si="2"/>
        <v>16531.5</v>
      </c>
      <c r="G47" s="101">
        <f t="shared" si="3"/>
        <v>-2.5214749985025264E-3</v>
      </c>
      <c r="H47" s="101">
        <f t="shared" si="5"/>
        <v>-2.5214749985025264E-3</v>
      </c>
      <c r="P47" s="103">
        <f t="shared" ref="P47:P78" si="6">+D$11+D$12*F47+D$13*F47^2</f>
        <v>-1.9157736698917002E-3</v>
      </c>
      <c r="Q47" s="104">
        <f t="shared" si="4"/>
        <v>36180.958500000001</v>
      </c>
      <c r="S47" s="101">
        <f t="shared" ref="S47:S78" si="7">+(P47-G47)^2</f>
        <v>3.6687409948092005E-7</v>
      </c>
      <c r="T47" s="101">
        <v>1</v>
      </c>
      <c r="U47" s="101">
        <f t="shared" ref="U47:U78" si="8">S47*T47</f>
        <v>3.6687409948092005E-7</v>
      </c>
    </row>
    <row r="48" spans="1:32" s="101" customFormat="1">
      <c r="A48" s="10" t="s">
        <v>106</v>
      </c>
      <c r="B48" s="5" t="s">
        <v>87</v>
      </c>
      <c r="C48" s="117">
        <v>51199.623699999996</v>
      </c>
      <c r="D48" s="25">
        <v>1E-4</v>
      </c>
      <c r="E48" s="101">
        <f t="shared" si="1"/>
        <v>16531.993107705504</v>
      </c>
      <c r="F48" s="101">
        <f t="shared" si="2"/>
        <v>16532</v>
      </c>
      <c r="G48" s="101">
        <f t="shared" si="3"/>
        <v>-2.2738000043318607E-3</v>
      </c>
      <c r="H48" s="101">
        <f t="shared" si="5"/>
        <v>-2.2738000043318607E-3</v>
      </c>
      <c r="P48" s="103">
        <f t="shared" si="6"/>
        <v>-1.9157016638594593E-3</v>
      </c>
      <c r="Q48" s="104">
        <f t="shared" si="4"/>
        <v>36181.123699999996</v>
      </c>
      <c r="S48" s="101">
        <f t="shared" si="7"/>
        <v>1.2823442144908792E-7</v>
      </c>
      <c r="T48" s="101">
        <v>1</v>
      </c>
      <c r="U48" s="101">
        <f t="shared" si="8"/>
        <v>1.2823442144908792E-7</v>
      </c>
    </row>
    <row r="49" spans="1:21" s="101" customFormat="1">
      <c r="A49" s="10" t="s">
        <v>106</v>
      </c>
      <c r="B49" s="5" t="s">
        <v>86</v>
      </c>
      <c r="C49" s="117">
        <v>51237.396999999997</v>
      </c>
      <c r="D49" s="25">
        <v>4.0000000000000001E-3</v>
      </c>
      <c r="E49" s="101">
        <f t="shared" si="1"/>
        <v>16646.49073603539</v>
      </c>
      <c r="F49" s="101">
        <f t="shared" si="2"/>
        <v>16646.5</v>
      </c>
      <c r="G49" s="101">
        <f t="shared" si="3"/>
        <v>-3.0562250030925497E-3</v>
      </c>
      <c r="H49" s="101">
        <f t="shared" si="5"/>
        <v>-3.0562250030925497E-3</v>
      </c>
      <c r="P49" s="103">
        <f t="shared" si="6"/>
        <v>-1.9012071181212717E-3</v>
      </c>
      <c r="Q49" s="104">
        <f t="shared" si="4"/>
        <v>36218.896999999997</v>
      </c>
      <c r="S49" s="101">
        <f t="shared" si="7"/>
        <v>1.3340663146035246E-6</v>
      </c>
      <c r="T49" s="101">
        <v>0.2</v>
      </c>
      <c r="U49" s="101">
        <f t="shared" si="8"/>
        <v>2.6681326292070493E-7</v>
      </c>
    </row>
    <row r="50" spans="1:21" s="101" customFormat="1">
      <c r="A50" s="15" t="s">
        <v>97</v>
      </c>
      <c r="B50" s="5" t="s">
        <v>87</v>
      </c>
      <c r="C50" s="117">
        <v>51241.522299999997</v>
      </c>
      <c r="D50" s="25">
        <v>2.0000000000000001E-4</v>
      </c>
      <c r="E50" s="101">
        <f t="shared" si="1"/>
        <v>16658.995258175346</v>
      </c>
      <c r="F50" s="101">
        <f t="shared" si="2"/>
        <v>16659</v>
      </c>
      <c r="G50" s="101">
        <f t="shared" si="3"/>
        <v>-1.564350000990089E-3</v>
      </c>
      <c r="H50" s="101">
        <f t="shared" si="5"/>
        <v>-1.564350000990089E-3</v>
      </c>
      <c r="K50" s="105"/>
      <c r="P50" s="103">
        <f t="shared" si="6"/>
        <v>-1.8998652454870965E-3</v>
      </c>
      <c r="Q50" s="104">
        <f t="shared" si="4"/>
        <v>36223.022299999997</v>
      </c>
      <c r="S50" s="101">
        <f t="shared" si="7"/>
        <v>1.1257047928988671E-7</v>
      </c>
      <c r="T50" s="101">
        <v>1</v>
      </c>
      <c r="U50" s="101">
        <f t="shared" si="8"/>
        <v>1.1257047928988671E-7</v>
      </c>
    </row>
    <row r="51" spans="1:21" s="101" customFormat="1">
      <c r="A51" s="15" t="s">
        <v>88</v>
      </c>
      <c r="B51" s="16" t="s">
        <v>86</v>
      </c>
      <c r="C51" s="28">
        <v>51457.777099999999</v>
      </c>
      <c r="D51" s="28"/>
      <c r="E51" s="101">
        <f t="shared" si="1"/>
        <v>17314.502235721742</v>
      </c>
      <c r="F51" s="101">
        <f t="shared" si="2"/>
        <v>17314.5</v>
      </c>
      <c r="G51" s="101">
        <f t="shared" si="3"/>
        <v>7.3757499922066927E-4</v>
      </c>
      <c r="I51" s="101">
        <f>G51</f>
        <v>7.3757499922066927E-4</v>
      </c>
      <c r="N51" s="105"/>
      <c r="P51" s="103">
        <f t="shared" si="6"/>
        <v>-1.8958340053037703E-3</v>
      </c>
      <c r="Q51" s="104">
        <f t="shared" si="4"/>
        <v>36439.277099999999</v>
      </c>
      <c r="S51" s="101">
        <f t="shared" si="7"/>
        <v>6.9348429851104002E-6</v>
      </c>
      <c r="T51" s="101">
        <v>0.05</v>
      </c>
      <c r="U51" s="101">
        <f t="shared" si="8"/>
        <v>3.4674214925552004E-7</v>
      </c>
    </row>
    <row r="52" spans="1:21" s="101" customFormat="1">
      <c r="A52" s="15" t="s">
        <v>88</v>
      </c>
      <c r="B52" s="16" t="s">
        <v>87</v>
      </c>
      <c r="C52" s="28">
        <v>51550.6443</v>
      </c>
      <c r="D52" s="28"/>
      <c r="E52" s="101">
        <f t="shared" si="1"/>
        <v>17595.999328897</v>
      </c>
      <c r="F52" s="101">
        <f t="shared" si="2"/>
        <v>17596</v>
      </c>
      <c r="G52" s="101">
        <f t="shared" si="3"/>
        <v>-2.2139999782666564E-4</v>
      </c>
      <c r="I52" s="101">
        <f>G52</f>
        <v>-2.2139999782666564E-4</v>
      </c>
      <c r="N52" s="105"/>
      <c r="P52" s="103">
        <f t="shared" si="6"/>
        <v>-1.9340624766188419E-3</v>
      </c>
      <c r="Q52" s="104">
        <f t="shared" si="4"/>
        <v>36532.1443</v>
      </c>
      <c r="S52" s="101">
        <f t="shared" si="7"/>
        <v>2.9332127662625617E-6</v>
      </c>
      <c r="T52" s="101">
        <v>0.05</v>
      </c>
      <c r="U52" s="101">
        <f t="shared" si="8"/>
        <v>1.466606383131281E-7</v>
      </c>
    </row>
    <row r="53" spans="1:21" s="101" customFormat="1">
      <c r="A53" s="10" t="s">
        <v>107</v>
      </c>
      <c r="B53"/>
      <c r="C53" s="25">
        <v>51591.392999999996</v>
      </c>
      <c r="D53" s="25"/>
      <c r="E53" s="101">
        <f t="shared" ref="E53:E84" si="9">+(C53-C$7)/C$8</f>
        <v>17719.515926798838</v>
      </c>
      <c r="F53" s="101">
        <f t="shared" ref="F53:F84" si="10">ROUND(2*E53,0)/2</f>
        <v>17719.5</v>
      </c>
      <c r="G53" s="101">
        <f t="shared" ref="G53:G84" si="11">+C53-(C$7+F53*C$8)</f>
        <v>5.2543249985319562E-3</v>
      </c>
      <c r="I53" s="101">
        <f>G53</f>
        <v>5.2543249985319562E-3</v>
      </c>
      <c r="P53" s="103">
        <f t="shared" si="6"/>
        <v>-1.9584116120249309E-3</v>
      </c>
      <c r="Q53" s="104">
        <f t="shared" ref="Q53:Q84" si="12">+C53-15018.5</f>
        <v>36572.892999999996</v>
      </c>
      <c r="S53" s="101">
        <f t="shared" si="7"/>
        <v>5.2023569413267656E-5</v>
      </c>
      <c r="T53" s="101">
        <v>0.1</v>
      </c>
      <c r="U53" s="101">
        <f t="shared" si="8"/>
        <v>5.2023569413267657E-6</v>
      </c>
    </row>
    <row r="54" spans="1:21" s="101" customFormat="1">
      <c r="A54" s="10" t="s">
        <v>107</v>
      </c>
      <c r="B54"/>
      <c r="C54" s="25">
        <v>51596.341</v>
      </c>
      <c r="D54" s="25"/>
      <c r="E54" s="101">
        <f t="shared" si="9"/>
        <v>17734.514199784695</v>
      </c>
      <c r="F54" s="101">
        <f t="shared" si="10"/>
        <v>17734.5</v>
      </c>
      <c r="G54" s="101">
        <f t="shared" si="11"/>
        <v>4.6845750039210543E-3</v>
      </c>
      <c r="I54" s="101">
        <f>G54</f>
        <v>4.6845750039210543E-3</v>
      </c>
      <c r="P54" s="103">
        <f t="shared" si="6"/>
        <v>-1.9616837317357819E-3</v>
      </c>
      <c r="Q54" s="104">
        <f t="shared" si="12"/>
        <v>36577.841</v>
      </c>
      <c r="S54" s="101">
        <f t="shared" si="7"/>
        <v>4.4172755181294807E-5</v>
      </c>
      <c r="T54" s="101">
        <v>0.1</v>
      </c>
      <c r="U54" s="101">
        <f t="shared" si="8"/>
        <v>4.4172755181294812E-6</v>
      </c>
    </row>
    <row r="55" spans="1:21" s="101" customFormat="1">
      <c r="A55" s="10" t="s">
        <v>106</v>
      </c>
      <c r="B55" s="5" t="s">
        <v>87</v>
      </c>
      <c r="C55" s="113">
        <v>51597.485999999997</v>
      </c>
      <c r="D55" s="25"/>
      <c r="E55" s="101">
        <f t="shared" si="9"/>
        <v>17737.984899576277</v>
      </c>
      <c r="F55" s="101">
        <f t="shared" si="10"/>
        <v>17738</v>
      </c>
      <c r="G55" s="101">
        <f t="shared" si="11"/>
        <v>-4.9817000035545789E-3</v>
      </c>
      <c r="H55" s="101">
        <f t="shared" si="5"/>
        <v>-4.9817000035545789E-3</v>
      </c>
      <c r="P55" s="103">
        <f t="shared" si="6"/>
        <v>-1.9624570357603191E-3</v>
      </c>
      <c r="Q55" s="104">
        <f t="shared" si="12"/>
        <v>36578.985999999997</v>
      </c>
      <c r="S55" s="101">
        <f t="shared" si="7"/>
        <v>9.1158280985750889E-6</v>
      </c>
      <c r="T55" s="101">
        <v>0.2</v>
      </c>
      <c r="U55" s="101">
        <f t="shared" si="8"/>
        <v>1.8231656197150179E-6</v>
      </c>
    </row>
    <row r="56" spans="1:21" s="101" customFormat="1">
      <c r="A56" s="10" t="s">
        <v>107</v>
      </c>
      <c r="B56"/>
      <c r="C56" s="25">
        <v>51602.444000000003</v>
      </c>
      <c r="D56" s="25"/>
      <c r="E56" s="101">
        <f t="shared" si="9"/>
        <v>17753.013484350715</v>
      </c>
      <c r="F56" s="101">
        <f t="shared" si="10"/>
        <v>17753</v>
      </c>
      <c r="G56" s="101">
        <f t="shared" si="11"/>
        <v>4.4485500038717873E-3</v>
      </c>
      <c r="I56" s="101">
        <f t="shared" ref="I56:I61" si="13">G56</f>
        <v>4.4485500038717873E-3</v>
      </c>
      <c r="P56" s="103">
        <f t="shared" si="6"/>
        <v>-1.9658132362597724E-3</v>
      </c>
      <c r="Q56" s="104">
        <f t="shared" si="12"/>
        <v>36583.944000000003</v>
      </c>
      <c r="S56" s="101">
        <f t="shared" si="7"/>
        <v>4.1144055776351045E-5</v>
      </c>
      <c r="T56" s="101">
        <v>0.1</v>
      </c>
      <c r="U56" s="101">
        <f t="shared" si="8"/>
        <v>4.1144055776351046E-6</v>
      </c>
    </row>
    <row r="57" spans="1:21" s="101" customFormat="1">
      <c r="A57" s="10" t="s">
        <v>107</v>
      </c>
      <c r="B57"/>
      <c r="C57" s="25">
        <v>51625.362999999998</v>
      </c>
      <c r="D57" s="25"/>
      <c r="E57" s="101">
        <f t="shared" si="9"/>
        <v>17822.485072580814</v>
      </c>
      <c r="F57" s="101">
        <f t="shared" si="10"/>
        <v>17822.5</v>
      </c>
      <c r="G57" s="101">
        <f t="shared" si="11"/>
        <v>-4.9246250055148266E-3</v>
      </c>
      <c r="I57" s="101">
        <f t="shared" si="13"/>
        <v>-4.9246250055148266E-3</v>
      </c>
      <c r="P57" s="103">
        <f t="shared" si="6"/>
        <v>-1.9822533354227137E-3</v>
      </c>
      <c r="Q57" s="104">
        <f t="shared" si="12"/>
        <v>36606.862999999998</v>
      </c>
      <c r="S57" s="101">
        <f t="shared" si="7"/>
        <v>8.6575510449606503E-6</v>
      </c>
      <c r="T57" s="101">
        <v>0.1</v>
      </c>
      <c r="U57" s="101">
        <f t="shared" si="8"/>
        <v>8.6575510449606508E-7</v>
      </c>
    </row>
    <row r="58" spans="1:21" s="101" customFormat="1">
      <c r="A58" s="10" t="s">
        <v>107</v>
      </c>
      <c r="B58"/>
      <c r="C58" s="25">
        <v>51625.370999999999</v>
      </c>
      <c r="D58" s="25"/>
      <c r="E58" s="101">
        <f t="shared" si="9"/>
        <v>17822.509322011676</v>
      </c>
      <c r="F58" s="101">
        <f t="shared" si="10"/>
        <v>17822.5</v>
      </c>
      <c r="G58" s="101">
        <f t="shared" si="11"/>
        <v>3.0753749961149879E-3</v>
      </c>
      <c r="I58" s="101">
        <f t="shared" si="13"/>
        <v>3.0753749961149879E-3</v>
      </c>
      <c r="P58" s="103">
        <f t="shared" si="6"/>
        <v>-1.9822533354227137E-3</v>
      </c>
      <c r="Q58" s="104">
        <f t="shared" si="12"/>
        <v>36606.870999999999</v>
      </c>
      <c r="S58" s="101">
        <f t="shared" si="7"/>
        <v>2.5579604339972834E-5</v>
      </c>
      <c r="T58" s="101">
        <v>0.1</v>
      </c>
      <c r="U58" s="101">
        <f t="shared" si="8"/>
        <v>2.5579604339972837E-6</v>
      </c>
    </row>
    <row r="59" spans="1:21" s="101" customFormat="1">
      <c r="A59" s="10" t="s">
        <v>109</v>
      </c>
      <c r="B59"/>
      <c r="C59" s="25">
        <v>51628.343000000001</v>
      </c>
      <c r="D59" s="25"/>
      <c r="E59" s="101">
        <f t="shared" si="9"/>
        <v>17831.51798557553</v>
      </c>
      <c r="F59" s="101">
        <f t="shared" si="10"/>
        <v>17831.5</v>
      </c>
      <c r="G59" s="101">
        <f t="shared" si="11"/>
        <v>5.9335250043659471E-3</v>
      </c>
      <c r="I59" s="101">
        <f t="shared" si="13"/>
        <v>5.9335250043659471E-3</v>
      </c>
      <c r="P59" s="103">
        <f t="shared" si="6"/>
        <v>-1.9844893016986651E-3</v>
      </c>
      <c r="Q59" s="104">
        <f t="shared" si="12"/>
        <v>36609.843000000001</v>
      </c>
      <c r="S59" s="101">
        <f t="shared" si="7"/>
        <v>6.2694950551043862E-5</v>
      </c>
      <c r="T59" s="101">
        <v>0.1</v>
      </c>
      <c r="U59" s="101">
        <f t="shared" si="8"/>
        <v>6.2694950551043869E-6</v>
      </c>
    </row>
    <row r="60" spans="1:21" s="101" customFormat="1">
      <c r="A60" s="10" t="s">
        <v>108</v>
      </c>
      <c r="B60"/>
      <c r="C60" s="25">
        <v>51749.41</v>
      </c>
      <c r="D60" s="25"/>
      <c r="E60" s="101">
        <f t="shared" si="9"/>
        <v>18198.493716290461</v>
      </c>
      <c r="F60" s="101">
        <f t="shared" si="10"/>
        <v>18198.5</v>
      </c>
      <c r="G60" s="101">
        <f t="shared" si="11"/>
        <v>-2.0730249962070957E-3</v>
      </c>
      <c r="I60" s="101">
        <f t="shared" si="13"/>
        <v>-2.0730249962070957E-3</v>
      </c>
      <c r="P60" s="103">
        <f t="shared" si="6"/>
        <v>-2.0965724001001801E-3</v>
      </c>
      <c r="Q60" s="104">
        <f t="shared" si="12"/>
        <v>36730.910000000003</v>
      </c>
      <c r="S60" s="101">
        <f t="shared" si="7"/>
        <v>5.5448023010404663E-10</v>
      </c>
      <c r="T60" s="101">
        <v>0.1</v>
      </c>
      <c r="U60" s="101">
        <f t="shared" si="8"/>
        <v>5.5448023010404668E-11</v>
      </c>
    </row>
    <row r="61" spans="1:21" s="101" customFormat="1">
      <c r="A61" s="10" t="s">
        <v>108</v>
      </c>
      <c r="B61"/>
      <c r="C61" s="25">
        <v>51749.415000000001</v>
      </c>
      <c r="D61" s="25"/>
      <c r="E61" s="101">
        <f t="shared" si="9"/>
        <v>18198.508872184739</v>
      </c>
      <c r="F61" s="101">
        <f t="shared" si="10"/>
        <v>18198.5</v>
      </c>
      <c r="G61" s="101">
        <f t="shared" si="11"/>
        <v>2.9269750011735596E-3</v>
      </c>
      <c r="I61" s="101">
        <f t="shared" si="13"/>
        <v>2.9269750011735596E-3</v>
      </c>
      <c r="P61" s="103">
        <f t="shared" si="6"/>
        <v>-2.0965724001001801E-3</v>
      </c>
      <c r="Q61" s="104">
        <f t="shared" si="12"/>
        <v>36730.915000000001</v>
      </c>
      <c r="S61" s="101">
        <f t="shared" si="7"/>
        <v>2.5236028492844142E-5</v>
      </c>
      <c r="T61" s="101">
        <v>0.1</v>
      </c>
      <c r="U61" s="101">
        <f t="shared" si="8"/>
        <v>2.5236028492844145E-6</v>
      </c>
    </row>
    <row r="62" spans="1:21" s="101" customFormat="1">
      <c r="A62" s="13" t="s">
        <v>90</v>
      </c>
      <c r="B62" s="16" t="s">
        <v>86</v>
      </c>
      <c r="C62" s="114">
        <v>51798.567300000002</v>
      </c>
      <c r="D62" s="13">
        <v>2.0000000000000001E-4</v>
      </c>
      <c r="E62" s="101">
        <f t="shared" si="9"/>
        <v>18347.498284731671</v>
      </c>
      <c r="F62" s="101">
        <f t="shared" si="10"/>
        <v>18347.5</v>
      </c>
      <c r="G62" s="101">
        <f t="shared" si="11"/>
        <v>-5.6587499420857057E-4</v>
      </c>
      <c r="H62" s="101">
        <f t="shared" si="5"/>
        <v>-5.6587499420857057E-4</v>
      </c>
      <c r="P62" s="103">
        <f t="shared" si="6"/>
        <v>-2.1537252161612508E-3</v>
      </c>
      <c r="Q62" s="104">
        <f t="shared" si="12"/>
        <v>36780.067300000002</v>
      </c>
      <c r="S62" s="101">
        <f t="shared" si="7"/>
        <v>2.5212683273551756E-6</v>
      </c>
      <c r="T62" s="101">
        <v>1</v>
      </c>
      <c r="U62" s="101">
        <f t="shared" si="8"/>
        <v>2.5212683273551756E-6</v>
      </c>
    </row>
    <row r="63" spans="1:21" s="101" customFormat="1">
      <c r="A63" s="13" t="s">
        <v>90</v>
      </c>
      <c r="B63" s="16" t="s">
        <v>86</v>
      </c>
      <c r="C63" s="13">
        <v>51798.567499999997</v>
      </c>
      <c r="D63" s="13">
        <v>1E-4</v>
      </c>
      <c r="E63" s="101">
        <f t="shared" si="9"/>
        <v>18347.498890967428</v>
      </c>
      <c r="F63" s="101">
        <f t="shared" si="10"/>
        <v>18347.5</v>
      </c>
      <c r="G63" s="101">
        <f t="shared" si="11"/>
        <v>-3.6587499926099554E-4</v>
      </c>
      <c r="I63" s="101">
        <f>G63</f>
        <v>-3.6587499926099554E-4</v>
      </c>
      <c r="P63" s="103">
        <f t="shared" si="6"/>
        <v>-2.1537252161612508E-3</v>
      </c>
      <c r="Q63" s="104">
        <f t="shared" si="12"/>
        <v>36780.067499999997</v>
      </c>
      <c r="S63" s="101">
        <f t="shared" si="7"/>
        <v>3.1964083980702899E-6</v>
      </c>
      <c r="T63" s="101">
        <v>1</v>
      </c>
      <c r="U63" s="101">
        <f t="shared" si="8"/>
        <v>3.1964083980702899E-6</v>
      </c>
    </row>
    <row r="64" spans="1:21" s="101" customFormat="1">
      <c r="A64" s="13" t="s">
        <v>95</v>
      </c>
      <c r="B64" s="5" t="s">
        <v>87</v>
      </c>
      <c r="C64" s="26">
        <v>52203.523000000001</v>
      </c>
      <c r="D64" s="26">
        <v>2.0000000000000001E-4</v>
      </c>
      <c r="E64" s="101">
        <f t="shared" si="9"/>
        <v>19574.991440708705</v>
      </c>
      <c r="F64" s="101">
        <f t="shared" si="10"/>
        <v>19575</v>
      </c>
      <c r="G64" s="101">
        <f t="shared" si="11"/>
        <v>-2.8237500009709038E-3</v>
      </c>
      <c r="I64" s="101">
        <f>G64</f>
        <v>-2.8237500009709038E-3</v>
      </c>
      <c r="P64" s="103">
        <f t="shared" si="6"/>
        <v>-2.8805420235929469E-3</v>
      </c>
      <c r="Q64" s="104">
        <f t="shared" si="12"/>
        <v>37185.023000000001</v>
      </c>
      <c r="S64" s="101">
        <f t="shared" si="7"/>
        <v>3.2253338335026533E-9</v>
      </c>
      <c r="T64" s="101">
        <v>1</v>
      </c>
      <c r="U64" s="101">
        <f t="shared" si="8"/>
        <v>3.2253338335026533E-9</v>
      </c>
    </row>
    <row r="65" spans="1:21" s="101" customFormat="1">
      <c r="A65" s="13" t="s">
        <v>95</v>
      </c>
      <c r="B65" s="5" t="s">
        <v>87</v>
      </c>
      <c r="C65" s="26">
        <v>52271.480600000003</v>
      </c>
      <c r="D65" s="26">
        <v>5.0000000000000001E-4</v>
      </c>
      <c r="E65" s="101">
        <f t="shared" si="9"/>
        <v>19780.983081020539</v>
      </c>
      <c r="F65" s="101">
        <f t="shared" si="10"/>
        <v>19781</v>
      </c>
      <c r="G65" s="101">
        <f t="shared" si="11"/>
        <v>-5.5816499952925369E-3</v>
      </c>
      <c r="I65" s="101">
        <f>G65</f>
        <v>-5.5816499952925369E-3</v>
      </c>
      <c r="P65" s="103">
        <f t="shared" si="6"/>
        <v>-3.0472541736189171E-3</v>
      </c>
      <c r="Q65" s="104">
        <f t="shared" si="12"/>
        <v>37252.980600000003</v>
      </c>
      <c r="S65" s="101">
        <f t="shared" si="7"/>
        <v>6.4231621809167025E-6</v>
      </c>
      <c r="T65" s="101">
        <v>1</v>
      </c>
      <c r="U65" s="101">
        <f t="shared" si="8"/>
        <v>6.4231621809167025E-6</v>
      </c>
    </row>
    <row r="66" spans="1:21" s="101" customFormat="1">
      <c r="A66" s="17" t="s">
        <v>97</v>
      </c>
      <c r="B66" s="5" t="s">
        <v>87</v>
      </c>
      <c r="C66" s="119">
        <v>52311.068899999838</v>
      </c>
      <c r="D66" s="25">
        <v>2.9999999999999997E-4</v>
      </c>
      <c r="E66" s="101">
        <f t="shared" si="9"/>
        <v>19900.982298975898</v>
      </c>
      <c r="F66" s="101">
        <f t="shared" si="10"/>
        <v>19901</v>
      </c>
      <c r="G66" s="101">
        <f t="shared" si="11"/>
        <v>-5.8396501626702957E-3</v>
      </c>
      <c r="I66" s="101">
        <f>G66</f>
        <v>-5.8396501626702957E-3</v>
      </c>
      <c r="K66" s="105"/>
      <c r="P66" s="103">
        <f t="shared" si="6"/>
        <v>-3.1502946067882912E-3</v>
      </c>
      <c r="Q66" s="104">
        <f t="shared" si="12"/>
        <v>37292.568899999838</v>
      </c>
      <c r="S66" s="101">
        <f t="shared" si="7"/>
        <v>7.2326333059534059E-6</v>
      </c>
      <c r="T66" s="101">
        <v>1</v>
      </c>
      <c r="U66" s="101">
        <f t="shared" si="8"/>
        <v>7.2326333059534059E-6</v>
      </c>
    </row>
    <row r="67" spans="1:21" s="101" customFormat="1">
      <c r="A67" s="13" t="s">
        <v>95</v>
      </c>
      <c r="B67" s="5" t="s">
        <v>86</v>
      </c>
      <c r="C67" s="26">
        <v>52311.565600000002</v>
      </c>
      <c r="D67" s="26">
        <v>5.0000000000000001E-4</v>
      </c>
      <c r="E67" s="101">
        <f t="shared" si="9"/>
        <v>19902.487885514805</v>
      </c>
      <c r="F67" s="101">
        <f t="shared" si="10"/>
        <v>19902.5</v>
      </c>
      <c r="G67" s="101">
        <f t="shared" si="11"/>
        <v>-3.996624996943865E-3</v>
      </c>
      <c r="I67" s="101">
        <f>G67</f>
        <v>-3.996624996943865E-3</v>
      </c>
      <c r="P67" s="103">
        <f t="shared" si="6"/>
        <v>-3.1516102225159146E-3</v>
      </c>
      <c r="Q67" s="104">
        <f t="shared" si="12"/>
        <v>37293.065600000002</v>
      </c>
      <c r="S67" s="101">
        <f t="shared" si="7"/>
        <v>7.1404996900151996E-7</v>
      </c>
      <c r="T67" s="101">
        <v>1</v>
      </c>
      <c r="U67" s="101">
        <f t="shared" si="8"/>
        <v>7.1404996900151996E-7</v>
      </c>
    </row>
    <row r="68" spans="1:21" s="101" customFormat="1">
      <c r="A68" s="17" t="s">
        <v>97</v>
      </c>
      <c r="B68" s="5" t="s">
        <v>87</v>
      </c>
      <c r="C68" s="113">
        <v>52313.048400000203</v>
      </c>
      <c r="D68" s="25">
        <v>2.0000000000000001E-4</v>
      </c>
      <c r="E68" s="101">
        <f t="shared" si="9"/>
        <v>19906.982517524997</v>
      </c>
      <c r="F68" s="101">
        <f t="shared" si="10"/>
        <v>19907</v>
      </c>
      <c r="G68" s="101">
        <f t="shared" si="11"/>
        <v>-5.7675497955642641E-3</v>
      </c>
      <c r="H68" s="101">
        <f t="shared" si="5"/>
        <v>-5.7675497955642641E-3</v>
      </c>
      <c r="K68" s="105"/>
      <c r="P68" s="103">
        <f t="shared" si="6"/>
        <v>-3.1555611601155262E-3</v>
      </c>
      <c r="Q68" s="104">
        <f t="shared" si="12"/>
        <v>37294.548400000203</v>
      </c>
      <c r="S68" s="101">
        <f t="shared" si="7"/>
        <v>6.8224846317133594E-6</v>
      </c>
      <c r="T68" s="101">
        <v>1</v>
      </c>
      <c r="U68" s="101">
        <f t="shared" si="8"/>
        <v>6.8224846317133594E-6</v>
      </c>
    </row>
    <row r="69" spans="1:21" s="101" customFormat="1">
      <c r="A69" s="17" t="s">
        <v>97</v>
      </c>
      <c r="B69" s="5" t="s">
        <v>87</v>
      </c>
      <c r="C69" s="113">
        <v>52314.038699999917</v>
      </c>
      <c r="D69" s="25">
        <v>2.9999999999999997E-4</v>
      </c>
      <c r="E69" s="101">
        <f t="shared" si="9"/>
        <v>19909.984293946502</v>
      </c>
      <c r="F69" s="101">
        <f t="shared" si="10"/>
        <v>19910</v>
      </c>
      <c r="G69" s="101">
        <f t="shared" si="11"/>
        <v>-5.1815000842907466E-3</v>
      </c>
      <c r="H69" s="101">
        <f t="shared" si="5"/>
        <v>-5.1815000842907466E-3</v>
      </c>
      <c r="K69" s="105"/>
      <c r="P69" s="103">
        <f t="shared" si="6"/>
        <v>-3.1581985271958921E-3</v>
      </c>
      <c r="Q69" s="104">
        <f t="shared" si="12"/>
        <v>37295.538699999917</v>
      </c>
      <c r="S69" s="101">
        <f t="shared" si="7"/>
        <v>4.0937491909424633E-6</v>
      </c>
      <c r="T69" s="101">
        <v>1</v>
      </c>
      <c r="U69" s="101">
        <f t="shared" si="8"/>
        <v>4.0937491909424633E-6</v>
      </c>
    </row>
    <row r="70" spans="1:21" s="101" customFormat="1">
      <c r="A70" s="13" t="s">
        <v>95</v>
      </c>
      <c r="B70" s="5" t="s">
        <v>86</v>
      </c>
      <c r="C70" s="26">
        <v>52547.449099999998</v>
      </c>
      <c r="D70" s="26">
        <v>2.0000000000000001E-4</v>
      </c>
      <c r="E70" s="101">
        <f t="shared" si="9"/>
        <v>20617.492963497174</v>
      </c>
      <c r="F70" s="101">
        <f t="shared" si="10"/>
        <v>20617.5</v>
      </c>
      <c r="G70" s="101">
        <f t="shared" si="11"/>
        <v>-2.3213750027935021E-3</v>
      </c>
      <c r="I70" s="101">
        <f>G70</f>
        <v>-2.3213750027935021E-3</v>
      </c>
      <c r="P70" s="103">
        <f t="shared" si="6"/>
        <v>-3.8563318775232946E-3</v>
      </c>
      <c r="Q70" s="104">
        <f t="shared" si="12"/>
        <v>37528.949099999998</v>
      </c>
      <c r="S70" s="101">
        <f t="shared" si="7"/>
        <v>2.356092607280252E-6</v>
      </c>
      <c r="T70" s="101">
        <v>1</v>
      </c>
      <c r="U70" s="101">
        <f t="shared" si="8"/>
        <v>2.356092607280252E-6</v>
      </c>
    </row>
    <row r="71" spans="1:21" s="101" customFormat="1">
      <c r="A71" s="13" t="s">
        <v>95</v>
      </c>
      <c r="B71" s="5" t="s">
        <v>87</v>
      </c>
      <c r="C71" s="26">
        <v>52547.6132</v>
      </c>
      <c r="D71" s="26">
        <v>8.0000000000000004E-4</v>
      </c>
      <c r="E71" s="101">
        <f t="shared" si="9"/>
        <v>20617.99037994766</v>
      </c>
      <c r="F71" s="101">
        <f t="shared" si="10"/>
        <v>20618</v>
      </c>
      <c r="G71" s="101">
        <f t="shared" si="11"/>
        <v>-3.1737000026623718E-3</v>
      </c>
      <c r="I71" s="101">
        <f>G71</f>
        <v>-3.1737000026623718E-3</v>
      </c>
      <c r="P71" s="103">
        <f t="shared" si="6"/>
        <v>-3.8568788878912685E-3</v>
      </c>
      <c r="Q71" s="104">
        <f t="shared" si="12"/>
        <v>37529.1132</v>
      </c>
      <c r="S71" s="101">
        <f t="shared" si="7"/>
        <v>4.6673338922259799E-7</v>
      </c>
      <c r="T71" s="101">
        <v>0.5</v>
      </c>
      <c r="U71" s="101">
        <f t="shared" si="8"/>
        <v>2.33366694611299E-7</v>
      </c>
    </row>
    <row r="72" spans="1:21" s="101" customFormat="1">
      <c r="A72" s="13" t="s">
        <v>95</v>
      </c>
      <c r="B72" s="5" t="s">
        <v>87</v>
      </c>
      <c r="C72" s="26">
        <v>52548.273000000001</v>
      </c>
      <c r="D72" s="26">
        <v>5.0000000000000001E-4</v>
      </c>
      <c r="E72" s="101">
        <f t="shared" si="9"/>
        <v>20619.9903517577</v>
      </c>
      <c r="F72" s="101">
        <f t="shared" si="10"/>
        <v>20620</v>
      </c>
      <c r="G72" s="101">
        <f t="shared" si="11"/>
        <v>-3.183000000717584E-3</v>
      </c>
      <c r="I72" s="101">
        <f>G72</f>
        <v>-3.183000000717584E-3</v>
      </c>
      <c r="P72" s="103">
        <f t="shared" si="6"/>
        <v>-3.8590676868478085E-3</v>
      </c>
      <c r="Q72" s="104">
        <f t="shared" si="12"/>
        <v>37529.773000000001</v>
      </c>
      <c r="S72" s="101">
        <f t="shared" si="7"/>
        <v>4.5706751622947572E-7</v>
      </c>
      <c r="T72" s="101">
        <v>1</v>
      </c>
      <c r="U72" s="101">
        <f t="shared" si="8"/>
        <v>4.5706751622947572E-7</v>
      </c>
    </row>
    <row r="73" spans="1:21" s="101" customFormat="1">
      <c r="A73" s="13" t="s">
        <v>95</v>
      </c>
      <c r="B73" s="5" t="s">
        <v>87</v>
      </c>
      <c r="C73" s="26">
        <v>52548.602099999996</v>
      </c>
      <c r="D73" s="26">
        <v>2.9999999999999997E-4</v>
      </c>
      <c r="E73" s="101">
        <f t="shared" si="9"/>
        <v>20620.987912719618</v>
      </c>
      <c r="F73" s="101">
        <f t="shared" si="10"/>
        <v>20621</v>
      </c>
      <c r="G73" s="101">
        <f t="shared" si="11"/>
        <v>-3.9876500013633631E-3</v>
      </c>
      <c r="I73" s="101">
        <f>G73</f>
        <v>-3.9876500013633631E-3</v>
      </c>
      <c r="P73" s="103">
        <f t="shared" si="6"/>
        <v>-3.8601625408168222E-3</v>
      </c>
      <c r="Q73" s="104">
        <f t="shared" si="12"/>
        <v>37530.102099999996</v>
      </c>
      <c r="S73" s="101">
        <f t="shared" si="7"/>
        <v>1.6253052596605827E-8</v>
      </c>
      <c r="T73" s="101">
        <v>1</v>
      </c>
      <c r="U73" s="101">
        <f t="shared" si="8"/>
        <v>1.6253052596605827E-8</v>
      </c>
    </row>
    <row r="74" spans="1:21" s="101" customFormat="1">
      <c r="A74" s="13" t="s">
        <v>95</v>
      </c>
      <c r="B74" s="5" t="s">
        <v>86</v>
      </c>
      <c r="C74" s="26">
        <v>52591.3246</v>
      </c>
      <c r="D74" s="26">
        <v>4.0000000000000002E-4</v>
      </c>
      <c r="E74" s="101">
        <f t="shared" si="9"/>
        <v>20750.487451449986</v>
      </c>
      <c r="F74" s="101">
        <f t="shared" si="10"/>
        <v>20750.5</v>
      </c>
      <c r="G74" s="101">
        <f t="shared" si="11"/>
        <v>-4.1398250032216311E-3</v>
      </c>
      <c r="I74" s="101">
        <f>G74</f>
        <v>-4.1398250032216311E-3</v>
      </c>
      <c r="P74" s="103">
        <f t="shared" si="6"/>
        <v>-4.0045063898159067E-3</v>
      </c>
      <c r="Q74" s="104">
        <f t="shared" si="12"/>
        <v>37572.8246</v>
      </c>
      <c r="S74" s="101">
        <f t="shared" si="7"/>
        <v>1.8311127134047889E-8</v>
      </c>
      <c r="T74" s="101">
        <v>1</v>
      </c>
      <c r="U74" s="101">
        <f t="shared" si="8"/>
        <v>1.8311127134047889E-8</v>
      </c>
    </row>
    <row r="75" spans="1:21" s="101" customFormat="1">
      <c r="A75" s="22" t="s">
        <v>91</v>
      </c>
      <c r="B75" s="18" t="s">
        <v>87</v>
      </c>
      <c r="C75" s="120">
        <v>52607.654999999999</v>
      </c>
      <c r="D75" s="29">
        <v>1E-4</v>
      </c>
      <c r="E75" s="101">
        <f t="shared" si="9"/>
        <v>20799.987814660992</v>
      </c>
      <c r="F75" s="101">
        <f t="shared" si="10"/>
        <v>20800</v>
      </c>
      <c r="G75" s="101">
        <f t="shared" si="11"/>
        <v>-4.0200000003096648E-3</v>
      </c>
      <c r="H75" s="101">
        <f t="shared" si="5"/>
        <v>-4.0200000003096648E-3</v>
      </c>
      <c r="P75" s="103">
        <f t="shared" si="6"/>
        <v>-4.0610226319147541E-3</v>
      </c>
      <c r="Q75" s="104">
        <f t="shared" si="12"/>
        <v>37589.154999999999</v>
      </c>
      <c r="S75" s="101">
        <f t="shared" si="7"/>
        <v>1.682856303806875E-9</v>
      </c>
      <c r="T75" s="101">
        <v>1</v>
      </c>
      <c r="U75" s="101">
        <f t="shared" si="8"/>
        <v>1.682856303806875E-9</v>
      </c>
    </row>
    <row r="76" spans="1:21" s="101" customFormat="1">
      <c r="A76" s="53" t="s">
        <v>129</v>
      </c>
      <c r="B76" s="54" t="s">
        <v>87</v>
      </c>
      <c r="C76" s="53">
        <v>52631.737699999998</v>
      </c>
      <c r="D76" s="53">
        <v>1E-4</v>
      </c>
      <c r="E76" s="101">
        <f t="shared" si="9"/>
        <v>20872.986785727324</v>
      </c>
      <c r="F76" s="101">
        <f t="shared" si="10"/>
        <v>20873</v>
      </c>
      <c r="G76" s="101">
        <f t="shared" si="11"/>
        <v>-4.3594500020844862E-3</v>
      </c>
      <c r="I76" s="101">
        <f>G76</f>
        <v>-4.3594500020844862E-3</v>
      </c>
      <c r="P76" s="103">
        <f t="shared" si="6"/>
        <v>-4.1457245784067426E-3</v>
      </c>
      <c r="Q76" s="104">
        <f t="shared" si="12"/>
        <v>37613.237699999998</v>
      </c>
      <c r="S76" s="101">
        <f t="shared" si="7"/>
        <v>4.5678556726231007E-8</v>
      </c>
      <c r="T76" s="101">
        <v>1</v>
      </c>
      <c r="U76" s="101">
        <f t="shared" si="8"/>
        <v>4.5678556726231007E-8</v>
      </c>
    </row>
    <row r="77" spans="1:21" s="101" customFormat="1">
      <c r="A77" s="23" t="s">
        <v>84</v>
      </c>
      <c r="B77" s="16"/>
      <c r="C77" s="118">
        <v>52631.737905870934</v>
      </c>
      <c r="D77" s="28">
        <v>1E-4</v>
      </c>
      <c r="E77" s="101">
        <f t="shared" si="9"/>
        <v>20872.987409758953</v>
      </c>
      <c r="F77" s="101">
        <f t="shared" si="10"/>
        <v>20873</v>
      </c>
      <c r="G77" s="101">
        <f t="shared" si="11"/>
        <v>-4.153579066041857E-3</v>
      </c>
      <c r="H77" s="101">
        <f t="shared" si="5"/>
        <v>-4.153579066041857E-3</v>
      </c>
      <c r="P77" s="103">
        <f t="shared" si="6"/>
        <v>-4.1457245784067426E-3</v>
      </c>
      <c r="Q77" s="104">
        <f t="shared" si="12"/>
        <v>37613.237905870934</v>
      </c>
      <c r="S77" s="101">
        <f t="shared" si="7"/>
        <v>6.1692976010165424E-11</v>
      </c>
      <c r="T77" s="101">
        <v>1</v>
      </c>
      <c r="U77" s="101">
        <f t="shared" si="8"/>
        <v>6.1692976010165424E-11</v>
      </c>
    </row>
    <row r="78" spans="1:21" s="101" customFormat="1">
      <c r="A78" s="23" t="s">
        <v>89</v>
      </c>
      <c r="B78" s="16"/>
      <c r="C78" s="118">
        <v>52943.82675</v>
      </c>
      <c r="D78" s="28">
        <v>5.0000000000000002E-5</v>
      </c>
      <c r="E78" s="101">
        <f t="shared" si="9"/>
        <v>21818.984515677486</v>
      </c>
      <c r="F78" s="101">
        <f t="shared" si="10"/>
        <v>21819</v>
      </c>
      <c r="G78" s="101">
        <f t="shared" si="11"/>
        <v>-5.1083500002278015E-3</v>
      </c>
      <c r="H78" s="101">
        <f t="shared" si="5"/>
        <v>-5.1083500002278015E-3</v>
      </c>
      <c r="P78" s="103">
        <f t="shared" si="6"/>
        <v>-5.3894080693395879E-3</v>
      </c>
      <c r="Q78" s="104">
        <f t="shared" si="12"/>
        <v>37925.32675</v>
      </c>
      <c r="S78" s="101">
        <f t="shared" si="7"/>
        <v>7.8993638212845717E-8</v>
      </c>
      <c r="T78" s="101">
        <v>1</v>
      </c>
      <c r="U78" s="101">
        <f t="shared" si="8"/>
        <v>7.8993638212845717E-8</v>
      </c>
    </row>
    <row r="79" spans="1:21" s="101" customFormat="1">
      <c r="A79" s="21" t="s">
        <v>96</v>
      </c>
      <c r="B79" s="20" t="s">
        <v>86</v>
      </c>
      <c r="C79" s="30">
        <v>53083.211900000002</v>
      </c>
      <c r="D79" s="30">
        <v>2.0000000000000001E-4</v>
      </c>
      <c r="E79" s="101">
        <f t="shared" si="9"/>
        <v>22241.485835376985</v>
      </c>
      <c r="F79" s="101">
        <f t="shared" si="10"/>
        <v>22241.5</v>
      </c>
      <c r="G79" s="101">
        <f t="shared" si="11"/>
        <v>-4.672974995628465E-3</v>
      </c>
      <c r="I79" s="101">
        <f>G79</f>
        <v>-4.672974995628465E-3</v>
      </c>
      <c r="P79" s="103">
        <f t="shared" ref="P79:P110" si="14">+D$11+D$12*F79+D$13*F79^2</f>
        <v>-6.032452868515642E-3</v>
      </c>
      <c r="Q79" s="104">
        <f t="shared" si="12"/>
        <v>38064.711900000002</v>
      </c>
      <c r="S79" s="101">
        <f t="shared" ref="S79:S110" si="15">+(P79-G79)^2</f>
        <v>1.8481800868698435E-6</v>
      </c>
      <c r="T79" s="101">
        <v>1</v>
      </c>
      <c r="U79" s="101">
        <f t="shared" ref="U79:U110" si="16">S79*T79</f>
        <v>1.8481800868698435E-6</v>
      </c>
    </row>
    <row r="80" spans="1:21" s="101" customFormat="1">
      <c r="A80" s="34" t="s">
        <v>112</v>
      </c>
      <c r="B80" s="14"/>
      <c r="C80" s="121">
        <v>53360.483999999997</v>
      </c>
      <c r="D80" s="26">
        <v>1E-4</v>
      </c>
      <c r="E80" s="101">
        <f t="shared" si="9"/>
        <v>23081.947162611974</v>
      </c>
      <c r="F80" s="101">
        <f t="shared" si="10"/>
        <v>23082</v>
      </c>
      <c r="G80" s="101">
        <f t="shared" si="11"/>
        <v>-1.7431300002499484E-2</v>
      </c>
      <c r="P80" s="103">
        <f t="shared" si="14"/>
        <v>-7.4725152478099521E-3</v>
      </c>
      <c r="Q80" s="104">
        <f t="shared" si="12"/>
        <v>38341.983999999997</v>
      </c>
      <c r="R80" s="101">
        <f>G80</f>
        <v>-1.7431300002499484E-2</v>
      </c>
      <c r="S80" s="101">
        <f t="shared" si="15"/>
        <v>9.9177393790236628E-5</v>
      </c>
      <c r="U80" s="101">
        <f t="shared" si="16"/>
        <v>0</v>
      </c>
    </row>
    <row r="81" spans="1:21" s="101" customFormat="1">
      <c r="A81" s="34" t="s">
        <v>112</v>
      </c>
      <c r="B81" s="14"/>
      <c r="C81" s="26">
        <v>53407.339399999997</v>
      </c>
      <c r="D81" s="26">
        <v>3.0999999999999999E-3</v>
      </c>
      <c r="E81" s="101">
        <f t="shared" si="9"/>
        <v>23223.974260441606</v>
      </c>
      <c r="F81" s="101">
        <f t="shared" si="10"/>
        <v>23224</v>
      </c>
      <c r="G81" s="101">
        <f t="shared" si="11"/>
        <v>-8.4916000050725415E-3</v>
      </c>
      <c r="I81" s="101">
        <f>G81</f>
        <v>-8.4916000050725415E-3</v>
      </c>
      <c r="P81" s="103">
        <f t="shared" si="14"/>
        <v>-7.7369456385603386E-3</v>
      </c>
      <c r="Q81" s="104">
        <f t="shared" si="12"/>
        <v>38388.839399999997</v>
      </c>
      <c r="S81" s="101">
        <f t="shared" si="15"/>
        <v>5.695032128959344E-7</v>
      </c>
      <c r="T81" s="101">
        <v>0.2</v>
      </c>
      <c r="U81" s="101">
        <f t="shared" si="16"/>
        <v>1.1390064257918688E-7</v>
      </c>
    </row>
    <row r="82" spans="1:21" s="101" customFormat="1">
      <c r="A82" s="23" t="s">
        <v>111</v>
      </c>
      <c r="B82" s="5"/>
      <c r="C82" s="32">
        <v>53699.964</v>
      </c>
      <c r="D82" s="25">
        <v>1E-4</v>
      </c>
      <c r="E82" s="101">
        <f t="shared" si="9"/>
        <v>24110.971761083088</v>
      </c>
      <c r="F82" s="101">
        <f t="shared" si="10"/>
        <v>24111</v>
      </c>
      <c r="G82" s="101">
        <f t="shared" si="11"/>
        <v>-9.3161499971756712E-3</v>
      </c>
      <c r="I82" s="101">
        <f>G82</f>
        <v>-9.3161499971756712E-3</v>
      </c>
      <c r="P82" s="103">
        <f t="shared" si="14"/>
        <v>-9.5269792078124249E-3</v>
      </c>
      <c r="Q82" s="104">
        <f t="shared" si="12"/>
        <v>38681.464</v>
      </c>
      <c r="S82" s="101">
        <f t="shared" si="15"/>
        <v>4.4448956057716682E-8</v>
      </c>
      <c r="T82" s="101">
        <v>1</v>
      </c>
      <c r="U82" s="101">
        <f t="shared" si="16"/>
        <v>4.4448956057716682E-8</v>
      </c>
    </row>
    <row r="83" spans="1:21" s="101" customFormat="1">
      <c r="A83" s="42" t="s">
        <v>119</v>
      </c>
      <c r="B83" s="14" t="s">
        <v>87</v>
      </c>
      <c r="C83" s="43">
        <v>53742.5213</v>
      </c>
      <c r="D83" s="43">
        <v>2.0000000000000001E-4</v>
      </c>
      <c r="E83" s="101">
        <f t="shared" si="9"/>
        <v>24239.970549066224</v>
      </c>
      <c r="F83" s="101">
        <f t="shared" si="10"/>
        <v>24240</v>
      </c>
      <c r="G83" s="101">
        <f t="shared" si="11"/>
        <v>-9.7160000004805624E-3</v>
      </c>
      <c r="I83" s="101">
        <f>G83</f>
        <v>-9.7160000004805624E-3</v>
      </c>
      <c r="P83" s="103">
        <f t="shared" si="14"/>
        <v>-9.807166826527533E-3</v>
      </c>
      <c r="Q83" s="104">
        <f t="shared" si="12"/>
        <v>38724.0213</v>
      </c>
      <c r="S83" s="101">
        <f t="shared" si="15"/>
        <v>8.3113901714785919E-9</v>
      </c>
      <c r="T83" s="101">
        <v>1</v>
      </c>
      <c r="U83" s="101">
        <f t="shared" si="16"/>
        <v>8.3113901714785919E-9</v>
      </c>
    </row>
    <row r="84" spans="1:21" s="101" customFormat="1">
      <c r="A84" s="31" t="s">
        <v>116</v>
      </c>
      <c r="B84" s="40" t="s">
        <v>87</v>
      </c>
      <c r="C84" s="41">
        <v>53746.642800000001</v>
      </c>
      <c r="D84" s="41">
        <v>5.9999999999999995E-4</v>
      </c>
      <c r="E84" s="101">
        <f t="shared" si="9"/>
        <v>24252.463552726527</v>
      </c>
      <c r="F84" s="101">
        <f t="shared" si="10"/>
        <v>24252.5</v>
      </c>
      <c r="G84" s="101">
        <f t="shared" si="11"/>
        <v>-1.2024124996969476E-2</v>
      </c>
      <c r="I84" s="101">
        <f>G84</f>
        <v>-1.2024124996969476E-2</v>
      </c>
      <c r="P84" s="103">
        <f t="shared" si="14"/>
        <v>-9.8345847497521427E-3</v>
      </c>
      <c r="Q84" s="104">
        <f t="shared" si="12"/>
        <v>38728.142800000001</v>
      </c>
      <c r="S84" s="101">
        <f t="shared" si="15"/>
        <v>4.7940864941845421E-6</v>
      </c>
      <c r="T84" s="101">
        <v>0.5</v>
      </c>
      <c r="U84" s="101">
        <f t="shared" si="16"/>
        <v>2.3970432470922711E-6</v>
      </c>
    </row>
    <row r="85" spans="1:21" s="101" customFormat="1">
      <c r="A85" s="24" t="s">
        <v>114</v>
      </c>
      <c r="B85" s="38"/>
      <c r="C85" s="26">
        <v>53760.335800000001</v>
      </c>
      <c r="D85" s="26">
        <v>6.9999999999999999E-4</v>
      </c>
      <c r="E85" s="101">
        <f t="shared" ref="E85:E116" si="17">+(C85-C$7)/C$8</f>
        <v>24293.969484819328</v>
      </c>
      <c r="F85" s="101">
        <f t="shared" ref="F85:F116" si="18">ROUND(2*E85,0)/2</f>
        <v>24294</v>
      </c>
      <c r="G85" s="101">
        <f t="shared" ref="G85:G116" si="19">+C85-(C$7+F85*C$8)</f>
        <v>-1.0067099996376783E-2</v>
      </c>
      <c r="I85" s="101">
        <f>G85</f>
        <v>-1.0067099996376783E-2</v>
      </c>
      <c r="P85" s="103">
        <f t="shared" si="14"/>
        <v>-9.9259517594473406E-3</v>
      </c>
      <c r="Q85" s="104">
        <f t="shared" ref="Q85:Q116" si="20">+C85-15018.5</f>
        <v>38741.835800000001</v>
      </c>
      <c r="S85" s="101">
        <f t="shared" si="15"/>
        <v>1.9922824788289895E-8</v>
      </c>
      <c r="T85" s="101">
        <v>0.5</v>
      </c>
      <c r="U85" s="101">
        <f t="shared" si="16"/>
        <v>9.9614123941449474E-9</v>
      </c>
    </row>
    <row r="86" spans="1:21" s="101" customFormat="1">
      <c r="A86" s="22" t="s">
        <v>118</v>
      </c>
      <c r="B86" s="5" t="s">
        <v>86</v>
      </c>
      <c r="C86" s="121">
        <v>53809.352899999998</v>
      </c>
      <c r="D86" s="26">
        <v>1E-4</v>
      </c>
      <c r="E86" s="101">
        <f t="shared" si="17"/>
        <v>24442.549081984744</v>
      </c>
      <c r="F86" s="101">
        <f t="shared" si="18"/>
        <v>24442.5</v>
      </c>
      <c r="G86" s="101">
        <f t="shared" si="19"/>
        <v>1.6192374998354353E-2</v>
      </c>
      <c r="P86" s="103">
        <f t="shared" si="14"/>
        <v>-1.0257166026622785E-2</v>
      </c>
      <c r="Q86" s="104">
        <f t="shared" si="20"/>
        <v>38790.852899999998</v>
      </c>
      <c r="R86" s="101">
        <f>G86</f>
        <v>1.6192374998354353E-2</v>
      </c>
      <c r="S86" s="101">
        <f t="shared" si="15"/>
        <v>6.995782204319487E-4</v>
      </c>
      <c r="U86" s="101">
        <f t="shared" si="16"/>
        <v>0</v>
      </c>
    </row>
    <row r="87" spans="1:21" s="101" customFormat="1">
      <c r="A87" s="31" t="s">
        <v>116</v>
      </c>
      <c r="B87" s="40" t="s">
        <v>86</v>
      </c>
      <c r="C87" s="41">
        <v>54020.464099999997</v>
      </c>
      <c r="D87" s="41">
        <v>1E-4</v>
      </c>
      <c r="E87" s="101">
        <f t="shared" si="17"/>
        <v>25082.464887960803</v>
      </c>
      <c r="F87" s="101">
        <f t="shared" si="18"/>
        <v>25082.5</v>
      </c>
      <c r="G87" s="101">
        <f t="shared" si="19"/>
        <v>-1.1583625004277565E-2</v>
      </c>
      <c r="I87" s="101">
        <f t="shared" ref="I87:I123" si="21">G87</f>
        <v>-1.1583625004277565E-2</v>
      </c>
      <c r="P87" s="103">
        <f t="shared" si="14"/>
        <v>-1.1761072858050212E-2</v>
      </c>
      <c r="Q87" s="104">
        <f t="shared" si="20"/>
        <v>39001.964099999997</v>
      </c>
      <c r="S87" s="101">
        <f t="shared" si="15"/>
        <v>3.148774080851873E-8</v>
      </c>
      <c r="T87" s="101">
        <v>1</v>
      </c>
      <c r="U87" s="101">
        <f t="shared" si="16"/>
        <v>3.148774080851873E-8</v>
      </c>
    </row>
    <row r="88" spans="1:21" s="101" customFormat="1">
      <c r="A88" s="31" t="s">
        <v>116</v>
      </c>
      <c r="B88" s="40" t="s">
        <v>87</v>
      </c>
      <c r="C88" s="41">
        <v>54027.558400000002</v>
      </c>
      <c r="D88" s="41">
        <v>4.0000000000000002E-4</v>
      </c>
      <c r="E88" s="101">
        <f t="shared" si="17"/>
        <v>25103.968980128051</v>
      </c>
      <c r="F88" s="101">
        <f t="shared" si="18"/>
        <v>25104</v>
      </c>
      <c r="G88" s="101">
        <f t="shared" si="19"/>
        <v>-1.0233599998173304E-2</v>
      </c>
      <c r="I88" s="101">
        <f t="shared" si="21"/>
        <v>-1.0233599998173304E-2</v>
      </c>
      <c r="P88" s="103">
        <f t="shared" si="14"/>
        <v>-1.18137493551871E-2</v>
      </c>
      <c r="Q88" s="104">
        <f t="shared" si="20"/>
        <v>39009.058400000002</v>
      </c>
      <c r="S88" s="101">
        <f t="shared" si="15"/>
        <v>2.4968719904711142E-6</v>
      </c>
      <c r="T88" s="101">
        <v>1</v>
      </c>
      <c r="U88" s="101">
        <f t="shared" si="16"/>
        <v>2.4968719904711142E-6</v>
      </c>
    </row>
    <row r="89" spans="1:21" s="101" customFormat="1">
      <c r="A89" s="23" t="s">
        <v>120</v>
      </c>
      <c r="B89"/>
      <c r="C89" s="25">
        <v>54134.609792267584</v>
      </c>
      <c r="D89" s="25">
        <v>1E-4</v>
      </c>
      <c r="E89" s="101">
        <f t="shared" si="17"/>
        <v>25428.460897012465</v>
      </c>
      <c r="F89" s="101">
        <f t="shared" si="18"/>
        <v>25428.5</v>
      </c>
      <c r="G89" s="101">
        <f t="shared" si="19"/>
        <v>-1.2900257417641114E-2</v>
      </c>
      <c r="I89" s="101">
        <f t="shared" si="21"/>
        <v>-1.2900257417641114E-2</v>
      </c>
      <c r="P89" s="103">
        <f t="shared" si="14"/>
        <v>-1.2625806570787032E-2</v>
      </c>
      <c r="Q89" s="104">
        <f t="shared" si="20"/>
        <v>39116.109792267584</v>
      </c>
      <c r="S89" s="101">
        <f t="shared" si="15"/>
        <v>7.5323267338922983E-8</v>
      </c>
      <c r="T89" s="101">
        <v>1</v>
      </c>
      <c r="U89" s="101">
        <f t="shared" si="16"/>
        <v>7.5323267338922983E-8</v>
      </c>
    </row>
    <row r="90" spans="1:21" s="101" customFormat="1">
      <c r="A90" s="53" t="s">
        <v>120</v>
      </c>
      <c r="B90" s="54" t="s">
        <v>86</v>
      </c>
      <c r="C90" s="53">
        <v>54134.609799999998</v>
      </c>
      <c r="D90" s="53">
        <v>1E-4</v>
      </c>
      <c r="E90" s="101">
        <f t="shared" si="17"/>
        <v>25428.460920450798</v>
      </c>
      <c r="F90" s="101">
        <f t="shared" si="18"/>
        <v>25428.5</v>
      </c>
      <c r="G90" s="101">
        <f t="shared" si="19"/>
        <v>-1.2892525002826005E-2</v>
      </c>
      <c r="I90" s="101">
        <f t="shared" si="21"/>
        <v>-1.2892525002826005E-2</v>
      </c>
      <c r="P90" s="103">
        <f t="shared" si="14"/>
        <v>-1.2625806570787032E-2</v>
      </c>
      <c r="Q90" s="104">
        <f t="shared" si="20"/>
        <v>39116.109799999998</v>
      </c>
      <c r="S90" s="101">
        <f t="shared" si="15"/>
        <v>7.1138721989328348E-8</v>
      </c>
      <c r="T90" s="101">
        <v>1</v>
      </c>
      <c r="U90" s="101">
        <f t="shared" si="16"/>
        <v>7.1138721989328348E-8</v>
      </c>
    </row>
    <row r="91" spans="1:21" s="101" customFormat="1">
      <c r="A91" s="31" t="s">
        <v>117</v>
      </c>
      <c r="B91" s="5" t="s">
        <v>87</v>
      </c>
      <c r="C91" s="26">
        <v>54173.374499999998</v>
      </c>
      <c r="D91" s="26">
        <v>2.9999999999999997E-4</v>
      </c>
      <c r="E91" s="101">
        <f t="shared" si="17"/>
        <v>25545.96365949979</v>
      </c>
      <c r="F91" s="101">
        <f t="shared" si="18"/>
        <v>25546</v>
      </c>
      <c r="G91" s="101">
        <f t="shared" si="19"/>
        <v>-1.1988899997959379E-2</v>
      </c>
      <c r="I91" s="101">
        <f t="shared" si="21"/>
        <v>-1.1988899997959379E-2</v>
      </c>
      <c r="P91" s="103">
        <f t="shared" si="14"/>
        <v>-1.2927716852299764E-2</v>
      </c>
      <c r="Q91" s="104">
        <f t="shared" si="20"/>
        <v>39154.874499999998</v>
      </c>
      <c r="S91" s="101">
        <f t="shared" si="15"/>
        <v>8.8137708599357604E-7</v>
      </c>
      <c r="T91" s="101">
        <v>1</v>
      </c>
      <c r="U91" s="101">
        <f t="shared" si="16"/>
        <v>8.8137708599357604E-7</v>
      </c>
    </row>
    <row r="92" spans="1:21" s="101" customFormat="1">
      <c r="A92" s="13" t="s">
        <v>121</v>
      </c>
      <c r="B92" s="16" t="s">
        <v>87</v>
      </c>
      <c r="C92" s="13">
        <v>54472.2644</v>
      </c>
      <c r="D92" s="13">
        <v>2.9999999999999997E-4</v>
      </c>
      <c r="E92" s="101">
        <f t="shared" si="17"/>
        <v>26451.95240503582</v>
      </c>
      <c r="F92" s="101">
        <f t="shared" si="18"/>
        <v>26452</v>
      </c>
      <c r="G92" s="101">
        <f t="shared" si="19"/>
        <v>-1.5701800002716482E-2</v>
      </c>
      <c r="I92" s="101">
        <f t="shared" si="21"/>
        <v>-1.5701800002716482E-2</v>
      </c>
      <c r="P92" s="103">
        <f t="shared" si="14"/>
        <v>-1.5396119558518037E-2</v>
      </c>
      <c r="Q92" s="104">
        <f t="shared" si="20"/>
        <v>39453.7644</v>
      </c>
      <c r="S92" s="101">
        <f t="shared" si="15"/>
        <v>9.3440533965358364E-8</v>
      </c>
      <c r="T92" s="101">
        <v>1</v>
      </c>
      <c r="U92" s="101">
        <f t="shared" si="16"/>
        <v>9.3440533965358364E-8</v>
      </c>
    </row>
    <row r="93" spans="1:21" s="101" customFormat="1">
      <c r="A93" s="13" t="s">
        <v>121</v>
      </c>
      <c r="B93" s="16" t="s">
        <v>86</v>
      </c>
      <c r="C93" s="13">
        <v>54510.366699999999</v>
      </c>
      <c r="D93" s="13">
        <v>1E-3</v>
      </c>
      <c r="E93" s="101">
        <f t="shared" si="17"/>
        <v>26567.447291209744</v>
      </c>
      <c r="F93" s="101">
        <f t="shared" si="18"/>
        <v>26567.5</v>
      </c>
      <c r="G93" s="101">
        <f t="shared" si="19"/>
        <v>-1.7388874999596737E-2</v>
      </c>
      <c r="I93" s="101">
        <f t="shared" si="21"/>
        <v>-1.7388874999596737E-2</v>
      </c>
      <c r="P93" s="103">
        <f t="shared" si="14"/>
        <v>-1.5728674134523071E-2</v>
      </c>
      <c r="Q93" s="104">
        <f t="shared" si="20"/>
        <v>39491.866699999999</v>
      </c>
      <c r="S93" s="101">
        <f t="shared" si="15"/>
        <v>2.7562669123913491E-6</v>
      </c>
      <c r="T93" s="101">
        <v>0.5</v>
      </c>
      <c r="U93" s="101">
        <f t="shared" si="16"/>
        <v>1.3781334561956746E-6</v>
      </c>
    </row>
    <row r="94" spans="1:21" s="101" customFormat="1">
      <c r="A94" s="29" t="s">
        <v>122</v>
      </c>
      <c r="B94" s="18" t="s">
        <v>86</v>
      </c>
      <c r="C94" s="29">
        <v>54544.348599999998</v>
      </c>
      <c r="D94" s="29">
        <v>1E-4</v>
      </c>
      <c r="E94" s="101">
        <f t="shared" si="17"/>
        <v>26670.452508020113</v>
      </c>
      <c r="F94" s="101">
        <f t="shared" si="18"/>
        <v>26670.5</v>
      </c>
      <c r="G94" s="101">
        <f t="shared" si="19"/>
        <v>-1.5667825005948544E-2</v>
      </c>
      <c r="I94" s="101">
        <f t="shared" si="21"/>
        <v>-1.5667825005948544E-2</v>
      </c>
      <c r="P94" s="103">
        <f t="shared" si="14"/>
        <v>-1.6028647469400262E-2</v>
      </c>
      <c r="Q94" s="104">
        <f t="shared" si="20"/>
        <v>39525.848599999998</v>
      </c>
      <c r="S94" s="101">
        <f t="shared" si="15"/>
        <v>1.3019285013136652E-7</v>
      </c>
      <c r="T94" s="101">
        <v>1</v>
      </c>
      <c r="U94" s="101">
        <f t="shared" si="16"/>
        <v>1.3019285013136652E-7</v>
      </c>
    </row>
    <row r="95" spans="1:21" s="101" customFormat="1">
      <c r="A95" s="29" t="s">
        <v>122</v>
      </c>
      <c r="B95" s="18" t="s">
        <v>87</v>
      </c>
      <c r="C95" s="29">
        <v>54556.390299999999</v>
      </c>
      <c r="D95" s="29">
        <v>1E-4</v>
      </c>
      <c r="E95" s="101">
        <f t="shared" si="17"/>
        <v>26706.953054465885</v>
      </c>
      <c r="F95" s="101">
        <f t="shared" si="18"/>
        <v>26707</v>
      </c>
      <c r="G95" s="101">
        <f t="shared" si="19"/>
        <v>-1.5487550001125783E-2</v>
      </c>
      <c r="I95" s="101">
        <f t="shared" si="21"/>
        <v>-1.5487550001125783E-2</v>
      </c>
      <c r="P95" s="103">
        <f t="shared" si="14"/>
        <v>-1.6135720084144684E-2</v>
      </c>
      <c r="Q95" s="104">
        <f t="shared" si="20"/>
        <v>39537.890299999999</v>
      </c>
      <c r="S95" s="101">
        <f t="shared" si="15"/>
        <v>4.2012445652072875E-7</v>
      </c>
      <c r="T95" s="101">
        <v>1</v>
      </c>
      <c r="U95" s="101">
        <f t="shared" si="16"/>
        <v>4.2012445652072875E-7</v>
      </c>
    </row>
    <row r="96" spans="1:21" s="101" customFormat="1">
      <c r="A96" s="29" t="s">
        <v>122</v>
      </c>
      <c r="B96" s="18" t="s">
        <v>87</v>
      </c>
      <c r="C96" s="29">
        <v>54706.496700000003</v>
      </c>
      <c r="D96" s="29">
        <v>2.9999999999999997E-4</v>
      </c>
      <c r="E96" s="101">
        <f t="shared" si="17"/>
        <v>27161.952400489059</v>
      </c>
      <c r="F96" s="101">
        <f t="shared" si="18"/>
        <v>27162</v>
      </c>
      <c r="G96" s="101">
        <f t="shared" si="19"/>
        <v>-1.5703299999586307E-2</v>
      </c>
      <c r="I96" s="101">
        <f t="shared" si="21"/>
        <v>-1.5703299999586307E-2</v>
      </c>
      <c r="P96" s="103">
        <f t="shared" si="14"/>
        <v>-1.7504340532228893E-2</v>
      </c>
      <c r="Q96" s="104">
        <f t="shared" si="20"/>
        <v>39687.996700000003</v>
      </c>
      <c r="S96" s="101">
        <f t="shared" si="15"/>
        <v>3.2437470002214921E-6</v>
      </c>
      <c r="T96" s="101">
        <v>1</v>
      </c>
      <c r="U96" s="101">
        <f t="shared" si="16"/>
        <v>3.2437470002214921E-6</v>
      </c>
    </row>
    <row r="97" spans="1:21" s="101" customFormat="1">
      <c r="A97" s="29" t="s">
        <v>122</v>
      </c>
      <c r="B97" s="18" t="s">
        <v>87</v>
      </c>
      <c r="C97" s="29">
        <v>54803.486199999999</v>
      </c>
      <c r="D97" s="29">
        <v>2.9999999999999997E-4</v>
      </c>
      <c r="E97" s="101">
        <f t="shared" si="17"/>
        <v>27455.944922267689</v>
      </c>
      <c r="F97" s="101">
        <f t="shared" si="18"/>
        <v>27456</v>
      </c>
      <c r="G97" s="101">
        <f t="shared" si="19"/>
        <v>-1.817039999878034E-2</v>
      </c>
      <c r="I97" s="101">
        <f t="shared" si="21"/>
        <v>-1.817039999878034E-2</v>
      </c>
      <c r="P97" s="103">
        <f t="shared" si="14"/>
        <v>-1.8422040428646452E-2</v>
      </c>
      <c r="Q97" s="104">
        <f t="shared" si="20"/>
        <v>39784.986199999999</v>
      </c>
      <c r="S97" s="101">
        <f t="shared" si="15"/>
        <v>6.3322905943201803E-8</v>
      </c>
      <c r="T97" s="101">
        <v>1</v>
      </c>
      <c r="U97" s="101">
        <f t="shared" si="16"/>
        <v>6.3322905943201803E-8</v>
      </c>
    </row>
    <row r="98" spans="1:21" s="101" customFormat="1">
      <c r="A98" s="53" t="s">
        <v>130</v>
      </c>
      <c r="B98" s="54" t="s">
        <v>86</v>
      </c>
      <c r="C98" s="53">
        <v>54830.703600000001</v>
      </c>
      <c r="D98" s="53">
        <v>4.0000000000000002E-4</v>
      </c>
      <c r="E98" s="101">
        <f t="shared" si="17"/>
        <v>27538.44572969796</v>
      </c>
      <c r="F98" s="101">
        <f t="shared" si="18"/>
        <v>27538.5</v>
      </c>
      <c r="G98" s="101">
        <f t="shared" si="19"/>
        <v>-1.7904025000461843E-2</v>
      </c>
      <c r="I98" s="101">
        <f t="shared" si="21"/>
        <v>-1.7904025000461843E-2</v>
      </c>
      <c r="P98" s="103">
        <f t="shared" si="14"/>
        <v>-1.868426394031597E-2</v>
      </c>
      <c r="Q98" s="104">
        <f t="shared" si="20"/>
        <v>39812.203600000001</v>
      </c>
      <c r="S98" s="101">
        <f t="shared" si="15"/>
        <v>6.0877280326469295E-7</v>
      </c>
      <c r="T98" s="101">
        <v>1</v>
      </c>
      <c r="U98" s="101">
        <f t="shared" si="16"/>
        <v>6.0877280326469295E-7</v>
      </c>
    </row>
    <row r="99" spans="1:21" s="101" customFormat="1">
      <c r="A99" s="53" t="s">
        <v>131</v>
      </c>
      <c r="B99" s="54" t="s">
        <v>86</v>
      </c>
      <c r="C99" s="53">
        <v>54843.239500000003</v>
      </c>
      <c r="D99" s="53">
        <v>4.0000000000000002E-4</v>
      </c>
      <c r="E99" s="101">
        <f t="shared" si="17"/>
        <v>27576.444284735007</v>
      </c>
      <c r="F99" s="101">
        <f t="shared" si="18"/>
        <v>27576.5</v>
      </c>
      <c r="G99" s="101">
        <f t="shared" si="19"/>
        <v>-1.8380724992312025E-2</v>
      </c>
      <c r="I99" s="101">
        <f t="shared" si="21"/>
        <v>-1.8380724992312025E-2</v>
      </c>
      <c r="P99" s="103">
        <f t="shared" si="14"/>
        <v>-1.8805739383404352E-2</v>
      </c>
      <c r="Q99" s="104">
        <f t="shared" si="20"/>
        <v>39824.739500000003</v>
      </c>
      <c r="S99" s="101">
        <f t="shared" si="15"/>
        <v>1.806372326355811E-7</v>
      </c>
      <c r="T99" s="101">
        <v>1</v>
      </c>
      <c r="U99" s="101">
        <f t="shared" si="16"/>
        <v>1.806372326355811E-7</v>
      </c>
    </row>
    <row r="100" spans="1:21" s="101" customFormat="1">
      <c r="A100" s="53" t="s">
        <v>131</v>
      </c>
      <c r="B100" s="54" t="s">
        <v>87</v>
      </c>
      <c r="C100" s="53">
        <v>54843.404799999997</v>
      </c>
      <c r="D100" s="30">
        <v>2.0000000000000001E-4</v>
      </c>
      <c r="E100" s="101">
        <f t="shared" si="17"/>
        <v>27576.945338600097</v>
      </c>
      <c r="F100" s="101">
        <f t="shared" si="18"/>
        <v>27577</v>
      </c>
      <c r="G100" s="101">
        <f t="shared" si="19"/>
        <v>-1.803305000794353E-2</v>
      </c>
      <c r="I100" s="101">
        <f t="shared" si="21"/>
        <v>-1.803305000794353E-2</v>
      </c>
      <c r="P100" s="103">
        <f t="shared" si="14"/>
        <v>-1.8807340660813271E-2</v>
      </c>
      <c r="Q100" s="104">
        <f t="shared" si="20"/>
        <v>39824.904799999997</v>
      </c>
      <c r="S100" s="101">
        <f t="shared" si="15"/>
        <v>5.995260151214502E-7</v>
      </c>
      <c r="T100" s="101">
        <v>1</v>
      </c>
      <c r="U100" s="101">
        <f t="shared" si="16"/>
        <v>5.995260151214502E-7</v>
      </c>
    </row>
    <row r="101" spans="1:21" s="101" customFormat="1">
      <c r="A101" s="53" t="s">
        <v>131</v>
      </c>
      <c r="B101" s="54" t="s">
        <v>86</v>
      </c>
      <c r="C101" s="53">
        <v>54843.568899999998</v>
      </c>
      <c r="D101" s="29">
        <v>2.9999999999999997E-4</v>
      </c>
      <c r="E101" s="101">
        <f t="shared" si="17"/>
        <v>27577.442755050582</v>
      </c>
      <c r="F101" s="101">
        <f t="shared" si="18"/>
        <v>27577.5</v>
      </c>
      <c r="G101" s="101">
        <f t="shared" si="19"/>
        <v>-1.8885375000536442E-2</v>
      </c>
      <c r="I101" s="101">
        <f t="shared" si="21"/>
        <v>-1.8885375000536442E-2</v>
      </c>
      <c r="P101" s="103">
        <f t="shared" si="14"/>
        <v>-1.8808942013970653E-2</v>
      </c>
      <c r="Q101" s="104">
        <f t="shared" si="20"/>
        <v>39825.068899999998</v>
      </c>
      <c r="S101" s="101">
        <f t="shared" si="15"/>
        <v>5.8420014353660317E-9</v>
      </c>
      <c r="T101" s="101">
        <v>1</v>
      </c>
      <c r="U101" s="101">
        <f t="shared" si="16"/>
        <v>5.8420014353660317E-9</v>
      </c>
    </row>
    <row r="102" spans="1:21" s="101" customFormat="1">
      <c r="A102" s="53" t="s">
        <v>132</v>
      </c>
      <c r="B102" s="54" t="s">
        <v>86</v>
      </c>
      <c r="C102" s="53">
        <v>54844.2284</v>
      </c>
      <c r="D102" s="43">
        <v>2.0000000000000001E-4</v>
      </c>
      <c r="E102" s="101">
        <f t="shared" si="17"/>
        <v>27579.441817506966</v>
      </c>
      <c r="F102" s="101">
        <f t="shared" si="18"/>
        <v>27579.5</v>
      </c>
      <c r="G102" s="101">
        <f t="shared" si="19"/>
        <v>-1.9194674998288974E-2</v>
      </c>
      <c r="I102" s="101">
        <f t="shared" si="21"/>
        <v>-1.9194674998288974E-2</v>
      </c>
      <c r="P102" s="103">
        <f t="shared" si="14"/>
        <v>-1.8815348184084674E-2</v>
      </c>
      <c r="Q102" s="104">
        <f t="shared" si="20"/>
        <v>39825.7284</v>
      </c>
      <c r="S102" s="101">
        <f t="shared" si="15"/>
        <v>1.438888319743839E-7</v>
      </c>
      <c r="T102" s="101">
        <v>1</v>
      </c>
      <c r="U102" s="101">
        <f t="shared" si="16"/>
        <v>1.438888319743839E-7</v>
      </c>
    </row>
    <row r="103" spans="1:21" s="101" customFormat="1">
      <c r="A103" s="51" t="s">
        <v>126</v>
      </c>
      <c r="B103" s="18" t="s">
        <v>87</v>
      </c>
      <c r="C103" s="29">
        <v>55059.488599999997</v>
      </c>
      <c r="D103" s="29">
        <v>1E-4</v>
      </c>
      <c r="E103" s="101">
        <f t="shared" si="17"/>
        <v>28231.933984561892</v>
      </c>
      <c r="F103" s="101">
        <f t="shared" si="18"/>
        <v>28232</v>
      </c>
      <c r="G103" s="101">
        <f t="shared" si="19"/>
        <v>-2.1778800000902265E-2</v>
      </c>
      <c r="I103" s="101">
        <f t="shared" si="21"/>
        <v>-2.1778800000902265E-2</v>
      </c>
      <c r="P103" s="103">
        <f t="shared" si="14"/>
        <v>-2.0970059646262598E-2</v>
      </c>
      <c r="Q103" s="104">
        <f t="shared" si="20"/>
        <v>40040.988599999997</v>
      </c>
      <c r="S103" s="101">
        <f t="shared" si="15"/>
        <v>6.5406096122269445E-7</v>
      </c>
      <c r="T103" s="101">
        <v>1</v>
      </c>
      <c r="U103" s="101">
        <f t="shared" si="16"/>
        <v>6.5406096122269445E-7</v>
      </c>
    </row>
    <row r="104" spans="1:21" s="101" customFormat="1">
      <c r="A104" s="51" t="s">
        <v>126</v>
      </c>
      <c r="B104" s="18" t="s">
        <v>86</v>
      </c>
      <c r="C104" s="29">
        <v>55068.561300000001</v>
      </c>
      <c r="D104" s="30">
        <v>2.0000000000000001E-4</v>
      </c>
      <c r="E104" s="101">
        <f t="shared" si="17"/>
        <v>28259.434960980394</v>
      </c>
      <c r="F104" s="101">
        <f t="shared" si="18"/>
        <v>28259.5</v>
      </c>
      <c r="G104" s="101">
        <f t="shared" si="19"/>
        <v>-2.1456675000081304E-2</v>
      </c>
      <c r="I104" s="101">
        <f t="shared" si="21"/>
        <v>-2.1456675000081304E-2</v>
      </c>
      <c r="P104" s="103">
        <f t="shared" si="14"/>
        <v>-2.1063704232789873E-2</v>
      </c>
      <c r="Q104" s="104">
        <f t="shared" si="20"/>
        <v>40050.061300000001</v>
      </c>
      <c r="S104" s="101">
        <f t="shared" si="15"/>
        <v>1.5442602394561619E-7</v>
      </c>
      <c r="T104" s="101">
        <v>1</v>
      </c>
      <c r="U104" s="101">
        <f t="shared" si="16"/>
        <v>1.5442602394561619E-7</v>
      </c>
    </row>
    <row r="105" spans="1:21" s="101" customFormat="1">
      <c r="A105" s="51" t="s">
        <v>126</v>
      </c>
      <c r="B105" s="18" t="s">
        <v>86</v>
      </c>
      <c r="C105" s="29">
        <v>55100.561300000001</v>
      </c>
      <c r="D105" s="29">
        <v>2.9999999999999997E-4</v>
      </c>
      <c r="E105" s="101">
        <f t="shared" si="17"/>
        <v>28356.432684413514</v>
      </c>
      <c r="F105" s="101">
        <f t="shared" si="18"/>
        <v>28356.5</v>
      </c>
      <c r="G105" s="101">
        <f t="shared" si="19"/>
        <v>-2.2207725000043865E-2</v>
      </c>
      <c r="I105" s="101">
        <f t="shared" si="21"/>
        <v>-2.2207725000043865E-2</v>
      </c>
      <c r="P105" s="103">
        <f t="shared" si="14"/>
        <v>-2.1395843781414611E-2</v>
      </c>
      <c r="Q105" s="104">
        <f t="shared" si="20"/>
        <v>40082.061300000001</v>
      </c>
      <c r="S105" s="101">
        <f t="shared" si="15"/>
        <v>6.5915111316292254E-7</v>
      </c>
      <c r="T105" s="101">
        <v>1</v>
      </c>
      <c r="U105" s="101">
        <f t="shared" si="16"/>
        <v>6.5915111316292254E-7</v>
      </c>
    </row>
    <row r="106" spans="1:21" s="101" customFormat="1">
      <c r="A106" s="31" t="s">
        <v>124</v>
      </c>
      <c r="B106" s="49" t="s">
        <v>86</v>
      </c>
      <c r="C106" s="31">
        <v>55135.863599999997</v>
      </c>
      <c r="D106" s="31">
        <v>5.9999999999999995E-4</v>
      </c>
      <c r="E106" s="101">
        <f t="shared" si="17"/>
        <v>28463.440269787032</v>
      </c>
      <c r="F106" s="101">
        <f t="shared" si="18"/>
        <v>28463.5</v>
      </c>
      <c r="G106" s="101">
        <f t="shared" si="19"/>
        <v>-1.9705275000887923E-2</v>
      </c>
      <c r="I106" s="101">
        <f t="shared" si="21"/>
        <v>-1.9705275000887923E-2</v>
      </c>
      <c r="P106" s="103">
        <f t="shared" si="14"/>
        <v>-2.1765531395309415E-2</v>
      </c>
      <c r="Q106" s="104">
        <f t="shared" si="20"/>
        <v>40117.363599999997</v>
      </c>
      <c r="S106" s="101">
        <f t="shared" si="15"/>
        <v>4.2446564107546456E-6</v>
      </c>
      <c r="T106" s="101">
        <v>0.5</v>
      </c>
      <c r="U106" s="101">
        <f t="shared" si="16"/>
        <v>2.1223282053773228E-6</v>
      </c>
    </row>
    <row r="107" spans="1:21" s="101" customFormat="1">
      <c r="A107" s="48" t="s">
        <v>125</v>
      </c>
      <c r="B107" s="13"/>
      <c r="C107" s="13">
        <v>55149.717499999999</v>
      </c>
      <c r="D107" s="13">
        <v>1E-4</v>
      </c>
      <c r="E107" s="101">
        <f t="shared" si="17"/>
        <v>28505.433918557981</v>
      </c>
      <c r="F107" s="101">
        <f t="shared" si="18"/>
        <v>28505.5</v>
      </c>
      <c r="G107" s="101">
        <f t="shared" si="19"/>
        <v>-2.1800574999360833E-2</v>
      </c>
      <c r="I107" s="101">
        <f t="shared" si="21"/>
        <v>-2.1800574999360833E-2</v>
      </c>
      <c r="P107" s="103">
        <f t="shared" si="14"/>
        <v>-2.1911590489026786E-2</v>
      </c>
      <c r="Q107" s="104">
        <f t="shared" si="20"/>
        <v>40131.217499999999</v>
      </c>
      <c r="S107" s="101">
        <f t="shared" si="15"/>
        <v>1.2324438945771239E-8</v>
      </c>
      <c r="T107" s="101">
        <v>1</v>
      </c>
      <c r="U107" s="101">
        <f t="shared" si="16"/>
        <v>1.2324438945771239E-8</v>
      </c>
    </row>
    <row r="108" spans="1:21" s="101" customFormat="1">
      <c r="A108" s="53" t="s">
        <v>132</v>
      </c>
      <c r="B108" s="54" t="s">
        <v>87</v>
      </c>
      <c r="C108" s="53">
        <v>55194.4182</v>
      </c>
      <c r="D108" s="13">
        <v>1E-4</v>
      </c>
      <c r="E108" s="101">
        <f t="shared" si="17"/>
        <v>28640.92973530382</v>
      </c>
      <c r="F108" s="101">
        <f t="shared" si="18"/>
        <v>28641</v>
      </c>
      <c r="G108" s="101">
        <f t="shared" si="19"/>
        <v>-2.3180650001449976E-2</v>
      </c>
      <c r="I108" s="101">
        <f t="shared" si="21"/>
        <v>-2.3180650001449976E-2</v>
      </c>
      <c r="P108" s="103">
        <f t="shared" si="14"/>
        <v>-2.2386448636348213E-2</v>
      </c>
      <c r="Q108" s="104">
        <f t="shared" si="20"/>
        <v>40175.9182</v>
      </c>
      <c r="S108" s="101">
        <f t="shared" si="15"/>
        <v>6.3075580832950329E-7</v>
      </c>
      <c r="T108" s="101">
        <v>1</v>
      </c>
      <c r="U108" s="101">
        <f t="shared" si="16"/>
        <v>6.3075580832950329E-7</v>
      </c>
    </row>
    <row r="109" spans="1:21" s="101" customFormat="1">
      <c r="A109" s="51" t="s">
        <v>126</v>
      </c>
      <c r="B109" s="18" t="s">
        <v>86</v>
      </c>
      <c r="C109" s="29">
        <v>55212.4</v>
      </c>
      <c r="D109" s="43">
        <v>2.0000000000000001E-4</v>
      </c>
      <c r="E109" s="101">
        <f t="shared" si="17"/>
        <v>28695.435787279752</v>
      </c>
      <c r="F109" s="101">
        <f t="shared" si="18"/>
        <v>28695.5</v>
      </c>
      <c r="G109" s="101">
        <f t="shared" si="19"/>
        <v>-2.1184074998018332E-2</v>
      </c>
      <c r="I109" s="101">
        <f t="shared" si="21"/>
        <v>-2.1184074998018332E-2</v>
      </c>
      <c r="P109" s="103">
        <f t="shared" si="14"/>
        <v>-2.2579011992297282E-2</v>
      </c>
      <c r="Q109" s="104">
        <f t="shared" si="20"/>
        <v>40193.9</v>
      </c>
      <c r="S109" s="101">
        <f t="shared" si="15"/>
        <v>1.9458492180079919E-6</v>
      </c>
      <c r="T109" s="101">
        <v>1</v>
      </c>
      <c r="U109" s="101">
        <f t="shared" si="16"/>
        <v>1.9458492180079919E-6</v>
      </c>
    </row>
    <row r="110" spans="1:21" s="101" customFormat="1">
      <c r="A110" s="51" t="s">
        <v>126</v>
      </c>
      <c r="B110" s="18" t="s">
        <v>86</v>
      </c>
      <c r="C110" s="29">
        <v>55213.388800000001</v>
      </c>
      <c r="D110" s="29">
        <v>1E-4</v>
      </c>
      <c r="E110" s="101">
        <f t="shared" si="17"/>
        <v>28698.433016933835</v>
      </c>
      <c r="F110" s="101">
        <f t="shared" si="18"/>
        <v>28698.5</v>
      </c>
      <c r="G110" s="101">
        <f t="shared" si="19"/>
        <v>-2.2098025001469068E-2</v>
      </c>
      <c r="I110" s="101">
        <f t="shared" si="21"/>
        <v>-2.2098025001469068E-2</v>
      </c>
      <c r="P110" s="103">
        <f t="shared" si="14"/>
        <v>-2.2589637943274038E-2</v>
      </c>
      <c r="Q110" s="104">
        <f t="shared" si="20"/>
        <v>40194.888800000001</v>
      </c>
      <c r="S110" s="101">
        <f t="shared" si="15"/>
        <v>2.4168328455013655E-7</v>
      </c>
      <c r="T110" s="101">
        <v>1</v>
      </c>
      <c r="U110" s="101">
        <f t="shared" si="16"/>
        <v>2.4168328455013655E-7</v>
      </c>
    </row>
    <row r="111" spans="1:21" s="101" customFormat="1">
      <c r="A111" s="53" t="s">
        <v>132</v>
      </c>
      <c r="B111" s="54" t="s">
        <v>87</v>
      </c>
      <c r="C111" s="53">
        <v>55263.366099999999</v>
      </c>
      <c r="D111" s="13">
        <v>1E-3</v>
      </c>
      <c r="E111" s="101">
        <f t="shared" si="17"/>
        <v>28849.923152038016</v>
      </c>
      <c r="F111" s="101">
        <f t="shared" si="18"/>
        <v>28850</v>
      </c>
      <c r="G111" s="101">
        <f t="shared" si="19"/>
        <v>-2.5352500000735745E-2</v>
      </c>
      <c r="I111" s="101">
        <f t="shared" si="21"/>
        <v>-2.5352500000735745E-2</v>
      </c>
      <c r="P111" s="103">
        <f t="shared" ref="P111:P123" si="22">+D$11+D$12*F111+D$13*F111^2</f>
        <v>-2.3129794518046143E-2</v>
      </c>
      <c r="Q111" s="104">
        <f t="shared" si="20"/>
        <v>40244.866099999999</v>
      </c>
      <c r="S111" s="101">
        <f t="shared" ref="S111:S123" si="23">+(P111-G111)^2</f>
        <v>4.9404196627784162E-6</v>
      </c>
      <c r="T111" s="101">
        <v>0.5</v>
      </c>
      <c r="U111" s="101">
        <f t="shared" ref="U111:U123" si="24">S111*T111</f>
        <v>2.4702098313892081E-6</v>
      </c>
    </row>
    <row r="112" spans="1:21" s="101" customFormat="1">
      <c r="A112" s="52" t="s">
        <v>127</v>
      </c>
      <c r="B112" s="16" t="s">
        <v>87</v>
      </c>
      <c r="C112" s="13">
        <v>55476.813000000002</v>
      </c>
      <c r="D112" s="13">
        <v>8.9999999999999998E-4</v>
      </c>
      <c r="E112" s="101">
        <f t="shared" si="17"/>
        <v>29496.918882471047</v>
      </c>
      <c r="F112" s="101">
        <f t="shared" si="18"/>
        <v>29497</v>
      </c>
      <c r="G112" s="101">
        <f t="shared" si="19"/>
        <v>-2.67610499940929E-2</v>
      </c>
      <c r="I112" s="101">
        <f t="shared" si="21"/>
        <v>-2.67610499940929E-2</v>
      </c>
      <c r="P112" s="103">
        <f t="shared" si="22"/>
        <v>-2.5514869580515187E-2</v>
      </c>
      <c r="Q112" s="104">
        <f t="shared" si="20"/>
        <v>40458.313000000002</v>
      </c>
      <c r="S112" s="101">
        <f t="shared" si="23"/>
        <v>1.5529656231847204E-6</v>
      </c>
      <c r="T112" s="101">
        <v>0.5</v>
      </c>
      <c r="U112" s="101">
        <f t="shared" si="24"/>
        <v>7.7648281159236022E-7</v>
      </c>
    </row>
    <row r="113" spans="1:21" s="101" customFormat="1">
      <c r="A113" s="50" t="s">
        <v>128</v>
      </c>
      <c r="B113" s="46" t="s">
        <v>86</v>
      </c>
      <c r="C113" s="45">
        <v>55483.576639999999</v>
      </c>
      <c r="D113" s="30">
        <v>2.0000000000000001E-4</v>
      </c>
      <c r="E113" s="101">
        <f t="shared" si="17"/>
        <v>29517.420685037327</v>
      </c>
      <c r="F113" s="101">
        <f t="shared" si="18"/>
        <v>29517.5</v>
      </c>
      <c r="G113" s="101">
        <f t="shared" si="19"/>
        <v>-2.6166374998865649E-2</v>
      </c>
      <c r="I113" s="101">
        <f t="shared" si="21"/>
        <v>-2.6166374998865649E-2</v>
      </c>
      <c r="M113" s="105"/>
      <c r="P113" s="103">
        <f t="shared" si="22"/>
        <v>-2.5592513010958468E-2</v>
      </c>
      <c r="Q113" s="104">
        <f t="shared" si="20"/>
        <v>40465.076639999999</v>
      </c>
      <c r="S113" s="101">
        <f t="shared" si="23"/>
        <v>3.2931758116478221E-7</v>
      </c>
      <c r="T113" s="101">
        <v>1</v>
      </c>
      <c r="U113" s="101">
        <f t="shared" si="24"/>
        <v>3.2931758116478221E-7</v>
      </c>
    </row>
    <row r="114" spans="1:21" s="101" customFormat="1">
      <c r="A114" s="50" t="s">
        <v>128</v>
      </c>
      <c r="B114" s="46" t="s">
        <v>86</v>
      </c>
      <c r="C114" s="45">
        <v>55483.576849999998</v>
      </c>
      <c r="D114" s="45">
        <v>2.9999999999999997E-4</v>
      </c>
      <c r="E114" s="101">
        <f t="shared" si="17"/>
        <v>29517.421321584879</v>
      </c>
      <c r="F114" s="101">
        <f t="shared" si="18"/>
        <v>29517.5</v>
      </c>
      <c r="G114" s="101">
        <f t="shared" si="19"/>
        <v>-2.5956375000532717E-2</v>
      </c>
      <c r="I114" s="101">
        <f t="shared" si="21"/>
        <v>-2.5956375000532717E-2</v>
      </c>
      <c r="M114" s="105"/>
      <c r="P114" s="103">
        <f t="shared" si="22"/>
        <v>-2.5592513010958468E-2</v>
      </c>
      <c r="Q114" s="104">
        <f t="shared" si="20"/>
        <v>40465.076849999998</v>
      </c>
      <c r="S114" s="101">
        <f t="shared" si="23"/>
        <v>1.3239554745693088E-7</v>
      </c>
      <c r="T114" s="101">
        <v>1</v>
      </c>
      <c r="U114" s="101">
        <f t="shared" si="24"/>
        <v>1.3239554745693088E-7</v>
      </c>
    </row>
    <row r="115" spans="1:21" s="101" customFormat="1">
      <c r="A115" s="53" t="s">
        <v>133</v>
      </c>
      <c r="B115" s="54" t="s">
        <v>86</v>
      </c>
      <c r="C115" s="53">
        <v>55584.360800000002</v>
      </c>
      <c r="D115" s="43">
        <v>2.0000000000000001E-4</v>
      </c>
      <c r="E115" s="101">
        <f t="shared" si="17"/>
        <v>29822.915499978561</v>
      </c>
      <c r="F115" s="101">
        <f t="shared" si="18"/>
        <v>29823</v>
      </c>
      <c r="G115" s="101">
        <f t="shared" si="19"/>
        <v>-2.7876950000063516E-2</v>
      </c>
      <c r="I115" s="101">
        <f t="shared" si="21"/>
        <v>-2.7876950000063516E-2</v>
      </c>
      <c r="P115" s="103">
        <f t="shared" si="22"/>
        <v>-2.6764677531174591E-2</v>
      </c>
      <c r="Q115" s="104">
        <f t="shared" si="20"/>
        <v>40565.860800000002</v>
      </c>
      <c r="S115" s="101">
        <f t="shared" si="23"/>
        <v>1.2371500450482649E-6</v>
      </c>
      <c r="T115" s="101">
        <v>1</v>
      </c>
      <c r="U115" s="101">
        <f t="shared" si="24"/>
        <v>1.2371500450482649E-6</v>
      </c>
    </row>
    <row r="116" spans="1:21" s="101" customFormat="1">
      <c r="A116" s="50" t="s">
        <v>128</v>
      </c>
      <c r="B116" s="46" t="s">
        <v>86</v>
      </c>
      <c r="C116" s="45">
        <v>55600.36176</v>
      </c>
      <c r="D116" s="45">
        <v>2.9999999999999997E-4</v>
      </c>
      <c r="E116" s="101">
        <f t="shared" si="17"/>
        <v>29871.417271626815</v>
      </c>
      <c r="F116" s="101">
        <f t="shared" si="18"/>
        <v>29871.5</v>
      </c>
      <c r="G116" s="101">
        <f t="shared" si="19"/>
        <v>-2.7292475002468564E-2</v>
      </c>
      <c r="I116" s="101">
        <f t="shared" si="21"/>
        <v>-2.7292475002468564E-2</v>
      </c>
      <c r="M116" s="105"/>
      <c r="P116" s="103">
        <f t="shared" si="22"/>
        <v>-2.6953366893451569E-2</v>
      </c>
      <c r="Q116" s="104">
        <f t="shared" si="20"/>
        <v>40581.86176</v>
      </c>
      <c r="S116" s="101">
        <f t="shared" si="23"/>
        <v>1.1499430960108183E-7</v>
      </c>
      <c r="T116" s="101">
        <v>1</v>
      </c>
      <c r="U116" s="101">
        <f t="shared" si="24"/>
        <v>1.1499430960108183E-7</v>
      </c>
    </row>
    <row r="117" spans="1:21" s="101" customFormat="1">
      <c r="A117" s="50" t="s">
        <v>128</v>
      </c>
      <c r="B117" s="46" t="s">
        <v>86</v>
      </c>
      <c r="C117" s="45">
        <v>55600.362260000002</v>
      </c>
      <c r="D117" s="45">
        <v>2.0000000000000001E-4</v>
      </c>
      <c r="E117" s="101">
        <f t="shared" ref="E117:E123" si="25">+(C117-C$7)/C$8</f>
        <v>29871.418787216251</v>
      </c>
      <c r="F117" s="101">
        <f t="shared" ref="F117:F125" si="26">ROUND(2*E117,0)/2</f>
        <v>29871.5</v>
      </c>
      <c r="G117" s="101">
        <f t="shared" ref="G117:G123" si="27">+C117-(C$7+F117*C$8)</f>
        <v>-2.6792475000547711E-2</v>
      </c>
      <c r="I117" s="101">
        <f t="shared" si="21"/>
        <v>-2.6792475000547711E-2</v>
      </c>
      <c r="M117" s="105"/>
      <c r="P117" s="103">
        <f t="shared" si="22"/>
        <v>-2.6953366893451569E-2</v>
      </c>
      <c r="Q117" s="104">
        <f t="shared" ref="Q117:Q123" si="28">+C117-15018.5</f>
        <v>40581.862260000002</v>
      </c>
      <c r="S117" s="101">
        <f t="shared" si="23"/>
        <v>2.5886201202186611E-8</v>
      </c>
      <c r="T117" s="101">
        <v>1</v>
      </c>
      <c r="U117" s="101">
        <f t="shared" si="24"/>
        <v>2.5886201202186611E-8</v>
      </c>
    </row>
    <row r="118" spans="1:21" s="101" customFormat="1">
      <c r="A118" s="50" t="s">
        <v>128</v>
      </c>
      <c r="B118" s="46" t="s">
        <v>86</v>
      </c>
      <c r="C118" s="45">
        <v>55600.362760000004</v>
      </c>
      <c r="D118" s="45">
        <v>2.0000000000000001E-4</v>
      </c>
      <c r="E118" s="101">
        <f t="shared" si="25"/>
        <v>29871.420302805684</v>
      </c>
      <c r="F118" s="101">
        <f t="shared" si="26"/>
        <v>29871.5</v>
      </c>
      <c r="G118" s="101">
        <f t="shared" si="27"/>
        <v>-2.6292474998626858E-2</v>
      </c>
      <c r="I118" s="101">
        <f t="shared" si="21"/>
        <v>-2.6292474998626858E-2</v>
      </c>
      <c r="M118" s="105"/>
      <c r="P118" s="103">
        <f t="shared" si="22"/>
        <v>-2.6953366893451569E-2</v>
      </c>
      <c r="Q118" s="104">
        <f t="shared" si="28"/>
        <v>40581.862760000004</v>
      </c>
      <c r="S118" s="101">
        <f t="shared" si="23"/>
        <v>4.3677809664499701E-7</v>
      </c>
      <c r="T118" s="101">
        <v>1</v>
      </c>
      <c r="U118" s="101">
        <f t="shared" si="24"/>
        <v>4.3677809664499701E-7</v>
      </c>
    </row>
    <row r="119" spans="1:21" s="101" customFormat="1">
      <c r="A119" s="50" t="s">
        <v>128</v>
      </c>
      <c r="B119" s="46" t="s">
        <v>87</v>
      </c>
      <c r="C119" s="45">
        <v>55622.298920000001</v>
      </c>
      <c r="D119" s="45">
        <v>2.0000000000000001E-4</v>
      </c>
      <c r="E119" s="101">
        <f t="shared" si="25"/>
        <v>29937.912727207698</v>
      </c>
      <c r="F119" s="101">
        <f t="shared" si="26"/>
        <v>29938</v>
      </c>
      <c r="G119" s="101">
        <f t="shared" si="27"/>
        <v>-2.8791699995053932E-2</v>
      </c>
      <c r="I119" s="101">
        <f t="shared" si="21"/>
        <v>-2.8791699995053932E-2</v>
      </c>
      <c r="M119" s="105"/>
      <c r="P119" s="103">
        <f t="shared" si="22"/>
        <v>-2.7213243870066212E-2</v>
      </c>
      <c r="Q119" s="104">
        <f t="shared" si="28"/>
        <v>40603.798920000001</v>
      </c>
      <c r="S119" s="101">
        <f t="shared" si="23"/>
        <v>2.4915237385112502E-6</v>
      </c>
      <c r="T119" s="101">
        <v>1</v>
      </c>
      <c r="U119" s="101">
        <f t="shared" si="24"/>
        <v>2.4915237385112502E-6</v>
      </c>
    </row>
    <row r="120" spans="1:21" s="101" customFormat="1">
      <c r="A120" s="50" t="s">
        <v>128</v>
      </c>
      <c r="B120" s="46" t="s">
        <v>87</v>
      </c>
      <c r="C120" s="45">
        <v>55622.299619999998</v>
      </c>
      <c r="D120" s="45">
        <v>2.0000000000000001E-4</v>
      </c>
      <c r="E120" s="101">
        <f t="shared" si="25"/>
        <v>29937.914849032888</v>
      </c>
      <c r="F120" s="101">
        <f t="shared" si="26"/>
        <v>29938</v>
      </c>
      <c r="G120" s="101">
        <f t="shared" si="27"/>
        <v>-2.8091699998185504E-2</v>
      </c>
      <c r="I120" s="101">
        <f t="shared" si="21"/>
        <v>-2.8091699998185504E-2</v>
      </c>
      <c r="M120" s="105"/>
      <c r="P120" s="103">
        <f t="shared" si="22"/>
        <v>-2.7213243870066212E-2</v>
      </c>
      <c r="Q120" s="104">
        <f t="shared" si="28"/>
        <v>40603.799619999998</v>
      </c>
      <c r="S120" s="101">
        <f t="shared" si="23"/>
        <v>7.7168516903033907E-7</v>
      </c>
      <c r="T120" s="101">
        <v>1</v>
      </c>
      <c r="U120" s="101">
        <f t="shared" si="24"/>
        <v>7.7168516903033907E-7</v>
      </c>
    </row>
    <row r="121" spans="1:21" s="101" customFormat="1">
      <c r="A121" s="50" t="s">
        <v>128</v>
      </c>
      <c r="B121" s="46" t="s">
        <v>87</v>
      </c>
      <c r="C121" s="45">
        <v>55622.29982</v>
      </c>
      <c r="D121" s="45">
        <v>2.0000000000000001E-4</v>
      </c>
      <c r="E121" s="101">
        <f t="shared" si="25"/>
        <v>29937.915455268667</v>
      </c>
      <c r="F121" s="101">
        <f t="shared" si="26"/>
        <v>29938</v>
      </c>
      <c r="G121" s="101">
        <f t="shared" si="27"/>
        <v>-2.7891699995961972E-2</v>
      </c>
      <c r="I121" s="101">
        <f t="shared" si="21"/>
        <v>-2.7891699995961972E-2</v>
      </c>
      <c r="M121" s="105"/>
      <c r="P121" s="103">
        <f t="shared" si="22"/>
        <v>-2.7213243870066212E-2</v>
      </c>
      <c r="Q121" s="104">
        <f t="shared" si="28"/>
        <v>40603.79982</v>
      </c>
      <c r="S121" s="101">
        <f t="shared" si="23"/>
        <v>4.6030271476548333E-7</v>
      </c>
      <c r="T121" s="101">
        <v>1</v>
      </c>
      <c r="U121" s="101">
        <f t="shared" si="24"/>
        <v>4.6030271476548333E-7</v>
      </c>
    </row>
    <row r="122" spans="1:21" s="101" customFormat="1">
      <c r="A122" s="53" t="s">
        <v>134</v>
      </c>
      <c r="B122" s="54" t="s">
        <v>86</v>
      </c>
      <c r="C122" s="53">
        <v>55804.572</v>
      </c>
      <c r="D122" s="25">
        <v>4.0000000000000001E-3</v>
      </c>
      <c r="E122" s="101">
        <f t="shared" si="25"/>
        <v>30490.415033555906</v>
      </c>
      <c r="F122" s="101">
        <f t="shared" si="26"/>
        <v>30490.5</v>
      </c>
      <c r="G122" s="101">
        <f t="shared" si="27"/>
        <v>-2.8030825000314508E-2</v>
      </c>
      <c r="I122" s="101">
        <f t="shared" si="21"/>
        <v>-2.8030825000314508E-2</v>
      </c>
      <c r="M122" s="105"/>
      <c r="P122" s="103">
        <f t="shared" si="22"/>
        <v>-2.9424183701072387E-2</v>
      </c>
      <c r="Q122" s="104">
        <f t="shared" si="28"/>
        <v>40786.072</v>
      </c>
      <c r="S122" s="101">
        <f t="shared" si="23"/>
        <v>1.9414484689776863E-6</v>
      </c>
      <c r="T122" s="101">
        <v>0.2</v>
      </c>
      <c r="U122" s="101">
        <f t="shared" si="24"/>
        <v>3.882896937955373E-7</v>
      </c>
    </row>
    <row r="123" spans="1:21" s="101" customFormat="1">
      <c r="A123" s="53" t="s">
        <v>135</v>
      </c>
      <c r="B123" s="54" t="s">
        <v>86</v>
      </c>
      <c r="C123" s="53">
        <v>55874.841999999997</v>
      </c>
      <c r="D123" s="53">
        <v>2.9999999999999997E-4</v>
      </c>
      <c r="E123" s="101">
        <f t="shared" si="25"/>
        <v>30703.415971857314</v>
      </c>
      <c r="F123" s="101">
        <f t="shared" si="26"/>
        <v>30703.5</v>
      </c>
      <c r="G123" s="101">
        <f t="shared" si="27"/>
        <v>-2.7721275000658352E-2</v>
      </c>
      <c r="I123" s="101">
        <f t="shared" si="21"/>
        <v>-2.7721275000658352E-2</v>
      </c>
      <c r="P123" s="103">
        <f t="shared" si="22"/>
        <v>-3.0301247824519317E-2</v>
      </c>
      <c r="Q123" s="104">
        <f t="shared" si="28"/>
        <v>40856.341999999997</v>
      </c>
      <c r="S123" s="101">
        <f t="shared" si="23"/>
        <v>6.6562597718611242E-6</v>
      </c>
      <c r="T123" s="101">
        <v>1</v>
      </c>
      <c r="U123" s="101">
        <f t="shared" si="24"/>
        <v>6.6562597718611242E-6</v>
      </c>
    </row>
    <row r="124" spans="1:21" s="101" customFormat="1">
      <c r="A124" s="50" t="s">
        <v>249</v>
      </c>
      <c r="B124" s="46" t="s">
        <v>86</v>
      </c>
      <c r="C124" s="45">
        <v>56230.801599999999</v>
      </c>
      <c r="D124" s="45">
        <v>3.0000000000000003E-4</v>
      </c>
      <c r="E124" s="101">
        <f>+(C124-C$7)/C$8</f>
        <v>31782.393185424935</v>
      </c>
      <c r="F124" s="101">
        <f t="shared" si="26"/>
        <v>31782.5</v>
      </c>
      <c r="G124" s="101">
        <f>+C124-(C$7+F124*C$8)</f>
        <v>-3.5238625001511537E-2</v>
      </c>
      <c r="I124" s="101">
        <f>G124</f>
        <v>-3.5238625001511537E-2</v>
      </c>
      <c r="O124" s="101">
        <f ca="1">+C$11+C$12*F124</f>
        <v>-1.7970489754616542E-2</v>
      </c>
      <c r="P124" s="103">
        <f>+D$11+D$12*F124+D$13*F124^2</f>
        <v>-3.495541285211981E-2</v>
      </c>
      <c r="Q124" s="104">
        <f>+C124-15018.5</f>
        <v>41212.301599999999</v>
      </c>
      <c r="S124" s="101">
        <f>+(P124-G124)^2</f>
        <v>8.0209121563081394E-8</v>
      </c>
      <c r="T124" s="101">
        <v>1</v>
      </c>
      <c r="U124" s="101">
        <f>S124*T124</f>
        <v>8.0209121563081394E-8</v>
      </c>
    </row>
    <row r="125" spans="1:21" s="101" customFormat="1">
      <c r="A125" s="50" t="s">
        <v>250</v>
      </c>
      <c r="B125" s="129" t="s">
        <v>86</v>
      </c>
      <c r="C125" s="130">
        <v>56181.483899999999</v>
      </c>
      <c r="D125" s="130">
        <v>1E-4</v>
      </c>
      <c r="E125" s="101">
        <f>+(C125-C$7)/C$8</f>
        <v>31632.902415895012</v>
      </c>
      <c r="F125" s="101">
        <f t="shared" si="26"/>
        <v>31633</v>
      </c>
      <c r="G125" s="101">
        <f>+C125-(C$7+F125*C$8)</f>
        <v>-3.2193450002523605E-2</v>
      </c>
      <c r="I125" s="101">
        <f>G125</f>
        <v>-3.2193450002523605E-2</v>
      </c>
      <c r="O125" s="101">
        <f ca="1">+C$11+C$12*F125</f>
        <v>-1.7878925869041964E-2</v>
      </c>
      <c r="P125" s="103">
        <f>+D$11+D$12*F125+D$13*F125^2</f>
        <v>-3.4289506612177584E-2</v>
      </c>
      <c r="Q125" s="104">
        <f>+C125-15018.5</f>
        <v>41162.983899999999</v>
      </c>
      <c r="S125" s="101">
        <f>+(P125-G125)^2</f>
        <v>4.3934533108741327E-6</v>
      </c>
      <c r="T125" s="101">
        <v>1</v>
      </c>
      <c r="U125" s="101">
        <f>S125*T125</f>
        <v>4.3934533108741327E-6</v>
      </c>
    </row>
    <row r="126" spans="1:21" s="101" customFormat="1">
      <c r="C126" s="100"/>
      <c r="D126" s="100"/>
      <c r="P126" s="103"/>
    </row>
    <row r="127" spans="1:21" s="101" customFormat="1">
      <c r="C127" s="100"/>
      <c r="D127" s="100"/>
      <c r="P127" s="103"/>
    </row>
    <row r="128" spans="1:21" s="101" customFormat="1">
      <c r="C128" s="100"/>
      <c r="D128" s="100"/>
      <c r="P128" s="103"/>
    </row>
    <row r="129" spans="3:16" s="101" customFormat="1">
      <c r="C129" s="100"/>
      <c r="D129" s="100"/>
      <c r="P129" s="103"/>
    </row>
    <row r="130" spans="3:16" s="101" customFormat="1">
      <c r="C130" s="100"/>
      <c r="D130" s="100"/>
      <c r="P130" s="103"/>
    </row>
    <row r="131" spans="3:16" s="101" customFormat="1">
      <c r="C131" s="100"/>
      <c r="D131" s="100"/>
      <c r="P131" s="103"/>
    </row>
    <row r="132" spans="3:16" s="101" customFormat="1">
      <c r="C132" s="100"/>
      <c r="D132" s="100"/>
      <c r="P132" s="103"/>
    </row>
    <row r="133" spans="3:16" s="101" customFormat="1">
      <c r="C133" s="100"/>
      <c r="D133" s="100"/>
      <c r="P133" s="103"/>
    </row>
    <row r="134" spans="3:16" s="101" customFormat="1">
      <c r="C134" s="100"/>
      <c r="D134" s="100"/>
      <c r="P134" s="103"/>
    </row>
    <row r="135" spans="3:16" s="101" customFormat="1">
      <c r="C135" s="100"/>
      <c r="D135" s="100"/>
      <c r="P135" s="103"/>
    </row>
    <row r="136" spans="3:16" s="101" customFormat="1">
      <c r="C136" s="100"/>
      <c r="D136" s="100"/>
      <c r="P136" s="103"/>
    </row>
    <row r="137" spans="3:16">
      <c r="C137" s="26"/>
      <c r="D137" s="26"/>
      <c r="P137" s="37"/>
    </row>
    <row r="138" spans="3:16">
      <c r="C138" s="26"/>
      <c r="D138" s="26"/>
      <c r="P138" s="37"/>
    </row>
    <row r="139" spans="3:16">
      <c r="C139" s="26"/>
      <c r="D139" s="26"/>
      <c r="P139" s="37"/>
    </row>
    <row r="140" spans="3:16">
      <c r="C140" s="26"/>
      <c r="D140" s="26"/>
      <c r="P140" s="37"/>
    </row>
    <row r="141" spans="3:16">
      <c r="C141" s="26"/>
      <c r="D141" s="26"/>
      <c r="P141" s="37"/>
    </row>
    <row r="142" spans="3:16">
      <c r="C142" s="26"/>
      <c r="D142" s="26"/>
      <c r="P142" s="37"/>
    </row>
    <row r="143" spans="3:16">
      <c r="C143" s="26"/>
      <c r="D143" s="26"/>
      <c r="P143" s="37"/>
    </row>
    <row r="144" spans="3:16">
      <c r="C144" s="26"/>
      <c r="D144" s="26"/>
      <c r="P144" s="37"/>
    </row>
    <row r="145" spans="3:16">
      <c r="C145" s="26"/>
      <c r="D145" s="26"/>
      <c r="P145" s="37"/>
    </row>
    <row r="146" spans="3:16">
      <c r="C146" s="26"/>
      <c r="D146" s="26"/>
      <c r="P146" s="37"/>
    </row>
    <row r="147" spans="3:16">
      <c r="C147" s="26"/>
      <c r="D147" s="26"/>
      <c r="P147" s="37"/>
    </row>
    <row r="148" spans="3:16">
      <c r="C148" s="26"/>
      <c r="D148" s="26"/>
      <c r="P148" s="37"/>
    </row>
    <row r="149" spans="3:16">
      <c r="C149" s="26"/>
      <c r="D149" s="26"/>
      <c r="P149" s="37"/>
    </row>
    <row r="150" spans="3:16">
      <c r="C150" s="26"/>
      <c r="D150" s="26"/>
      <c r="P150" s="37"/>
    </row>
    <row r="151" spans="3:16">
      <c r="C151" s="26"/>
      <c r="D151" s="26"/>
      <c r="P151" s="37"/>
    </row>
    <row r="152" spans="3:16">
      <c r="C152" s="26"/>
      <c r="D152" s="26"/>
      <c r="P152" s="37"/>
    </row>
    <row r="153" spans="3:16">
      <c r="C153" s="26"/>
      <c r="D153" s="26"/>
      <c r="P153" s="37"/>
    </row>
    <row r="154" spans="3:16">
      <c r="C154" s="26"/>
      <c r="D154" s="26"/>
      <c r="P154" s="37"/>
    </row>
    <row r="155" spans="3:16">
      <c r="C155" s="26"/>
      <c r="D155" s="26"/>
      <c r="P155" s="37"/>
    </row>
    <row r="156" spans="3:16">
      <c r="C156" s="26"/>
      <c r="D156" s="26"/>
      <c r="P156" s="37"/>
    </row>
    <row r="157" spans="3:16">
      <c r="C157" s="26"/>
      <c r="D157" s="26"/>
      <c r="P157" s="37"/>
    </row>
    <row r="158" spans="3:16">
      <c r="C158" s="26"/>
      <c r="D158" s="26"/>
      <c r="P158" s="37"/>
    </row>
    <row r="159" spans="3:16">
      <c r="C159" s="26"/>
      <c r="D159" s="26"/>
      <c r="P159" s="37"/>
    </row>
    <row r="160" spans="3:16">
      <c r="C160" s="26"/>
      <c r="D160" s="26"/>
      <c r="P160" s="37"/>
    </row>
    <row r="161" spans="3:16">
      <c r="C161" s="26"/>
      <c r="D161" s="26"/>
      <c r="P161" s="37"/>
    </row>
    <row r="162" spans="3:16">
      <c r="C162" s="26"/>
      <c r="D162" s="26"/>
      <c r="P162" s="37"/>
    </row>
    <row r="163" spans="3:16">
      <c r="C163" s="26"/>
      <c r="D163" s="26"/>
      <c r="P163" s="37"/>
    </row>
    <row r="164" spans="3:16">
      <c r="C164" s="26"/>
      <c r="D164" s="26"/>
      <c r="P164" s="37"/>
    </row>
    <row r="165" spans="3:16">
      <c r="C165" s="26"/>
      <c r="D165" s="26"/>
      <c r="P165" s="37"/>
    </row>
    <row r="166" spans="3:16">
      <c r="C166" s="26"/>
      <c r="D166" s="26"/>
      <c r="P166" s="37"/>
    </row>
    <row r="167" spans="3:16">
      <c r="C167" s="26"/>
      <c r="D167" s="26"/>
      <c r="P167" s="37"/>
    </row>
    <row r="168" spans="3:16">
      <c r="C168" s="26"/>
      <c r="D168" s="26"/>
      <c r="P168" s="37"/>
    </row>
    <row r="169" spans="3:16">
      <c r="C169" s="26"/>
      <c r="D169" s="26"/>
      <c r="P169" s="37"/>
    </row>
    <row r="170" spans="3:16">
      <c r="C170" s="26"/>
      <c r="D170" s="26"/>
      <c r="P170" s="37"/>
    </row>
    <row r="171" spans="3:16">
      <c r="C171" s="26"/>
      <c r="D171" s="26"/>
      <c r="P171" s="37"/>
    </row>
    <row r="172" spans="3:16">
      <c r="C172" s="26"/>
      <c r="D172" s="26"/>
      <c r="P172" s="37"/>
    </row>
    <row r="173" spans="3:16">
      <c r="C173" s="26"/>
      <c r="D173" s="26"/>
      <c r="P173" s="37"/>
    </row>
    <row r="174" spans="3:16">
      <c r="C174" s="26"/>
      <c r="D174" s="26"/>
      <c r="P174" s="37"/>
    </row>
    <row r="175" spans="3:16">
      <c r="C175" s="26"/>
      <c r="D175" s="26"/>
      <c r="P175" s="37"/>
    </row>
    <row r="176" spans="3:16">
      <c r="C176" s="26"/>
      <c r="D176" s="26"/>
      <c r="P176" s="37"/>
    </row>
    <row r="177" spans="3:16">
      <c r="C177" s="26"/>
      <c r="D177" s="26"/>
      <c r="P177" s="37"/>
    </row>
    <row r="178" spans="3:16">
      <c r="C178" s="26"/>
      <c r="D178" s="26"/>
      <c r="P178" s="37"/>
    </row>
    <row r="179" spans="3:16">
      <c r="C179" s="26"/>
      <c r="D179" s="26"/>
      <c r="P179" s="37"/>
    </row>
    <row r="180" spans="3:16">
      <c r="C180" s="26"/>
      <c r="D180" s="26"/>
      <c r="P180" s="37"/>
    </row>
    <row r="181" spans="3:16">
      <c r="C181" s="26"/>
      <c r="D181" s="26"/>
      <c r="P181" s="37"/>
    </row>
    <row r="182" spans="3:16">
      <c r="C182" s="26"/>
      <c r="D182" s="26"/>
      <c r="P182" s="37"/>
    </row>
    <row r="183" spans="3:16">
      <c r="C183" s="26"/>
      <c r="D183" s="26"/>
      <c r="P183" s="37"/>
    </row>
    <row r="184" spans="3:16">
      <c r="C184" s="26"/>
      <c r="D184" s="26"/>
      <c r="P184" s="37"/>
    </row>
    <row r="185" spans="3:16">
      <c r="C185" s="26"/>
      <c r="D185" s="26"/>
      <c r="P185" s="37"/>
    </row>
    <row r="186" spans="3:16">
      <c r="C186" s="26"/>
      <c r="D186" s="26"/>
      <c r="P186" s="37"/>
    </row>
    <row r="187" spans="3:16">
      <c r="C187" s="26"/>
      <c r="D187" s="26"/>
      <c r="P187" s="37"/>
    </row>
    <row r="188" spans="3:16">
      <c r="C188" s="26"/>
      <c r="D188" s="26"/>
      <c r="P188" s="37"/>
    </row>
    <row r="189" spans="3:16">
      <c r="C189" s="26"/>
      <c r="D189" s="26"/>
      <c r="P189" s="37"/>
    </row>
    <row r="190" spans="3:16">
      <c r="C190" s="26"/>
      <c r="D190" s="26"/>
      <c r="P190" s="37"/>
    </row>
    <row r="191" spans="3:16">
      <c r="C191" s="26"/>
      <c r="D191" s="26"/>
      <c r="P191" s="37"/>
    </row>
    <row r="192" spans="3:16">
      <c r="C192" s="26"/>
      <c r="D192" s="26"/>
      <c r="P192" s="37"/>
    </row>
    <row r="193" spans="3:16">
      <c r="C193" s="26"/>
      <c r="D193" s="26"/>
      <c r="P193" s="37"/>
    </row>
    <row r="194" spans="3:16">
      <c r="C194" s="26"/>
      <c r="D194" s="26"/>
      <c r="P194" s="37"/>
    </row>
    <row r="195" spans="3:16">
      <c r="C195" s="26"/>
      <c r="D195" s="26"/>
      <c r="P195" s="37"/>
    </row>
    <row r="196" spans="3:16">
      <c r="C196" s="26"/>
      <c r="D196" s="26"/>
      <c r="P196" s="37"/>
    </row>
    <row r="197" spans="3:16">
      <c r="C197" s="26"/>
      <c r="D197" s="26"/>
      <c r="P197" s="37"/>
    </row>
    <row r="198" spans="3:16">
      <c r="C198" s="26"/>
      <c r="D198" s="26"/>
      <c r="P198" s="37"/>
    </row>
    <row r="199" spans="3:16">
      <c r="C199" s="26"/>
      <c r="D199" s="26"/>
      <c r="P199" s="37"/>
    </row>
    <row r="200" spans="3:16">
      <c r="C200" s="26"/>
      <c r="D200" s="26"/>
      <c r="P200" s="37"/>
    </row>
    <row r="201" spans="3:16">
      <c r="C201" s="26"/>
      <c r="D201" s="26"/>
      <c r="P201" s="37"/>
    </row>
    <row r="202" spans="3:16">
      <c r="C202" s="26"/>
      <c r="D202" s="26"/>
      <c r="P202" s="37"/>
    </row>
    <row r="203" spans="3:16">
      <c r="C203" s="26"/>
      <c r="D203" s="26"/>
      <c r="P203" s="37"/>
    </row>
    <row r="204" spans="3:16">
      <c r="C204" s="26"/>
      <c r="D204" s="26"/>
      <c r="P204" s="37"/>
    </row>
    <row r="205" spans="3:16">
      <c r="C205" s="26"/>
      <c r="D205" s="26"/>
      <c r="P205" s="37"/>
    </row>
    <row r="206" spans="3:16">
      <c r="C206" s="26"/>
      <c r="D206" s="26"/>
      <c r="P206" s="37"/>
    </row>
    <row r="207" spans="3:16">
      <c r="C207" s="26"/>
      <c r="D207" s="26"/>
      <c r="P207" s="37"/>
    </row>
    <row r="208" spans="3:16">
      <c r="C208" s="26"/>
      <c r="D208" s="26"/>
      <c r="P208" s="37"/>
    </row>
    <row r="209" spans="3:16">
      <c r="C209" s="26"/>
      <c r="D209" s="26"/>
      <c r="P209" s="37"/>
    </row>
    <row r="210" spans="3:16">
      <c r="C210" s="26"/>
      <c r="D210" s="26"/>
      <c r="P210" s="37"/>
    </row>
    <row r="211" spans="3:16">
      <c r="C211" s="26"/>
      <c r="D211" s="26"/>
      <c r="P211" s="37"/>
    </row>
    <row r="212" spans="3:16">
      <c r="C212" s="26"/>
      <c r="D212" s="26"/>
      <c r="P212" s="37"/>
    </row>
    <row r="213" spans="3:16">
      <c r="C213" s="26"/>
      <c r="D213" s="26"/>
      <c r="P213" s="37"/>
    </row>
    <row r="214" spans="3:16">
      <c r="C214" s="26"/>
      <c r="D214" s="26"/>
      <c r="P214" s="37"/>
    </row>
    <row r="215" spans="3:16">
      <c r="C215" s="26"/>
      <c r="D215" s="26"/>
      <c r="P215" s="37"/>
    </row>
    <row r="216" spans="3:16">
      <c r="C216" s="26"/>
      <c r="D216" s="26"/>
      <c r="P216" s="37"/>
    </row>
    <row r="217" spans="3:16">
      <c r="C217" s="26"/>
      <c r="D217" s="26"/>
      <c r="P217" s="37"/>
    </row>
    <row r="218" spans="3:16">
      <c r="C218" s="26"/>
      <c r="D218" s="26"/>
      <c r="P218" s="37"/>
    </row>
    <row r="219" spans="3:16">
      <c r="C219" s="26"/>
      <c r="D219" s="26"/>
      <c r="P219" s="37"/>
    </row>
    <row r="220" spans="3:16">
      <c r="C220" s="26"/>
      <c r="D220" s="26"/>
      <c r="P220" s="37"/>
    </row>
    <row r="221" spans="3:16">
      <c r="C221" s="26"/>
      <c r="D221" s="26"/>
      <c r="P221" s="37"/>
    </row>
    <row r="222" spans="3:16">
      <c r="C222" s="26"/>
      <c r="D222" s="26"/>
      <c r="P222" s="37"/>
    </row>
    <row r="223" spans="3:16">
      <c r="C223" s="26"/>
      <c r="D223" s="26"/>
      <c r="P223" s="37"/>
    </row>
    <row r="224" spans="3:16">
      <c r="C224" s="26"/>
      <c r="D224" s="26"/>
      <c r="P224" s="37"/>
    </row>
    <row r="225" spans="3:16">
      <c r="C225" s="26"/>
      <c r="D225" s="26"/>
      <c r="P225" s="37"/>
    </row>
    <row r="226" spans="3:16">
      <c r="C226" s="26"/>
      <c r="D226" s="26"/>
      <c r="P226" s="37"/>
    </row>
    <row r="227" spans="3:16">
      <c r="C227" s="26"/>
      <c r="D227" s="26"/>
      <c r="P227" s="37"/>
    </row>
    <row r="228" spans="3:16">
      <c r="C228" s="26"/>
      <c r="D228" s="26"/>
      <c r="P228" s="37"/>
    </row>
    <row r="229" spans="3:16">
      <c r="C229" s="26"/>
      <c r="D229" s="26"/>
      <c r="P229" s="37"/>
    </row>
    <row r="230" spans="3:16">
      <c r="C230" s="26"/>
      <c r="D230" s="26"/>
      <c r="P230" s="37"/>
    </row>
    <row r="231" spans="3:16">
      <c r="C231" s="26"/>
      <c r="D231" s="26"/>
      <c r="P231" s="37"/>
    </row>
    <row r="232" spans="3:16">
      <c r="C232" s="26"/>
      <c r="D232" s="26"/>
      <c r="P232" s="37"/>
    </row>
    <row r="233" spans="3:16">
      <c r="C233" s="26"/>
      <c r="D233" s="26"/>
      <c r="P233" s="37"/>
    </row>
    <row r="234" spans="3:16">
      <c r="C234" s="26"/>
      <c r="D234" s="26"/>
      <c r="P234" s="37"/>
    </row>
    <row r="235" spans="3:16">
      <c r="C235" s="26"/>
      <c r="D235" s="26"/>
      <c r="P235" s="37"/>
    </row>
    <row r="236" spans="3:16">
      <c r="C236" s="26"/>
      <c r="D236" s="26"/>
      <c r="P236" s="37"/>
    </row>
    <row r="237" spans="3:16">
      <c r="C237" s="26"/>
      <c r="D237" s="26"/>
      <c r="P237" s="37"/>
    </row>
    <row r="238" spans="3:16">
      <c r="C238" s="26"/>
      <c r="D238" s="26"/>
      <c r="P238" s="37"/>
    </row>
    <row r="239" spans="3:16">
      <c r="C239" s="26"/>
      <c r="D239" s="26"/>
      <c r="P239" s="37"/>
    </row>
    <row r="240" spans="3:16">
      <c r="C240" s="26"/>
      <c r="D240" s="26"/>
      <c r="P240" s="37"/>
    </row>
    <row r="241" spans="3:16">
      <c r="C241" s="26"/>
      <c r="D241" s="26"/>
      <c r="P241" s="37"/>
    </row>
    <row r="242" spans="3:16">
      <c r="C242" s="26"/>
      <c r="D242" s="26"/>
      <c r="P242" s="37"/>
    </row>
    <row r="243" spans="3:16">
      <c r="C243" s="26"/>
      <c r="D243" s="26"/>
      <c r="P243" s="37"/>
    </row>
    <row r="244" spans="3:16">
      <c r="C244" s="26"/>
      <c r="D244" s="26"/>
      <c r="P244" s="37"/>
    </row>
    <row r="245" spans="3:16">
      <c r="C245" s="26"/>
      <c r="D245" s="26"/>
      <c r="P245" s="37"/>
    </row>
    <row r="246" spans="3:16">
      <c r="C246" s="26"/>
      <c r="D246" s="26"/>
      <c r="P246" s="37"/>
    </row>
    <row r="247" spans="3:16">
      <c r="C247" s="26"/>
      <c r="D247" s="26"/>
      <c r="P247" s="37"/>
    </row>
    <row r="248" spans="3:16">
      <c r="C248" s="26"/>
      <c r="D248" s="26"/>
      <c r="P248" s="37"/>
    </row>
    <row r="249" spans="3:16">
      <c r="C249" s="26"/>
      <c r="D249" s="26"/>
      <c r="P249" s="37"/>
    </row>
    <row r="250" spans="3:16">
      <c r="C250" s="26"/>
      <c r="D250" s="26"/>
      <c r="P250" s="37"/>
    </row>
    <row r="251" spans="3:16">
      <c r="C251" s="26"/>
      <c r="D251" s="26"/>
      <c r="P251" s="37"/>
    </row>
    <row r="252" spans="3:16">
      <c r="C252" s="26"/>
      <c r="D252" s="26"/>
      <c r="P252" s="37"/>
    </row>
    <row r="253" spans="3:16">
      <c r="C253" s="26"/>
      <c r="D253" s="26"/>
      <c r="P253" s="37"/>
    </row>
    <row r="254" spans="3:16">
      <c r="C254" s="26"/>
      <c r="D254" s="26"/>
      <c r="P254" s="37"/>
    </row>
    <row r="255" spans="3:16">
      <c r="C255" s="26"/>
      <c r="D255" s="26"/>
      <c r="P255" s="37"/>
    </row>
    <row r="256" spans="3:16">
      <c r="C256" s="26"/>
      <c r="D256" s="26"/>
      <c r="P256" s="37"/>
    </row>
    <row r="257" spans="3:16">
      <c r="C257" s="26"/>
      <c r="D257" s="26"/>
      <c r="P257" s="37"/>
    </row>
    <row r="258" spans="3:16">
      <c r="C258" s="26"/>
      <c r="D258" s="26"/>
      <c r="P258" s="37"/>
    </row>
    <row r="259" spans="3:16">
      <c r="C259" s="26"/>
      <c r="D259" s="26"/>
      <c r="P259" s="37"/>
    </row>
    <row r="260" spans="3:16">
      <c r="C260" s="26"/>
      <c r="D260" s="26"/>
      <c r="P260" s="37"/>
    </row>
    <row r="261" spans="3:16">
      <c r="C261" s="26"/>
      <c r="D261" s="26"/>
      <c r="P261" s="37"/>
    </row>
    <row r="262" spans="3:16">
      <c r="C262" s="26"/>
      <c r="D262" s="26"/>
      <c r="P262" s="37"/>
    </row>
    <row r="263" spans="3:16">
      <c r="C263" s="26"/>
      <c r="D263" s="26"/>
      <c r="P263" s="37"/>
    </row>
    <row r="264" spans="3:16">
      <c r="C264" s="26"/>
      <c r="D264" s="26"/>
      <c r="P264" s="37"/>
    </row>
    <row r="265" spans="3:16">
      <c r="C265" s="26"/>
      <c r="D265" s="26"/>
      <c r="P265" s="37"/>
    </row>
    <row r="266" spans="3:16">
      <c r="C266" s="26"/>
      <c r="D266" s="26"/>
      <c r="P266" s="37"/>
    </row>
    <row r="267" spans="3:16">
      <c r="C267" s="26"/>
      <c r="D267" s="26"/>
      <c r="P267" s="37"/>
    </row>
    <row r="268" spans="3:16">
      <c r="C268" s="26"/>
      <c r="D268" s="26"/>
      <c r="P268" s="37"/>
    </row>
    <row r="269" spans="3:16">
      <c r="C269" s="26"/>
      <c r="D269" s="26"/>
      <c r="P269" s="37"/>
    </row>
    <row r="270" spans="3:16">
      <c r="P270" s="37"/>
    </row>
    <row r="271" spans="3:16">
      <c r="P271" s="37"/>
    </row>
    <row r="272" spans="3:16">
      <c r="P272" s="37"/>
    </row>
    <row r="273" spans="16:16">
      <c r="P273" s="37"/>
    </row>
    <row r="274" spans="16:16">
      <c r="P274" s="37"/>
    </row>
    <row r="275" spans="16:16">
      <c r="P275" s="37"/>
    </row>
    <row r="276" spans="16:16">
      <c r="P276" s="37"/>
    </row>
    <row r="277" spans="16:16">
      <c r="P277" s="37"/>
    </row>
    <row r="278" spans="16:16">
      <c r="P278" s="37"/>
    </row>
    <row r="279" spans="16:16">
      <c r="P279" s="37"/>
    </row>
    <row r="280" spans="16:16">
      <c r="P280" s="37"/>
    </row>
    <row r="281" spans="16:16">
      <c r="P281" s="37"/>
    </row>
    <row r="282" spans="16:16">
      <c r="P282" s="37"/>
    </row>
    <row r="283" spans="16:16">
      <c r="P283" s="37"/>
    </row>
    <row r="284" spans="16:16">
      <c r="P284" s="37"/>
    </row>
    <row r="285" spans="16:16">
      <c r="P285" s="37"/>
    </row>
    <row r="286" spans="16:16">
      <c r="P286" s="37"/>
    </row>
    <row r="287" spans="16:16">
      <c r="P287" s="37"/>
    </row>
    <row r="288" spans="16:16">
      <c r="P288" s="37"/>
    </row>
    <row r="289" spans="16:16">
      <c r="P289" s="37"/>
    </row>
    <row r="290" spans="16:16">
      <c r="P290" s="37"/>
    </row>
    <row r="291" spans="16:16">
      <c r="P291" s="37"/>
    </row>
    <row r="292" spans="16:16">
      <c r="P292" s="37"/>
    </row>
    <row r="293" spans="16:16">
      <c r="P293" s="37"/>
    </row>
    <row r="294" spans="16:16">
      <c r="P294" s="37"/>
    </row>
    <row r="295" spans="16:16">
      <c r="P295" s="37"/>
    </row>
    <row r="296" spans="16:16">
      <c r="P296" s="37"/>
    </row>
    <row r="297" spans="16:16">
      <c r="P297" s="37"/>
    </row>
    <row r="298" spans="16:16">
      <c r="P298" s="37"/>
    </row>
    <row r="299" spans="16:16">
      <c r="P299" s="37"/>
    </row>
    <row r="300" spans="16:16">
      <c r="P300" s="37"/>
    </row>
    <row r="301" spans="16:16">
      <c r="P301" s="37"/>
    </row>
    <row r="302" spans="16:16">
      <c r="P302" s="37"/>
    </row>
    <row r="303" spans="16:16">
      <c r="P303" s="37"/>
    </row>
    <row r="304" spans="16:16">
      <c r="P304" s="37"/>
    </row>
    <row r="305" spans="16:16">
      <c r="P305" s="37"/>
    </row>
    <row r="306" spans="16:16">
      <c r="P306" s="37"/>
    </row>
    <row r="307" spans="16:16">
      <c r="P307" s="37"/>
    </row>
    <row r="308" spans="16:16">
      <c r="P308" s="37"/>
    </row>
    <row r="309" spans="16:16">
      <c r="P309" s="37"/>
    </row>
    <row r="310" spans="16:16">
      <c r="P310" s="37"/>
    </row>
    <row r="311" spans="16:16">
      <c r="P311" s="37"/>
    </row>
    <row r="312" spans="16:16">
      <c r="P312" s="37"/>
    </row>
  </sheetData>
  <sheetProtection sheet="1"/>
  <phoneticPr fontId="2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10"/>
  <sheetViews>
    <sheetView topLeftCell="A89" workbookViewId="0">
      <selection activeCell="A112" sqref="A112:D136"/>
    </sheetView>
  </sheetViews>
  <sheetFormatPr defaultRowHeight="12.75"/>
  <cols>
    <col min="1" max="1" width="19.7109375" style="26" customWidth="1"/>
    <col min="2" max="2" width="4.42578125" style="24" customWidth="1"/>
    <col min="3" max="3" width="12.7109375" style="26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6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133" t="s">
        <v>259</v>
      </c>
      <c r="I1" s="134" t="s">
        <v>163</v>
      </c>
      <c r="J1" s="135" t="s">
        <v>260</v>
      </c>
    </row>
    <row r="2" spans="1:16">
      <c r="I2" s="136" t="s">
        <v>174</v>
      </c>
      <c r="J2" s="137" t="s">
        <v>261</v>
      </c>
    </row>
    <row r="3" spans="1:16">
      <c r="A3" s="138" t="s">
        <v>262</v>
      </c>
      <c r="I3" s="136" t="s">
        <v>178</v>
      </c>
      <c r="J3" s="137" t="s">
        <v>263</v>
      </c>
    </row>
    <row r="4" spans="1:16">
      <c r="I4" s="136" t="s">
        <v>191</v>
      </c>
      <c r="J4" s="137" t="s">
        <v>263</v>
      </c>
    </row>
    <row r="5" spans="1:16" ht="13.5" thickBot="1">
      <c r="I5" s="139" t="s">
        <v>214</v>
      </c>
      <c r="J5" s="140" t="s">
        <v>264</v>
      </c>
    </row>
    <row r="10" spans="1:16" ht="13.5" thickBot="1"/>
    <row r="11" spans="1:16" ht="12.75" customHeight="1" thickBot="1">
      <c r="A11" s="26" t="str">
        <f t="shared" ref="A11:A42" si="0">P11</f>
        <v> JRAC 76.90 </v>
      </c>
      <c r="B11" s="5" t="str">
        <f t="shared" ref="B11:B42" si="1">IF(H11=INT(H11),"I","II")</f>
        <v>I</v>
      </c>
      <c r="C11" s="26">
        <f t="shared" ref="C11:C42" si="2">1*G11</f>
        <v>44520.700599999996</v>
      </c>
      <c r="D11" s="24" t="str">
        <f t="shared" ref="D11:D42" si="3">VLOOKUP(F11,I$1:J$5,2,FALSE)</f>
        <v>vis</v>
      </c>
      <c r="E11" s="141">
        <f>VLOOKUP(C11,'Active 1'!C$21:E$968,3,FALSE)</f>
        <v>-119.00389702466701</v>
      </c>
      <c r="F11" s="5" t="s">
        <v>214</v>
      </c>
      <c r="G11" s="24" t="str">
        <f t="shared" ref="G11:G42" si="4">MID(I11,3,LEN(I11)-3)</f>
        <v>44520.7006</v>
      </c>
      <c r="H11" s="26">
        <f t="shared" ref="H11:H42" si="5">1*K11</f>
        <v>-24187</v>
      </c>
      <c r="I11" s="142" t="s">
        <v>266</v>
      </c>
      <c r="J11" s="143" t="s">
        <v>267</v>
      </c>
      <c r="K11" s="142">
        <v>-24187</v>
      </c>
      <c r="L11" s="142" t="s">
        <v>268</v>
      </c>
      <c r="M11" s="143" t="s">
        <v>269</v>
      </c>
      <c r="N11" s="143" t="s">
        <v>270</v>
      </c>
      <c r="O11" s="144" t="s">
        <v>271</v>
      </c>
      <c r="P11" s="144" t="s">
        <v>272</v>
      </c>
    </row>
    <row r="12" spans="1:16" ht="12.75" customHeight="1" thickBot="1">
      <c r="A12" s="26" t="str">
        <f t="shared" si="0"/>
        <v> JRAC 76.90 </v>
      </c>
      <c r="B12" s="5" t="str">
        <f t="shared" si="1"/>
        <v>II</v>
      </c>
      <c r="C12" s="26">
        <f t="shared" si="2"/>
        <v>44520.865299999998</v>
      </c>
      <c r="D12" s="24" t="str">
        <f t="shared" si="3"/>
        <v>vis</v>
      </c>
      <c r="E12" s="141">
        <f>VLOOKUP(C12,'Active 1'!C$21:E$968,3,FALSE)</f>
        <v>-118.50466009936176</v>
      </c>
      <c r="F12" s="5" t="s">
        <v>214</v>
      </c>
      <c r="G12" s="24" t="str">
        <f t="shared" si="4"/>
        <v>44520.8653</v>
      </c>
      <c r="H12" s="26">
        <f t="shared" si="5"/>
        <v>-24186.5</v>
      </c>
      <c r="I12" s="142" t="s">
        <v>273</v>
      </c>
      <c r="J12" s="143" t="s">
        <v>274</v>
      </c>
      <c r="K12" s="142">
        <v>-24186.5</v>
      </c>
      <c r="L12" s="142" t="s">
        <v>275</v>
      </c>
      <c r="M12" s="143" t="s">
        <v>269</v>
      </c>
      <c r="N12" s="143" t="s">
        <v>270</v>
      </c>
      <c r="O12" s="144" t="s">
        <v>271</v>
      </c>
      <c r="P12" s="144" t="s">
        <v>272</v>
      </c>
    </row>
    <row r="13" spans="1:16" ht="12.75" customHeight="1" thickBot="1">
      <c r="A13" s="26" t="str">
        <f t="shared" si="0"/>
        <v> JRAC 76.90 </v>
      </c>
      <c r="B13" s="5" t="str">
        <f t="shared" si="1"/>
        <v>II</v>
      </c>
      <c r="C13" s="26">
        <f t="shared" si="2"/>
        <v>44556.825700000001</v>
      </c>
      <c r="D13" s="24" t="str">
        <f t="shared" si="3"/>
        <v>vis</v>
      </c>
      <c r="E13" s="141">
        <f>VLOOKUP(C13,'Active 1'!C$21:E$968,3,FALSE)</f>
        <v>-9.5018700045195033</v>
      </c>
      <c r="F13" s="5" t="s">
        <v>214</v>
      </c>
      <c r="G13" s="24" t="str">
        <f t="shared" si="4"/>
        <v>44556.8257</v>
      </c>
      <c r="H13" s="26">
        <f t="shared" si="5"/>
        <v>-24077.5</v>
      </c>
      <c r="I13" s="142" t="s">
        <v>276</v>
      </c>
      <c r="J13" s="143" t="s">
        <v>277</v>
      </c>
      <c r="K13" s="142">
        <v>-24077.5</v>
      </c>
      <c r="L13" s="142" t="s">
        <v>278</v>
      </c>
      <c r="M13" s="143" t="s">
        <v>269</v>
      </c>
      <c r="N13" s="143" t="s">
        <v>270</v>
      </c>
      <c r="O13" s="144" t="s">
        <v>271</v>
      </c>
      <c r="P13" s="144" t="s">
        <v>272</v>
      </c>
    </row>
    <row r="14" spans="1:16" ht="12.75" customHeight="1" thickBot="1">
      <c r="A14" s="26" t="str">
        <f t="shared" si="0"/>
        <v> JRAC 76.90 </v>
      </c>
      <c r="B14" s="5" t="str">
        <f t="shared" si="1"/>
        <v>II</v>
      </c>
      <c r="C14" s="26">
        <f t="shared" si="2"/>
        <v>44558.805699999997</v>
      </c>
      <c r="D14" s="24" t="str">
        <f t="shared" si="3"/>
        <v>vis</v>
      </c>
      <c r="E14" s="141">
        <f>VLOOKUP(C14,'Active 1'!C$21:E$968,3,FALSE)</f>
        <v>-3.5001146183913705</v>
      </c>
      <c r="F14" s="5" t="s">
        <v>214</v>
      </c>
      <c r="G14" s="24" t="str">
        <f t="shared" si="4"/>
        <v>44558.8057</v>
      </c>
      <c r="H14" s="26">
        <f t="shared" si="5"/>
        <v>-24071.5</v>
      </c>
      <c r="I14" s="142" t="s">
        <v>279</v>
      </c>
      <c r="J14" s="143" t="s">
        <v>280</v>
      </c>
      <c r="K14" s="142">
        <v>-24071.5</v>
      </c>
      <c r="L14" s="142" t="s">
        <v>281</v>
      </c>
      <c r="M14" s="143" t="s">
        <v>269</v>
      </c>
      <c r="N14" s="143" t="s">
        <v>270</v>
      </c>
      <c r="O14" s="144" t="s">
        <v>271</v>
      </c>
      <c r="P14" s="144" t="s">
        <v>272</v>
      </c>
    </row>
    <row r="15" spans="1:16" ht="12.75" customHeight="1" thickBot="1">
      <c r="A15" s="26" t="str">
        <f t="shared" si="0"/>
        <v>IBVS 2497 </v>
      </c>
      <c r="B15" s="5" t="str">
        <f t="shared" si="1"/>
        <v>II</v>
      </c>
      <c r="C15" s="26">
        <f t="shared" si="2"/>
        <v>45732.607600000003</v>
      </c>
      <c r="D15" s="24" t="str">
        <f t="shared" si="3"/>
        <v>vis</v>
      </c>
      <c r="E15" s="141">
        <f>VLOOKUP(C15,'Active 1'!C$21:E$968,3,FALSE)</f>
        <v>3554.5159841629052</v>
      </c>
      <c r="F15" s="5" t="s">
        <v>214</v>
      </c>
      <c r="G15" s="24" t="str">
        <f t="shared" si="4"/>
        <v>45732.6076</v>
      </c>
      <c r="H15" s="26">
        <f t="shared" si="5"/>
        <v>-20513.5</v>
      </c>
      <c r="I15" s="142" t="s">
        <v>285</v>
      </c>
      <c r="J15" s="143" t="s">
        <v>286</v>
      </c>
      <c r="K15" s="142">
        <v>-20513.5</v>
      </c>
      <c r="L15" s="142" t="s">
        <v>287</v>
      </c>
      <c r="M15" s="143" t="s">
        <v>269</v>
      </c>
      <c r="N15" s="143" t="s">
        <v>270</v>
      </c>
      <c r="O15" s="144" t="s">
        <v>288</v>
      </c>
      <c r="P15" s="145" t="s">
        <v>289</v>
      </c>
    </row>
    <row r="16" spans="1:16" ht="12.75" customHeight="1" thickBot="1">
      <c r="A16" s="26" t="str">
        <f t="shared" si="0"/>
        <v>IBVS 2497 </v>
      </c>
      <c r="B16" s="5" t="str">
        <f t="shared" si="1"/>
        <v>II</v>
      </c>
      <c r="C16" s="26">
        <f t="shared" si="2"/>
        <v>45738.546300000002</v>
      </c>
      <c r="D16" s="24" t="str">
        <f t="shared" si="3"/>
        <v>vis</v>
      </c>
      <c r="E16" s="141">
        <f>VLOOKUP(C16,'Active 1'!C$21:E$968,3,FALSE)</f>
        <v>3572.5173097748575</v>
      </c>
      <c r="F16" s="5" t="s">
        <v>214</v>
      </c>
      <c r="G16" s="24" t="str">
        <f t="shared" si="4"/>
        <v>45738.5463</v>
      </c>
      <c r="H16" s="26">
        <f t="shared" si="5"/>
        <v>-20495.5</v>
      </c>
      <c r="I16" s="142" t="s">
        <v>290</v>
      </c>
      <c r="J16" s="143" t="s">
        <v>291</v>
      </c>
      <c r="K16" s="142">
        <v>-20495.5</v>
      </c>
      <c r="L16" s="142" t="s">
        <v>292</v>
      </c>
      <c r="M16" s="143" t="s">
        <v>269</v>
      </c>
      <c r="N16" s="143" t="s">
        <v>270</v>
      </c>
      <c r="O16" s="144" t="s">
        <v>288</v>
      </c>
      <c r="P16" s="145" t="s">
        <v>289</v>
      </c>
    </row>
    <row r="17" spans="1:16" ht="12.75" customHeight="1" thickBot="1">
      <c r="A17" s="26" t="str">
        <f t="shared" si="0"/>
        <v>IBVS 2497 </v>
      </c>
      <c r="B17" s="5" t="str">
        <f t="shared" si="1"/>
        <v>I</v>
      </c>
      <c r="C17" s="26">
        <f t="shared" si="2"/>
        <v>45745.640200000002</v>
      </c>
      <c r="D17" s="24" t="str">
        <f t="shared" si="3"/>
        <v>vis</v>
      </c>
      <c r="E17" s="141">
        <f>VLOOKUP(C17,'Active 1'!C$21:E$968,3,FALSE)</f>
        <v>3594.0202655999792</v>
      </c>
      <c r="F17" s="5" t="s">
        <v>214</v>
      </c>
      <c r="G17" s="24" t="str">
        <f t="shared" si="4"/>
        <v>45745.6402</v>
      </c>
      <c r="H17" s="26">
        <f t="shared" si="5"/>
        <v>-20474</v>
      </c>
      <c r="I17" s="142" t="s">
        <v>293</v>
      </c>
      <c r="J17" s="143" t="s">
        <v>294</v>
      </c>
      <c r="K17" s="142">
        <v>-20474</v>
      </c>
      <c r="L17" s="142" t="s">
        <v>295</v>
      </c>
      <c r="M17" s="143" t="s">
        <v>269</v>
      </c>
      <c r="N17" s="143" t="s">
        <v>270</v>
      </c>
      <c r="O17" s="144" t="s">
        <v>288</v>
      </c>
      <c r="P17" s="145" t="s">
        <v>289</v>
      </c>
    </row>
    <row r="18" spans="1:16" ht="12.75" customHeight="1" thickBot="1">
      <c r="A18" s="26" t="str">
        <f t="shared" si="0"/>
        <v>IBVS 2497 </v>
      </c>
      <c r="B18" s="5" t="str">
        <f t="shared" si="1"/>
        <v>I</v>
      </c>
      <c r="C18" s="26">
        <f t="shared" si="2"/>
        <v>45752.567600000002</v>
      </c>
      <c r="D18" s="24" t="str">
        <f t="shared" si="3"/>
        <v>vis</v>
      </c>
      <c r="E18" s="141">
        <f>VLOOKUP(C18,'Active 1'!C$21:E$968,3,FALSE)</f>
        <v>3615.0185283585411</v>
      </c>
      <c r="F18" s="5" t="s">
        <v>214</v>
      </c>
      <c r="G18" s="24" t="str">
        <f t="shared" si="4"/>
        <v>45752.5676</v>
      </c>
      <c r="H18" s="26">
        <f t="shared" si="5"/>
        <v>-20453</v>
      </c>
      <c r="I18" s="142" t="s">
        <v>296</v>
      </c>
      <c r="J18" s="143" t="s">
        <v>297</v>
      </c>
      <c r="K18" s="142">
        <v>-20453</v>
      </c>
      <c r="L18" s="142" t="s">
        <v>298</v>
      </c>
      <c r="M18" s="143" t="s">
        <v>269</v>
      </c>
      <c r="N18" s="143" t="s">
        <v>270</v>
      </c>
      <c r="O18" s="144" t="s">
        <v>288</v>
      </c>
      <c r="P18" s="145" t="s">
        <v>289</v>
      </c>
    </row>
    <row r="19" spans="1:16" ht="12.75" customHeight="1" thickBot="1">
      <c r="A19" s="26" t="str">
        <f t="shared" si="0"/>
        <v> PASP 97.648 </v>
      </c>
      <c r="B19" s="5" t="str">
        <f t="shared" si="1"/>
        <v>I</v>
      </c>
      <c r="C19" s="26">
        <f t="shared" si="2"/>
        <v>46024.738899999997</v>
      </c>
      <c r="D19" s="24" t="str">
        <f t="shared" si="3"/>
        <v>vis</v>
      </c>
      <c r="E19" s="141">
        <f>VLOOKUP(C19,'Active 1'!C$21:E$968,3,FALSE)</f>
        <v>4440.0213393321901</v>
      </c>
      <c r="F19" s="5" t="s">
        <v>214</v>
      </c>
      <c r="G19" s="24" t="str">
        <f t="shared" si="4"/>
        <v>46024.7389</v>
      </c>
      <c r="H19" s="26">
        <f t="shared" si="5"/>
        <v>-19628</v>
      </c>
      <c r="I19" s="142" t="s">
        <v>308</v>
      </c>
      <c r="J19" s="143" t="s">
        <v>309</v>
      </c>
      <c r="K19" s="142">
        <v>-19628</v>
      </c>
      <c r="L19" s="142" t="s">
        <v>310</v>
      </c>
      <c r="M19" s="143" t="s">
        <v>269</v>
      </c>
      <c r="N19" s="143" t="s">
        <v>270</v>
      </c>
      <c r="O19" s="144" t="s">
        <v>311</v>
      </c>
      <c r="P19" s="144" t="s">
        <v>312</v>
      </c>
    </row>
    <row r="20" spans="1:16" ht="12.75" customHeight="1" thickBot="1">
      <c r="A20" s="26" t="str">
        <f t="shared" si="0"/>
        <v>IBVS 2793 </v>
      </c>
      <c r="B20" s="5" t="str">
        <f t="shared" si="1"/>
        <v>I</v>
      </c>
      <c r="C20" s="26">
        <f t="shared" si="2"/>
        <v>46036.285799999998</v>
      </c>
      <c r="D20" s="24" t="str">
        <f t="shared" si="3"/>
        <v>vis</v>
      </c>
      <c r="E20" s="141">
        <f>VLOOKUP(C20,'Active 1'!C$21:E$968,3,FALSE)</f>
        <v>4475.0221823969541</v>
      </c>
      <c r="F20" s="5" t="s">
        <v>214</v>
      </c>
      <c r="G20" s="24" t="str">
        <f t="shared" si="4"/>
        <v>46036.2858</v>
      </c>
      <c r="H20" s="26">
        <f t="shared" si="5"/>
        <v>-19593</v>
      </c>
      <c r="I20" s="142" t="s">
        <v>313</v>
      </c>
      <c r="J20" s="143" t="s">
        <v>314</v>
      </c>
      <c r="K20" s="142">
        <v>-19593</v>
      </c>
      <c r="L20" s="142" t="s">
        <v>315</v>
      </c>
      <c r="M20" s="143" t="s">
        <v>269</v>
      </c>
      <c r="N20" s="143" t="s">
        <v>270</v>
      </c>
      <c r="O20" s="144" t="s">
        <v>316</v>
      </c>
      <c r="P20" s="145" t="s">
        <v>303</v>
      </c>
    </row>
    <row r="21" spans="1:16" ht="12.75" customHeight="1" thickBot="1">
      <c r="A21" s="26" t="str">
        <f t="shared" si="0"/>
        <v>IBVS 2793 </v>
      </c>
      <c r="B21" s="5" t="str">
        <f t="shared" si="1"/>
        <v>II</v>
      </c>
      <c r="C21" s="26">
        <f t="shared" si="2"/>
        <v>46036.449800000002</v>
      </c>
      <c r="D21" s="24" t="str">
        <f t="shared" si="3"/>
        <v>vis</v>
      </c>
      <c r="E21" s="141">
        <f>VLOOKUP(C21,'Active 1'!C$21:E$968,3,FALSE)</f>
        <v>4475.5192974895563</v>
      </c>
      <c r="F21" s="5" t="s">
        <v>214</v>
      </c>
      <c r="G21" s="24" t="str">
        <f t="shared" si="4"/>
        <v>46036.4498</v>
      </c>
      <c r="H21" s="26">
        <f t="shared" si="5"/>
        <v>-19592.5</v>
      </c>
      <c r="I21" s="142" t="s">
        <v>317</v>
      </c>
      <c r="J21" s="143" t="s">
        <v>318</v>
      </c>
      <c r="K21" s="142">
        <v>-19592.5</v>
      </c>
      <c r="L21" s="142" t="s">
        <v>319</v>
      </c>
      <c r="M21" s="143" t="s">
        <v>269</v>
      </c>
      <c r="N21" s="143" t="s">
        <v>270</v>
      </c>
      <c r="O21" s="144" t="s">
        <v>316</v>
      </c>
      <c r="P21" s="145" t="s">
        <v>303</v>
      </c>
    </row>
    <row r="22" spans="1:16" ht="12.75" customHeight="1" thickBot="1">
      <c r="A22" s="26" t="str">
        <f t="shared" si="0"/>
        <v>IBVS 2793 </v>
      </c>
      <c r="B22" s="5" t="str">
        <f t="shared" si="1"/>
        <v>I</v>
      </c>
      <c r="C22" s="26">
        <f t="shared" si="2"/>
        <v>46036.615700000002</v>
      </c>
      <c r="D22" s="24" t="str">
        <f t="shared" si="3"/>
        <v>vis</v>
      </c>
      <c r="E22" s="141">
        <f>VLOOKUP(C22,'Active 1'!C$21:E$968,3,FALSE)</f>
        <v>4476.0221718423645</v>
      </c>
      <c r="F22" s="5" t="s">
        <v>214</v>
      </c>
      <c r="G22" s="24" t="str">
        <f t="shared" si="4"/>
        <v>46036.6157</v>
      </c>
      <c r="H22" s="26">
        <f t="shared" si="5"/>
        <v>-19592</v>
      </c>
      <c r="I22" s="142" t="s">
        <v>320</v>
      </c>
      <c r="J22" s="143" t="s">
        <v>321</v>
      </c>
      <c r="K22" s="142">
        <v>-19592</v>
      </c>
      <c r="L22" s="142" t="s">
        <v>315</v>
      </c>
      <c r="M22" s="143" t="s">
        <v>269</v>
      </c>
      <c r="N22" s="143" t="s">
        <v>270</v>
      </c>
      <c r="O22" s="144" t="s">
        <v>316</v>
      </c>
      <c r="P22" s="145" t="s">
        <v>303</v>
      </c>
    </row>
    <row r="23" spans="1:16" ht="12.75" customHeight="1" thickBot="1">
      <c r="A23" s="26" t="str">
        <f t="shared" si="0"/>
        <v>IBVS 3078 </v>
      </c>
      <c r="B23" s="5" t="str">
        <f t="shared" si="1"/>
        <v>I</v>
      </c>
      <c r="C23" s="26">
        <f t="shared" si="2"/>
        <v>46100.287100000001</v>
      </c>
      <c r="D23" s="24" t="str">
        <f t="shared" si="3"/>
        <v>vis</v>
      </c>
      <c r="E23" s="141">
        <f>VLOOKUP(C23,'Active 1'!C$21:E$968,3,FALSE)</f>
        <v>4669.0222566368602</v>
      </c>
      <c r="F23" s="5" t="s">
        <v>214</v>
      </c>
      <c r="G23" s="24" t="str">
        <f t="shared" si="4"/>
        <v>46100.2871</v>
      </c>
      <c r="H23" s="26">
        <f t="shared" si="5"/>
        <v>-19399</v>
      </c>
      <c r="I23" s="142" t="s">
        <v>322</v>
      </c>
      <c r="J23" s="143" t="s">
        <v>323</v>
      </c>
      <c r="K23" s="142">
        <v>-19399</v>
      </c>
      <c r="L23" s="142" t="s">
        <v>324</v>
      </c>
      <c r="M23" s="143" t="s">
        <v>269</v>
      </c>
      <c r="N23" s="143" t="s">
        <v>270</v>
      </c>
      <c r="O23" s="144" t="s">
        <v>325</v>
      </c>
      <c r="P23" s="145" t="s">
        <v>326</v>
      </c>
    </row>
    <row r="24" spans="1:16" ht="12.75" customHeight="1" thickBot="1">
      <c r="A24" s="26" t="str">
        <f t="shared" si="0"/>
        <v>IBVS 3078 </v>
      </c>
      <c r="B24" s="5" t="str">
        <f t="shared" si="1"/>
        <v>II</v>
      </c>
      <c r="C24" s="26">
        <f t="shared" si="2"/>
        <v>46107.3796</v>
      </c>
      <c r="D24" s="24" t="str">
        <f t="shared" si="3"/>
        <v>vis</v>
      </c>
      <c r="E24" s="141">
        <f>VLOOKUP(C24,'Active 1'!C$21:E$968,3,FALSE)</f>
        <v>4690.5209687965544</v>
      </c>
      <c r="F24" s="5" t="s">
        <v>214</v>
      </c>
      <c r="G24" s="24" t="str">
        <f t="shared" si="4"/>
        <v>46107.3796</v>
      </c>
      <c r="H24" s="26">
        <f t="shared" si="5"/>
        <v>-19377.5</v>
      </c>
      <c r="I24" s="142" t="s">
        <v>327</v>
      </c>
      <c r="J24" s="143" t="s">
        <v>328</v>
      </c>
      <c r="K24" s="142">
        <v>-19377.5</v>
      </c>
      <c r="L24" s="142" t="s">
        <v>329</v>
      </c>
      <c r="M24" s="143" t="s">
        <v>269</v>
      </c>
      <c r="N24" s="143" t="s">
        <v>270</v>
      </c>
      <c r="O24" s="144" t="s">
        <v>316</v>
      </c>
      <c r="P24" s="145" t="s">
        <v>326</v>
      </c>
    </row>
    <row r="25" spans="1:16" ht="12.75" customHeight="1" thickBot="1">
      <c r="A25" s="26" t="str">
        <f t="shared" si="0"/>
        <v> PASP 98.691 </v>
      </c>
      <c r="B25" s="5" t="str">
        <f t="shared" si="1"/>
        <v>II</v>
      </c>
      <c r="C25" s="26">
        <f t="shared" si="2"/>
        <v>46429.697899999999</v>
      </c>
      <c r="D25" s="24" t="str">
        <f t="shared" si="3"/>
        <v>vis</v>
      </c>
      <c r="E25" s="141">
        <f>VLOOKUP(C25,'Active 1'!C$21:E$968,3,FALSE)</f>
        <v>5667.5288440877857</v>
      </c>
      <c r="F25" s="5" t="s">
        <v>214</v>
      </c>
      <c r="G25" s="24" t="str">
        <f t="shared" si="4"/>
        <v>46429.6979</v>
      </c>
      <c r="H25" s="26">
        <f t="shared" si="5"/>
        <v>-18400.5</v>
      </c>
      <c r="I25" s="142" t="s">
        <v>330</v>
      </c>
      <c r="J25" s="143" t="s">
        <v>331</v>
      </c>
      <c r="K25" s="142">
        <v>-18400.5</v>
      </c>
      <c r="L25" s="142" t="s">
        <v>332</v>
      </c>
      <c r="M25" s="143" t="s">
        <v>269</v>
      </c>
      <c r="N25" s="143" t="s">
        <v>270</v>
      </c>
      <c r="O25" s="144" t="s">
        <v>311</v>
      </c>
      <c r="P25" s="144" t="s">
        <v>333</v>
      </c>
    </row>
    <row r="26" spans="1:16" ht="12.75" customHeight="1" thickBot="1">
      <c r="A26" s="26" t="str">
        <f t="shared" si="0"/>
        <v> PASP 98.691 </v>
      </c>
      <c r="B26" s="5" t="str">
        <f t="shared" si="1"/>
        <v>II</v>
      </c>
      <c r="C26" s="26">
        <f t="shared" si="2"/>
        <v>46436.625999999997</v>
      </c>
      <c r="D26" s="24" t="str">
        <f t="shared" si="3"/>
        <v>vis</v>
      </c>
      <c r="E26" s="141">
        <f>VLOOKUP(C26,'Active 1'!C$21:E$968,3,FALSE)</f>
        <v>5688.52922867905</v>
      </c>
      <c r="F26" s="5" t="s">
        <v>214</v>
      </c>
      <c r="G26" s="24" t="str">
        <f t="shared" si="4"/>
        <v>46436.6260</v>
      </c>
      <c r="H26" s="26">
        <f t="shared" si="5"/>
        <v>-18379.5</v>
      </c>
      <c r="I26" s="142" t="s">
        <v>334</v>
      </c>
      <c r="J26" s="143" t="s">
        <v>335</v>
      </c>
      <c r="K26" s="142">
        <v>-18379.5</v>
      </c>
      <c r="L26" s="142" t="s">
        <v>336</v>
      </c>
      <c r="M26" s="143" t="s">
        <v>269</v>
      </c>
      <c r="N26" s="143" t="s">
        <v>270</v>
      </c>
      <c r="O26" s="144" t="s">
        <v>311</v>
      </c>
      <c r="P26" s="144" t="s">
        <v>333</v>
      </c>
    </row>
    <row r="27" spans="1:16" ht="12.75" customHeight="1" thickBot="1">
      <c r="A27" s="26" t="str">
        <f t="shared" si="0"/>
        <v> VSSC 66.34 </v>
      </c>
      <c r="B27" s="5" t="str">
        <f t="shared" si="1"/>
        <v>I</v>
      </c>
      <c r="C27" s="26">
        <f t="shared" si="2"/>
        <v>46442.394899999999</v>
      </c>
      <c r="D27" s="24" t="str">
        <f t="shared" si="3"/>
        <v>vis</v>
      </c>
      <c r="E27" s="141">
        <f>VLOOKUP(C27,'Active 1'!C$21:E$968,3,FALSE)</f>
        <v>5706.0158582988088</v>
      </c>
      <c r="F27" s="5" t="s">
        <v>214</v>
      </c>
      <c r="G27" s="24" t="str">
        <f t="shared" si="4"/>
        <v>46442.3949</v>
      </c>
      <c r="H27" s="26">
        <f t="shared" si="5"/>
        <v>-18362</v>
      </c>
      <c r="I27" s="142" t="s">
        <v>337</v>
      </c>
      <c r="J27" s="143" t="s">
        <v>338</v>
      </c>
      <c r="K27" s="142">
        <v>-18362</v>
      </c>
      <c r="L27" s="142" t="s">
        <v>310</v>
      </c>
      <c r="M27" s="143" t="s">
        <v>269</v>
      </c>
      <c r="N27" s="143" t="s">
        <v>270</v>
      </c>
      <c r="O27" s="144" t="s">
        <v>339</v>
      </c>
      <c r="P27" s="144" t="s">
        <v>340</v>
      </c>
    </row>
    <row r="28" spans="1:16" ht="12.75" customHeight="1" thickBot="1">
      <c r="A28" s="26" t="str">
        <f t="shared" si="0"/>
        <v>IBVS 3593 </v>
      </c>
      <c r="B28" s="5" t="str">
        <f t="shared" si="1"/>
        <v>II</v>
      </c>
      <c r="C28" s="26">
        <f t="shared" si="2"/>
        <v>47864.787900000003</v>
      </c>
      <c r="D28" s="24" t="str">
        <f t="shared" si="3"/>
        <v>vis</v>
      </c>
      <c r="E28" s="141">
        <f>VLOOKUP(C28,'Active 1'!C$21:E$968,3,FALSE)</f>
        <v>10017.558711308173</v>
      </c>
      <c r="F28" s="5" t="s">
        <v>214</v>
      </c>
      <c r="G28" s="24" t="str">
        <f t="shared" si="4"/>
        <v>47864.7879</v>
      </c>
      <c r="H28" s="26">
        <f t="shared" si="5"/>
        <v>-14050.5</v>
      </c>
      <c r="I28" s="142" t="s">
        <v>341</v>
      </c>
      <c r="J28" s="143" t="s">
        <v>342</v>
      </c>
      <c r="K28" s="142">
        <v>-14050.5</v>
      </c>
      <c r="L28" s="142" t="s">
        <v>343</v>
      </c>
      <c r="M28" s="143" t="s">
        <v>269</v>
      </c>
      <c r="N28" s="143" t="s">
        <v>270</v>
      </c>
      <c r="O28" s="144" t="s">
        <v>344</v>
      </c>
      <c r="P28" s="145" t="s">
        <v>345</v>
      </c>
    </row>
    <row r="29" spans="1:16" ht="12.75" customHeight="1" thickBot="1">
      <c r="A29" s="26" t="str">
        <f t="shared" si="0"/>
        <v> BBS 114 </v>
      </c>
      <c r="B29" s="5" t="str">
        <f t="shared" si="1"/>
        <v>II</v>
      </c>
      <c r="C29" s="26">
        <f t="shared" si="2"/>
        <v>50415.281000000003</v>
      </c>
      <c r="D29" s="24" t="str">
        <f t="shared" si="3"/>
        <v>vis</v>
      </c>
      <c r="E29" s="141">
        <f>VLOOKUP(C29,'Active 1'!C$21:E$968,3,FALSE)</f>
        <v>17748.586842742079</v>
      </c>
      <c r="F29" s="5" t="s">
        <v>214</v>
      </c>
      <c r="G29" s="24" t="str">
        <f t="shared" si="4"/>
        <v>50415.281</v>
      </c>
      <c r="H29" s="26">
        <f t="shared" si="5"/>
        <v>-6319.5</v>
      </c>
      <c r="I29" s="142" t="s">
        <v>346</v>
      </c>
      <c r="J29" s="143" t="s">
        <v>347</v>
      </c>
      <c r="K29" s="142">
        <v>-6319.5</v>
      </c>
      <c r="L29" s="142" t="s">
        <v>348</v>
      </c>
      <c r="M29" s="143" t="s">
        <v>349</v>
      </c>
      <c r="N29" s="143"/>
      <c r="O29" s="144" t="s">
        <v>350</v>
      </c>
      <c r="P29" s="144" t="s">
        <v>351</v>
      </c>
    </row>
    <row r="30" spans="1:16" ht="12.75" customHeight="1" thickBot="1">
      <c r="A30" s="26" t="str">
        <f t="shared" si="0"/>
        <v> BBS 114 </v>
      </c>
      <c r="B30" s="5" t="str">
        <f t="shared" si="1"/>
        <v>II</v>
      </c>
      <c r="C30" s="26">
        <f t="shared" si="2"/>
        <v>50421.22</v>
      </c>
      <c r="D30" s="24" t="str">
        <f t="shared" si="3"/>
        <v>vis</v>
      </c>
      <c r="E30" s="141">
        <f>VLOOKUP(C30,'Active 1'!C$21:E$968,3,FALSE)</f>
        <v>17766.589077710909</v>
      </c>
      <c r="F30" s="5" t="s">
        <v>214</v>
      </c>
      <c r="G30" s="24" t="str">
        <f t="shared" si="4"/>
        <v>50421.220</v>
      </c>
      <c r="H30" s="26">
        <f t="shared" si="5"/>
        <v>-6301.5</v>
      </c>
      <c r="I30" s="142" t="s">
        <v>352</v>
      </c>
      <c r="J30" s="143" t="s">
        <v>353</v>
      </c>
      <c r="K30" s="142">
        <v>-6301.5</v>
      </c>
      <c r="L30" s="142" t="s">
        <v>354</v>
      </c>
      <c r="M30" s="143" t="s">
        <v>349</v>
      </c>
      <c r="N30" s="143"/>
      <c r="O30" s="144" t="s">
        <v>350</v>
      </c>
      <c r="P30" s="144" t="s">
        <v>351</v>
      </c>
    </row>
    <row r="31" spans="1:16" ht="12.75" customHeight="1" thickBot="1">
      <c r="A31" s="26" t="str">
        <f t="shared" si="0"/>
        <v> BBS 114 </v>
      </c>
      <c r="B31" s="5" t="str">
        <f t="shared" si="1"/>
        <v>I</v>
      </c>
      <c r="C31" s="26">
        <f t="shared" si="2"/>
        <v>50434.245999999999</v>
      </c>
      <c r="D31" s="24" t="str">
        <f t="shared" si="3"/>
        <v>vis</v>
      </c>
      <c r="E31" s="141">
        <f>VLOOKUP(C31,'Active 1'!C$21:E$968,3,FALSE)</f>
        <v>17806.073353296691</v>
      </c>
      <c r="F31" s="5" t="s">
        <v>214</v>
      </c>
      <c r="G31" s="24" t="str">
        <f t="shared" si="4"/>
        <v>50434.246</v>
      </c>
      <c r="H31" s="26">
        <f t="shared" si="5"/>
        <v>-6262</v>
      </c>
      <c r="I31" s="142" t="s">
        <v>355</v>
      </c>
      <c r="J31" s="143" t="s">
        <v>356</v>
      </c>
      <c r="K31" s="142">
        <v>-6262</v>
      </c>
      <c r="L31" s="142" t="s">
        <v>357</v>
      </c>
      <c r="M31" s="143" t="s">
        <v>349</v>
      </c>
      <c r="N31" s="143"/>
      <c r="O31" s="144" t="s">
        <v>350</v>
      </c>
      <c r="P31" s="144" t="s">
        <v>351</v>
      </c>
    </row>
    <row r="32" spans="1:16" ht="12.75" customHeight="1" thickBot="1">
      <c r="A32" s="26" t="str">
        <f t="shared" si="0"/>
        <v>IBVS 4877 </v>
      </c>
      <c r="B32" s="5" t="str">
        <f t="shared" si="1"/>
        <v>II</v>
      </c>
      <c r="C32" s="26">
        <f t="shared" si="2"/>
        <v>51199.458500000001</v>
      </c>
      <c r="D32" s="24" t="str">
        <f t="shared" si="3"/>
        <v>vis</v>
      </c>
      <c r="E32" s="141">
        <f>VLOOKUP(C32,'Active 1'!C$21:E$968,3,FALSE)</f>
        <v>20125.57751663863</v>
      </c>
      <c r="F32" s="5" t="s">
        <v>214</v>
      </c>
      <c r="G32" s="24" t="str">
        <f t="shared" si="4"/>
        <v>51199.4585</v>
      </c>
      <c r="H32" s="26">
        <f t="shared" si="5"/>
        <v>-3942.5</v>
      </c>
      <c r="I32" s="142" t="s">
        <v>358</v>
      </c>
      <c r="J32" s="143" t="s">
        <v>359</v>
      </c>
      <c r="K32" s="142">
        <v>-3942.5</v>
      </c>
      <c r="L32" s="142" t="s">
        <v>360</v>
      </c>
      <c r="M32" s="143" t="s">
        <v>269</v>
      </c>
      <c r="N32" s="143" t="s">
        <v>182</v>
      </c>
      <c r="O32" s="144" t="s">
        <v>361</v>
      </c>
      <c r="P32" s="145" t="s">
        <v>362</v>
      </c>
    </row>
    <row r="33" spans="1:16" ht="12.75" customHeight="1" thickBot="1">
      <c r="A33" s="26" t="str">
        <f t="shared" si="0"/>
        <v>IBVS 4877 </v>
      </c>
      <c r="B33" s="5" t="str">
        <f t="shared" si="1"/>
        <v>I</v>
      </c>
      <c r="C33" s="26">
        <f t="shared" si="2"/>
        <v>51199.623699999996</v>
      </c>
      <c r="D33" s="24" t="str">
        <f t="shared" si="3"/>
        <v>vis</v>
      </c>
      <c r="E33" s="141">
        <f>VLOOKUP(C33,'Active 1'!C$21:E$968,3,FALSE)</f>
        <v>20126.078269158712</v>
      </c>
      <c r="F33" s="5" t="s">
        <v>214</v>
      </c>
      <c r="G33" s="24" t="str">
        <f t="shared" si="4"/>
        <v>51199.6237</v>
      </c>
      <c r="H33" s="26">
        <f t="shared" si="5"/>
        <v>-3942</v>
      </c>
      <c r="I33" s="142" t="s">
        <v>363</v>
      </c>
      <c r="J33" s="143" t="s">
        <v>364</v>
      </c>
      <c r="K33" s="142">
        <v>-3942</v>
      </c>
      <c r="L33" s="142" t="s">
        <v>365</v>
      </c>
      <c r="M33" s="143" t="s">
        <v>269</v>
      </c>
      <c r="N33" s="143" t="s">
        <v>182</v>
      </c>
      <c r="O33" s="144" t="s">
        <v>361</v>
      </c>
      <c r="P33" s="145" t="s">
        <v>362</v>
      </c>
    </row>
    <row r="34" spans="1:16" ht="12.75" customHeight="1" thickBot="1">
      <c r="A34" s="26" t="str">
        <f t="shared" si="0"/>
        <v>IBVS 4877 </v>
      </c>
      <c r="B34" s="5" t="str">
        <f t="shared" si="1"/>
        <v>II</v>
      </c>
      <c r="C34" s="26">
        <f t="shared" si="2"/>
        <v>51237.396999999997</v>
      </c>
      <c r="D34" s="24" t="str">
        <f t="shared" si="3"/>
        <v>vis</v>
      </c>
      <c r="E34" s="141">
        <f>VLOOKUP(C34,'Active 1'!C$21:E$968,3,FALSE)</f>
        <v>20240.576302859372</v>
      </c>
      <c r="F34" s="5" t="s">
        <v>214</v>
      </c>
      <c r="G34" s="24" t="str">
        <f t="shared" si="4"/>
        <v>51237.397</v>
      </c>
      <c r="H34" s="26">
        <f t="shared" si="5"/>
        <v>-3827.5</v>
      </c>
      <c r="I34" s="142" t="s">
        <v>366</v>
      </c>
      <c r="J34" s="143" t="s">
        <v>367</v>
      </c>
      <c r="K34" s="142">
        <v>-3827.5</v>
      </c>
      <c r="L34" s="142" t="s">
        <v>348</v>
      </c>
      <c r="M34" s="143" t="s">
        <v>269</v>
      </c>
      <c r="N34" s="143" t="s">
        <v>270</v>
      </c>
      <c r="O34" s="144" t="s">
        <v>361</v>
      </c>
      <c r="P34" s="145" t="s">
        <v>362</v>
      </c>
    </row>
    <row r="35" spans="1:16" ht="12.75" customHeight="1" thickBot="1">
      <c r="A35" s="26" t="str">
        <f t="shared" si="0"/>
        <v>IBVS 4877 </v>
      </c>
      <c r="B35" s="5" t="str">
        <f t="shared" si="1"/>
        <v>I</v>
      </c>
      <c r="C35" s="26">
        <f t="shared" si="2"/>
        <v>51241.522299999997</v>
      </c>
      <c r="D35" s="24" t="str">
        <f t="shared" si="3"/>
        <v>vis</v>
      </c>
      <c r="E35" s="141">
        <f>VLOOKUP(C35,'Active 1'!C$21:E$968,3,FALSE)</f>
        <v>20253.080869270707</v>
      </c>
      <c r="F35" s="5" t="s">
        <v>214</v>
      </c>
      <c r="G35" s="24" t="str">
        <f t="shared" si="4"/>
        <v>51241.5223</v>
      </c>
      <c r="H35" s="26">
        <f t="shared" si="5"/>
        <v>-3815</v>
      </c>
      <c r="I35" s="142" t="s">
        <v>368</v>
      </c>
      <c r="J35" s="143" t="s">
        <v>369</v>
      </c>
      <c r="K35" s="142">
        <v>-3815</v>
      </c>
      <c r="L35" s="142" t="s">
        <v>370</v>
      </c>
      <c r="M35" s="143" t="s">
        <v>269</v>
      </c>
      <c r="N35" s="143" t="s">
        <v>270</v>
      </c>
      <c r="O35" s="144" t="s">
        <v>361</v>
      </c>
      <c r="P35" s="145" t="s">
        <v>362</v>
      </c>
    </row>
    <row r="36" spans="1:16" ht="12.75" customHeight="1" thickBot="1">
      <c r="A36" s="26" t="str">
        <f t="shared" si="0"/>
        <v>BAVM 131 </v>
      </c>
      <c r="B36" s="5" t="str">
        <f t="shared" si="1"/>
        <v>II</v>
      </c>
      <c r="C36" s="26">
        <f t="shared" si="2"/>
        <v>51591.392999999996</v>
      </c>
      <c r="D36" s="24" t="str">
        <f t="shared" si="3"/>
        <v>vis</v>
      </c>
      <c r="E36" s="141">
        <f>VLOOKUP(C36,'Active 1'!C$21:E$968,3,FALSE)</f>
        <v>21313.605292592798</v>
      </c>
      <c r="F36" s="5" t="s">
        <v>214</v>
      </c>
      <c r="G36" s="24" t="str">
        <f t="shared" si="4"/>
        <v>51591.393</v>
      </c>
      <c r="H36" s="26">
        <f t="shared" si="5"/>
        <v>-2754.5</v>
      </c>
      <c r="I36" s="142" t="s">
        <v>371</v>
      </c>
      <c r="J36" s="143" t="s">
        <v>372</v>
      </c>
      <c r="K36" s="142">
        <v>-2754.5</v>
      </c>
      <c r="L36" s="142" t="s">
        <v>373</v>
      </c>
      <c r="M36" s="143" t="s">
        <v>349</v>
      </c>
      <c r="N36" s="143"/>
      <c r="O36" s="144" t="s">
        <v>374</v>
      </c>
      <c r="P36" s="145" t="s">
        <v>375</v>
      </c>
    </row>
    <row r="37" spans="1:16" ht="12.75" customHeight="1" thickBot="1">
      <c r="A37" s="26" t="str">
        <f t="shared" si="0"/>
        <v>BAVM 131 </v>
      </c>
      <c r="B37" s="5" t="str">
        <f t="shared" si="1"/>
        <v>II</v>
      </c>
      <c r="C37" s="26">
        <f t="shared" si="2"/>
        <v>51596.341</v>
      </c>
      <c r="D37" s="24" t="str">
        <f t="shared" si="3"/>
        <v>vis</v>
      </c>
      <c r="E37" s="141">
        <f>VLOOKUP(C37,'Active 1'!C$21:E$968,3,FALSE)</f>
        <v>21328.603618678982</v>
      </c>
      <c r="F37" s="5" t="s">
        <v>214</v>
      </c>
      <c r="G37" s="24" t="str">
        <f t="shared" si="4"/>
        <v>51596.341</v>
      </c>
      <c r="H37" s="26">
        <f t="shared" si="5"/>
        <v>-2739.5</v>
      </c>
      <c r="I37" s="142" t="s">
        <v>376</v>
      </c>
      <c r="J37" s="143" t="s">
        <v>377</v>
      </c>
      <c r="K37" s="142">
        <v>-2739.5</v>
      </c>
      <c r="L37" s="142" t="s">
        <v>378</v>
      </c>
      <c r="M37" s="143" t="s">
        <v>349</v>
      </c>
      <c r="N37" s="143"/>
      <c r="O37" s="144" t="s">
        <v>374</v>
      </c>
      <c r="P37" s="145" t="s">
        <v>375</v>
      </c>
    </row>
    <row r="38" spans="1:16" ht="12.75" customHeight="1" thickBot="1">
      <c r="A38" s="26" t="str">
        <f t="shared" si="0"/>
        <v>IBVS 4877 </v>
      </c>
      <c r="B38" s="5" t="str">
        <f t="shared" si="1"/>
        <v>I</v>
      </c>
      <c r="C38" s="26">
        <f t="shared" si="2"/>
        <v>51597.485999999997</v>
      </c>
      <c r="D38" s="24" t="str">
        <f t="shared" si="3"/>
        <v>vis</v>
      </c>
      <c r="E38" s="141">
        <f>VLOOKUP(C38,'Active 1'!C$21:E$968,3,FALSE)</f>
        <v>21332.074330758333</v>
      </c>
      <c r="F38" s="5" t="s">
        <v>214</v>
      </c>
      <c r="G38" s="24" t="str">
        <f t="shared" si="4"/>
        <v>51597.486</v>
      </c>
      <c r="H38" s="26">
        <f t="shared" si="5"/>
        <v>-2736</v>
      </c>
      <c r="I38" s="142" t="s">
        <v>379</v>
      </c>
      <c r="J38" s="143" t="s">
        <v>380</v>
      </c>
      <c r="K38" s="142">
        <v>-2736</v>
      </c>
      <c r="L38" s="142" t="s">
        <v>354</v>
      </c>
      <c r="M38" s="143" t="s">
        <v>269</v>
      </c>
      <c r="N38" s="143" t="s">
        <v>270</v>
      </c>
      <c r="O38" s="144" t="s">
        <v>361</v>
      </c>
      <c r="P38" s="145" t="s">
        <v>362</v>
      </c>
    </row>
    <row r="39" spans="1:16" ht="12.75" customHeight="1" thickBot="1">
      <c r="A39" s="26" t="str">
        <f t="shared" si="0"/>
        <v>BAVM 131 </v>
      </c>
      <c r="B39" s="5" t="str">
        <f t="shared" si="1"/>
        <v>I</v>
      </c>
      <c r="C39" s="26">
        <f t="shared" si="2"/>
        <v>51602.444000000003</v>
      </c>
      <c r="D39" s="24" t="str">
        <f t="shared" si="3"/>
        <v>vis</v>
      </c>
      <c r="E39" s="141">
        <f>VLOOKUP(C39,'Active 1'!C$21:E$968,3,FALSE)</f>
        <v>21347.102968740412</v>
      </c>
      <c r="F39" s="5" t="s">
        <v>214</v>
      </c>
      <c r="G39" s="24" t="str">
        <f t="shared" si="4"/>
        <v>51602.444</v>
      </c>
      <c r="H39" s="26">
        <f t="shared" si="5"/>
        <v>-2721</v>
      </c>
      <c r="I39" s="142" t="s">
        <v>381</v>
      </c>
      <c r="J39" s="143" t="s">
        <v>382</v>
      </c>
      <c r="K39" s="142">
        <v>-2721</v>
      </c>
      <c r="L39" s="142" t="s">
        <v>378</v>
      </c>
      <c r="M39" s="143" t="s">
        <v>349</v>
      </c>
      <c r="N39" s="143"/>
      <c r="O39" s="144" t="s">
        <v>374</v>
      </c>
      <c r="P39" s="145" t="s">
        <v>375</v>
      </c>
    </row>
    <row r="40" spans="1:16" ht="12.75" customHeight="1" thickBot="1">
      <c r="A40" s="26" t="str">
        <f t="shared" si="0"/>
        <v>BAVM 131 </v>
      </c>
      <c r="B40" s="5" t="str">
        <f t="shared" si="1"/>
        <v>II</v>
      </c>
      <c r="C40" s="26">
        <f t="shared" si="2"/>
        <v>51625.362999999998</v>
      </c>
      <c r="D40" s="24" t="str">
        <f t="shared" si="3"/>
        <v>vis</v>
      </c>
      <c r="E40" s="141">
        <f>VLOOKUP(C40,'Active 1'!C$21:E$968,3,FALSE)</f>
        <v>21416.574802929765</v>
      </c>
      <c r="F40" s="5" t="s">
        <v>214</v>
      </c>
      <c r="G40" s="24" t="str">
        <f t="shared" si="4"/>
        <v>51625.363</v>
      </c>
      <c r="H40" s="26">
        <f t="shared" si="5"/>
        <v>-2651.5</v>
      </c>
      <c r="I40" s="142" t="s">
        <v>383</v>
      </c>
      <c r="J40" s="143" t="s">
        <v>384</v>
      </c>
      <c r="K40" s="142">
        <v>-2651.5</v>
      </c>
      <c r="L40" s="142" t="s">
        <v>354</v>
      </c>
      <c r="M40" s="143" t="s">
        <v>349</v>
      </c>
      <c r="N40" s="143"/>
      <c r="O40" s="144" t="s">
        <v>385</v>
      </c>
      <c r="P40" s="145" t="s">
        <v>375</v>
      </c>
    </row>
    <row r="41" spans="1:16" ht="12.75" customHeight="1" thickBot="1">
      <c r="A41" s="26" t="str">
        <f t="shared" si="0"/>
        <v>BAVM 131 </v>
      </c>
      <c r="B41" s="5" t="str">
        <f t="shared" si="1"/>
        <v>II</v>
      </c>
      <c r="C41" s="26">
        <f t="shared" si="2"/>
        <v>51625.370999999999</v>
      </c>
      <c r="D41" s="24" t="str">
        <f t="shared" si="3"/>
        <v>vis</v>
      </c>
      <c r="E41" s="141">
        <f>VLOOKUP(C41,'Active 1'!C$21:E$968,3,FALSE)</f>
        <v>21416.599052446483</v>
      </c>
      <c r="F41" s="5" t="s">
        <v>214</v>
      </c>
      <c r="G41" s="24" t="str">
        <f t="shared" si="4"/>
        <v>51625.371</v>
      </c>
      <c r="H41" s="26">
        <f t="shared" si="5"/>
        <v>-2651.5</v>
      </c>
      <c r="I41" s="142" t="s">
        <v>386</v>
      </c>
      <c r="J41" s="143" t="s">
        <v>387</v>
      </c>
      <c r="K41" s="142">
        <v>-2651.5</v>
      </c>
      <c r="L41" s="142" t="s">
        <v>265</v>
      </c>
      <c r="M41" s="143" t="s">
        <v>349</v>
      </c>
      <c r="N41" s="143"/>
      <c r="O41" s="144" t="s">
        <v>374</v>
      </c>
      <c r="P41" s="145" t="s">
        <v>375</v>
      </c>
    </row>
    <row r="42" spans="1:16" ht="12.75" customHeight="1" thickBot="1">
      <c r="A42" s="26" t="str">
        <f t="shared" si="0"/>
        <v> BBS 123 </v>
      </c>
      <c r="B42" s="5" t="str">
        <f t="shared" si="1"/>
        <v>II</v>
      </c>
      <c r="C42" s="26">
        <f t="shared" si="2"/>
        <v>51628.343000000001</v>
      </c>
      <c r="D42" s="24" t="str">
        <f t="shared" si="3"/>
        <v>vis</v>
      </c>
      <c r="E42" s="141">
        <f>VLOOKUP(C42,'Active 1'!C$21:E$968,3,FALSE)</f>
        <v>21425.607747904876</v>
      </c>
      <c r="F42" s="5" t="s">
        <v>214</v>
      </c>
      <c r="G42" s="24" t="str">
        <f t="shared" si="4"/>
        <v>51628.343</v>
      </c>
      <c r="H42" s="26">
        <f t="shared" si="5"/>
        <v>-2642.5</v>
      </c>
      <c r="I42" s="142" t="s">
        <v>388</v>
      </c>
      <c r="J42" s="143" t="s">
        <v>389</v>
      </c>
      <c r="K42" s="142">
        <v>-2642.5</v>
      </c>
      <c r="L42" s="142" t="s">
        <v>390</v>
      </c>
      <c r="M42" s="143" t="s">
        <v>349</v>
      </c>
      <c r="N42" s="143"/>
      <c r="O42" s="144" t="s">
        <v>391</v>
      </c>
      <c r="P42" s="144" t="s">
        <v>392</v>
      </c>
    </row>
    <row r="43" spans="1:16" ht="12.75" customHeight="1" thickBot="1">
      <c r="A43" s="26" t="str">
        <f t="shared" ref="A43:A74" si="6">P43</f>
        <v>BAVM 143 </v>
      </c>
      <c r="B43" s="5" t="str">
        <f t="shared" ref="B43:B74" si="7">IF(H43=INT(H43),"I","II")</f>
        <v>II</v>
      </c>
      <c r="C43" s="26">
        <f t="shared" ref="C43:C74" si="8">1*G43</f>
        <v>51749.41</v>
      </c>
      <c r="D43" s="24" t="str">
        <f t="shared" ref="D43:D74" si="9">VLOOKUP(F43,I$1:J$5,2,FALSE)</f>
        <v>vis</v>
      </c>
      <c r="E43" s="141">
        <f>VLOOKUP(C43,'Active 1'!C$21:E$968,3,FALSE)</f>
        <v>21792.584777871485</v>
      </c>
      <c r="F43" s="5" t="s">
        <v>214</v>
      </c>
      <c r="G43" s="24" t="str">
        <f t="shared" ref="G43:G74" si="10">MID(I43,3,LEN(I43)-3)</f>
        <v>51749.410</v>
      </c>
      <c r="H43" s="26">
        <f t="shared" ref="H43:H74" si="11">1*K43</f>
        <v>-2275.5</v>
      </c>
      <c r="I43" s="142" t="s">
        <v>393</v>
      </c>
      <c r="J43" s="143" t="s">
        <v>394</v>
      </c>
      <c r="K43" s="142">
        <v>-2275.5</v>
      </c>
      <c r="L43" s="142" t="s">
        <v>395</v>
      </c>
      <c r="M43" s="143" t="s">
        <v>349</v>
      </c>
      <c r="N43" s="143"/>
      <c r="O43" s="144" t="s">
        <v>374</v>
      </c>
      <c r="P43" s="145" t="s">
        <v>396</v>
      </c>
    </row>
    <row r="44" spans="1:16" ht="12.75" customHeight="1" thickBot="1">
      <c r="A44" s="26" t="str">
        <f t="shared" si="6"/>
        <v>BAVM 143 </v>
      </c>
      <c r="B44" s="5" t="str">
        <f t="shared" si="7"/>
        <v>II</v>
      </c>
      <c r="C44" s="26">
        <f t="shared" si="8"/>
        <v>51749.415000000001</v>
      </c>
      <c r="D44" s="24" t="str">
        <f t="shared" si="9"/>
        <v>vis</v>
      </c>
      <c r="E44" s="141">
        <f>VLOOKUP(C44,'Active 1'!C$21:E$968,3,FALSE)</f>
        <v>21792.599933819423</v>
      </c>
      <c r="F44" s="5" t="s">
        <v>214</v>
      </c>
      <c r="G44" s="24" t="str">
        <f t="shared" si="10"/>
        <v>51749.415</v>
      </c>
      <c r="H44" s="26">
        <f t="shared" si="11"/>
        <v>-2275.5</v>
      </c>
      <c r="I44" s="142" t="s">
        <v>397</v>
      </c>
      <c r="J44" s="143" t="s">
        <v>398</v>
      </c>
      <c r="K44" s="142">
        <v>-2275.5</v>
      </c>
      <c r="L44" s="142" t="s">
        <v>378</v>
      </c>
      <c r="M44" s="143" t="s">
        <v>349</v>
      </c>
      <c r="N44" s="143"/>
      <c r="O44" s="144" t="s">
        <v>385</v>
      </c>
      <c r="P44" s="145" t="s">
        <v>396</v>
      </c>
    </row>
    <row r="45" spans="1:16" ht="12.75" customHeight="1" thickBot="1">
      <c r="A45" s="26" t="str">
        <f t="shared" si="6"/>
        <v>IBVS 5056 </v>
      </c>
      <c r="B45" s="5" t="str">
        <f t="shared" si="7"/>
        <v>II</v>
      </c>
      <c r="C45" s="26">
        <f t="shared" si="8"/>
        <v>51798.567300000002</v>
      </c>
      <c r="D45" s="24" t="str">
        <f t="shared" si="9"/>
        <v>vis</v>
      </c>
      <c r="E45" s="141">
        <f>VLOOKUP(C45,'Active 1'!C$21:E$968,3,FALSE)</f>
        <v>21941.589873852856</v>
      </c>
      <c r="F45" s="5" t="s">
        <v>214</v>
      </c>
      <c r="G45" s="24" t="str">
        <f t="shared" si="10"/>
        <v>51798.5673</v>
      </c>
      <c r="H45" s="26">
        <f t="shared" si="11"/>
        <v>-2126.5</v>
      </c>
      <c r="I45" s="142" t="s">
        <v>399</v>
      </c>
      <c r="J45" s="143" t="s">
        <v>400</v>
      </c>
      <c r="K45" s="142">
        <v>-2126.5</v>
      </c>
      <c r="L45" s="142" t="s">
        <v>401</v>
      </c>
      <c r="M45" s="143" t="s">
        <v>269</v>
      </c>
      <c r="N45" s="143" t="s">
        <v>182</v>
      </c>
      <c r="O45" s="144" t="s">
        <v>402</v>
      </c>
      <c r="P45" s="145" t="s">
        <v>403</v>
      </c>
    </row>
    <row r="46" spans="1:16" ht="12.75" customHeight="1" thickBot="1">
      <c r="A46" s="26" t="str">
        <f t="shared" si="6"/>
        <v>IBVS 5056 </v>
      </c>
      <c r="B46" s="5" t="str">
        <f t="shared" si="7"/>
        <v>II</v>
      </c>
      <c r="C46" s="26">
        <f t="shared" si="8"/>
        <v>51798.567499999997</v>
      </c>
      <c r="D46" s="24" t="str">
        <f t="shared" si="9"/>
        <v>vis</v>
      </c>
      <c r="E46" s="141">
        <f>VLOOKUP(C46,'Active 1'!C$21:E$968,3,FALSE)</f>
        <v>21941.590480090759</v>
      </c>
      <c r="F46" s="5" t="s">
        <v>214</v>
      </c>
      <c r="G46" s="24" t="str">
        <f t="shared" si="10"/>
        <v>51798.5675</v>
      </c>
      <c r="H46" s="26">
        <f t="shared" si="11"/>
        <v>-2126.5</v>
      </c>
      <c r="I46" s="142" t="s">
        <v>404</v>
      </c>
      <c r="J46" s="143" t="s">
        <v>405</v>
      </c>
      <c r="K46" s="142">
        <v>-2126.5</v>
      </c>
      <c r="L46" s="142" t="s">
        <v>406</v>
      </c>
      <c r="M46" s="143" t="s">
        <v>269</v>
      </c>
      <c r="N46" s="143" t="s">
        <v>137</v>
      </c>
      <c r="O46" s="144" t="s">
        <v>402</v>
      </c>
      <c r="P46" s="145" t="s">
        <v>403</v>
      </c>
    </row>
    <row r="47" spans="1:16" ht="12.75" customHeight="1" thickBot="1">
      <c r="A47" s="26" t="str">
        <f t="shared" si="6"/>
        <v>IBVS 5623 </v>
      </c>
      <c r="B47" s="5" t="str">
        <f t="shared" si="7"/>
        <v>I</v>
      </c>
      <c r="C47" s="26">
        <f t="shared" si="8"/>
        <v>52203.523000000001</v>
      </c>
      <c r="D47" s="24" t="str">
        <f t="shared" si="9"/>
        <v>vis</v>
      </c>
      <c r="E47" s="141">
        <f>VLOOKUP(C47,'Active 1'!C$21:E$968,3,FALSE)</f>
        <v>23169.087375682797</v>
      </c>
      <c r="F47" s="5" t="s">
        <v>214</v>
      </c>
      <c r="G47" s="24" t="str">
        <f t="shared" si="10"/>
        <v>52203.5230</v>
      </c>
      <c r="H47" s="26">
        <f t="shared" si="11"/>
        <v>-899</v>
      </c>
      <c r="I47" s="142" t="s">
        <v>407</v>
      </c>
      <c r="J47" s="143" t="s">
        <v>408</v>
      </c>
      <c r="K47" s="142">
        <v>-899</v>
      </c>
      <c r="L47" s="142" t="s">
        <v>409</v>
      </c>
      <c r="M47" s="143" t="s">
        <v>269</v>
      </c>
      <c r="N47" s="143" t="s">
        <v>270</v>
      </c>
      <c r="O47" s="144" t="s">
        <v>410</v>
      </c>
      <c r="P47" s="145" t="s">
        <v>411</v>
      </c>
    </row>
    <row r="48" spans="1:16" ht="12.75" customHeight="1" thickBot="1">
      <c r="A48" s="26" t="str">
        <f t="shared" si="6"/>
        <v>IBVS 5623 </v>
      </c>
      <c r="B48" s="5" t="str">
        <f t="shared" si="7"/>
        <v>I</v>
      </c>
      <c r="C48" s="26">
        <f t="shared" si="8"/>
        <v>52271.480600000003</v>
      </c>
      <c r="D48" s="24" t="str">
        <f t="shared" si="9"/>
        <v>vis</v>
      </c>
      <c r="E48" s="141">
        <f>VLOOKUP(C48,'Active 1'!C$21:E$968,3,FALSE)</f>
        <v>23375.0797452935</v>
      </c>
      <c r="F48" s="5" t="s">
        <v>214</v>
      </c>
      <c r="G48" s="24" t="str">
        <f t="shared" si="10"/>
        <v>52271.4806</v>
      </c>
      <c r="H48" s="26">
        <f t="shared" si="11"/>
        <v>-693</v>
      </c>
      <c r="I48" s="142" t="s">
        <v>412</v>
      </c>
      <c r="J48" s="143" t="s">
        <v>413</v>
      </c>
      <c r="K48" s="142">
        <v>-693</v>
      </c>
      <c r="L48" s="142" t="s">
        <v>414</v>
      </c>
      <c r="M48" s="143" t="s">
        <v>269</v>
      </c>
      <c r="N48" s="143" t="s">
        <v>270</v>
      </c>
      <c r="O48" s="144" t="s">
        <v>410</v>
      </c>
      <c r="P48" s="145" t="s">
        <v>411</v>
      </c>
    </row>
    <row r="49" spans="1:16" ht="12.75" customHeight="1" thickBot="1">
      <c r="A49" s="26" t="str">
        <f t="shared" si="6"/>
        <v>IBVS 5623 </v>
      </c>
      <c r="B49" s="5" t="str">
        <f t="shared" si="7"/>
        <v>II</v>
      </c>
      <c r="C49" s="26">
        <f t="shared" si="8"/>
        <v>52311.565600000002</v>
      </c>
      <c r="D49" s="24" t="str">
        <f t="shared" si="9"/>
        <v>vis</v>
      </c>
      <c r="E49" s="141">
        <f>VLOOKUP(C49,'Active 1'!C$21:E$968,3,FALSE)</f>
        <v>23496.584979966952</v>
      </c>
      <c r="F49" s="5" t="s">
        <v>214</v>
      </c>
      <c r="G49" s="24" t="str">
        <f t="shared" si="10"/>
        <v>52311.5656</v>
      </c>
      <c r="H49" s="26">
        <f t="shared" si="11"/>
        <v>-571.5</v>
      </c>
      <c r="I49" s="142" t="s">
        <v>415</v>
      </c>
      <c r="J49" s="143" t="s">
        <v>416</v>
      </c>
      <c r="K49" s="142">
        <v>-571.5</v>
      </c>
      <c r="L49" s="142" t="s">
        <v>417</v>
      </c>
      <c r="M49" s="143" t="s">
        <v>269</v>
      </c>
      <c r="N49" s="143" t="s">
        <v>270</v>
      </c>
      <c r="O49" s="144" t="s">
        <v>410</v>
      </c>
      <c r="P49" s="145" t="s">
        <v>411</v>
      </c>
    </row>
    <row r="50" spans="1:16" ht="12.75" customHeight="1" thickBot="1">
      <c r="A50" s="26" t="str">
        <f t="shared" si="6"/>
        <v>IBVS 5623 </v>
      </c>
      <c r="B50" s="5" t="str">
        <f t="shared" si="7"/>
        <v>II</v>
      </c>
      <c r="C50" s="26">
        <f t="shared" si="8"/>
        <v>52547.449099999998</v>
      </c>
      <c r="D50" s="24" t="str">
        <f t="shared" si="9"/>
        <v>vis</v>
      </c>
      <c r="E50" s="141">
        <f>VLOOKUP(C50,'Active 1'!C$21:E$968,3,FALSE)</f>
        <v>24211.592589374348</v>
      </c>
      <c r="F50" s="5" t="s">
        <v>214</v>
      </c>
      <c r="G50" s="24" t="str">
        <f t="shared" si="10"/>
        <v>52547.4491</v>
      </c>
      <c r="H50" s="26">
        <f t="shared" si="11"/>
        <v>143.5</v>
      </c>
      <c r="I50" s="142" t="s">
        <v>418</v>
      </c>
      <c r="J50" s="143" t="s">
        <v>419</v>
      </c>
      <c r="K50" s="142">
        <v>143.5</v>
      </c>
      <c r="L50" s="142" t="s">
        <v>420</v>
      </c>
      <c r="M50" s="143" t="s">
        <v>269</v>
      </c>
      <c r="N50" s="143" t="s">
        <v>270</v>
      </c>
      <c r="O50" s="144" t="s">
        <v>410</v>
      </c>
      <c r="P50" s="145" t="s">
        <v>411</v>
      </c>
    </row>
    <row r="51" spans="1:16" ht="12.75" customHeight="1" thickBot="1">
      <c r="A51" s="26" t="str">
        <f t="shared" si="6"/>
        <v>IBVS 5623 </v>
      </c>
      <c r="B51" s="5" t="str">
        <f t="shared" si="7"/>
        <v>I</v>
      </c>
      <c r="C51" s="26">
        <f t="shared" si="8"/>
        <v>52547.6132</v>
      </c>
      <c r="D51" s="24" t="str">
        <f t="shared" si="9"/>
        <v>vis</v>
      </c>
      <c r="E51" s="141">
        <f>VLOOKUP(C51,'Active 1'!C$21:E$968,3,FALSE)</f>
        <v>24212.090007585903</v>
      </c>
      <c r="F51" s="5" t="s">
        <v>214</v>
      </c>
      <c r="G51" s="24" t="str">
        <f t="shared" si="10"/>
        <v>52547.6132</v>
      </c>
      <c r="H51" s="26">
        <f t="shared" si="11"/>
        <v>144</v>
      </c>
      <c r="I51" s="142" t="s">
        <v>421</v>
      </c>
      <c r="J51" s="143" t="s">
        <v>422</v>
      </c>
      <c r="K51" s="142">
        <v>144</v>
      </c>
      <c r="L51" s="142" t="s">
        <v>423</v>
      </c>
      <c r="M51" s="143" t="s">
        <v>269</v>
      </c>
      <c r="N51" s="143" t="s">
        <v>270</v>
      </c>
      <c r="O51" s="144" t="s">
        <v>410</v>
      </c>
      <c r="P51" s="145" t="s">
        <v>411</v>
      </c>
    </row>
    <row r="52" spans="1:16" ht="12.75" customHeight="1" thickBot="1">
      <c r="A52" s="26" t="str">
        <f t="shared" si="6"/>
        <v>IBVS 5623 </v>
      </c>
      <c r="B52" s="5" t="str">
        <f t="shared" si="7"/>
        <v>I</v>
      </c>
      <c r="C52" s="26">
        <f t="shared" si="8"/>
        <v>52548.273000000001</v>
      </c>
      <c r="D52" s="24" t="str">
        <f t="shared" si="9"/>
        <v>vis</v>
      </c>
      <c r="E52" s="141">
        <f>VLOOKUP(C52,'Active 1'!C$21:E$968,3,FALSE)</f>
        <v>24214.089986476702</v>
      </c>
      <c r="F52" s="5" t="s">
        <v>214</v>
      </c>
      <c r="G52" s="24" t="str">
        <f t="shared" si="10"/>
        <v>52548.2730</v>
      </c>
      <c r="H52" s="26">
        <f t="shared" si="11"/>
        <v>146</v>
      </c>
      <c r="I52" s="142" t="s">
        <v>424</v>
      </c>
      <c r="J52" s="143" t="s">
        <v>425</v>
      </c>
      <c r="K52" s="142">
        <v>146</v>
      </c>
      <c r="L52" s="142" t="s">
        <v>423</v>
      </c>
      <c r="M52" s="143" t="s">
        <v>269</v>
      </c>
      <c r="N52" s="143" t="s">
        <v>270</v>
      </c>
      <c r="O52" s="144" t="s">
        <v>410</v>
      </c>
      <c r="P52" s="145" t="s">
        <v>411</v>
      </c>
    </row>
    <row r="53" spans="1:16" ht="12.75" customHeight="1" thickBot="1">
      <c r="A53" s="26" t="str">
        <f t="shared" si="6"/>
        <v>IBVS 5623 </v>
      </c>
      <c r="B53" s="5" t="str">
        <f t="shared" si="7"/>
        <v>I</v>
      </c>
      <c r="C53" s="26">
        <f t="shared" si="8"/>
        <v>52548.602099999996</v>
      </c>
      <c r="D53" s="24" t="str">
        <f t="shared" si="9"/>
        <v>vis</v>
      </c>
      <c r="E53" s="141">
        <f>VLOOKUP(C53,'Active 1'!C$21:E$968,3,FALSE)</f>
        <v>24215.087550970413</v>
      </c>
      <c r="F53" s="5" t="s">
        <v>214</v>
      </c>
      <c r="G53" s="24" t="str">
        <f t="shared" si="10"/>
        <v>52548.6021</v>
      </c>
      <c r="H53" s="26">
        <f t="shared" si="11"/>
        <v>147</v>
      </c>
      <c r="I53" s="142" t="s">
        <v>426</v>
      </c>
      <c r="J53" s="143" t="s">
        <v>427</v>
      </c>
      <c r="K53" s="142">
        <v>147</v>
      </c>
      <c r="L53" s="142" t="s">
        <v>428</v>
      </c>
      <c r="M53" s="143" t="s">
        <v>269</v>
      </c>
      <c r="N53" s="143" t="s">
        <v>270</v>
      </c>
      <c r="O53" s="144" t="s">
        <v>410</v>
      </c>
      <c r="P53" s="145" t="s">
        <v>411</v>
      </c>
    </row>
    <row r="54" spans="1:16" ht="12.75" customHeight="1" thickBot="1">
      <c r="A54" s="26" t="str">
        <f t="shared" si="6"/>
        <v>IBVS 5623 </v>
      </c>
      <c r="B54" s="5" t="str">
        <f t="shared" si="7"/>
        <v>II</v>
      </c>
      <c r="C54" s="26">
        <f t="shared" si="8"/>
        <v>52591.3246</v>
      </c>
      <c r="D54" s="24" t="str">
        <f t="shared" si="9"/>
        <v>vis</v>
      </c>
      <c r="E54" s="141">
        <f>VLOOKUP(C54,'Active 1'!C$21:E$968,3,FALSE)</f>
        <v>24344.587548184762</v>
      </c>
      <c r="F54" s="5" t="s">
        <v>214</v>
      </c>
      <c r="G54" s="24" t="str">
        <f t="shared" si="10"/>
        <v>52591.3246</v>
      </c>
      <c r="H54" s="26">
        <f t="shared" si="11"/>
        <v>276.5</v>
      </c>
      <c r="I54" s="142" t="s">
        <v>429</v>
      </c>
      <c r="J54" s="143" t="s">
        <v>430</v>
      </c>
      <c r="K54" s="142">
        <v>276.5</v>
      </c>
      <c r="L54" s="142" t="s">
        <v>431</v>
      </c>
      <c r="M54" s="143" t="s">
        <v>269</v>
      </c>
      <c r="N54" s="143" t="s">
        <v>270</v>
      </c>
      <c r="O54" s="144" t="s">
        <v>410</v>
      </c>
      <c r="P54" s="145" t="s">
        <v>411</v>
      </c>
    </row>
    <row r="55" spans="1:16" ht="12.75" customHeight="1" thickBot="1">
      <c r="A55" s="26" t="str">
        <f t="shared" si="6"/>
        <v>IBVS 5378 </v>
      </c>
      <c r="B55" s="5" t="str">
        <f t="shared" si="7"/>
        <v>I</v>
      </c>
      <c r="C55" s="26">
        <f t="shared" si="8"/>
        <v>52607.654999999999</v>
      </c>
      <c r="D55" s="24" t="str">
        <f t="shared" si="9"/>
        <v>vis</v>
      </c>
      <c r="E55" s="141">
        <f>VLOOKUP(C55,'Active 1'!C$21:E$968,3,FALSE)</f>
        <v>24394.088086648309</v>
      </c>
      <c r="F55" s="5" t="s">
        <v>214</v>
      </c>
      <c r="G55" s="24" t="str">
        <f t="shared" si="10"/>
        <v>52607.6550</v>
      </c>
      <c r="H55" s="26">
        <f t="shared" si="11"/>
        <v>326</v>
      </c>
      <c r="I55" s="142" t="s">
        <v>432</v>
      </c>
      <c r="J55" s="143" t="s">
        <v>433</v>
      </c>
      <c r="K55" s="142">
        <v>326</v>
      </c>
      <c r="L55" s="142" t="s">
        <v>434</v>
      </c>
      <c r="M55" s="143" t="s">
        <v>269</v>
      </c>
      <c r="N55" s="143" t="s">
        <v>270</v>
      </c>
      <c r="O55" s="144" t="s">
        <v>435</v>
      </c>
      <c r="P55" s="145" t="s">
        <v>436</v>
      </c>
    </row>
    <row r="56" spans="1:16" ht="12.75" customHeight="1" thickBot="1">
      <c r="A56" s="26" t="str">
        <f t="shared" si="6"/>
        <v>IBVS 5371 </v>
      </c>
      <c r="B56" s="5" t="str">
        <f t="shared" si="7"/>
        <v>I</v>
      </c>
      <c r="C56" s="26">
        <f t="shared" si="8"/>
        <v>52631.737699999998</v>
      </c>
      <c r="D56" s="24" t="str">
        <f t="shared" si="9"/>
        <v>vis</v>
      </c>
      <c r="E56" s="141" t="e">
        <f>VLOOKUP(C56,'Active 1'!C$21:E$968,3,FALSE)</f>
        <v>#N/A</v>
      </c>
      <c r="F56" s="5" t="s">
        <v>214</v>
      </c>
      <c r="G56" s="24" t="str">
        <f t="shared" si="10"/>
        <v>52631.7377</v>
      </c>
      <c r="H56" s="26">
        <f t="shared" si="11"/>
        <v>399</v>
      </c>
      <c r="I56" s="142" t="s">
        <v>437</v>
      </c>
      <c r="J56" s="143" t="s">
        <v>438</v>
      </c>
      <c r="K56" s="142">
        <v>399</v>
      </c>
      <c r="L56" s="142" t="s">
        <v>439</v>
      </c>
      <c r="M56" s="143" t="s">
        <v>269</v>
      </c>
      <c r="N56" s="143" t="s">
        <v>270</v>
      </c>
      <c r="O56" s="144" t="s">
        <v>440</v>
      </c>
      <c r="P56" s="145" t="s">
        <v>441</v>
      </c>
    </row>
    <row r="57" spans="1:16" ht="12.75" customHeight="1" thickBot="1">
      <c r="A57" s="26" t="str">
        <f t="shared" si="6"/>
        <v>IBVS 5592 </v>
      </c>
      <c r="B57" s="5" t="str">
        <f t="shared" si="7"/>
        <v>II</v>
      </c>
      <c r="C57" s="26">
        <f t="shared" si="8"/>
        <v>53083.211900000002</v>
      </c>
      <c r="D57" s="24" t="str">
        <f t="shared" si="9"/>
        <v>vis</v>
      </c>
      <c r="E57" s="141">
        <f>VLOOKUP(C57,'Active 1'!C$21:E$968,3,FALSE)</f>
        <v>25835.591210886334</v>
      </c>
      <c r="F57" s="5" t="s">
        <v>214</v>
      </c>
      <c r="G57" s="24" t="str">
        <f t="shared" si="10"/>
        <v>53083.2119</v>
      </c>
      <c r="H57" s="26">
        <f t="shared" si="11"/>
        <v>1767.5</v>
      </c>
      <c r="I57" s="142" t="s">
        <v>446</v>
      </c>
      <c r="J57" s="143" t="s">
        <v>447</v>
      </c>
      <c r="K57" s="142">
        <v>1767.5</v>
      </c>
      <c r="L57" s="142" t="s">
        <v>448</v>
      </c>
      <c r="M57" s="143" t="s">
        <v>269</v>
      </c>
      <c r="N57" s="143" t="s">
        <v>270</v>
      </c>
      <c r="O57" s="144" t="s">
        <v>449</v>
      </c>
      <c r="P57" s="145" t="s">
        <v>450</v>
      </c>
    </row>
    <row r="58" spans="1:16" ht="12.75" customHeight="1" thickBot="1">
      <c r="A58" s="26" t="str">
        <f t="shared" si="6"/>
        <v>BAVM 173 </v>
      </c>
      <c r="B58" s="5" t="str">
        <f t="shared" si="7"/>
        <v>I</v>
      </c>
      <c r="C58" s="26">
        <f t="shared" si="8"/>
        <v>53407.339399999997</v>
      </c>
      <c r="D58" s="24" t="str">
        <f t="shared" si="9"/>
        <v>vis</v>
      </c>
      <c r="E58" s="141">
        <f>VLOOKUP(C58,'Active 1'!C$21:E$968,3,FALSE)</f>
        <v>26818.083114381898</v>
      </c>
      <c r="F58" s="5" t="s">
        <v>214</v>
      </c>
      <c r="G58" s="24" t="str">
        <f t="shared" si="10"/>
        <v>53407.3394</v>
      </c>
      <c r="H58" s="26">
        <f t="shared" si="11"/>
        <v>2750</v>
      </c>
      <c r="I58" s="142" t="s">
        <v>457</v>
      </c>
      <c r="J58" s="143" t="s">
        <v>458</v>
      </c>
      <c r="K58" s="142" t="s">
        <v>459</v>
      </c>
      <c r="L58" s="142" t="s">
        <v>460</v>
      </c>
      <c r="M58" s="143" t="s">
        <v>269</v>
      </c>
      <c r="N58" s="143" t="s">
        <v>454</v>
      </c>
      <c r="O58" s="144" t="s">
        <v>461</v>
      </c>
      <c r="P58" s="145" t="s">
        <v>456</v>
      </c>
    </row>
    <row r="59" spans="1:16" ht="12.75" customHeight="1" thickBot="1">
      <c r="A59" s="26" t="str">
        <f t="shared" si="6"/>
        <v>IBVS 5672 </v>
      </c>
      <c r="B59" s="5" t="str">
        <f t="shared" si="7"/>
        <v>I</v>
      </c>
      <c r="C59" s="26">
        <f t="shared" si="8"/>
        <v>53699.964</v>
      </c>
      <c r="D59" s="24" t="str">
        <f t="shared" si="9"/>
        <v>vis</v>
      </c>
      <c r="E59" s="141">
        <f>VLOOKUP(C59,'Active 1'!C$21:E$968,3,FALSE)</f>
        <v>27705.083755375446</v>
      </c>
      <c r="F59" s="5" t="s">
        <v>214</v>
      </c>
      <c r="G59" s="24" t="str">
        <f t="shared" si="10"/>
        <v>53699.9640</v>
      </c>
      <c r="H59" s="26">
        <f t="shared" si="11"/>
        <v>3637</v>
      </c>
      <c r="I59" s="142" t="s">
        <v>462</v>
      </c>
      <c r="J59" s="143" t="s">
        <v>463</v>
      </c>
      <c r="K59" s="142" t="s">
        <v>464</v>
      </c>
      <c r="L59" s="142" t="s">
        <v>465</v>
      </c>
      <c r="M59" s="143" t="s">
        <v>269</v>
      </c>
      <c r="N59" s="143" t="s">
        <v>270</v>
      </c>
      <c r="O59" s="144" t="s">
        <v>440</v>
      </c>
      <c r="P59" s="145" t="s">
        <v>466</v>
      </c>
    </row>
    <row r="60" spans="1:16" ht="12.75" customHeight="1" thickBot="1">
      <c r="A60" s="26" t="str">
        <f t="shared" si="6"/>
        <v>IBVS 5814 </v>
      </c>
      <c r="B60" s="5" t="str">
        <f t="shared" si="7"/>
        <v>I</v>
      </c>
      <c r="C60" s="26">
        <f t="shared" si="8"/>
        <v>53742.5213</v>
      </c>
      <c r="D60" s="24" t="str">
        <f t="shared" si="9"/>
        <v>vis</v>
      </c>
      <c r="E60" s="141">
        <f>VLOOKUP(C60,'Active 1'!C$21:E$968,3,FALSE)</f>
        <v>27834.083000069688</v>
      </c>
      <c r="F60" s="5" t="s">
        <v>214</v>
      </c>
      <c r="G60" s="24" t="str">
        <f t="shared" si="10"/>
        <v>53742.5213</v>
      </c>
      <c r="H60" s="26">
        <f t="shared" si="11"/>
        <v>3766</v>
      </c>
      <c r="I60" s="142" t="s">
        <v>467</v>
      </c>
      <c r="J60" s="143" t="s">
        <v>468</v>
      </c>
      <c r="K60" s="142" t="s">
        <v>469</v>
      </c>
      <c r="L60" s="142" t="s">
        <v>470</v>
      </c>
      <c r="M60" s="143" t="s">
        <v>471</v>
      </c>
      <c r="N60" s="143" t="s">
        <v>214</v>
      </c>
      <c r="O60" s="144" t="s">
        <v>435</v>
      </c>
      <c r="P60" s="145" t="s">
        <v>472</v>
      </c>
    </row>
    <row r="61" spans="1:16" ht="12.75" customHeight="1" thickBot="1">
      <c r="A61" s="26" t="str">
        <f t="shared" si="6"/>
        <v>IBVS 5777 </v>
      </c>
      <c r="B61" s="5" t="str">
        <f t="shared" si="7"/>
        <v>II</v>
      </c>
      <c r="C61" s="26">
        <f t="shared" si="8"/>
        <v>53746.642800000001</v>
      </c>
      <c r="D61" s="24" t="str">
        <f t="shared" si="9"/>
        <v>vis</v>
      </c>
      <c r="E61" s="141">
        <f>VLOOKUP(C61,'Active 1'!C$21:E$968,3,FALSE)</f>
        <v>27846.576047960589</v>
      </c>
      <c r="F61" s="5" t="s">
        <v>214</v>
      </c>
      <c r="G61" s="24" t="str">
        <f t="shared" si="10"/>
        <v>53746.6428</v>
      </c>
      <c r="H61" s="26">
        <f t="shared" si="11"/>
        <v>3778.5</v>
      </c>
      <c r="I61" s="142" t="s">
        <v>473</v>
      </c>
      <c r="J61" s="143" t="s">
        <v>474</v>
      </c>
      <c r="K61" s="142" t="s">
        <v>475</v>
      </c>
      <c r="L61" s="142" t="s">
        <v>476</v>
      </c>
      <c r="M61" s="143" t="s">
        <v>471</v>
      </c>
      <c r="N61" s="143" t="s">
        <v>195</v>
      </c>
      <c r="O61" s="144" t="s">
        <v>477</v>
      </c>
      <c r="P61" s="145" t="s">
        <v>478</v>
      </c>
    </row>
    <row r="62" spans="1:16" ht="12.75" customHeight="1" thickBot="1">
      <c r="A62" s="26" t="str">
        <f t="shared" si="6"/>
        <v>BAVM 178 </v>
      </c>
      <c r="B62" s="5" t="str">
        <f t="shared" si="7"/>
        <v>I</v>
      </c>
      <c r="C62" s="26">
        <f t="shared" si="8"/>
        <v>53760.335800000001</v>
      </c>
      <c r="D62" s="24" t="str">
        <f t="shared" si="9"/>
        <v>vis</v>
      </c>
      <c r="E62" s="141">
        <f>VLOOKUP(C62,'Active 1'!C$21:E$968,3,FALSE)</f>
        <v>27888.082127002213</v>
      </c>
      <c r="F62" s="5" t="s">
        <v>214</v>
      </c>
      <c r="G62" s="24" t="str">
        <f t="shared" si="10"/>
        <v>53760.3358</v>
      </c>
      <c r="H62" s="26">
        <f t="shared" si="11"/>
        <v>3820</v>
      </c>
      <c r="I62" s="142" t="s">
        <v>479</v>
      </c>
      <c r="J62" s="143" t="s">
        <v>480</v>
      </c>
      <c r="K62" s="142" t="s">
        <v>481</v>
      </c>
      <c r="L62" s="142" t="s">
        <v>482</v>
      </c>
      <c r="M62" s="143" t="s">
        <v>471</v>
      </c>
      <c r="N62" s="143" t="s">
        <v>483</v>
      </c>
      <c r="O62" s="144" t="s">
        <v>484</v>
      </c>
      <c r="P62" s="145" t="s">
        <v>485</v>
      </c>
    </row>
    <row r="63" spans="1:16" ht="12.75" customHeight="1" thickBot="1">
      <c r="A63" s="26" t="str">
        <f t="shared" si="6"/>
        <v>IBVS 5777 </v>
      </c>
      <c r="B63" s="5" t="str">
        <f t="shared" si="7"/>
        <v>II</v>
      </c>
      <c r="C63" s="26">
        <f t="shared" si="8"/>
        <v>54020.464099999997</v>
      </c>
      <c r="D63" s="24" t="str">
        <f t="shared" si="9"/>
        <v>vis</v>
      </c>
      <c r="E63" s="141">
        <f>VLOOKUP(C63,'Active 1'!C$21:E$968,3,FALSE)</f>
        <v>28676.580321756024</v>
      </c>
      <c r="F63" s="5" t="s">
        <v>214</v>
      </c>
      <c r="G63" s="24" t="str">
        <f t="shared" si="10"/>
        <v>54020.4641</v>
      </c>
      <c r="H63" s="26">
        <f t="shared" si="11"/>
        <v>4608.5</v>
      </c>
      <c r="I63" s="142" t="s">
        <v>491</v>
      </c>
      <c r="J63" s="143" t="s">
        <v>492</v>
      </c>
      <c r="K63" s="142" t="s">
        <v>493</v>
      </c>
      <c r="L63" s="142" t="s">
        <v>494</v>
      </c>
      <c r="M63" s="143" t="s">
        <v>471</v>
      </c>
      <c r="N63" s="143" t="s">
        <v>214</v>
      </c>
      <c r="O63" s="144" t="s">
        <v>477</v>
      </c>
      <c r="P63" s="145" t="s">
        <v>478</v>
      </c>
    </row>
    <row r="64" spans="1:16" ht="12.75" customHeight="1" thickBot="1">
      <c r="A64" s="26" t="str">
        <f t="shared" si="6"/>
        <v>IBVS 5777 </v>
      </c>
      <c r="B64" s="5" t="str">
        <f t="shared" si="7"/>
        <v>I</v>
      </c>
      <c r="C64" s="26">
        <f t="shared" si="8"/>
        <v>54027.558400000002</v>
      </c>
      <c r="D64" s="24" t="str">
        <f t="shared" si="9"/>
        <v>vis</v>
      </c>
      <c r="E64" s="141">
        <f>VLOOKUP(C64,'Active 1'!C$21:E$968,3,FALSE)</f>
        <v>28698.084490056997</v>
      </c>
      <c r="F64" s="5" t="s">
        <v>214</v>
      </c>
      <c r="G64" s="24" t="str">
        <f t="shared" si="10"/>
        <v>54027.5584</v>
      </c>
      <c r="H64" s="26">
        <f t="shared" si="11"/>
        <v>4630</v>
      </c>
      <c r="I64" s="142" t="s">
        <v>495</v>
      </c>
      <c r="J64" s="143" t="s">
        <v>496</v>
      </c>
      <c r="K64" s="142" t="s">
        <v>497</v>
      </c>
      <c r="L64" s="142" t="s">
        <v>498</v>
      </c>
      <c r="M64" s="143" t="s">
        <v>471</v>
      </c>
      <c r="N64" s="143" t="s">
        <v>214</v>
      </c>
      <c r="O64" s="144" t="s">
        <v>477</v>
      </c>
      <c r="P64" s="145" t="s">
        <v>478</v>
      </c>
    </row>
    <row r="65" spans="1:16" ht="12.75" customHeight="1" thickBot="1">
      <c r="A65" s="26" t="str">
        <f t="shared" si="6"/>
        <v>IBVS 5820 </v>
      </c>
      <c r="B65" s="5" t="str">
        <f t="shared" si="7"/>
        <v>II</v>
      </c>
      <c r="C65" s="26">
        <f t="shared" si="8"/>
        <v>54134.609799999998</v>
      </c>
      <c r="D65" s="24" t="str">
        <f t="shared" si="9"/>
        <v>vis</v>
      </c>
      <c r="E65" s="141">
        <f>VLOOKUP(C65,'Active 1'!C$21:E$968,3,FALSE)</f>
        <v>29022.57757922056</v>
      </c>
      <c r="F65" s="5" t="s">
        <v>214</v>
      </c>
      <c r="G65" s="24" t="str">
        <f t="shared" si="10"/>
        <v>54134.6098</v>
      </c>
      <c r="H65" s="26">
        <f t="shared" si="11"/>
        <v>4954.5</v>
      </c>
      <c r="I65" s="142" t="s">
        <v>499</v>
      </c>
      <c r="J65" s="143" t="s">
        <v>500</v>
      </c>
      <c r="K65" s="142" t="s">
        <v>501</v>
      </c>
      <c r="L65" s="142" t="s">
        <v>482</v>
      </c>
      <c r="M65" s="143" t="s">
        <v>471</v>
      </c>
      <c r="N65" s="143" t="s">
        <v>195</v>
      </c>
      <c r="O65" s="144" t="s">
        <v>440</v>
      </c>
      <c r="P65" s="145" t="s">
        <v>502</v>
      </c>
    </row>
    <row r="66" spans="1:16" ht="12.75" customHeight="1" thickBot="1">
      <c r="A66" s="26" t="str">
        <f t="shared" si="6"/>
        <v> BBS 133 (=IBVS 5781) </v>
      </c>
      <c r="B66" s="5" t="str">
        <f t="shared" si="7"/>
        <v>I</v>
      </c>
      <c r="C66" s="26">
        <f t="shared" si="8"/>
        <v>54173.374499999998</v>
      </c>
      <c r="D66" s="24" t="str">
        <f t="shared" si="9"/>
        <v>vis</v>
      </c>
      <c r="E66" s="141">
        <f>VLOOKUP(C66,'Active 1'!C$21:E$968,3,FALSE)</f>
        <v>29140.080734279712</v>
      </c>
      <c r="F66" s="5" t="s">
        <v>214</v>
      </c>
      <c r="G66" s="24" t="str">
        <f t="shared" si="10"/>
        <v>54173.3745</v>
      </c>
      <c r="H66" s="26">
        <f t="shared" si="11"/>
        <v>5072</v>
      </c>
      <c r="I66" s="142" t="s">
        <v>503</v>
      </c>
      <c r="J66" s="143" t="s">
        <v>504</v>
      </c>
      <c r="K66" s="142" t="s">
        <v>505</v>
      </c>
      <c r="L66" s="142" t="s">
        <v>506</v>
      </c>
      <c r="M66" s="143" t="s">
        <v>471</v>
      </c>
      <c r="N66" s="143" t="s">
        <v>214</v>
      </c>
      <c r="O66" s="144" t="s">
        <v>507</v>
      </c>
      <c r="P66" s="144" t="s">
        <v>508</v>
      </c>
    </row>
    <row r="67" spans="1:16" ht="12.75" customHeight="1" thickBot="1">
      <c r="A67" s="26" t="str">
        <f t="shared" si="6"/>
        <v>BAVM 201 </v>
      </c>
      <c r="B67" s="5" t="str">
        <f t="shared" si="7"/>
        <v>I</v>
      </c>
      <c r="C67" s="26">
        <f t="shared" si="8"/>
        <v>54472.2644</v>
      </c>
      <c r="D67" s="24" t="str">
        <f t="shared" si="9"/>
        <v>vis</v>
      </c>
      <c r="E67" s="141">
        <f>VLOOKUP(C67,'Active 1'!C$21:E$968,3,FALSE)</f>
        <v>30046.072687404965</v>
      </c>
      <c r="F67" s="5" t="s">
        <v>214</v>
      </c>
      <c r="G67" s="24" t="str">
        <f t="shared" si="10"/>
        <v>54472.2644</v>
      </c>
      <c r="H67" s="26">
        <f t="shared" si="11"/>
        <v>5978</v>
      </c>
      <c r="I67" s="142" t="s">
        <v>509</v>
      </c>
      <c r="J67" s="143" t="s">
        <v>510</v>
      </c>
      <c r="K67" s="142" t="s">
        <v>511</v>
      </c>
      <c r="L67" s="142" t="s">
        <v>512</v>
      </c>
      <c r="M67" s="143" t="s">
        <v>471</v>
      </c>
      <c r="N67" s="143" t="s">
        <v>483</v>
      </c>
      <c r="O67" s="144" t="s">
        <v>484</v>
      </c>
      <c r="P67" s="145" t="s">
        <v>513</v>
      </c>
    </row>
    <row r="68" spans="1:16" ht="12.75" customHeight="1" thickBot="1">
      <c r="A68" s="26" t="str">
        <f t="shared" si="6"/>
        <v>BAVM 201 </v>
      </c>
      <c r="B68" s="5" t="str">
        <f t="shared" si="7"/>
        <v>II</v>
      </c>
      <c r="C68" s="26">
        <f t="shared" si="8"/>
        <v>54510.366699999999</v>
      </c>
      <c r="D68" s="24" t="str">
        <f t="shared" si="9"/>
        <v>vis</v>
      </c>
      <c r="E68" s="141">
        <f>VLOOKUP(C68,'Active 1'!C$21:E$968,3,FALSE)</f>
        <v>30161.567982480385</v>
      </c>
      <c r="F68" s="5" t="s">
        <v>214</v>
      </c>
      <c r="G68" s="24" t="str">
        <f t="shared" si="10"/>
        <v>54510.3667</v>
      </c>
      <c r="H68" s="26">
        <f t="shared" si="11"/>
        <v>6093.5</v>
      </c>
      <c r="I68" s="142" t="s">
        <v>514</v>
      </c>
      <c r="J68" s="143" t="s">
        <v>515</v>
      </c>
      <c r="K68" s="142" t="s">
        <v>516</v>
      </c>
      <c r="L68" s="142" t="s">
        <v>517</v>
      </c>
      <c r="M68" s="143" t="s">
        <v>471</v>
      </c>
      <c r="N68" s="143" t="s">
        <v>483</v>
      </c>
      <c r="O68" s="144" t="s">
        <v>484</v>
      </c>
      <c r="P68" s="145" t="s">
        <v>513</v>
      </c>
    </row>
    <row r="69" spans="1:16" ht="12.75" customHeight="1" thickBot="1">
      <c r="A69" s="26" t="str">
        <f t="shared" si="6"/>
        <v>IBVS 5898 </v>
      </c>
      <c r="B69" s="5" t="str">
        <f t="shared" si="7"/>
        <v>II</v>
      </c>
      <c r="C69" s="26">
        <f t="shared" si="8"/>
        <v>54544.348599999998</v>
      </c>
      <c r="D69" s="24" t="str">
        <f t="shared" si="9"/>
        <v>vis</v>
      </c>
      <c r="E69" s="141">
        <f>VLOOKUP(C69,'Active 1'!C$21:E$968,3,FALSE)</f>
        <v>30264.573563973456</v>
      </c>
      <c r="F69" s="5" t="s">
        <v>214</v>
      </c>
      <c r="G69" s="24" t="str">
        <f t="shared" si="10"/>
        <v>54544.3486</v>
      </c>
      <c r="H69" s="26">
        <f t="shared" si="11"/>
        <v>6196.5</v>
      </c>
      <c r="I69" s="142" t="s">
        <v>518</v>
      </c>
      <c r="J69" s="143" t="s">
        <v>519</v>
      </c>
      <c r="K69" s="142" t="s">
        <v>520</v>
      </c>
      <c r="L69" s="142" t="s">
        <v>521</v>
      </c>
      <c r="M69" s="143" t="s">
        <v>471</v>
      </c>
      <c r="N69" s="143" t="s">
        <v>483</v>
      </c>
      <c r="O69" s="144" t="s">
        <v>477</v>
      </c>
      <c r="P69" s="145" t="s">
        <v>522</v>
      </c>
    </row>
    <row r="70" spans="1:16" ht="12.75" customHeight="1" thickBot="1">
      <c r="A70" s="26" t="str">
        <f t="shared" si="6"/>
        <v>IBVS 5898 </v>
      </c>
      <c r="B70" s="5" t="str">
        <f t="shared" si="7"/>
        <v>I</v>
      </c>
      <c r="C70" s="26">
        <f t="shared" si="8"/>
        <v>54556.390299999999</v>
      </c>
      <c r="D70" s="24" t="str">
        <f t="shared" si="9"/>
        <v>vis</v>
      </c>
      <c r="E70" s="141">
        <f>VLOOKUP(C70,'Active 1'!C$21:E$968,3,FALSE)</f>
        <v>30301.074239646838</v>
      </c>
      <c r="F70" s="5" t="s">
        <v>214</v>
      </c>
      <c r="G70" s="24" t="str">
        <f t="shared" si="10"/>
        <v>54556.3903</v>
      </c>
      <c r="H70" s="26">
        <f t="shared" si="11"/>
        <v>6233</v>
      </c>
      <c r="I70" s="142" t="s">
        <v>523</v>
      </c>
      <c r="J70" s="143" t="s">
        <v>524</v>
      </c>
      <c r="K70" s="142" t="s">
        <v>525</v>
      </c>
      <c r="L70" s="142" t="s">
        <v>526</v>
      </c>
      <c r="M70" s="143" t="s">
        <v>471</v>
      </c>
      <c r="N70" s="143" t="s">
        <v>483</v>
      </c>
      <c r="O70" s="144" t="s">
        <v>477</v>
      </c>
      <c r="P70" s="145" t="s">
        <v>522</v>
      </c>
    </row>
    <row r="71" spans="1:16" ht="12.75" customHeight="1" thickBot="1">
      <c r="A71" s="26" t="str">
        <f t="shared" si="6"/>
        <v>IBVS 5898 </v>
      </c>
      <c r="B71" s="5" t="str">
        <f t="shared" si="7"/>
        <v>I</v>
      </c>
      <c r="C71" s="26">
        <f t="shared" si="8"/>
        <v>54706.496700000003</v>
      </c>
      <c r="D71" s="24" t="str">
        <f t="shared" si="9"/>
        <v>vis</v>
      </c>
      <c r="E71" s="141">
        <f>VLOOKUP(C71,'Active 1'!C$21:E$968,3,FALSE)</f>
        <v>30756.075196563095</v>
      </c>
      <c r="F71" s="5" t="s">
        <v>214</v>
      </c>
      <c r="G71" s="24" t="str">
        <f t="shared" si="10"/>
        <v>54706.4967</v>
      </c>
      <c r="H71" s="26">
        <f t="shared" si="11"/>
        <v>6688</v>
      </c>
      <c r="I71" s="142" t="s">
        <v>527</v>
      </c>
      <c r="J71" s="143" t="s">
        <v>528</v>
      </c>
      <c r="K71" s="142" t="s">
        <v>529</v>
      </c>
      <c r="L71" s="142" t="s">
        <v>530</v>
      </c>
      <c r="M71" s="143" t="s">
        <v>471</v>
      </c>
      <c r="N71" s="143" t="s">
        <v>214</v>
      </c>
      <c r="O71" s="144" t="s">
        <v>477</v>
      </c>
      <c r="P71" s="145" t="s">
        <v>522</v>
      </c>
    </row>
    <row r="72" spans="1:16" ht="12.75" customHeight="1" thickBot="1">
      <c r="A72" s="26" t="str">
        <f t="shared" si="6"/>
        <v>IBVS 5898 </v>
      </c>
      <c r="B72" s="5" t="str">
        <f t="shared" si="7"/>
        <v>I</v>
      </c>
      <c r="C72" s="26">
        <f t="shared" si="8"/>
        <v>54803.486199999999</v>
      </c>
      <c r="D72" s="24" t="str">
        <f t="shared" si="9"/>
        <v>CCD</v>
      </c>
      <c r="E72" s="141">
        <f>VLOOKUP(C72,'Active 1'!C$21:E$968,3,FALSE)</f>
        <v>31050.068759201502</v>
      </c>
      <c r="F72" s="5" t="str">
        <f>LEFT(M72,1)</f>
        <v>C</v>
      </c>
      <c r="G72" s="24" t="str">
        <f t="shared" si="10"/>
        <v>54803.4862</v>
      </c>
      <c r="H72" s="26">
        <f t="shared" si="11"/>
        <v>6982</v>
      </c>
      <c r="I72" s="142" t="s">
        <v>531</v>
      </c>
      <c r="J72" s="143" t="s">
        <v>532</v>
      </c>
      <c r="K72" s="142" t="s">
        <v>533</v>
      </c>
      <c r="L72" s="142" t="s">
        <v>534</v>
      </c>
      <c r="M72" s="143" t="s">
        <v>471</v>
      </c>
      <c r="N72" s="143" t="s">
        <v>483</v>
      </c>
      <c r="O72" s="144" t="s">
        <v>477</v>
      </c>
      <c r="P72" s="145" t="s">
        <v>522</v>
      </c>
    </row>
    <row r="73" spans="1:16" ht="12.75" customHeight="1" thickBot="1">
      <c r="A73" s="26" t="str">
        <f t="shared" si="6"/>
        <v>IBVS 5871 </v>
      </c>
      <c r="B73" s="5" t="str">
        <f t="shared" si="7"/>
        <v>II</v>
      </c>
      <c r="C73" s="26">
        <f t="shared" si="8"/>
        <v>54830.703600000001</v>
      </c>
      <c r="D73" s="24" t="str">
        <f t="shared" si="9"/>
        <v>CCD</v>
      </c>
      <c r="E73" s="141">
        <f>VLOOKUP(C73,'Active 1'!C$21:E$968,3,FALSE)</f>
        <v>31132.56985872006</v>
      </c>
      <c r="F73" s="5" t="str">
        <f>LEFT(M73,1)</f>
        <v>C</v>
      </c>
      <c r="G73" s="24" t="str">
        <f t="shared" si="10"/>
        <v>54830.7036</v>
      </c>
      <c r="H73" s="26">
        <f t="shared" si="11"/>
        <v>7064.5</v>
      </c>
      <c r="I73" s="142" t="s">
        <v>535</v>
      </c>
      <c r="J73" s="143" t="s">
        <v>536</v>
      </c>
      <c r="K73" s="142" t="s">
        <v>537</v>
      </c>
      <c r="L73" s="142" t="s">
        <v>521</v>
      </c>
      <c r="M73" s="143" t="s">
        <v>471</v>
      </c>
      <c r="N73" s="143" t="s">
        <v>214</v>
      </c>
      <c r="O73" s="144" t="s">
        <v>507</v>
      </c>
      <c r="P73" s="145" t="s">
        <v>538</v>
      </c>
    </row>
    <row r="74" spans="1:16" ht="12.75" customHeight="1" thickBot="1">
      <c r="A74" s="26" t="str">
        <f t="shared" si="6"/>
        <v>BAVM 209 </v>
      </c>
      <c r="B74" s="5" t="str">
        <f t="shared" si="7"/>
        <v>II</v>
      </c>
      <c r="C74" s="26">
        <f t="shared" si="8"/>
        <v>54843.239500000003</v>
      </c>
      <c r="D74" s="24" t="str">
        <f t="shared" si="9"/>
        <v>CCD</v>
      </c>
      <c r="E74" s="141">
        <f>VLOOKUP(C74,'Active 1'!C$21:E$968,3,FALSE)</f>
        <v>31170.568548288313</v>
      </c>
      <c r="F74" s="5" t="str">
        <f>LEFT(M74,1)</f>
        <v>C</v>
      </c>
      <c r="G74" s="24" t="str">
        <f t="shared" si="10"/>
        <v>54843.2395</v>
      </c>
      <c r="H74" s="26">
        <f t="shared" si="11"/>
        <v>7102.5</v>
      </c>
      <c r="I74" s="142" t="s">
        <v>544</v>
      </c>
      <c r="J74" s="143" t="s">
        <v>545</v>
      </c>
      <c r="K74" s="142" t="s">
        <v>546</v>
      </c>
      <c r="L74" s="142" t="s">
        <v>482</v>
      </c>
      <c r="M74" s="143" t="s">
        <v>471</v>
      </c>
      <c r="N74" s="143" t="s">
        <v>454</v>
      </c>
      <c r="O74" s="144" t="s">
        <v>547</v>
      </c>
      <c r="P74" s="145" t="s">
        <v>548</v>
      </c>
    </row>
    <row r="75" spans="1:16" ht="12.75" customHeight="1" thickBot="1">
      <c r="A75" s="26" t="str">
        <f t="shared" ref="A75:A106" si="12">P75</f>
        <v>BAVM 209 </v>
      </c>
      <c r="B75" s="5" t="str">
        <f t="shared" ref="B75:B106" si="13">IF(H75=INT(H75),"I","II")</f>
        <v>I</v>
      </c>
      <c r="C75" s="26">
        <f t="shared" ref="C75:C106" si="14">1*G75</f>
        <v>54843.404799999997</v>
      </c>
      <c r="D75" s="24" t="str">
        <f t="shared" ref="D75:D106" si="15">VLOOKUP(F75,I$1:J$5,2,FALSE)</f>
        <v>vis</v>
      </c>
      <c r="E75" s="141">
        <f>VLOOKUP(C75,'Active 1'!C$21:E$968,3,FALSE)</f>
        <v>31171.069603927346</v>
      </c>
      <c r="F75" s="5" t="s">
        <v>214</v>
      </c>
      <c r="G75" s="24" t="str">
        <f t="shared" ref="G75:G106" si="16">MID(I75,3,LEN(I75)-3)</f>
        <v>54843.4048</v>
      </c>
      <c r="H75" s="26">
        <f t="shared" ref="H75:H106" si="17">1*K75</f>
        <v>7103</v>
      </c>
      <c r="I75" s="142" t="s">
        <v>552</v>
      </c>
      <c r="J75" s="143" t="s">
        <v>550</v>
      </c>
      <c r="K75" s="142" t="s">
        <v>551</v>
      </c>
      <c r="L75" s="142" t="s">
        <v>521</v>
      </c>
      <c r="M75" s="143" t="s">
        <v>471</v>
      </c>
      <c r="N75" s="143" t="s">
        <v>454</v>
      </c>
      <c r="O75" s="144" t="s">
        <v>547</v>
      </c>
      <c r="P75" s="145" t="s">
        <v>548</v>
      </c>
    </row>
    <row r="76" spans="1:16" ht="12.75" customHeight="1" thickBot="1">
      <c r="A76" s="26" t="str">
        <f t="shared" si="12"/>
        <v>BAVM 209 </v>
      </c>
      <c r="B76" s="5" t="str">
        <f t="shared" si="13"/>
        <v>II</v>
      </c>
      <c r="C76" s="26">
        <f t="shared" si="14"/>
        <v>54843.568899999998</v>
      </c>
      <c r="D76" s="24" t="str">
        <f t="shared" si="15"/>
        <v>vis</v>
      </c>
      <c r="E76" s="141">
        <f>VLOOKUP(C76,'Active 1'!C$21:E$968,3,FALSE)</f>
        <v>31171.567022138901</v>
      </c>
      <c r="F76" s="5" t="s">
        <v>214</v>
      </c>
      <c r="G76" s="24" t="str">
        <f t="shared" si="16"/>
        <v>54843.5689</v>
      </c>
      <c r="H76" s="26">
        <f t="shared" si="17"/>
        <v>7103.5</v>
      </c>
      <c r="I76" s="142" t="s">
        <v>553</v>
      </c>
      <c r="J76" s="143" t="s">
        <v>554</v>
      </c>
      <c r="K76" s="142" t="s">
        <v>555</v>
      </c>
      <c r="L76" s="142" t="s">
        <v>453</v>
      </c>
      <c r="M76" s="143" t="s">
        <v>471</v>
      </c>
      <c r="N76" s="143" t="s">
        <v>454</v>
      </c>
      <c r="O76" s="144" t="s">
        <v>547</v>
      </c>
      <c r="P76" s="145" t="s">
        <v>548</v>
      </c>
    </row>
    <row r="77" spans="1:16" ht="12.75" customHeight="1" thickBot="1">
      <c r="A77" s="26" t="str">
        <f t="shared" si="12"/>
        <v>BAVM 214 </v>
      </c>
      <c r="B77" s="5" t="str">
        <f t="shared" si="13"/>
        <v>II</v>
      </c>
      <c r="C77" s="26">
        <f t="shared" si="14"/>
        <v>54844.2284</v>
      </c>
      <c r="D77" s="24" t="str">
        <f t="shared" si="15"/>
        <v>vis</v>
      </c>
      <c r="E77" s="141">
        <f>VLOOKUP(C77,'Active 1'!C$21:E$968,3,FALSE)</f>
        <v>31173.566091672823</v>
      </c>
      <c r="F77" s="5" t="s">
        <v>214</v>
      </c>
      <c r="G77" s="24" t="str">
        <f t="shared" si="16"/>
        <v>54844.2284</v>
      </c>
      <c r="H77" s="26">
        <f t="shared" si="17"/>
        <v>7105.5</v>
      </c>
      <c r="I77" s="142" t="s">
        <v>556</v>
      </c>
      <c r="J77" s="143" t="s">
        <v>557</v>
      </c>
      <c r="K77" s="142" t="s">
        <v>558</v>
      </c>
      <c r="L77" s="142" t="s">
        <v>559</v>
      </c>
      <c r="M77" s="143" t="s">
        <v>471</v>
      </c>
      <c r="N77" s="143" t="s">
        <v>560</v>
      </c>
      <c r="O77" s="144" t="s">
        <v>561</v>
      </c>
      <c r="P77" s="145" t="s">
        <v>562</v>
      </c>
    </row>
    <row r="78" spans="1:16" ht="12.75" customHeight="1" thickBot="1">
      <c r="A78" s="26" t="str">
        <f t="shared" si="12"/>
        <v>IBVS 5980 </v>
      </c>
      <c r="B78" s="5" t="str">
        <f t="shared" si="13"/>
        <v>I</v>
      </c>
      <c r="C78" s="26">
        <f t="shared" si="14"/>
        <v>55059.488599999997</v>
      </c>
      <c r="D78" s="24" t="str">
        <f t="shared" si="15"/>
        <v>vis</v>
      </c>
      <c r="E78" s="141">
        <f>VLOOKUP(C78,'Active 1'!C$21:E$968,3,FALSE)</f>
        <v>31826.060568830228</v>
      </c>
      <c r="F78" s="5" t="s">
        <v>214</v>
      </c>
      <c r="G78" s="24" t="str">
        <f t="shared" si="16"/>
        <v>55059.4886</v>
      </c>
      <c r="H78" s="26">
        <f t="shared" si="17"/>
        <v>7758</v>
      </c>
      <c r="I78" s="142" t="s">
        <v>568</v>
      </c>
      <c r="J78" s="143" t="s">
        <v>569</v>
      </c>
      <c r="K78" s="142" t="s">
        <v>570</v>
      </c>
      <c r="L78" s="142" t="s">
        <v>420</v>
      </c>
      <c r="M78" s="143" t="s">
        <v>471</v>
      </c>
      <c r="N78" s="143" t="s">
        <v>214</v>
      </c>
      <c r="O78" s="144" t="s">
        <v>477</v>
      </c>
      <c r="P78" s="145" t="s">
        <v>571</v>
      </c>
    </row>
    <row r="79" spans="1:16" ht="12.75" customHeight="1" thickBot="1">
      <c r="A79" s="26" t="str">
        <f t="shared" si="12"/>
        <v>IBVS 5980 </v>
      </c>
      <c r="B79" s="5" t="str">
        <f t="shared" si="13"/>
        <v>II</v>
      </c>
      <c r="C79" s="26">
        <f t="shared" si="14"/>
        <v>55068.561300000001</v>
      </c>
      <c r="D79" s="24" t="str">
        <f t="shared" si="15"/>
        <v>vis</v>
      </c>
      <c r="E79" s="141">
        <f>VLOOKUP(C79,'Active 1'!C$21:E$968,3,FALSE)</f>
        <v>31853.561642613997</v>
      </c>
      <c r="F79" s="5" t="s">
        <v>214</v>
      </c>
      <c r="G79" s="24" t="str">
        <f t="shared" si="16"/>
        <v>55068.5613</v>
      </c>
      <c r="H79" s="26">
        <f t="shared" si="17"/>
        <v>7785.5</v>
      </c>
      <c r="I79" s="142" t="s">
        <v>572</v>
      </c>
      <c r="J79" s="143" t="s">
        <v>573</v>
      </c>
      <c r="K79" s="142" t="s">
        <v>574</v>
      </c>
      <c r="L79" s="142" t="s">
        <v>575</v>
      </c>
      <c r="M79" s="143" t="s">
        <v>471</v>
      </c>
      <c r="N79" s="143" t="s">
        <v>214</v>
      </c>
      <c r="O79" s="144" t="s">
        <v>477</v>
      </c>
      <c r="P79" s="145" t="s">
        <v>571</v>
      </c>
    </row>
    <row r="80" spans="1:16" ht="12.75" customHeight="1" thickBot="1">
      <c r="A80" s="26" t="str">
        <f t="shared" si="12"/>
        <v>IBVS 5980 </v>
      </c>
      <c r="B80" s="5" t="str">
        <f t="shared" si="13"/>
        <v>II</v>
      </c>
      <c r="C80" s="26">
        <f t="shared" si="14"/>
        <v>55100.561300000001</v>
      </c>
      <c r="D80" s="24" t="str">
        <f t="shared" si="15"/>
        <v>vis</v>
      </c>
      <c r="E80" s="141">
        <f>VLOOKUP(C80,'Active 1'!C$21:E$968,3,FALSE)</f>
        <v>31950.559709460711</v>
      </c>
      <c r="F80" s="5" t="s">
        <v>214</v>
      </c>
      <c r="G80" s="24" t="str">
        <f t="shared" si="16"/>
        <v>55100.5613</v>
      </c>
      <c r="H80" s="26">
        <f t="shared" si="17"/>
        <v>7882.5</v>
      </c>
      <c r="I80" s="142" t="s">
        <v>576</v>
      </c>
      <c r="J80" s="143" t="s">
        <v>577</v>
      </c>
      <c r="K80" s="142" t="s">
        <v>578</v>
      </c>
      <c r="L80" s="142" t="s">
        <v>579</v>
      </c>
      <c r="M80" s="143" t="s">
        <v>471</v>
      </c>
      <c r="N80" s="143" t="s">
        <v>214</v>
      </c>
      <c r="O80" s="144" t="s">
        <v>477</v>
      </c>
      <c r="P80" s="145" t="s">
        <v>571</v>
      </c>
    </row>
    <row r="81" spans="1:16" ht="12.75" customHeight="1" thickBot="1">
      <c r="A81" s="26" t="str">
        <f t="shared" si="12"/>
        <v>IBVS 5920 </v>
      </c>
      <c r="B81" s="5" t="str">
        <f t="shared" si="13"/>
        <v>II</v>
      </c>
      <c r="C81" s="26">
        <f t="shared" si="14"/>
        <v>55135.863599999997</v>
      </c>
      <c r="D81" s="24" t="str">
        <f t="shared" si="15"/>
        <v>vis</v>
      </c>
      <c r="E81" s="141">
        <f>VLOOKUP(C81,'Active 1'!C$21:E$968,3,FALSE)</f>
        <v>32057.567673687034</v>
      </c>
      <c r="F81" s="5" t="s">
        <v>214</v>
      </c>
      <c r="G81" s="24" t="str">
        <f t="shared" si="16"/>
        <v>55135.8636</v>
      </c>
      <c r="H81" s="26">
        <f t="shared" si="17"/>
        <v>7989.5</v>
      </c>
      <c r="I81" s="142" t="s">
        <v>580</v>
      </c>
      <c r="J81" s="143" t="s">
        <v>581</v>
      </c>
      <c r="K81" s="142" t="s">
        <v>582</v>
      </c>
      <c r="L81" s="142" t="s">
        <v>583</v>
      </c>
      <c r="M81" s="143" t="s">
        <v>471</v>
      </c>
      <c r="N81" s="143" t="s">
        <v>214</v>
      </c>
      <c r="O81" s="144" t="s">
        <v>507</v>
      </c>
      <c r="P81" s="145" t="s">
        <v>584</v>
      </c>
    </row>
    <row r="82" spans="1:16" ht="12.75" customHeight="1" thickBot="1">
      <c r="A82" s="26" t="str">
        <f t="shared" si="12"/>
        <v>IBVS 5929 </v>
      </c>
      <c r="B82" s="5" t="str">
        <f t="shared" si="13"/>
        <v>II</v>
      </c>
      <c r="C82" s="26">
        <f t="shared" si="14"/>
        <v>55149.717499999999</v>
      </c>
      <c r="D82" s="24" t="str">
        <f t="shared" si="15"/>
        <v>vis</v>
      </c>
      <c r="E82" s="141">
        <f>VLOOKUP(C82,'Active 1'!C$21:E$968,3,FALSE)</f>
        <v>32099.561471133533</v>
      </c>
      <c r="F82" s="5" t="s">
        <v>214</v>
      </c>
      <c r="G82" s="24" t="str">
        <f t="shared" si="16"/>
        <v>55149.7175</v>
      </c>
      <c r="H82" s="26">
        <f t="shared" si="17"/>
        <v>8031.5</v>
      </c>
      <c r="I82" s="142" t="s">
        <v>585</v>
      </c>
      <c r="J82" s="143" t="s">
        <v>586</v>
      </c>
      <c r="K82" s="142" t="s">
        <v>587</v>
      </c>
      <c r="L82" s="142" t="s">
        <v>588</v>
      </c>
      <c r="M82" s="143" t="s">
        <v>471</v>
      </c>
      <c r="N82" s="143" t="s">
        <v>195</v>
      </c>
      <c r="O82" s="144" t="s">
        <v>440</v>
      </c>
      <c r="P82" s="145" t="s">
        <v>589</v>
      </c>
    </row>
    <row r="83" spans="1:16" ht="12.75" customHeight="1" thickBot="1">
      <c r="A83" s="26" t="str">
        <f t="shared" si="12"/>
        <v>BAVM 214 </v>
      </c>
      <c r="B83" s="5" t="str">
        <f t="shared" si="13"/>
        <v>I</v>
      </c>
      <c r="C83" s="26">
        <f t="shared" si="14"/>
        <v>55194.4182</v>
      </c>
      <c r="D83" s="24" t="str">
        <f t="shared" si="15"/>
        <v>vis</v>
      </c>
      <c r="E83" s="141">
        <f>VLOOKUP(C83,'Active 1'!C$21:E$968,3,FALSE)</f>
        <v>32235.057767592752</v>
      </c>
      <c r="F83" s="5" t="s">
        <v>214</v>
      </c>
      <c r="G83" s="24" t="str">
        <f t="shared" si="16"/>
        <v>55194.4182</v>
      </c>
      <c r="H83" s="26">
        <f t="shared" si="17"/>
        <v>8167</v>
      </c>
      <c r="I83" s="142" t="s">
        <v>590</v>
      </c>
      <c r="J83" s="143" t="s">
        <v>591</v>
      </c>
      <c r="K83" s="142" t="s">
        <v>592</v>
      </c>
      <c r="L83" s="142" t="s">
        <v>476</v>
      </c>
      <c r="M83" s="143" t="s">
        <v>471</v>
      </c>
      <c r="N83" s="143" t="s">
        <v>214</v>
      </c>
      <c r="O83" s="144" t="s">
        <v>542</v>
      </c>
      <c r="P83" s="145" t="s">
        <v>562</v>
      </c>
    </row>
    <row r="84" spans="1:16" ht="12.75" customHeight="1" thickBot="1">
      <c r="A84" s="26" t="str">
        <f t="shared" si="12"/>
        <v>IBVS 5980 </v>
      </c>
      <c r="B84" s="5" t="str">
        <f t="shared" si="13"/>
        <v>II</v>
      </c>
      <c r="C84" s="26">
        <f t="shared" si="14"/>
        <v>55212.4</v>
      </c>
      <c r="D84" s="24" t="str">
        <f t="shared" si="15"/>
        <v>vis</v>
      </c>
      <c r="E84" s="141">
        <f>VLOOKUP(C84,'Active 1'!C$21:E$968,3,FALSE)</f>
        <v>32289.564012543513</v>
      </c>
      <c r="F84" s="5" t="s">
        <v>214</v>
      </c>
      <c r="G84" s="24" t="str">
        <f t="shared" si="16"/>
        <v>55212.4000</v>
      </c>
      <c r="H84" s="26">
        <f t="shared" si="17"/>
        <v>8221.5</v>
      </c>
      <c r="I84" s="142" t="s">
        <v>593</v>
      </c>
      <c r="J84" s="143" t="s">
        <v>594</v>
      </c>
      <c r="K84" s="142" t="s">
        <v>595</v>
      </c>
      <c r="L84" s="142" t="s">
        <v>448</v>
      </c>
      <c r="M84" s="143" t="s">
        <v>471</v>
      </c>
      <c r="N84" s="143" t="s">
        <v>195</v>
      </c>
      <c r="O84" s="144" t="s">
        <v>477</v>
      </c>
      <c r="P84" s="145" t="s">
        <v>571</v>
      </c>
    </row>
    <row r="85" spans="1:16" ht="12.75" customHeight="1" thickBot="1">
      <c r="A85" s="26" t="str">
        <f t="shared" si="12"/>
        <v>IBVS 5980 </v>
      </c>
      <c r="B85" s="5" t="str">
        <f t="shared" si="13"/>
        <v>II</v>
      </c>
      <c r="C85" s="26">
        <f t="shared" si="14"/>
        <v>55213.388800000001</v>
      </c>
      <c r="D85" s="24" t="str">
        <f t="shared" si="15"/>
        <v>vis</v>
      </c>
      <c r="E85" s="141">
        <f>VLOOKUP(C85,'Active 1'!C$21:E$968,3,FALSE)</f>
        <v>32292.561252809075</v>
      </c>
      <c r="F85" s="5" t="s">
        <v>214</v>
      </c>
      <c r="G85" s="24" t="str">
        <f t="shared" si="16"/>
        <v>55213.3888</v>
      </c>
      <c r="H85" s="26">
        <f t="shared" si="17"/>
        <v>8224.5</v>
      </c>
      <c r="I85" s="142" t="s">
        <v>596</v>
      </c>
      <c r="J85" s="143" t="s">
        <v>597</v>
      </c>
      <c r="K85" s="142" t="s">
        <v>598</v>
      </c>
      <c r="L85" s="142" t="s">
        <v>559</v>
      </c>
      <c r="M85" s="143" t="s">
        <v>471</v>
      </c>
      <c r="N85" s="143" t="s">
        <v>214</v>
      </c>
      <c r="O85" s="144" t="s">
        <v>477</v>
      </c>
      <c r="P85" s="145" t="s">
        <v>571</v>
      </c>
    </row>
    <row r="86" spans="1:16" ht="12.75" customHeight="1" thickBot="1">
      <c r="A86" s="26" t="str">
        <f t="shared" si="12"/>
        <v>BAVM 214 </v>
      </c>
      <c r="B86" s="5" t="str">
        <f t="shared" si="13"/>
        <v>I</v>
      </c>
      <c r="C86" s="26">
        <f t="shared" si="14"/>
        <v>55263.366099999999</v>
      </c>
      <c r="D86" s="24" t="str">
        <f t="shared" si="15"/>
        <v>vis</v>
      </c>
      <c r="E86" s="141">
        <f>VLOOKUP(C86,'Active 1'!C$21:E$968,3,FALSE)</f>
        <v>32444.051924253396</v>
      </c>
      <c r="F86" s="5" t="s">
        <v>214</v>
      </c>
      <c r="G86" s="24" t="str">
        <f t="shared" si="16"/>
        <v>55263.3661</v>
      </c>
      <c r="H86" s="26">
        <f t="shared" si="17"/>
        <v>8376</v>
      </c>
      <c r="I86" s="142" t="s">
        <v>599</v>
      </c>
      <c r="J86" s="143" t="s">
        <v>600</v>
      </c>
      <c r="K86" s="142" t="s">
        <v>601</v>
      </c>
      <c r="L86" s="142" t="s">
        <v>602</v>
      </c>
      <c r="M86" s="143" t="s">
        <v>471</v>
      </c>
      <c r="N86" s="143" t="s">
        <v>483</v>
      </c>
      <c r="O86" s="144" t="s">
        <v>484</v>
      </c>
      <c r="P86" s="145" t="s">
        <v>562</v>
      </c>
    </row>
    <row r="87" spans="1:16" ht="12.75" customHeight="1" thickBot="1">
      <c r="A87" s="26" t="str">
        <f t="shared" si="12"/>
        <v>IBVS 5960 </v>
      </c>
      <c r="B87" s="5" t="str">
        <f t="shared" si="13"/>
        <v>I</v>
      </c>
      <c r="C87" s="26">
        <f t="shared" si="14"/>
        <v>55476.813000000002</v>
      </c>
      <c r="D87" s="24" t="str">
        <f t="shared" si="15"/>
        <v>vis</v>
      </c>
      <c r="E87" s="141">
        <f>VLOOKUP(C87,'Active 1'!C$21:E$968,3,FALSE)</f>
        <v>33091.049945329156</v>
      </c>
      <c r="F87" s="5" t="s">
        <v>214</v>
      </c>
      <c r="G87" s="24" t="str">
        <f t="shared" si="16"/>
        <v>55476.8130</v>
      </c>
      <c r="H87" s="26">
        <f t="shared" si="17"/>
        <v>9023</v>
      </c>
      <c r="I87" s="142" t="s">
        <v>603</v>
      </c>
      <c r="J87" s="143" t="s">
        <v>604</v>
      </c>
      <c r="K87" s="142" t="s">
        <v>605</v>
      </c>
      <c r="L87" s="142" t="s">
        <v>606</v>
      </c>
      <c r="M87" s="143" t="s">
        <v>471</v>
      </c>
      <c r="N87" s="143" t="s">
        <v>214</v>
      </c>
      <c r="O87" s="144" t="s">
        <v>507</v>
      </c>
      <c r="P87" s="145" t="s">
        <v>607</v>
      </c>
    </row>
    <row r="88" spans="1:16" ht="12.75" customHeight="1" thickBot="1">
      <c r="A88" s="26" t="str">
        <f t="shared" si="12"/>
        <v>BAVM 220 </v>
      </c>
      <c r="B88" s="5" t="str">
        <f t="shared" si="13"/>
        <v>I</v>
      </c>
      <c r="C88" s="26">
        <f t="shared" si="14"/>
        <v>55584.360800000002</v>
      </c>
      <c r="D88" s="24" t="str">
        <f t="shared" si="15"/>
        <v>vis</v>
      </c>
      <c r="E88" s="141">
        <f>VLOOKUP(C88,'Active 1'!C$21:E$968,3,FALSE)</f>
        <v>33417.047717004687</v>
      </c>
      <c r="F88" s="5" t="s">
        <v>214</v>
      </c>
      <c r="G88" s="24" t="str">
        <f t="shared" si="16"/>
        <v>55584.3608</v>
      </c>
      <c r="H88" s="26">
        <f t="shared" si="17"/>
        <v>9349</v>
      </c>
      <c r="I88" s="142" t="s">
        <v>616</v>
      </c>
      <c r="J88" s="143" t="s">
        <v>617</v>
      </c>
      <c r="K88" s="142" t="s">
        <v>618</v>
      </c>
      <c r="L88" s="142" t="s">
        <v>602</v>
      </c>
      <c r="M88" s="143" t="s">
        <v>471</v>
      </c>
      <c r="N88" s="143" t="s">
        <v>483</v>
      </c>
      <c r="O88" s="144" t="s">
        <v>484</v>
      </c>
      <c r="P88" s="145" t="s">
        <v>619</v>
      </c>
    </row>
    <row r="89" spans="1:16" ht="12.75" customHeight="1" thickBot="1">
      <c r="A89" s="26" t="str">
        <f t="shared" si="12"/>
        <v>OEJV 0142 </v>
      </c>
      <c r="B89" s="5" t="str">
        <f t="shared" si="13"/>
        <v>II</v>
      </c>
      <c r="C89" s="26">
        <f t="shared" si="14"/>
        <v>55804.572</v>
      </c>
      <c r="D89" s="24" t="str">
        <f t="shared" si="15"/>
        <v>vis</v>
      </c>
      <c r="E89" s="141">
        <f>VLOOKUP(C89,'Active 1'!C$21:E$968,3,FALSE)</f>
        <v>34084.549613817035</v>
      </c>
      <c r="F89" s="5" t="s">
        <v>214</v>
      </c>
      <c r="G89" s="24" t="str">
        <f t="shared" si="16"/>
        <v>55804.572</v>
      </c>
      <c r="H89" s="26">
        <f t="shared" si="17"/>
        <v>10016.5</v>
      </c>
      <c r="I89" s="142" t="s">
        <v>636</v>
      </c>
      <c r="J89" s="143" t="s">
        <v>637</v>
      </c>
      <c r="K89" s="142" t="s">
        <v>638</v>
      </c>
      <c r="L89" s="142" t="s">
        <v>378</v>
      </c>
      <c r="M89" s="143" t="s">
        <v>471</v>
      </c>
      <c r="N89" s="143" t="s">
        <v>483</v>
      </c>
      <c r="O89" s="144" t="s">
        <v>639</v>
      </c>
      <c r="P89" s="145" t="s">
        <v>640</v>
      </c>
    </row>
    <row r="90" spans="1:16" ht="12.75" customHeight="1" thickBot="1">
      <c r="A90" s="26" t="str">
        <f t="shared" si="12"/>
        <v>IBVS 6011 </v>
      </c>
      <c r="B90" s="5" t="str">
        <f t="shared" si="13"/>
        <v>II</v>
      </c>
      <c r="C90" s="26">
        <f t="shared" si="14"/>
        <v>55874.841999999997</v>
      </c>
      <c r="D90" s="24" t="str">
        <f t="shared" si="15"/>
        <v>vis</v>
      </c>
      <c r="E90" s="141">
        <f>VLOOKUP(C90,'Active 1'!C$21:E$968,3,FALSE)</f>
        <v>34297.551306233232</v>
      </c>
      <c r="F90" s="5" t="s">
        <v>214</v>
      </c>
      <c r="G90" s="24" t="str">
        <f t="shared" si="16"/>
        <v>55874.8420</v>
      </c>
      <c r="H90" s="26">
        <f t="shared" si="17"/>
        <v>10229.5</v>
      </c>
      <c r="I90" s="142" t="s">
        <v>651</v>
      </c>
      <c r="J90" s="143" t="s">
        <v>652</v>
      </c>
      <c r="K90" s="142" t="s">
        <v>653</v>
      </c>
      <c r="L90" s="142" t="s">
        <v>575</v>
      </c>
      <c r="M90" s="143" t="s">
        <v>471</v>
      </c>
      <c r="N90" s="143" t="s">
        <v>214</v>
      </c>
      <c r="O90" s="144" t="s">
        <v>507</v>
      </c>
      <c r="P90" s="145" t="s">
        <v>654</v>
      </c>
    </row>
    <row r="91" spans="1:16" ht="12.75" customHeight="1" thickBot="1">
      <c r="A91" s="26" t="str">
        <f t="shared" si="12"/>
        <v>OEJV 0160 </v>
      </c>
      <c r="B91" s="5" t="str">
        <f t="shared" si="13"/>
        <v>I</v>
      </c>
      <c r="C91" s="26">
        <f t="shared" si="14"/>
        <v>55877.643960000001</v>
      </c>
      <c r="D91" s="24" t="str">
        <f t="shared" si="15"/>
        <v>vis</v>
      </c>
      <c r="E91" s="141">
        <f>VLOOKUP(C91,'Active 1'!C$21:E$968,3,FALSE)</f>
        <v>34306.044578213929</v>
      </c>
      <c r="F91" s="5" t="s">
        <v>214</v>
      </c>
      <c r="G91" s="24" t="str">
        <f t="shared" si="16"/>
        <v>55877.64396</v>
      </c>
      <c r="H91" s="26">
        <f t="shared" si="17"/>
        <v>10238</v>
      </c>
      <c r="I91" s="142" t="s">
        <v>655</v>
      </c>
      <c r="J91" s="143" t="s">
        <v>656</v>
      </c>
      <c r="K91" s="142" t="s">
        <v>657</v>
      </c>
      <c r="L91" s="142" t="s">
        <v>658</v>
      </c>
      <c r="M91" s="143" t="s">
        <v>471</v>
      </c>
      <c r="N91" s="143" t="s">
        <v>195</v>
      </c>
      <c r="O91" s="144" t="s">
        <v>659</v>
      </c>
      <c r="P91" s="145" t="s">
        <v>660</v>
      </c>
    </row>
    <row r="92" spans="1:16" ht="12.75" customHeight="1" thickBot="1">
      <c r="A92" s="26" t="str">
        <f t="shared" si="12"/>
        <v>OEJV 0160 </v>
      </c>
      <c r="B92" s="5" t="str">
        <f t="shared" si="13"/>
        <v>I</v>
      </c>
      <c r="C92" s="26">
        <f t="shared" si="14"/>
        <v>55877.644160000003</v>
      </c>
      <c r="D92" s="24" t="str">
        <f t="shared" si="15"/>
        <v>vis</v>
      </c>
      <c r="E92" s="141">
        <f>VLOOKUP(C92,'Active 1'!C$21:E$968,3,FALSE)</f>
        <v>34306.045184451854</v>
      </c>
      <c r="F92" s="5" t="s">
        <v>214</v>
      </c>
      <c r="G92" s="24" t="str">
        <f t="shared" si="16"/>
        <v>55877.64416</v>
      </c>
      <c r="H92" s="26">
        <f t="shared" si="17"/>
        <v>10238</v>
      </c>
      <c r="I92" s="142" t="s">
        <v>661</v>
      </c>
      <c r="J92" s="143" t="s">
        <v>656</v>
      </c>
      <c r="K92" s="142" t="s">
        <v>657</v>
      </c>
      <c r="L92" s="142" t="s">
        <v>662</v>
      </c>
      <c r="M92" s="143" t="s">
        <v>471</v>
      </c>
      <c r="N92" s="143" t="s">
        <v>87</v>
      </c>
      <c r="O92" s="144" t="s">
        <v>659</v>
      </c>
      <c r="P92" s="145" t="s">
        <v>660</v>
      </c>
    </row>
    <row r="93" spans="1:16" ht="12.75" customHeight="1" thickBot="1">
      <c r="A93" s="26" t="str">
        <f t="shared" si="12"/>
        <v>OEJV 0160 </v>
      </c>
      <c r="B93" s="5" t="str">
        <f t="shared" si="13"/>
        <v>I</v>
      </c>
      <c r="C93" s="26">
        <f t="shared" si="14"/>
        <v>55877.644160000003</v>
      </c>
      <c r="D93" s="24" t="str">
        <f t="shared" si="15"/>
        <v>vis</v>
      </c>
      <c r="E93" s="141">
        <f>VLOOKUP(C93,'Active 1'!C$21:E$968,3,FALSE)</f>
        <v>34306.045184451854</v>
      </c>
      <c r="F93" s="5" t="s">
        <v>214</v>
      </c>
      <c r="G93" s="24" t="str">
        <f t="shared" si="16"/>
        <v>55877.64416</v>
      </c>
      <c r="H93" s="26">
        <f t="shared" si="17"/>
        <v>10238</v>
      </c>
      <c r="I93" s="142" t="s">
        <v>661</v>
      </c>
      <c r="J93" s="143" t="s">
        <v>656</v>
      </c>
      <c r="K93" s="142" t="s">
        <v>657</v>
      </c>
      <c r="L93" s="142" t="s">
        <v>662</v>
      </c>
      <c r="M93" s="143" t="s">
        <v>471</v>
      </c>
      <c r="N93" s="143" t="s">
        <v>214</v>
      </c>
      <c r="O93" s="144" t="s">
        <v>659</v>
      </c>
      <c r="P93" s="145" t="s">
        <v>660</v>
      </c>
    </row>
    <row r="94" spans="1:16" ht="12.75" customHeight="1" thickBot="1">
      <c r="A94" s="26" t="str">
        <f t="shared" si="12"/>
        <v>OEJV 0160 </v>
      </c>
      <c r="B94" s="5" t="str">
        <f t="shared" si="13"/>
        <v>I</v>
      </c>
      <c r="C94" s="26">
        <f t="shared" si="14"/>
        <v>55958.46933</v>
      </c>
      <c r="D94" s="24" t="str">
        <f t="shared" si="15"/>
        <v>vis</v>
      </c>
      <c r="E94" s="141">
        <f>VLOOKUP(C94,'Active 1'!C$21:E$968,3,FALSE)</f>
        <v>34551.04159828175</v>
      </c>
      <c r="F94" s="5" t="s">
        <v>214</v>
      </c>
      <c r="G94" s="24" t="str">
        <f t="shared" si="16"/>
        <v>55958.46933</v>
      </c>
      <c r="H94" s="26">
        <f t="shared" si="17"/>
        <v>10483</v>
      </c>
      <c r="I94" s="142" t="s">
        <v>671</v>
      </c>
      <c r="J94" s="143" t="s">
        <v>672</v>
      </c>
      <c r="K94" s="142" t="s">
        <v>673</v>
      </c>
      <c r="L94" s="142" t="s">
        <v>674</v>
      </c>
      <c r="M94" s="143" t="s">
        <v>471</v>
      </c>
      <c r="N94" s="143" t="s">
        <v>214</v>
      </c>
      <c r="O94" s="144" t="s">
        <v>623</v>
      </c>
      <c r="P94" s="145" t="s">
        <v>660</v>
      </c>
    </row>
    <row r="95" spans="1:16" ht="12.75" customHeight="1" thickBot="1">
      <c r="A95" s="26" t="str">
        <f t="shared" si="12"/>
        <v>OEJV 0160 </v>
      </c>
      <c r="B95" s="5" t="str">
        <f t="shared" si="13"/>
        <v>I</v>
      </c>
      <c r="C95" s="26">
        <f t="shared" si="14"/>
        <v>55958.469929999999</v>
      </c>
      <c r="D95" s="24" t="str">
        <f t="shared" si="15"/>
        <v>vis</v>
      </c>
      <c r="E95" s="141">
        <f>VLOOKUP(C95,'Active 1'!C$21:E$968,3,FALSE)</f>
        <v>34551.043416995504</v>
      </c>
      <c r="F95" s="5" t="s">
        <v>214</v>
      </c>
      <c r="G95" s="24" t="str">
        <f t="shared" si="16"/>
        <v>55958.46993</v>
      </c>
      <c r="H95" s="26">
        <f t="shared" si="17"/>
        <v>10483</v>
      </c>
      <c r="I95" s="142" t="s">
        <v>675</v>
      </c>
      <c r="J95" s="143" t="s">
        <v>676</v>
      </c>
      <c r="K95" s="142" t="s">
        <v>673</v>
      </c>
      <c r="L95" s="142" t="s">
        <v>677</v>
      </c>
      <c r="M95" s="143" t="s">
        <v>471</v>
      </c>
      <c r="N95" s="143" t="s">
        <v>87</v>
      </c>
      <c r="O95" s="144" t="s">
        <v>623</v>
      </c>
      <c r="P95" s="145" t="s">
        <v>660</v>
      </c>
    </row>
    <row r="96" spans="1:16" ht="12.75" customHeight="1" thickBot="1">
      <c r="A96" s="26" t="str">
        <f t="shared" si="12"/>
        <v>OEJV 0160 </v>
      </c>
      <c r="B96" s="5" t="str">
        <f t="shared" si="13"/>
        <v>I</v>
      </c>
      <c r="C96" s="26">
        <f t="shared" si="14"/>
        <v>55958.470730000001</v>
      </c>
      <c r="D96" s="24" t="str">
        <f t="shared" si="15"/>
        <v>vis</v>
      </c>
      <c r="E96" s="141">
        <f>VLOOKUP(C96,'Active 1'!C$21:E$968,3,FALSE)</f>
        <v>34551.045841947183</v>
      </c>
      <c r="F96" s="5" t="s">
        <v>214</v>
      </c>
      <c r="G96" s="24" t="str">
        <f t="shared" si="16"/>
        <v>55958.47073</v>
      </c>
      <c r="H96" s="26">
        <f t="shared" si="17"/>
        <v>10483</v>
      </c>
      <c r="I96" s="142" t="s">
        <v>678</v>
      </c>
      <c r="J96" s="143" t="s">
        <v>679</v>
      </c>
      <c r="K96" s="142" t="s">
        <v>673</v>
      </c>
      <c r="L96" s="142" t="s">
        <v>680</v>
      </c>
      <c r="M96" s="143" t="s">
        <v>471</v>
      </c>
      <c r="N96" s="143" t="s">
        <v>195</v>
      </c>
      <c r="O96" s="144" t="s">
        <v>623</v>
      </c>
      <c r="P96" s="145" t="s">
        <v>660</v>
      </c>
    </row>
    <row r="97" spans="1:16" ht="12.75" customHeight="1" thickBot="1">
      <c r="A97" s="26" t="str">
        <f t="shared" si="12"/>
        <v>OEJV 0160 </v>
      </c>
      <c r="B97" s="5" t="str">
        <f t="shared" si="13"/>
        <v>I</v>
      </c>
      <c r="C97" s="26">
        <f t="shared" si="14"/>
        <v>56009.274140000001</v>
      </c>
      <c r="D97" s="24" t="str">
        <f t="shared" si="15"/>
        <v>vis</v>
      </c>
      <c r="E97" s="141">
        <f>VLOOKUP(C97,'Active 1'!C$21:E$968,3,FALSE)</f>
        <v>34705.040609422838</v>
      </c>
      <c r="F97" s="5" t="s">
        <v>214</v>
      </c>
      <c r="G97" s="24" t="str">
        <f t="shared" si="16"/>
        <v>56009.27414</v>
      </c>
      <c r="H97" s="26">
        <f t="shared" si="17"/>
        <v>10637</v>
      </c>
      <c r="I97" s="142" t="s">
        <v>681</v>
      </c>
      <c r="J97" s="143" t="s">
        <v>682</v>
      </c>
      <c r="K97" s="142" t="s">
        <v>683</v>
      </c>
      <c r="L97" s="142" t="s">
        <v>684</v>
      </c>
      <c r="M97" s="143" t="s">
        <v>471</v>
      </c>
      <c r="N97" s="143" t="s">
        <v>163</v>
      </c>
      <c r="O97" s="144" t="s">
        <v>623</v>
      </c>
      <c r="P97" s="145" t="s">
        <v>660</v>
      </c>
    </row>
    <row r="98" spans="1:16" ht="12.75" customHeight="1" thickBot="1">
      <c r="A98" s="26" t="str">
        <f t="shared" si="12"/>
        <v>BAVM 231 </v>
      </c>
      <c r="B98" s="5" t="str">
        <f t="shared" si="13"/>
        <v>II</v>
      </c>
      <c r="C98" s="26">
        <f t="shared" si="14"/>
        <v>56015.378100000002</v>
      </c>
      <c r="D98" s="24" t="str">
        <f t="shared" si="15"/>
        <v>vis</v>
      </c>
      <c r="E98" s="141">
        <f>VLOOKUP(C98,'Active 1'!C$21:E$968,3,FALSE)</f>
        <v>34723.542869426266</v>
      </c>
      <c r="F98" s="5" t="s">
        <v>214</v>
      </c>
      <c r="G98" s="24" t="str">
        <f t="shared" si="16"/>
        <v>56015.3781</v>
      </c>
      <c r="H98" s="26">
        <f t="shared" si="17"/>
        <v>10655.5</v>
      </c>
      <c r="I98" s="142" t="s">
        <v>685</v>
      </c>
      <c r="J98" s="143" t="s">
        <v>686</v>
      </c>
      <c r="K98" s="142" t="s">
        <v>687</v>
      </c>
      <c r="L98" s="142" t="s">
        <v>635</v>
      </c>
      <c r="M98" s="143" t="s">
        <v>471</v>
      </c>
      <c r="N98" s="143" t="s">
        <v>483</v>
      </c>
      <c r="O98" s="144" t="s">
        <v>484</v>
      </c>
      <c r="P98" s="145" t="s">
        <v>688</v>
      </c>
    </row>
    <row r="99" spans="1:16" ht="12.75" customHeight="1" thickBot="1">
      <c r="A99" s="26" t="str">
        <f t="shared" si="12"/>
        <v>OEJV 0160 </v>
      </c>
      <c r="B99" s="5" t="str">
        <f t="shared" si="13"/>
        <v>I</v>
      </c>
      <c r="C99" s="26">
        <f t="shared" si="14"/>
        <v>56177.525090000003</v>
      </c>
      <c r="D99" s="24" t="str">
        <f t="shared" si="15"/>
        <v>vis</v>
      </c>
      <c r="E99" s="141">
        <f>VLOOKUP(C99,'Active 1'!C$21:E$968,3,FALSE)</f>
        <v>35215.041137395448</v>
      </c>
      <c r="F99" s="5" t="s">
        <v>214</v>
      </c>
      <c r="G99" s="24" t="str">
        <f t="shared" si="16"/>
        <v>56177.52509</v>
      </c>
      <c r="H99" s="26">
        <f t="shared" si="17"/>
        <v>11147</v>
      </c>
      <c r="I99" s="142" t="s">
        <v>689</v>
      </c>
      <c r="J99" s="143" t="s">
        <v>690</v>
      </c>
      <c r="K99" s="142" t="s">
        <v>691</v>
      </c>
      <c r="L99" s="142" t="s">
        <v>692</v>
      </c>
      <c r="M99" s="143" t="s">
        <v>471</v>
      </c>
      <c r="N99" s="143" t="s">
        <v>214</v>
      </c>
      <c r="O99" s="144" t="s">
        <v>612</v>
      </c>
      <c r="P99" s="145" t="s">
        <v>660</v>
      </c>
    </row>
    <row r="100" spans="1:16" ht="12.75" customHeight="1" thickBot="1">
      <c r="A100" s="26" t="str">
        <f t="shared" si="12"/>
        <v>OEJV 0160 </v>
      </c>
      <c r="B100" s="5" t="str">
        <f t="shared" si="13"/>
        <v>I</v>
      </c>
      <c r="C100" s="26">
        <f t="shared" si="14"/>
        <v>56177.525269999998</v>
      </c>
      <c r="D100" s="24" t="str">
        <f t="shared" si="15"/>
        <v>vis</v>
      </c>
      <c r="E100" s="141">
        <f>VLOOKUP(C100,'Active 1'!C$21:E$968,3,FALSE)</f>
        <v>35215.041683009556</v>
      </c>
      <c r="F100" s="5" t="s">
        <v>214</v>
      </c>
      <c r="G100" s="24" t="str">
        <f t="shared" si="16"/>
        <v>56177.52527</v>
      </c>
      <c r="H100" s="26">
        <f t="shared" si="17"/>
        <v>11147</v>
      </c>
      <c r="I100" s="142" t="s">
        <v>693</v>
      </c>
      <c r="J100" s="143" t="s">
        <v>690</v>
      </c>
      <c r="K100" s="142" t="s">
        <v>691</v>
      </c>
      <c r="L100" s="142" t="s">
        <v>694</v>
      </c>
      <c r="M100" s="143" t="s">
        <v>471</v>
      </c>
      <c r="N100" s="143" t="s">
        <v>137</v>
      </c>
      <c r="O100" s="144" t="s">
        <v>612</v>
      </c>
      <c r="P100" s="145" t="s">
        <v>660</v>
      </c>
    </row>
    <row r="101" spans="1:16" ht="12.75" customHeight="1" thickBot="1">
      <c r="A101" s="26" t="str">
        <f t="shared" si="12"/>
        <v>OEJV 0160 </v>
      </c>
      <c r="B101" s="5" t="str">
        <f t="shared" si="13"/>
        <v>I</v>
      </c>
      <c r="C101" s="26">
        <f t="shared" si="14"/>
        <v>56177.525329999997</v>
      </c>
      <c r="D101" s="24" t="str">
        <f t="shared" si="15"/>
        <v>vis</v>
      </c>
      <c r="E101" s="141">
        <f>VLOOKUP(C101,'Active 1'!C$21:E$968,3,FALSE)</f>
        <v>35215.041864880928</v>
      </c>
      <c r="F101" s="5" t="s">
        <v>214</v>
      </c>
      <c r="G101" s="24" t="str">
        <f t="shared" si="16"/>
        <v>56177.52533</v>
      </c>
      <c r="H101" s="26">
        <f t="shared" si="17"/>
        <v>11147</v>
      </c>
      <c r="I101" s="142" t="s">
        <v>695</v>
      </c>
      <c r="J101" s="143" t="s">
        <v>690</v>
      </c>
      <c r="K101" s="142" t="s">
        <v>691</v>
      </c>
      <c r="L101" s="142" t="s">
        <v>696</v>
      </c>
      <c r="M101" s="143" t="s">
        <v>471</v>
      </c>
      <c r="N101" s="143" t="s">
        <v>195</v>
      </c>
      <c r="O101" s="144" t="s">
        <v>612</v>
      </c>
      <c r="P101" s="145" t="s">
        <v>660</v>
      </c>
    </row>
    <row r="102" spans="1:16" ht="12.75" customHeight="1" thickBot="1">
      <c r="A102" s="26" t="str">
        <f t="shared" si="12"/>
        <v>OEJV 0160 </v>
      </c>
      <c r="B102" s="5" t="str">
        <f t="shared" si="13"/>
        <v>I</v>
      </c>
      <c r="C102" s="26">
        <f t="shared" si="14"/>
        <v>56177.525560000002</v>
      </c>
      <c r="D102" s="24" t="str">
        <f t="shared" si="15"/>
        <v>vis</v>
      </c>
      <c r="E102" s="141">
        <f>VLOOKUP(C102,'Active 1'!C$21:E$968,3,FALSE)</f>
        <v>35215.04256205455</v>
      </c>
      <c r="F102" s="5" t="s">
        <v>214</v>
      </c>
      <c r="G102" s="24" t="str">
        <f t="shared" si="16"/>
        <v>56177.52556</v>
      </c>
      <c r="H102" s="26">
        <f t="shared" si="17"/>
        <v>11147</v>
      </c>
      <c r="I102" s="142" t="s">
        <v>697</v>
      </c>
      <c r="J102" s="143" t="s">
        <v>690</v>
      </c>
      <c r="K102" s="142" t="s">
        <v>691</v>
      </c>
      <c r="L102" s="142" t="s">
        <v>698</v>
      </c>
      <c r="M102" s="143" t="s">
        <v>471</v>
      </c>
      <c r="N102" s="143" t="s">
        <v>87</v>
      </c>
      <c r="O102" s="144" t="s">
        <v>612</v>
      </c>
      <c r="P102" s="145" t="s">
        <v>660</v>
      </c>
    </row>
    <row r="103" spans="1:16" ht="12.75" customHeight="1" thickBot="1">
      <c r="A103" s="26" t="str">
        <f t="shared" si="12"/>
        <v>IBVS 6044 </v>
      </c>
      <c r="B103" s="5" t="str">
        <f t="shared" si="13"/>
        <v>I</v>
      </c>
      <c r="C103" s="26">
        <f t="shared" si="14"/>
        <v>56181.483899999999</v>
      </c>
      <c r="D103" s="24" t="str">
        <f t="shared" si="15"/>
        <v>vis</v>
      </c>
      <c r="E103" s="141">
        <f>VLOOKUP(C103,'Active 1'!C$21:E$968,3,FALSE)</f>
        <v>35227.041041052107</v>
      </c>
      <c r="F103" s="5" t="s">
        <v>214</v>
      </c>
      <c r="G103" s="24" t="str">
        <f t="shared" si="16"/>
        <v>56181.4839</v>
      </c>
      <c r="H103" s="26">
        <f t="shared" si="17"/>
        <v>11159</v>
      </c>
      <c r="I103" s="142" t="s">
        <v>699</v>
      </c>
      <c r="J103" s="143" t="s">
        <v>700</v>
      </c>
      <c r="K103" s="142" t="s">
        <v>701</v>
      </c>
      <c r="L103" s="142" t="s">
        <v>606</v>
      </c>
      <c r="M103" s="143" t="s">
        <v>471</v>
      </c>
      <c r="N103" s="143" t="s">
        <v>195</v>
      </c>
      <c r="O103" s="144" t="s">
        <v>477</v>
      </c>
      <c r="P103" s="145" t="s">
        <v>702</v>
      </c>
    </row>
    <row r="104" spans="1:16" ht="12.75" customHeight="1" thickBot="1">
      <c r="A104" s="26" t="str">
        <f t="shared" si="12"/>
        <v>IBVS 6042 </v>
      </c>
      <c r="B104" s="5" t="str">
        <f t="shared" si="13"/>
        <v>II</v>
      </c>
      <c r="C104" s="26">
        <f t="shared" si="14"/>
        <v>56230.801599999999</v>
      </c>
      <c r="D104" s="24" t="str">
        <f t="shared" si="15"/>
        <v>vis</v>
      </c>
      <c r="E104" s="141">
        <f>VLOOKUP(C104,'Active 1'!C$21:E$968,3,FALSE)</f>
        <v>35376.53233984355</v>
      </c>
      <c r="F104" s="5" t="s">
        <v>214</v>
      </c>
      <c r="G104" s="24" t="str">
        <f t="shared" si="16"/>
        <v>56230.8016</v>
      </c>
      <c r="H104" s="26">
        <f t="shared" si="17"/>
        <v>11308.5</v>
      </c>
      <c r="I104" s="142" t="s">
        <v>703</v>
      </c>
      <c r="J104" s="143" t="s">
        <v>704</v>
      </c>
      <c r="K104" s="142" t="s">
        <v>705</v>
      </c>
      <c r="L104" s="142" t="s">
        <v>706</v>
      </c>
      <c r="M104" s="143" t="s">
        <v>471</v>
      </c>
      <c r="N104" s="143" t="s">
        <v>214</v>
      </c>
      <c r="O104" s="144" t="s">
        <v>507</v>
      </c>
      <c r="P104" s="145" t="s">
        <v>707</v>
      </c>
    </row>
    <row r="105" spans="1:16" ht="12.75" customHeight="1" thickBot="1">
      <c r="A105" s="26" t="str">
        <f t="shared" si="12"/>
        <v>OEJV 0160 </v>
      </c>
      <c r="B105" s="5" t="str">
        <f t="shared" si="13"/>
        <v>II</v>
      </c>
      <c r="C105" s="26">
        <f t="shared" si="14"/>
        <v>56291.505039999996</v>
      </c>
      <c r="D105" s="24" t="str">
        <f t="shared" si="15"/>
        <v>vis</v>
      </c>
      <c r="E105" s="141">
        <f>VLOOKUP(C105,'Active 1'!C$21:E$968,3,FALSE)</f>
        <v>35560.535975185594</v>
      </c>
      <c r="F105" s="5" t="s">
        <v>214</v>
      </c>
      <c r="G105" s="24" t="str">
        <f t="shared" si="16"/>
        <v>56291.50504</v>
      </c>
      <c r="H105" s="26">
        <f t="shared" si="17"/>
        <v>11492.5</v>
      </c>
      <c r="I105" s="142" t="s">
        <v>720</v>
      </c>
      <c r="J105" s="143" t="s">
        <v>721</v>
      </c>
      <c r="K105" s="142" t="s">
        <v>722</v>
      </c>
      <c r="L105" s="142" t="s">
        <v>723</v>
      </c>
      <c r="M105" s="143" t="s">
        <v>471</v>
      </c>
      <c r="N105" s="143" t="s">
        <v>214</v>
      </c>
      <c r="O105" s="144" t="s">
        <v>623</v>
      </c>
      <c r="P105" s="145" t="s">
        <v>660</v>
      </c>
    </row>
    <row r="106" spans="1:16" ht="12.75" customHeight="1" thickBot="1">
      <c r="A106" s="26" t="str">
        <f t="shared" si="12"/>
        <v>OEJV 0160 </v>
      </c>
      <c r="B106" s="5" t="str">
        <f t="shared" si="13"/>
        <v>II</v>
      </c>
      <c r="C106" s="26">
        <f t="shared" si="14"/>
        <v>56291.505149999997</v>
      </c>
      <c r="D106" s="24" t="str">
        <f t="shared" si="15"/>
        <v>vis</v>
      </c>
      <c r="E106" s="141">
        <f>VLOOKUP(C106,'Active 1'!C$21:E$968,3,FALSE)</f>
        <v>35560.536308616451</v>
      </c>
      <c r="F106" s="5" t="s">
        <v>214</v>
      </c>
      <c r="G106" s="24" t="str">
        <f t="shared" si="16"/>
        <v>56291.50515</v>
      </c>
      <c r="H106" s="26">
        <f t="shared" si="17"/>
        <v>11492.5</v>
      </c>
      <c r="I106" s="142" t="s">
        <v>724</v>
      </c>
      <c r="J106" s="143" t="s">
        <v>721</v>
      </c>
      <c r="K106" s="142" t="s">
        <v>722</v>
      </c>
      <c r="L106" s="142" t="s">
        <v>725</v>
      </c>
      <c r="M106" s="143" t="s">
        <v>471</v>
      </c>
      <c r="N106" s="143" t="s">
        <v>195</v>
      </c>
      <c r="O106" s="144" t="s">
        <v>623</v>
      </c>
      <c r="P106" s="145" t="s">
        <v>660</v>
      </c>
    </row>
    <row r="107" spans="1:16" ht="12.75" customHeight="1" thickBot="1">
      <c r="A107" s="26" t="str">
        <f t="shared" ref="A107:A136" si="18">P107</f>
        <v>BAVM 234 </v>
      </c>
      <c r="B107" s="5" t="str">
        <f t="shared" ref="B107:B136" si="19">IF(H107=INT(H107),"I","II")</f>
        <v>I</v>
      </c>
      <c r="C107" s="26">
        <f t="shared" ref="C107:C136" si="20">1*G107</f>
        <v>56354.331700000002</v>
      </c>
      <c r="D107" s="24" t="str">
        <f t="shared" ref="D107:D136" si="21">VLOOKUP(F107,I$1:J$5,2,FALSE)</f>
        <v>vis</v>
      </c>
      <c r="E107" s="141">
        <f>VLOOKUP(C107,'Active 1'!C$21:E$968,3,FALSE)</f>
        <v>35750.975492886726</v>
      </c>
      <c r="F107" s="5" t="s">
        <v>214</v>
      </c>
      <c r="G107" s="24" t="str">
        <f t="shared" ref="G107:G136" si="22">MID(I107,3,LEN(I107)-3)</f>
        <v>56354.3317</v>
      </c>
      <c r="H107" s="26">
        <f t="shared" ref="H107:H136" si="23">1*K107</f>
        <v>11683</v>
      </c>
      <c r="I107" s="142" t="s">
        <v>726</v>
      </c>
      <c r="J107" s="143" t="s">
        <v>727</v>
      </c>
      <c r="K107" s="142" t="s">
        <v>728</v>
      </c>
      <c r="L107" s="142" t="s">
        <v>729</v>
      </c>
      <c r="M107" s="143" t="s">
        <v>471</v>
      </c>
      <c r="N107" s="143" t="s">
        <v>483</v>
      </c>
      <c r="O107" s="144" t="s">
        <v>484</v>
      </c>
      <c r="P107" s="145" t="s">
        <v>730</v>
      </c>
    </row>
    <row r="108" spans="1:16" ht="12.75" customHeight="1" thickBot="1">
      <c r="A108" s="26" t="str">
        <f t="shared" si="18"/>
        <v>IBVS 6092 </v>
      </c>
      <c r="B108" s="5" t="str">
        <f t="shared" si="19"/>
        <v>I</v>
      </c>
      <c r="C108" s="26">
        <f t="shared" si="20"/>
        <v>56600.787400000001</v>
      </c>
      <c r="D108" s="24" t="str">
        <f t="shared" si="21"/>
        <v>vis</v>
      </c>
      <c r="E108" s="141">
        <f>VLOOKUP(C108,'Active 1'!C$21:E$968,3,FALSE)</f>
        <v>36498.029444866537</v>
      </c>
      <c r="F108" s="5" t="s">
        <v>214</v>
      </c>
      <c r="G108" s="24" t="str">
        <f t="shared" si="22"/>
        <v>56600.7874</v>
      </c>
      <c r="H108" s="26">
        <f t="shared" si="23"/>
        <v>12430</v>
      </c>
      <c r="I108" s="142" t="s">
        <v>731</v>
      </c>
      <c r="J108" s="143" t="s">
        <v>732</v>
      </c>
      <c r="K108" s="142" t="s">
        <v>733</v>
      </c>
      <c r="L108" s="142" t="s">
        <v>406</v>
      </c>
      <c r="M108" s="143" t="s">
        <v>471</v>
      </c>
      <c r="N108" s="143" t="s">
        <v>195</v>
      </c>
      <c r="O108" s="144" t="s">
        <v>440</v>
      </c>
      <c r="P108" s="145" t="s">
        <v>734</v>
      </c>
    </row>
    <row r="109" spans="1:16" ht="12.75" customHeight="1" thickBot="1">
      <c r="A109" s="26" t="str">
        <f t="shared" si="18"/>
        <v>BAVM 234 </v>
      </c>
      <c r="B109" s="5" t="str">
        <f t="shared" si="19"/>
        <v>I</v>
      </c>
      <c r="C109" s="26">
        <f t="shared" si="20"/>
        <v>56650.272799999999</v>
      </c>
      <c r="D109" s="24" t="str">
        <f t="shared" si="21"/>
        <v>vis</v>
      </c>
      <c r="E109" s="141">
        <f>VLOOKUP(C109,'Active 1'!C$21:E$968,3,FALSE)</f>
        <v>36648.029074152044</v>
      </c>
      <c r="F109" s="5" t="s">
        <v>214</v>
      </c>
      <c r="G109" s="24" t="str">
        <f t="shared" si="22"/>
        <v>56650.2728</v>
      </c>
      <c r="H109" s="26">
        <f t="shared" si="23"/>
        <v>12580</v>
      </c>
      <c r="I109" s="142" t="s">
        <v>735</v>
      </c>
      <c r="J109" s="143" t="s">
        <v>736</v>
      </c>
      <c r="K109" s="142" t="s">
        <v>737</v>
      </c>
      <c r="L109" s="142" t="s">
        <v>738</v>
      </c>
      <c r="M109" s="143" t="s">
        <v>471</v>
      </c>
      <c r="N109" s="143" t="s">
        <v>454</v>
      </c>
      <c r="O109" s="144" t="s">
        <v>547</v>
      </c>
      <c r="P109" s="145" t="s">
        <v>730</v>
      </c>
    </row>
    <row r="110" spans="1:16" ht="12.75" customHeight="1" thickBot="1">
      <c r="A110" s="26" t="str">
        <f t="shared" si="18"/>
        <v>BAVM 234 </v>
      </c>
      <c r="B110" s="5" t="str">
        <f t="shared" si="19"/>
        <v>II</v>
      </c>
      <c r="C110" s="26">
        <f t="shared" si="20"/>
        <v>56650.438099999999</v>
      </c>
      <c r="D110" s="24" t="str">
        <f t="shared" si="21"/>
        <v>vis</v>
      </c>
      <c r="E110" s="141">
        <f>VLOOKUP(C110,'Active 1'!C$21:E$968,3,FALSE)</f>
        <v>36648.530129791099</v>
      </c>
      <c r="F110" s="5" t="s">
        <v>214</v>
      </c>
      <c r="G110" s="24" t="str">
        <f t="shared" si="22"/>
        <v>56650.4381</v>
      </c>
      <c r="H110" s="26">
        <f t="shared" si="23"/>
        <v>12580.5</v>
      </c>
      <c r="I110" s="142" t="s">
        <v>739</v>
      </c>
      <c r="J110" s="143" t="s">
        <v>740</v>
      </c>
      <c r="K110" s="142">
        <v>12580.5</v>
      </c>
      <c r="L110" s="142" t="s">
        <v>417</v>
      </c>
      <c r="M110" s="143" t="s">
        <v>471</v>
      </c>
      <c r="N110" s="143" t="s">
        <v>454</v>
      </c>
      <c r="O110" s="144" t="s">
        <v>547</v>
      </c>
      <c r="P110" s="145" t="s">
        <v>730</v>
      </c>
    </row>
    <row r="111" spans="1:16" ht="12.75" customHeight="1" thickBot="1">
      <c r="A111" s="26" t="str">
        <f t="shared" si="18"/>
        <v>BAVM 234 </v>
      </c>
      <c r="B111" s="5" t="str">
        <f t="shared" si="19"/>
        <v>I</v>
      </c>
      <c r="C111" s="26">
        <f t="shared" si="20"/>
        <v>56650.602400000003</v>
      </c>
      <c r="D111" s="24" t="str">
        <f t="shared" si="21"/>
        <v>vis</v>
      </c>
      <c r="E111" s="141">
        <f>VLOOKUP(C111,'Active 1'!C$21:E$968,3,FALSE)</f>
        <v>36649.028154240572</v>
      </c>
      <c r="F111" s="5" t="s">
        <v>214</v>
      </c>
      <c r="G111" s="24" t="str">
        <f t="shared" si="22"/>
        <v>56650.6024</v>
      </c>
      <c r="H111" s="26">
        <f t="shared" si="23"/>
        <v>12581</v>
      </c>
      <c r="I111" s="142" t="s">
        <v>741</v>
      </c>
      <c r="J111" s="143" t="s">
        <v>742</v>
      </c>
      <c r="K111" s="142">
        <v>12581</v>
      </c>
      <c r="L111" s="142" t="s">
        <v>401</v>
      </c>
      <c r="M111" s="143" t="s">
        <v>471</v>
      </c>
      <c r="N111" s="143" t="s">
        <v>454</v>
      </c>
      <c r="O111" s="144" t="s">
        <v>547</v>
      </c>
      <c r="P111" s="145" t="s">
        <v>730</v>
      </c>
    </row>
    <row r="112" spans="1:16" ht="12.75" customHeight="1" thickBot="1">
      <c r="A112" s="26" t="str">
        <f t="shared" si="18"/>
        <v> JRAC 76.90 </v>
      </c>
      <c r="B112" s="5" t="str">
        <f t="shared" si="19"/>
        <v>I</v>
      </c>
      <c r="C112" s="26">
        <f t="shared" si="20"/>
        <v>44559.960700000003</v>
      </c>
      <c r="D112" s="24" t="str">
        <f t="shared" si="21"/>
        <v>vis</v>
      </c>
      <c r="E112" s="141">
        <f>VLOOKUP(C112,'Active 1'!C$21:E$968,3,FALSE)</f>
        <v>9.0935687577047193E-4</v>
      </c>
      <c r="F112" s="5" t="s">
        <v>214</v>
      </c>
      <c r="G112" s="24" t="str">
        <f t="shared" si="22"/>
        <v>44559.9607</v>
      </c>
      <c r="H112" s="26">
        <f t="shared" si="23"/>
        <v>-24068</v>
      </c>
      <c r="I112" s="142" t="s">
        <v>282</v>
      </c>
      <c r="J112" s="143" t="s">
        <v>283</v>
      </c>
      <c r="K112" s="142">
        <v>-24068</v>
      </c>
      <c r="L112" s="142" t="s">
        <v>284</v>
      </c>
      <c r="M112" s="143" t="s">
        <v>269</v>
      </c>
      <c r="N112" s="143" t="s">
        <v>270</v>
      </c>
      <c r="O112" s="144" t="s">
        <v>271</v>
      </c>
      <c r="P112" s="144" t="s">
        <v>272</v>
      </c>
    </row>
    <row r="113" spans="1:16" ht="12.75" customHeight="1" thickBot="1">
      <c r="A113" s="26" t="str">
        <f t="shared" si="18"/>
        <v>IBVS 2793 </v>
      </c>
      <c r="B113" s="5" t="str">
        <f t="shared" si="19"/>
        <v>II</v>
      </c>
      <c r="C113" s="26">
        <f t="shared" si="20"/>
        <v>46006.428</v>
      </c>
      <c r="D113" s="24" t="str">
        <f t="shared" si="21"/>
        <v>vis</v>
      </c>
      <c r="E113" s="141">
        <f>VLOOKUP(C113,'Active 1'!C$21:E$968,3,FALSE)</f>
        <v>4384.5175298877148</v>
      </c>
      <c r="F113" s="5" t="s">
        <v>214</v>
      </c>
      <c r="G113" s="24" t="str">
        <f t="shared" si="22"/>
        <v>46006.4280</v>
      </c>
      <c r="H113" s="26">
        <f t="shared" si="23"/>
        <v>-19683.5</v>
      </c>
      <c r="I113" s="142" t="s">
        <v>299</v>
      </c>
      <c r="J113" s="143" t="s">
        <v>300</v>
      </c>
      <c r="K113" s="142">
        <v>-19683.5</v>
      </c>
      <c r="L113" s="142" t="s">
        <v>301</v>
      </c>
      <c r="M113" s="143" t="s">
        <v>269</v>
      </c>
      <c r="N113" s="143" t="s">
        <v>270</v>
      </c>
      <c r="O113" s="144" t="s">
        <v>302</v>
      </c>
      <c r="P113" s="145" t="s">
        <v>303</v>
      </c>
    </row>
    <row r="114" spans="1:16" ht="12.75" customHeight="1" thickBot="1">
      <c r="A114" s="26" t="str">
        <f t="shared" si="18"/>
        <v>IBVS 2793 </v>
      </c>
      <c r="B114" s="5" t="str">
        <f t="shared" si="19"/>
        <v>I</v>
      </c>
      <c r="C114" s="26">
        <f t="shared" si="20"/>
        <v>46022.428999999996</v>
      </c>
      <c r="D114" s="24" t="str">
        <f t="shared" si="21"/>
        <v>vis</v>
      </c>
      <c r="E114" s="141">
        <f>VLOOKUP(C114,'Active 1'!C$21:E$968,3,FALSE)</f>
        <v>4433.0195945006508</v>
      </c>
      <c r="F114" s="5" t="s">
        <v>214</v>
      </c>
      <c r="G114" s="24" t="str">
        <f t="shared" si="22"/>
        <v>46022.429</v>
      </c>
      <c r="H114" s="26">
        <f t="shared" si="23"/>
        <v>-19635</v>
      </c>
      <c r="I114" s="142" t="s">
        <v>304</v>
      </c>
      <c r="J114" s="143" t="s">
        <v>305</v>
      </c>
      <c r="K114" s="142">
        <v>-19635</v>
      </c>
      <c r="L114" s="142" t="s">
        <v>306</v>
      </c>
      <c r="M114" s="143" t="s">
        <v>269</v>
      </c>
      <c r="N114" s="143" t="s">
        <v>270</v>
      </c>
      <c r="O114" s="144" t="s">
        <v>307</v>
      </c>
      <c r="P114" s="145" t="s">
        <v>303</v>
      </c>
    </row>
    <row r="115" spans="1:16" ht="12.75" customHeight="1" thickBot="1">
      <c r="A115" s="26" t="str">
        <f t="shared" si="18"/>
        <v>IBVS 5493 </v>
      </c>
      <c r="B115" s="5" t="str">
        <f t="shared" si="19"/>
        <v>I</v>
      </c>
      <c r="C115" s="26">
        <f t="shared" si="20"/>
        <v>52943.827700000002</v>
      </c>
      <c r="D115" s="24" t="str">
        <f t="shared" si="21"/>
        <v>vis</v>
      </c>
      <c r="E115" s="141">
        <f>VLOOKUP(C115,'Active 1'!C$21:E$968,3,FALSE)</f>
        <v>25413.091274980838</v>
      </c>
      <c r="F115" s="5" t="s">
        <v>214</v>
      </c>
      <c r="G115" s="24" t="str">
        <f t="shared" si="22"/>
        <v>52943.8277</v>
      </c>
      <c r="H115" s="26">
        <f t="shared" si="23"/>
        <v>1345</v>
      </c>
      <c r="I115" s="142" t="s">
        <v>442</v>
      </c>
      <c r="J115" s="143" t="s">
        <v>443</v>
      </c>
      <c r="K115" s="142">
        <v>1345</v>
      </c>
      <c r="L115" s="142" t="s">
        <v>444</v>
      </c>
      <c r="M115" s="143" t="s">
        <v>269</v>
      </c>
      <c r="N115" s="143" t="s">
        <v>270</v>
      </c>
      <c r="O115" s="144" t="s">
        <v>440</v>
      </c>
      <c r="P115" s="145" t="s">
        <v>445</v>
      </c>
    </row>
    <row r="116" spans="1:16" ht="12.75" customHeight="1" thickBot="1">
      <c r="A116" s="26" t="str">
        <f t="shared" si="18"/>
        <v>BAVM 173 </v>
      </c>
      <c r="B116" s="5" t="str">
        <f t="shared" si="19"/>
        <v>I</v>
      </c>
      <c r="C116" s="26">
        <f t="shared" si="20"/>
        <v>53360.493999999999</v>
      </c>
      <c r="D116" s="24" t="str">
        <f t="shared" si="21"/>
        <v>vis</v>
      </c>
      <c r="E116" s="141">
        <f>VLOOKUP(C116,'Active 1'!C$21:E$968,3,FALSE)</f>
        <v>26676.085825611244</v>
      </c>
      <c r="F116" s="5" t="s">
        <v>214</v>
      </c>
      <c r="G116" s="24" t="str">
        <f t="shared" si="22"/>
        <v>53360.4940</v>
      </c>
      <c r="H116" s="26">
        <f t="shared" si="23"/>
        <v>2608</v>
      </c>
      <c r="I116" s="142" t="s">
        <v>451</v>
      </c>
      <c r="J116" s="143" t="s">
        <v>452</v>
      </c>
      <c r="K116" s="142">
        <v>2608</v>
      </c>
      <c r="L116" s="142" t="s">
        <v>453</v>
      </c>
      <c r="M116" s="143" t="s">
        <v>269</v>
      </c>
      <c r="N116" s="143" t="s">
        <v>454</v>
      </c>
      <c r="O116" s="144" t="s">
        <v>455</v>
      </c>
      <c r="P116" s="145" t="s">
        <v>456</v>
      </c>
    </row>
    <row r="117" spans="1:16" ht="12.75" customHeight="1" thickBot="1">
      <c r="A117" s="26" t="str">
        <f t="shared" si="18"/>
        <v>BAVM 186 </v>
      </c>
      <c r="B117" s="5" t="str">
        <f t="shared" si="19"/>
        <v>II</v>
      </c>
      <c r="C117" s="26">
        <f t="shared" si="20"/>
        <v>53809.325900000003</v>
      </c>
      <c r="D117" s="24" t="str">
        <f t="shared" si="21"/>
        <v>vis</v>
      </c>
      <c r="E117" s="141">
        <f>VLOOKUP(C117,'Active 1'!C$21:E$968,3,FALSE)</f>
        <v>28036.580408084323</v>
      </c>
      <c r="F117" s="5" t="s">
        <v>214</v>
      </c>
      <c r="G117" s="24" t="str">
        <f t="shared" si="22"/>
        <v>53809.3259</v>
      </c>
      <c r="H117" s="26">
        <f t="shared" si="23"/>
        <v>3968.5</v>
      </c>
      <c r="I117" s="142" t="s">
        <v>486</v>
      </c>
      <c r="J117" s="143" t="s">
        <v>487</v>
      </c>
      <c r="K117" s="142" t="s">
        <v>488</v>
      </c>
      <c r="L117" s="142" t="s">
        <v>444</v>
      </c>
      <c r="M117" s="143" t="s">
        <v>471</v>
      </c>
      <c r="N117" s="143" t="s">
        <v>454</v>
      </c>
      <c r="O117" s="144" t="s">
        <v>489</v>
      </c>
      <c r="P117" s="145" t="s">
        <v>490</v>
      </c>
    </row>
    <row r="118" spans="1:16" ht="12.75" customHeight="1" thickBot="1">
      <c r="A118" s="26" t="str">
        <f t="shared" si="18"/>
        <v>BAVM 203 </v>
      </c>
      <c r="B118" s="5" t="str">
        <f t="shared" si="19"/>
        <v>I</v>
      </c>
      <c r="C118" s="26">
        <f t="shared" si="20"/>
        <v>54842.414299999997</v>
      </c>
      <c r="D118" s="24" t="str">
        <f t="shared" si="21"/>
        <v>CCD</v>
      </c>
      <c r="E118" s="141">
        <f>VLOOKUP(C118,'Active 1'!C$21:E$968,3,FALSE)</f>
        <v>31168.067210639481</v>
      </c>
      <c r="F118" s="5" t="str">
        <f>LEFT(M118,1)</f>
        <v>C</v>
      </c>
      <c r="G118" s="24" t="str">
        <f t="shared" si="22"/>
        <v>54842.4143</v>
      </c>
      <c r="H118" s="26">
        <f t="shared" si="23"/>
        <v>7100</v>
      </c>
      <c r="I118" s="142" t="s">
        <v>539</v>
      </c>
      <c r="J118" s="143" t="s">
        <v>540</v>
      </c>
      <c r="K118" s="142" t="s">
        <v>541</v>
      </c>
      <c r="L118" s="142" t="s">
        <v>444</v>
      </c>
      <c r="M118" s="143" t="s">
        <v>471</v>
      </c>
      <c r="N118" s="143" t="s">
        <v>214</v>
      </c>
      <c r="O118" s="144" t="s">
        <v>542</v>
      </c>
      <c r="P118" s="145" t="s">
        <v>543</v>
      </c>
    </row>
    <row r="119" spans="1:16" ht="12.75" customHeight="1" thickBot="1">
      <c r="A119" s="26" t="str">
        <f t="shared" si="18"/>
        <v>BAVM 203 </v>
      </c>
      <c r="B119" s="5" t="str">
        <f t="shared" si="19"/>
        <v>I</v>
      </c>
      <c r="C119" s="26">
        <f t="shared" si="20"/>
        <v>54843.404399999999</v>
      </c>
      <c r="D119" s="24" t="str">
        <f t="shared" si="21"/>
        <v>CCD</v>
      </c>
      <c r="E119" s="141">
        <f>VLOOKUP(C119,'Active 1'!C$21:E$968,3,FALSE)</f>
        <v>31171.068391451518</v>
      </c>
      <c r="F119" s="5" t="str">
        <f>LEFT(M119,1)</f>
        <v>C</v>
      </c>
      <c r="G119" s="24" t="str">
        <f t="shared" si="22"/>
        <v>54843.4044</v>
      </c>
      <c r="H119" s="26">
        <f t="shared" si="23"/>
        <v>7103</v>
      </c>
      <c r="I119" s="142" t="s">
        <v>549</v>
      </c>
      <c r="J119" s="143" t="s">
        <v>550</v>
      </c>
      <c r="K119" s="142" t="s">
        <v>551</v>
      </c>
      <c r="L119" s="142" t="s">
        <v>482</v>
      </c>
      <c r="M119" s="143" t="s">
        <v>471</v>
      </c>
      <c r="N119" s="143" t="s">
        <v>214</v>
      </c>
      <c r="O119" s="144" t="s">
        <v>542</v>
      </c>
      <c r="P119" s="145" t="s">
        <v>543</v>
      </c>
    </row>
    <row r="120" spans="1:16" ht="12.75" customHeight="1" thickBot="1">
      <c r="A120" s="26" t="str">
        <f t="shared" si="18"/>
        <v>VSB 50 </v>
      </c>
      <c r="B120" s="5" t="str">
        <f t="shared" si="19"/>
        <v>I</v>
      </c>
      <c r="C120" s="26">
        <f t="shared" si="20"/>
        <v>54883.981200000002</v>
      </c>
      <c r="D120" s="24" t="str">
        <f t="shared" si="21"/>
        <v>vis</v>
      </c>
      <c r="E120" s="141">
        <f>VLOOKUP(C120,'Active 1'!C$21:E$968,3,FALSE)</f>
        <v>31294.064365164832</v>
      </c>
      <c r="F120" s="5" t="s">
        <v>214</v>
      </c>
      <c r="G120" s="24" t="str">
        <f t="shared" si="22"/>
        <v>54883.9812</v>
      </c>
      <c r="H120" s="26">
        <f t="shared" si="23"/>
        <v>7226</v>
      </c>
      <c r="I120" s="142" t="s">
        <v>563</v>
      </c>
      <c r="J120" s="143" t="s">
        <v>564</v>
      </c>
      <c r="K120" s="142" t="s">
        <v>565</v>
      </c>
      <c r="L120" s="142" t="s">
        <v>460</v>
      </c>
      <c r="M120" s="143" t="s">
        <v>471</v>
      </c>
      <c r="N120" s="143" t="s">
        <v>214</v>
      </c>
      <c r="O120" s="144" t="s">
        <v>566</v>
      </c>
      <c r="P120" s="145" t="s">
        <v>567</v>
      </c>
    </row>
    <row r="121" spans="1:16" ht="12.75" customHeight="1" thickBot="1">
      <c r="A121" s="26" t="str">
        <f t="shared" si="18"/>
        <v>OEJV 0137 </v>
      </c>
      <c r="B121" s="5" t="str">
        <f t="shared" si="19"/>
        <v>II</v>
      </c>
      <c r="C121" s="26">
        <f t="shared" si="20"/>
        <v>55483.5766</v>
      </c>
      <c r="D121" s="24" t="str">
        <f t="shared" si="21"/>
        <v>vis</v>
      </c>
      <c r="E121" s="141">
        <f>VLOOKUP(C121,'Active 1'!C$21:E$968,3,FALSE)</f>
        <v>33111.551699233038</v>
      </c>
      <c r="F121" s="5" t="s">
        <v>214</v>
      </c>
      <c r="G121" s="24" t="str">
        <f t="shared" si="22"/>
        <v>55483.5766</v>
      </c>
      <c r="H121" s="26">
        <f t="shared" si="23"/>
        <v>9043.5</v>
      </c>
      <c r="I121" s="142" t="s">
        <v>608</v>
      </c>
      <c r="J121" s="143" t="s">
        <v>609</v>
      </c>
      <c r="K121" s="142" t="s">
        <v>610</v>
      </c>
      <c r="L121" s="142" t="s">
        <v>611</v>
      </c>
      <c r="M121" s="143" t="s">
        <v>471</v>
      </c>
      <c r="N121" s="143" t="s">
        <v>137</v>
      </c>
      <c r="O121" s="144" t="s">
        <v>612</v>
      </c>
      <c r="P121" s="145" t="s">
        <v>613</v>
      </c>
    </row>
    <row r="122" spans="1:16" ht="12.75" customHeight="1" thickBot="1">
      <c r="A122" s="26" t="str">
        <f t="shared" si="18"/>
        <v>OEJV 0137 </v>
      </c>
      <c r="B122" s="5" t="str">
        <f t="shared" si="19"/>
        <v>II</v>
      </c>
      <c r="C122" s="26">
        <f t="shared" si="20"/>
        <v>55483.576800000003</v>
      </c>
      <c r="D122" s="24" t="str">
        <f t="shared" si="21"/>
        <v>vis</v>
      </c>
      <c r="E122" s="141">
        <f>VLOOKUP(C122,'Active 1'!C$21:E$968,3,FALSE)</f>
        <v>33111.552305470963</v>
      </c>
      <c r="F122" s="5" t="s">
        <v>214</v>
      </c>
      <c r="G122" s="24" t="str">
        <f t="shared" si="22"/>
        <v>55483.5768</v>
      </c>
      <c r="H122" s="26">
        <f t="shared" si="23"/>
        <v>9043.5</v>
      </c>
      <c r="I122" s="142" t="s">
        <v>614</v>
      </c>
      <c r="J122" s="143" t="s">
        <v>609</v>
      </c>
      <c r="K122" s="142" t="s">
        <v>610</v>
      </c>
      <c r="L122" s="142" t="s">
        <v>615</v>
      </c>
      <c r="M122" s="143" t="s">
        <v>471</v>
      </c>
      <c r="N122" s="143" t="s">
        <v>214</v>
      </c>
      <c r="O122" s="144" t="s">
        <v>612</v>
      </c>
      <c r="P122" s="145" t="s">
        <v>613</v>
      </c>
    </row>
    <row r="123" spans="1:16" ht="12.75" customHeight="1" thickBot="1">
      <c r="A123" s="26" t="str">
        <f t="shared" si="18"/>
        <v>OEJV 0137 </v>
      </c>
      <c r="B123" s="5" t="str">
        <f t="shared" si="19"/>
        <v>II</v>
      </c>
      <c r="C123" s="26">
        <f t="shared" si="20"/>
        <v>55600.361700000001</v>
      </c>
      <c r="D123" s="24" t="str">
        <f t="shared" si="21"/>
        <v>vis</v>
      </c>
      <c r="E123" s="141">
        <f>VLOOKUP(C123,'Active 1'!C$21:E$968,3,FALSE)</f>
        <v>33465.549478498673</v>
      </c>
      <c r="F123" s="5" t="s">
        <v>214</v>
      </c>
      <c r="G123" s="24" t="str">
        <f t="shared" si="22"/>
        <v>55600.3617</v>
      </c>
      <c r="H123" s="26">
        <f t="shared" si="23"/>
        <v>9397.5</v>
      </c>
      <c r="I123" s="142" t="s">
        <v>620</v>
      </c>
      <c r="J123" s="143" t="s">
        <v>621</v>
      </c>
      <c r="K123" s="142" t="s">
        <v>622</v>
      </c>
      <c r="L123" s="142" t="s">
        <v>431</v>
      </c>
      <c r="M123" s="143" t="s">
        <v>471</v>
      </c>
      <c r="N123" s="143" t="s">
        <v>87</v>
      </c>
      <c r="O123" s="144" t="s">
        <v>623</v>
      </c>
      <c r="P123" s="145" t="s">
        <v>613</v>
      </c>
    </row>
    <row r="124" spans="1:16" ht="12.75" customHeight="1" thickBot="1">
      <c r="A124" s="26" t="str">
        <f t="shared" si="18"/>
        <v>OEJV 0137 </v>
      </c>
      <c r="B124" s="5" t="str">
        <f t="shared" si="19"/>
        <v>II</v>
      </c>
      <c r="C124" s="26">
        <f t="shared" si="20"/>
        <v>55600.362200000003</v>
      </c>
      <c r="D124" s="24" t="str">
        <f t="shared" si="21"/>
        <v>vis</v>
      </c>
      <c r="E124" s="141">
        <f>VLOOKUP(C124,'Active 1'!C$21:E$968,3,FALSE)</f>
        <v>33465.550994093472</v>
      </c>
      <c r="F124" s="5" t="s">
        <v>214</v>
      </c>
      <c r="G124" s="24" t="str">
        <f t="shared" si="22"/>
        <v>55600.3622</v>
      </c>
      <c r="H124" s="26">
        <f t="shared" si="23"/>
        <v>9397.5</v>
      </c>
      <c r="I124" s="142" t="s">
        <v>624</v>
      </c>
      <c r="J124" s="143" t="s">
        <v>625</v>
      </c>
      <c r="K124" s="142" t="s">
        <v>622</v>
      </c>
      <c r="L124" s="142" t="s">
        <v>615</v>
      </c>
      <c r="M124" s="143" t="s">
        <v>471</v>
      </c>
      <c r="N124" s="143" t="s">
        <v>195</v>
      </c>
      <c r="O124" s="144" t="s">
        <v>623</v>
      </c>
      <c r="P124" s="145" t="s">
        <v>613</v>
      </c>
    </row>
    <row r="125" spans="1:16" ht="12.75" customHeight="1" thickBot="1">
      <c r="A125" s="26" t="str">
        <f t="shared" si="18"/>
        <v>OEJV 0137 </v>
      </c>
      <c r="B125" s="5" t="str">
        <f t="shared" si="19"/>
        <v>II</v>
      </c>
      <c r="C125" s="26">
        <f t="shared" si="20"/>
        <v>55600.362699999998</v>
      </c>
      <c r="D125" s="24" t="str">
        <f t="shared" si="21"/>
        <v>vis</v>
      </c>
      <c r="E125" s="141">
        <f>VLOOKUP(C125,'Active 1'!C$21:E$968,3,FALSE)</f>
        <v>33465.552509688256</v>
      </c>
      <c r="F125" s="5" t="s">
        <v>214</v>
      </c>
      <c r="G125" s="24" t="str">
        <f t="shared" si="22"/>
        <v>55600.3627</v>
      </c>
      <c r="H125" s="26">
        <f t="shared" si="23"/>
        <v>9397.5</v>
      </c>
      <c r="I125" s="142" t="s">
        <v>626</v>
      </c>
      <c r="J125" s="143" t="s">
        <v>627</v>
      </c>
      <c r="K125" s="142" t="s">
        <v>622</v>
      </c>
      <c r="L125" s="142" t="s">
        <v>476</v>
      </c>
      <c r="M125" s="143" t="s">
        <v>471</v>
      </c>
      <c r="N125" s="143" t="s">
        <v>214</v>
      </c>
      <c r="O125" s="144" t="s">
        <v>623</v>
      </c>
      <c r="P125" s="145" t="s">
        <v>613</v>
      </c>
    </row>
    <row r="126" spans="1:16" ht="12.75" customHeight="1" thickBot="1">
      <c r="A126" s="26" t="str">
        <f t="shared" si="18"/>
        <v>OEJV 0137 </v>
      </c>
      <c r="B126" s="5" t="str">
        <f t="shared" si="19"/>
        <v>I</v>
      </c>
      <c r="C126" s="26">
        <f t="shared" si="20"/>
        <v>55622.298900000002</v>
      </c>
      <c r="D126" s="24" t="str">
        <f t="shared" si="21"/>
        <v>vis</v>
      </c>
      <c r="E126" s="141">
        <f>VLOOKUP(C126,'Active 1'!C$21:E$968,3,FALSE)</f>
        <v>33532.045290749607</v>
      </c>
      <c r="F126" s="5" t="s">
        <v>214</v>
      </c>
      <c r="G126" s="24" t="str">
        <f t="shared" si="22"/>
        <v>55622.2989</v>
      </c>
      <c r="H126" s="26">
        <f t="shared" si="23"/>
        <v>9464</v>
      </c>
      <c r="I126" s="142" t="s">
        <v>628</v>
      </c>
      <c r="J126" s="143" t="s">
        <v>629</v>
      </c>
      <c r="K126" s="142" t="s">
        <v>630</v>
      </c>
      <c r="L126" s="142" t="s">
        <v>631</v>
      </c>
      <c r="M126" s="143" t="s">
        <v>471</v>
      </c>
      <c r="N126" s="143" t="s">
        <v>87</v>
      </c>
      <c r="O126" s="144" t="s">
        <v>623</v>
      </c>
      <c r="P126" s="145" t="s">
        <v>613</v>
      </c>
    </row>
    <row r="127" spans="1:16" ht="12.75" customHeight="1" thickBot="1">
      <c r="A127" s="26" t="str">
        <f t="shared" si="18"/>
        <v>OEJV 0137 </v>
      </c>
      <c r="B127" s="5" t="str">
        <f t="shared" si="19"/>
        <v>I</v>
      </c>
      <c r="C127" s="26">
        <f t="shared" si="20"/>
        <v>55622.299599999998</v>
      </c>
      <c r="D127" s="24" t="str">
        <f t="shared" si="21"/>
        <v>vis</v>
      </c>
      <c r="E127" s="141">
        <f>VLOOKUP(C127,'Active 1'!C$21:E$968,3,FALSE)</f>
        <v>33532.047412582309</v>
      </c>
      <c r="F127" s="5" t="s">
        <v>214</v>
      </c>
      <c r="G127" s="24" t="str">
        <f t="shared" si="22"/>
        <v>55622.2996</v>
      </c>
      <c r="H127" s="26">
        <f t="shared" si="23"/>
        <v>9464</v>
      </c>
      <c r="I127" s="142" t="s">
        <v>632</v>
      </c>
      <c r="J127" s="143" t="s">
        <v>633</v>
      </c>
      <c r="K127" s="142" t="s">
        <v>630</v>
      </c>
      <c r="L127" s="142" t="s">
        <v>602</v>
      </c>
      <c r="M127" s="143" t="s">
        <v>471</v>
      </c>
      <c r="N127" s="143" t="s">
        <v>195</v>
      </c>
      <c r="O127" s="144" t="s">
        <v>623</v>
      </c>
      <c r="P127" s="145" t="s">
        <v>613</v>
      </c>
    </row>
    <row r="128" spans="1:16" ht="12.75" customHeight="1" thickBot="1">
      <c r="A128" s="26" t="str">
        <f t="shared" si="18"/>
        <v>OEJV 0137 </v>
      </c>
      <c r="B128" s="5" t="str">
        <f t="shared" si="19"/>
        <v>I</v>
      </c>
      <c r="C128" s="26">
        <f t="shared" si="20"/>
        <v>55622.299800000001</v>
      </c>
      <c r="D128" s="24" t="str">
        <f t="shared" si="21"/>
        <v>vis</v>
      </c>
      <c r="E128" s="141">
        <f>VLOOKUP(C128,'Active 1'!C$21:E$968,3,FALSE)</f>
        <v>33532.048018820235</v>
      </c>
      <c r="F128" s="5" t="s">
        <v>214</v>
      </c>
      <c r="G128" s="24" t="str">
        <f t="shared" si="22"/>
        <v>55622.2998</v>
      </c>
      <c r="H128" s="26">
        <f t="shared" si="23"/>
        <v>9464</v>
      </c>
      <c r="I128" s="142" t="s">
        <v>634</v>
      </c>
      <c r="J128" s="143" t="s">
        <v>633</v>
      </c>
      <c r="K128" s="142" t="s">
        <v>630</v>
      </c>
      <c r="L128" s="142" t="s">
        <v>635</v>
      </c>
      <c r="M128" s="143" t="s">
        <v>471</v>
      </c>
      <c r="N128" s="143" t="s">
        <v>214</v>
      </c>
      <c r="O128" s="144" t="s">
        <v>623</v>
      </c>
      <c r="P128" s="145" t="s">
        <v>613</v>
      </c>
    </row>
    <row r="129" spans="1:16" ht="12.75" customHeight="1" thickBot="1">
      <c r="A129" s="26" t="str">
        <f t="shared" si="18"/>
        <v>VSB 53 </v>
      </c>
      <c r="B129" s="5" t="str">
        <f t="shared" si="19"/>
        <v>I</v>
      </c>
      <c r="C129" s="26">
        <f t="shared" si="20"/>
        <v>55867.087299999999</v>
      </c>
      <c r="D129" s="24" t="str">
        <f t="shared" si="21"/>
        <v>vis</v>
      </c>
      <c r="E129" s="141">
        <f>VLOOKUP(C129,'Active 1'!C$21:E$968,3,FALSE)</f>
        <v>34274.045340327735</v>
      </c>
      <c r="F129" s="5" t="s">
        <v>214</v>
      </c>
      <c r="G129" s="24" t="str">
        <f t="shared" si="22"/>
        <v>55867.0873</v>
      </c>
      <c r="H129" s="26">
        <f t="shared" si="23"/>
        <v>10206</v>
      </c>
      <c r="I129" s="142" t="s">
        <v>641</v>
      </c>
      <c r="J129" s="143" t="s">
        <v>642</v>
      </c>
      <c r="K129" s="142" t="s">
        <v>643</v>
      </c>
      <c r="L129" s="142" t="s">
        <v>428</v>
      </c>
      <c r="M129" s="143" t="s">
        <v>471</v>
      </c>
      <c r="N129" s="143" t="s">
        <v>644</v>
      </c>
      <c r="O129" s="144" t="s">
        <v>645</v>
      </c>
      <c r="P129" s="145" t="s">
        <v>646</v>
      </c>
    </row>
    <row r="130" spans="1:16" ht="12.75" customHeight="1" thickBot="1">
      <c r="A130" s="26" t="str">
        <f t="shared" si="18"/>
        <v>VSB 53 </v>
      </c>
      <c r="B130" s="5" t="str">
        <f t="shared" si="19"/>
        <v>II</v>
      </c>
      <c r="C130" s="26">
        <f t="shared" si="20"/>
        <v>55867.253199999999</v>
      </c>
      <c r="D130" s="24" t="str">
        <f t="shared" si="21"/>
        <v>vis</v>
      </c>
      <c r="E130" s="141">
        <f>VLOOKUP(C130,'Active 1'!C$21:E$968,3,FALSE)</f>
        <v>34274.548214680544</v>
      </c>
      <c r="F130" s="5" t="s">
        <v>214</v>
      </c>
      <c r="G130" s="24" t="str">
        <f t="shared" si="22"/>
        <v>55867.2532</v>
      </c>
      <c r="H130" s="26">
        <f t="shared" si="23"/>
        <v>10206.5</v>
      </c>
      <c r="I130" s="142" t="s">
        <v>647</v>
      </c>
      <c r="J130" s="143" t="s">
        <v>648</v>
      </c>
      <c r="K130" s="142" t="s">
        <v>649</v>
      </c>
      <c r="L130" s="142" t="s">
        <v>650</v>
      </c>
      <c r="M130" s="143" t="s">
        <v>471</v>
      </c>
      <c r="N130" s="143" t="s">
        <v>644</v>
      </c>
      <c r="O130" s="144" t="s">
        <v>645</v>
      </c>
      <c r="P130" s="145" t="s">
        <v>646</v>
      </c>
    </row>
    <row r="131" spans="1:16" ht="12.75" customHeight="1" thickBot="1">
      <c r="A131" s="26" t="str">
        <f t="shared" si="18"/>
        <v>BAVM 225 </v>
      </c>
      <c r="B131" s="5" t="str">
        <f t="shared" si="19"/>
        <v>II</v>
      </c>
      <c r="C131" s="26">
        <f t="shared" si="20"/>
        <v>55896.284599999999</v>
      </c>
      <c r="D131" s="24" t="str">
        <f t="shared" si="21"/>
        <v>vis</v>
      </c>
      <c r="E131" s="141">
        <f>VLOOKUP(C131,'Active 1'!C$21:E$968,3,FALSE)</f>
        <v>34362.547892113471</v>
      </c>
      <c r="F131" s="5" t="s">
        <v>214</v>
      </c>
      <c r="G131" s="24" t="str">
        <f t="shared" si="22"/>
        <v>55896.2846</v>
      </c>
      <c r="H131" s="26">
        <f t="shared" si="23"/>
        <v>10294.5</v>
      </c>
      <c r="I131" s="142" t="s">
        <v>663</v>
      </c>
      <c r="J131" s="143" t="s">
        <v>664</v>
      </c>
      <c r="K131" s="142" t="s">
        <v>665</v>
      </c>
      <c r="L131" s="142" t="s">
        <v>650</v>
      </c>
      <c r="M131" s="143" t="s">
        <v>471</v>
      </c>
      <c r="N131" s="143" t="s">
        <v>483</v>
      </c>
      <c r="O131" s="144" t="s">
        <v>484</v>
      </c>
      <c r="P131" s="145" t="s">
        <v>666</v>
      </c>
    </row>
    <row r="132" spans="1:16" ht="12.75" customHeight="1" thickBot="1">
      <c r="A132" s="26" t="str">
        <f t="shared" si="18"/>
        <v>VSB 53 </v>
      </c>
      <c r="B132" s="5" t="str">
        <f t="shared" si="19"/>
        <v>I</v>
      </c>
      <c r="C132" s="26">
        <f t="shared" si="20"/>
        <v>55907.004999999997</v>
      </c>
      <c r="D132" s="24" t="str">
        <f t="shared" si="21"/>
        <v>vis</v>
      </c>
      <c r="E132" s="141">
        <f>VLOOKUP(C132,'Active 1'!C$21:E$968,3,FALSE)</f>
        <v>34395.043456982952</v>
      </c>
      <c r="F132" s="5" t="s">
        <v>214</v>
      </c>
      <c r="G132" s="24" t="str">
        <f t="shared" si="22"/>
        <v>55907.0050</v>
      </c>
      <c r="H132" s="26">
        <f t="shared" si="23"/>
        <v>10327</v>
      </c>
      <c r="I132" s="142" t="s">
        <v>667</v>
      </c>
      <c r="J132" s="143" t="s">
        <v>668</v>
      </c>
      <c r="K132" s="142" t="s">
        <v>669</v>
      </c>
      <c r="L132" s="142" t="s">
        <v>670</v>
      </c>
      <c r="M132" s="143" t="s">
        <v>471</v>
      </c>
      <c r="N132" s="143" t="s">
        <v>644</v>
      </c>
      <c r="O132" s="144" t="s">
        <v>645</v>
      </c>
      <c r="P132" s="145" t="s">
        <v>646</v>
      </c>
    </row>
    <row r="133" spans="1:16" ht="12.75" customHeight="1" thickBot="1">
      <c r="A133" s="26" t="str">
        <f t="shared" si="18"/>
        <v>VSB 55 </v>
      </c>
      <c r="B133" s="5" t="str">
        <f t="shared" si="19"/>
        <v>II</v>
      </c>
      <c r="C133" s="26">
        <f t="shared" si="20"/>
        <v>56243.999499999998</v>
      </c>
      <c r="D133" s="24" t="str">
        <f t="shared" si="21"/>
        <v>vis</v>
      </c>
      <c r="E133" s="141">
        <f>VLOOKUP(C133,'Active 1'!C$21:E$968,3,FALSE)</f>
        <v>35416.537676919681</v>
      </c>
      <c r="F133" s="5" t="s">
        <v>214</v>
      </c>
      <c r="G133" s="24" t="str">
        <f t="shared" si="22"/>
        <v>56243.9995</v>
      </c>
      <c r="H133" s="26">
        <f t="shared" si="23"/>
        <v>11348.5</v>
      </c>
      <c r="I133" s="142" t="s">
        <v>708</v>
      </c>
      <c r="J133" s="143" t="s">
        <v>709</v>
      </c>
      <c r="K133" s="142" t="s">
        <v>710</v>
      </c>
      <c r="L133" s="142" t="s">
        <v>711</v>
      </c>
      <c r="M133" s="143" t="s">
        <v>471</v>
      </c>
      <c r="N133" s="143" t="s">
        <v>214</v>
      </c>
      <c r="O133" s="144" t="s">
        <v>566</v>
      </c>
      <c r="P133" s="145" t="s">
        <v>712</v>
      </c>
    </row>
    <row r="134" spans="1:16" ht="12.75" customHeight="1" thickBot="1">
      <c r="A134" s="26" t="str">
        <f t="shared" si="18"/>
        <v>VSB 55 </v>
      </c>
      <c r="B134" s="5" t="str">
        <f t="shared" si="19"/>
        <v>I</v>
      </c>
      <c r="C134" s="26">
        <f t="shared" si="20"/>
        <v>56244.165200000003</v>
      </c>
      <c r="D134" s="24" t="str">
        <f t="shared" si="21"/>
        <v>vis</v>
      </c>
      <c r="E134" s="141">
        <f>VLOOKUP(C134,'Active 1'!C$21:E$968,3,FALSE)</f>
        <v>35417.039945034587</v>
      </c>
      <c r="F134" s="5" t="s">
        <v>214</v>
      </c>
      <c r="G134" s="24" t="str">
        <f t="shared" si="22"/>
        <v>56244.1652</v>
      </c>
      <c r="H134" s="26">
        <f t="shared" si="23"/>
        <v>11349</v>
      </c>
      <c r="I134" s="142" t="s">
        <v>713</v>
      </c>
      <c r="J134" s="143" t="s">
        <v>714</v>
      </c>
      <c r="K134" s="142" t="s">
        <v>715</v>
      </c>
      <c r="L134" s="142" t="s">
        <v>635</v>
      </c>
      <c r="M134" s="143" t="s">
        <v>471</v>
      </c>
      <c r="N134" s="143" t="s">
        <v>214</v>
      </c>
      <c r="O134" s="144" t="s">
        <v>566</v>
      </c>
      <c r="P134" s="145" t="s">
        <v>712</v>
      </c>
    </row>
    <row r="135" spans="1:16" ht="12.75" customHeight="1" thickBot="1">
      <c r="A135" s="26" t="str">
        <f t="shared" si="18"/>
        <v>VSB 55 </v>
      </c>
      <c r="B135" s="5" t="str">
        <f t="shared" si="19"/>
        <v>II</v>
      </c>
      <c r="C135" s="26">
        <f t="shared" si="20"/>
        <v>56244.3295</v>
      </c>
      <c r="D135" s="24" t="str">
        <f t="shared" si="21"/>
        <v>vis</v>
      </c>
      <c r="E135" s="141">
        <f>VLOOKUP(C135,'Active 1'!C$21:E$968,3,FALSE)</f>
        <v>35417.537969484045</v>
      </c>
      <c r="F135" s="5" t="s">
        <v>214</v>
      </c>
      <c r="G135" s="24" t="str">
        <f t="shared" si="22"/>
        <v>56244.3295</v>
      </c>
      <c r="H135" s="26">
        <f t="shared" si="23"/>
        <v>11349.5</v>
      </c>
      <c r="I135" s="142" t="s">
        <v>716</v>
      </c>
      <c r="J135" s="143" t="s">
        <v>717</v>
      </c>
      <c r="K135" s="142" t="s">
        <v>718</v>
      </c>
      <c r="L135" s="142" t="s">
        <v>719</v>
      </c>
      <c r="M135" s="143" t="s">
        <v>471</v>
      </c>
      <c r="N135" s="143" t="s">
        <v>214</v>
      </c>
      <c r="O135" s="144" t="s">
        <v>566</v>
      </c>
      <c r="P135" s="145" t="s">
        <v>712</v>
      </c>
    </row>
    <row r="136" spans="1:16" ht="12.75" customHeight="1" thickBot="1">
      <c r="A136" s="26" t="str">
        <f t="shared" si="18"/>
        <v>OEJV 0162 </v>
      </c>
      <c r="B136" s="5" t="str">
        <f t="shared" si="19"/>
        <v>II</v>
      </c>
      <c r="C136" s="26">
        <f t="shared" si="20"/>
        <v>56670.559000000001</v>
      </c>
      <c r="D136" s="24" t="str">
        <f t="shared" si="21"/>
        <v>vis</v>
      </c>
      <c r="E136" s="141">
        <f>VLOOKUP(C136,'Active 1'!C$21:E$968,3,FALSE)</f>
        <v>36709.520392391605</v>
      </c>
      <c r="F136" s="5" t="s">
        <v>214</v>
      </c>
      <c r="G136" s="24" t="str">
        <f t="shared" si="22"/>
        <v>56670.559</v>
      </c>
      <c r="H136" s="26">
        <f t="shared" si="23"/>
        <v>12641.5</v>
      </c>
      <c r="I136" s="142" t="s">
        <v>743</v>
      </c>
      <c r="J136" s="143" t="s">
        <v>744</v>
      </c>
      <c r="K136" s="142">
        <v>12641.5</v>
      </c>
      <c r="L136" s="142" t="s">
        <v>745</v>
      </c>
      <c r="M136" s="143" t="s">
        <v>471</v>
      </c>
      <c r="N136" s="143" t="s">
        <v>483</v>
      </c>
      <c r="O136" s="144" t="s">
        <v>639</v>
      </c>
      <c r="P136" s="145" t="s">
        <v>746</v>
      </c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</sheetData>
  <phoneticPr fontId="26" type="noConversion"/>
  <hyperlinks>
    <hyperlink ref="A3" r:id="rId1" xr:uid="{00000000-0004-0000-0600-000000000000}"/>
    <hyperlink ref="P15" r:id="rId2" display="http://www.konkoly.hu/cgi-bin/IBVS?2497" xr:uid="{00000000-0004-0000-0600-000001000000}"/>
    <hyperlink ref="P16" r:id="rId3" display="http://www.konkoly.hu/cgi-bin/IBVS?2497" xr:uid="{00000000-0004-0000-0600-000002000000}"/>
    <hyperlink ref="P17" r:id="rId4" display="http://www.konkoly.hu/cgi-bin/IBVS?2497" xr:uid="{00000000-0004-0000-0600-000003000000}"/>
    <hyperlink ref="P18" r:id="rId5" display="http://www.konkoly.hu/cgi-bin/IBVS?2497" xr:uid="{00000000-0004-0000-0600-000004000000}"/>
    <hyperlink ref="P113" r:id="rId6" display="http://www.konkoly.hu/cgi-bin/IBVS?2793" xr:uid="{00000000-0004-0000-0600-000005000000}"/>
    <hyperlink ref="P114" r:id="rId7" display="http://www.konkoly.hu/cgi-bin/IBVS?2793" xr:uid="{00000000-0004-0000-0600-000006000000}"/>
    <hyperlink ref="P20" r:id="rId8" display="http://www.konkoly.hu/cgi-bin/IBVS?2793" xr:uid="{00000000-0004-0000-0600-000007000000}"/>
    <hyperlink ref="P21" r:id="rId9" display="http://www.konkoly.hu/cgi-bin/IBVS?2793" xr:uid="{00000000-0004-0000-0600-000008000000}"/>
    <hyperlink ref="P22" r:id="rId10" display="http://www.konkoly.hu/cgi-bin/IBVS?2793" xr:uid="{00000000-0004-0000-0600-000009000000}"/>
    <hyperlink ref="P23" r:id="rId11" display="http://www.konkoly.hu/cgi-bin/IBVS?3078" xr:uid="{00000000-0004-0000-0600-00000A000000}"/>
    <hyperlink ref="P24" r:id="rId12" display="http://www.konkoly.hu/cgi-bin/IBVS?3078" xr:uid="{00000000-0004-0000-0600-00000B000000}"/>
    <hyperlink ref="P28" r:id="rId13" display="http://www.konkoly.hu/cgi-bin/IBVS?3593" xr:uid="{00000000-0004-0000-0600-00000C000000}"/>
    <hyperlink ref="P32" r:id="rId14" display="http://www.konkoly.hu/cgi-bin/IBVS?4877" xr:uid="{00000000-0004-0000-0600-00000D000000}"/>
    <hyperlink ref="P33" r:id="rId15" display="http://www.konkoly.hu/cgi-bin/IBVS?4877" xr:uid="{00000000-0004-0000-0600-00000E000000}"/>
    <hyperlink ref="P34" r:id="rId16" display="http://www.konkoly.hu/cgi-bin/IBVS?4877" xr:uid="{00000000-0004-0000-0600-00000F000000}"/>
    <hyperlink ref="P35" r:id="rId17" display="http://www.konkoly.hu/cgi-bin/IBVS?4877" xr:uid="{00000000-0004-0000-0600-000010000000}"/>
    <hyperlink ref="P36" r:id="rId18" display="http://www.bav-astro.de/sfs/BAVM_link.php?BAVMnr=131" xr:uid="{00000000-0004-0000-0600-000011000000}"/>
    <hyperlink ref="P37" r:id="rId19" display="http://www.bav-astro.de/sfs/BAVM_link.php?BAVMnr=131" xr:uid="{00000000-0004-0000-0600-000012000000}"/>
    <hyperlink ref="P38" r:id="rId20" display="http://www.konkoly.hu/cgi-bin/IBVS?4877" xr:uid="{00000000-0004-0000-0600-000013000000}"/>
    <hyperlink ref="P39" r:id="rId21" display="http://www.bav-astro.de/sfs/BAVM_link.php?BAVMnr=131" xr:uid="{00000000-0004-0000-0600-000014000000}"/>
    <hyperlink ref="P40" r:id="rId22" display="http://www.bav-astro.de/sfs/BAVM_link.php?BAVMnr=131" xr:uid="{00000000-0004-0000-0600-000015000000}"/>
    <hyperlink ref="P41" r:id="rId23" display="http://www.bav-astro.de/sfs/BAVM_link.php?BAVMnr=131" xr:uid="{00000000-0004-0000-0600-000016000000}"/>
    <hyperlink ref="P43" r:id="rId24" display="http://www.bav-astro.de/sfs/BAVM_link.php?BAVMnr=143" xr:uid="{00000000-0004-0000-0600-000017000000}"/>
    <hyperlink ref="P44" r:id="rId25" display="http://www.bav-astro.de/sfs/BAVM_link.php?BAVMnr=143" xr:uid="{00000000-0004-0000-0600-000018000000}"/>
    <hyperlink ref="P45" r:id="rId26" display="http://www.konkoly.hu/cgi-bin/IBVS?5056" xr:uid="{00000000-0004-0000-0600-000019000000}"/>
    <hyperlink ref="P46" r:id="rId27" display="http://www.konkoly.hu/cgi-bin/IBVS?5056" xr:uid="{00000000-0004-0000-0600-00001A000000}"/>
    <hyperlink ref="P47" r:id="rId28" display="http://www.konkoly.hu/cgi-bin/IBVS?5623" xr:uid="{00000000-0004-0000-0600-00001B000000}"/>
    <hyperlink ref="P48" r:id="rId29" display="http://www.konkoly.hu/cgi-bin/IBVS?5623" xr:uid="{00000000-0004-0000-0600-00001C000000}"/>
    <hyperlink ref="P49" r:id="rId30" display="http://www.konkoly.hu/cgi-bin/IBVS?5623" xr:uid="{00000000-0004-0000-0600-00001D000000}"/>
    <hyperlink ref="P50" r:id="rId31" display="http://www.konkoly.hu/cgi-bin/IBVS?5623" xr:uid="{00000000-0004-0000-0600-00001E000000}"/>
    <hyperlink ref="P51" r:id="rId32" display="http://www.konkoly.hu/cgi-bin/IBVS?5623" xr:uid="{00000000-0004-0000-0600-00001F000000}"/>
    <hyperlink ref="P52" r:id="rId33" display="http://www.konkoly.hu/cgi-bin/IBVS?5623" xr:uid="{00000000-0004-0000-0600-000020000000}"/>
    <hyperlink ref="P53" r:id="rId34" display="http://www.konkoly.hu/cgi-bin/IBVS?5623" xr:uid="{00000000-0004-0000-0600-000021000000}"/>
    <hyperlink ref="P54" r:id="rId35" display="http://www.konkoly.hu/cgi-bin/IBVS?5623" xr:uid="{00000000-0004-0000-0600-000022000000}"/>
    <hyperlink ref="P55" r:id="rId36" display="http://www.konkoly.hu/cgi-bin/IBVS?5378" xr:uid="{00000000-0004-0000-0600-000023000000}"/>
    <hyperlink ref="P56" r:id="rId37" display="http://www.konkoly.hu/cgi-bin/IBVS?5371" xr:uid="{00000000-0004-0000-0600-000024000000}"/>
    <hyperlink ref="P115" r:id="rId38" display="http://www.konkoly.hu/cgi-bin/IBVS?5493" xr:uid="{00000000-0004-0000-0600-000025000000}"/>
    <hyperlink ref="P57" r:id="rId39" display="http://www.konkoly.hu/cgi-bin/IBVS?5592" xr:uid="{00000000-0004-0000-0600-000026000000}"/>
    <hyperlink ref="P116" r:id="rId40" display="http://www.bav-astro.de/sfs/BAVM_link.php?BAVMnr=173" xr:uid="{00000000-0004-0000-0600-000027000000}"/>
    <hyperlink ref="P58" r:id="rId41" display="http://www.bav-astro.de/sfs/BAVM_link.php?BAVMnr=173" xr:uid="{00000000-0004-0000-0600-000028000000}"/>
    <hyperlink ref="P59" r:id="rId42" display="http://www.konkoly.hu/cgi-bin/IBVS?5672" xr:uid="{00000000-0004-0000-0600-000029000000}"/>
    <hyperlink ref="P60" r:id="rId43" display="http://www.konkoly.hu/cgi-bin/IBVS?5814" xr:uid="{00000000-0004-0000-0600-00002A000000}"/>
    <hyperlink ref="P61" r:id="rId44" display="http://www.konkoly.hu/cgi-bin/IBVS?5777" xr:uid="{00000000-0004-0000-0600-00002B000000}"/>
    <hyperlink ref="P62" r:id="rId45" display="http://www.bav-astro.de/sfs/BAVM_link.php?BAVMnr=178" xr:uid="{00000000-0004-0000-0600-00002C000000}"/>
    <hyperlink ref="P117" r:id="rId46" display="http://www.bav-astro.de/sfs/BAVM_link.php?BAVMnr=186" xr:uid="{00000000-0004-0000-0600-00002D000000}"/>
    <hyperlink ref="P63" r:id="rId47" display="http://www.konkoly.hu/cgi-bin/IBVS?5777" xr:uid="{00000000-0004-0000-0600-00002E000000}"/>
    <hyperlink ref="P64" r:id="rId48" display="http://www.konkoly.hu/cgi-bin/IBVS?5777" xr:uid="{00000000-0004-0000-0600-00002F000000}"/>
    <hyperlink ref="P65" r:id="rId49" display="http://www.konkoly.hu/cgi-bin/IBVS?5820" xr:uid="{00000000-0004-0000-0600-000030000000}"/>
    <hyperlink ref="P67" r:id="rId50" display="http://www.bav-astro.de/sfs/BAVM_link.php?BAVMnr=201" xr:uid="{00000000-0004-0000-0600-000031000000}"/>
    <hyperlink ref="P68" r:id="rId51" display="http://www.bav-astro.de/sfs/BAVM_link.php?BAVMnr=201" xr:uid="{00000000-0004-0000-0600-000032000000}"/>
    <hyperlink ref="P69" r:id="rId52" display="http://www.konkoly.hu/cgi-bin/IBVS?5898" xr:uid="{00000000-0004-0000-0600-000033000000}"/>
    <hyperlink ref="P70" r:id="rId53" display="http://www.konkoly.hu/cgi-bin/IBVS?5898" xr:uid="{00000000-0004-0000-0600-000034000000}"/>
    <hyperlink ref="P71" r:id="rId54" display="http://www.konkoly.hu/cgi-bin/IBVS?5898" xr:uid="{00000000-0004-0000-0600-000035000000}"/>
    <hyperlink ref="P72" r:id="rId55" display="http://www.konkoly.hu/cgi-bin/IBVS?5898" xr:uid="{00000000-0004-0000-0600-000036000000}"/>
    <hyperlink ref="P73" r:id="rId56" display="http://www.konkoly.hu/cgi-bin/IBVS?5871" xr:uid="{00000000-0004-0000-0600-000037000000}"/>
    <hyperlink ref="P118" r:id="rId57" display="http://www.bav-astro.de/sfs/BAVM_link.php?BAVMnr=203" xr:uid="{00000000-0004-0000-0600-000038000000}"/>
    <hyperlink ref="P74" r:id="rId58" display="http://www.bav-astro.de/sfs/BAVM_link.php?BAVMnr=209" xr:uid="{00000000-0004-0000-0600-000039000000}"/>
    <hyperlink ref="P119" r:id="rId59" display="http://www.bav-astro.de/sfs/BAVM_link.php?BAVMnr=203" xr:uid="{00000000-0004-0000-0600-00003A000000}"/>
    <hyperlink ref="P75" r:id="rId60" display="http://www.bav-astro.de/sfs/BAVM_link.php?BAVMnr=209" xr:uid="{00000000-0004-0000-0600-00003B000000}"/>
    <hyperlink ref="P76" r:id="rId61" display="http://www.bav-astro.de/sfs/BAVM_link.php?BAVMnr=209" xr:uid="{00000000-0004-0000-0600-00003C000000}"/>
    <hyperlink ref="P77" r:id="rId62" display="http://www.bav-astro.de/sfs/BAVM_link.php?BAVMnr=214" xr:uid="{00000000-0004-0000-0600-00003D000000}"/>
    <hyperlink ref="P120" r:id="rId63" display="http://vsolj.cetus-net.org/vsoljno50.pdf" xr:uid="{00000000-0004-0000-0600-00003E000000}"/>
    <hyperlink ref="P78" r:id="rId64" display="http://www.konkoly.hu/cgi-bin/IBVS?5980" xr:uid="{00000000-0004-0000-0600-00003F000000}"/>
    <hyperlink ref="P79" r:id="rId65" display="http://www.konkoly.hu/cgi-bin/IBVS?5980" xr:uid="{00000000-0004-0000-0600-000040000000}"/>
    <hyperlink ref="P80" r:id="rId66" display="http://www.konkoly.hu/cgi-bin/IBVS?5980" xr:uid="{00000000-0004-0000-0600-000041000000}"/>
    <hyperlink ref="P81" r:id="rId67" display="http://www.konkoly.hu/cgi-bin/IBVS?5920" xr:uid="{00000000-0004-0000-0600-000042000000}"/>
    <hyperlink ref="P82" r:id="rId68" display="http://www.konkoly.hu/cgi-bin/IBVS?5929" xr:uid="{00000000-0004-0000-0600-000043000000}"/>
    <hyperlink ref="P83" r:id="rId69" display="http://www.bav-astro.de/sfs/BAVM_link.php?BAVMnr=214" xr:uid="{00000000-0004-0000-0600-000044000000}"/>
    <hyperlink ref="P84" r:id="rId70" display="http://www.konkoly.hu/cgi-bin/IBVS?5980" xr:uid="{00000000-0004-0000-0600-000045000000}"/>
    <hyperlink ref="P85" r:id="rId71" display="http://www.konkoly.hu/cgi-bin/IBVS?5980" xr:uid="{00000000-0004-0000-0600-000046000000}"/>
    <hyperlink ref="P86" r:id="rId72" display="http://www.bav-astro.de/sfs/BAVM_link.php?BAVMnr=214" xr:uid="{00000000-0004-0000-0600-000047000000}"/>
    <hyperlink ref="P87" r:id="rId73" display="http://www.konkoly.hu/cgi-bin/IBVS?5960" xr:uid="{00000000-0004-0000-0600-000048000000}"/>
    <hyperlink ref="P121" r:id="rId74" display="http://var.astro.cz/oejv/issues/oejv0137.pdf" xr:uid="{00000000-0004-0000-0600-000049000000}"/>
    <hyperlink ref="P122" r:id="rId75" display="http://var.astro.cz/oejv/issues/oejv0137.pdf" xr:uid="{00000000-0004-0000-0600-00004A000000}"/>
    <hyperlink ref="P88" r:id="rId76" display="http://www.bav-astro.de/sfs/BAVM_link.php?BAVMnr=220" xr:uid="{00000000-0004-0000-0600-00004B000000}"/>
    <hyperlink ref="P123" r:id="rId77" display="http://var.astro.cz/oejv/issues/oejv0137.pdf" xr:uid="{00000000-0004-0000-0600-00004C000000}"/>
    <hyperlink ref="P124" r:id="rId78" display="http://var.astro.cz/oejv/issues/oejv0137.pdf" xr:uid="{00000000-0004-0000-0600-00004D000000}"/>
    <hyperlink ref="P125" r:id="rId79" display="http://var.astro.cz/oejv/issues/oejv0137.pdf" xr:uid="{00000000-0004-0000-0600-00004E000000}"/>
    <hyperlink ref="P126" r:id="rId80" display="http://var.astro.cz/oejv/issues/oejv0137.pdf" xr:uid="{00000000-0004-0000-0600-00004F000000}"/>
    <hyperlink ref="P127" r:id="rId81" display="http://var.astro.cz/oejv/issues/oejv0137.pdf" xr:uid="{00000000-0004-0000-0600-000050000000}"/>
    <hyperlink ref="P128" r:id="rId82" display="http://var.astro.cz/oejv/issues/oejv0137.pdf" xr:uid="{00000000-0004-0000-0600-000051000000}"/>
    <hyperlink ref="P89" r:id="rId83" display="http://var.astro.cz/oejv/issues/oejv0142.pdf" xr:uid="{00000000-0004-0000-0600-000052000000}"/>
    <hyperlink ref="P129" r:id="rId84" display="http://vsolj.cetus-net.org/vsoljno53.pdf" xr:uid="{00000000-0004-0000-0600-000053000000}"/>
    <hyperlink ref="P130" r:id="rId85" display="http://vsolj.cetus-net.org/vsoljno53.pdf" xr:uid="{00000000-0004-0000-0600-000054000000}"/>
    <hyperlink ref="P90" r:id="rId86" display="http://www.konkoly.hu/cgi-bin/IBVS?6011" xr:uid="{00000000-0004-0000-0600-000055000000}"/>
    <hyperlink ref="P91" r:id="rId87" display="http://var.astro.cz/oejv/issues/oejv0160.pdf" xr:uid="{00000000-0004-0000-0600-000056000000}"/>
    <hyperlink ref="P92" r:id="rId88" display="http://var.astro.cz/oejv/issues/oejv0160.pdf" xr:uid="{00000000-0004-0000-0600-000057000000}"/>
    <hyperlink ref="P93" r:id="rId89" display="http://var.astro.cz/oejv/issues/oejv0160.pdf" xr:uid="{00000000-0004-0000-0600-000058000000}"/>
    <hyperlink ref="P131" r:id="rId90" display="http://www.bav-astro.de/sfs/BAVM_link.php?BAVMnr=225" xr:uid="{00000000-0004-0000-0600-000059000000}"/>
    <hyperlink ref="P132" r:id="rId91" display="http://vsolj.cetus-net.org/vsoljno53.pdf" xr:uid="{00000000-0004-0000-0600-00005A000000}"/>
    <hyperlink ref="P94" r:id="rId92" display="http://var.astro.cz/oejv/issues/oejv0160.pdf" xr:uid="{00000000-0004-0000-0600-00005B000000}"/>
    <hyperlink ref="P95" r:id="rId93" display="http://var.astro.cz/oejv/issues/oejv0160.pdf" xr:uid="{00000000-0004-0000-0600-00005C000000}"/>
    <hyperlink ref="P96" r:id="rId94" display="http://var.astro.cz/oejv/issues/oejv0160.pdf" xr:uid="{00000000-0004-0000-0600-00005D000000}"/>
    <hyperlink ref="P97" r:id="rId95" display="http://var.astro.cz/oejv/issues/oejv0160.pdf" xr:uid="{00000000-0004-0000-0600-00005E000000}"/>
    <hyperlink ref="P98" r:id="rId96" display="http://www.bav-astro.de/sfs/BAVM_link.php?BAVMnr=231" xr:uid="{00000000-0004-0000-0600-00005F000000}"/>
    <hyperlink ref="P99" r:id="rId97" display="http://var.astro.cz/oejv/issues/oejv0160.pdf" xr:uid="{00000000-0004-0000-0600-000060000000}"/>
    <hyperlink ref="P100" r:id="rId98" display="http://var.astro.cz/oejv/issues/oejv0160.pdf" xr:uid="{00000000-0004-0000-0600-000061000000}"/>
    <hyperlink ref="P101" r:id="rId99" display="http://var.astro.cz/oejv/issues/oejv0160.pdf" xr:uid="{00000000-0004-0000-0600-000062000000}"/>
    <hyperlink ref="P102" r:id="rId100" display="http://var.astro.cz/oejv/issues/oejv0160.pdf" xr:uid="{00000000-0004-0000-0600-000063000000}"/>
    <hyperlink ref="P103" r:id="rId101" display="http://www.konkoly.hu/cgi-bin/IBVS?6044" xr:uid="{00000000-0004-0000-0600-000064000000}"/>
    <hyperlink ref="P104" r:id="rId102" display="http://www.konkoly.hu/cgi-bin/IBVS?6042" xr:uid="{00000000-0004-0000-0600-000065000000}"/>
    <hyperlink ref="P133" r:id="rId103" display="http://vsolj.cetus-net.org/vsoljno55.pdf" xr:uid="{00000000-0004-0000-0600-000066000000}"/>
    <hyperlink ref="P134" r:id="rId104" display="http://vsolj.cetus-net.org/vsoljno55.pdf" xr:uid="{00000000-0004-0000-0600-000067000000}"/>
    <hyperlink ref="P135" r:id="rId105" display="http://vsolj.cetus-net.org/vsoljno55.pdf" xr:uid="{00000000-0004-0000-0600-000068000000}"/>
    <hyperlink ref="P105" r:id="rId106" display="http://var.astro.cz/oejv/issues/oejv0160.pdf" xr:uid="{00000000-0004-0000-0600-000069000000}"/>
    <hyperlink ref="P106" r:id="rId107" display="http://var.astro.cz/oejv/issues/oejv0160.pdf" xr:uid="{00000000-0004-0000-0600-00006A000000}"/>
    <hyperlink ref="P107" r:id="rId108" display="http://www.bav-astro.de/sfs/BAVM_link.php?BAVMnr=234" xr:uid="{00000000-0004-0000-0600-00006B000000}"/>
    <hyperlink ref="P108" r:id="rId109" display="http://www.konkoly.hu/cgi-bin/IBVS?6092" xr:uid="{00000000-0004-0000-0600-00006C000000}"/>
    <hyperlink ref="P109" r:id="rId110" display="http://www.bav-astro.de/sfs/BAVM_link.php?BAVMnr=234" xr:uid="{00000000-0004-0000-0600-00006D000000}"/>
    <hyperlink ref="P110" r:id="rId111" display="http://www.bav-astro.de/sfs/BAVM_link.php?BAVMnr=234" xr:uid="{00000000-0004-0000-0600-00006E000000}"/>
    <hyperlink ref="P111" r:id="rId112" display="http://www.bav-astro.de/sfs/BAVM_link.php?BAVMnr=234" xr:uid="{00000000-0004-0000-0600-00006F000000}"/>
    <hyperlink ref="P136" r:id="rId113" display="http://var.astro.cz/oejv/issues/oejv0162.pdf" xr:uid="{00000000-0004-0000-0600-00007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Active 2</vt:lpstr>
      <vt:lpstr>Graphs 2</vt:lpstr>
      <vt:lpstr>Q_fit</vt:lpstr>
      <vt:lpstr>errors</vt:lpstr>
      <vt:lpstr>D (2)</vt:lpstr>
      <vt:lpstr>D (3)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1703105086</vt:i4>
  </property>
  <property fmtid="{D5CDD505-2E9C-101B-9397-08002B2CF9AE}" pid="3" name="_EmailSubject">
    <vt:lpwstr>AO Cam - ToM and recommended ephemeris</vt:lpwstr>
  </property>
  <property fmtid="{D5CDD505-2E9C-101B-9397-08002B2CF9AE}" pid="4" name="_AuthorEmail">
    <vt:lpwstr>tkrajci@san.osd.mil</vt:lpwstr>
  </property>
  <property fmtid="{D5CDD505-2E9C-101B-9397-08002B2CF9AE}" pid="5" name="_AuthorEmailDisplayName">
    <vt:lpwstr>Tom Krajci</vt:lpwstr>
  </property>
  <property fmtid="{D5CDD505-2E9C-101B-9397-08002B2CF9AE}" pid="6" name="_ReviewingToolsShownOnce">
    <vt:lpwstr/>
  </property>
</Properties>
</file>