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55DBF1A-EFC7-437C-9554-A728B58A9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21" i="1" l="1"/>
  <c r="F121" i="1" s="1"/>
  <c r="G121" i="1" s="1"/>
  <c r="K121" i="1" s="1"/>
  <c r="Q121" i="1"/>
  <c r="F14" i="1"/>
  <c r="E119" i="1"/>
  <c r="F119" i="1" s="1"/>
  <c r="G119" i="1" s="1"/>
  <c r="K119" i="1" s="1"/>
  <c r="Q119" i="1"/>
  <c r="E120" i="1"/>
  <c r="F120" i="1" s="1"/>
  <c r="G120" i="1" s="1"/>
  <c r="K120" i="1" s="1"/>
  <c r="Q120" i="1"/>
  <c r="D9" i="1"/>
  <c r="C9" i="1"/>
  <c r="Q112" i="1"/>
  <c r="Q104" i="1"/>
  <c r="Q87" i="1"/>
  <c r="Q90" i="1"/>
  <c r="Q91" i="1"/>
  <c r="Q92" i="1"/>
  <c r="Q93" i="1"/>
  <c r="Q94" i="1"/>
  <c r="Q95" i="1"/>
  <c r="Q97" i="1"/>
  <c r="Q98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3" i="1"/>
  <c r="Q114" i="1"/>
  <c r="Q115" i="1"/>
  <c r="Q116" i="1"/>
  <c r="Q117" i="1"/>
  <c r="Q118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6" i="1"/>
  <c r="Q47" i="1"/>
  <c r="Q48" i="1"/>
  <c r="Q49" i="1"/>
  <c r="Q51" i="1"/>
  <c r="Q52" i="1"/>
  <c r="Q54" i="1"/>
  <c r="Q57" i="1"/>
  <c r="Q68" i="1"/>
  <c r="Q71" i="1"/>
  <c r="Q73" i="1"/>
  <c r="Q96" i="1"/>
  <c r="G73" i="2"/>
  <c r="C73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72" i="2"/>
  <c r="C72" i="2"/>
  <c r="G36" i="2"/>
  <c r="C36" i="2"/>
  <c r="G71" i="2"/>
  <c r="C71" i="2"/>
  <c r="G35" i="2"/>
  <c r="C35" i="2"/>
  <c r="G34" i="2"/>
  <c r="C34" i="2"/>
  <c r="G70" i="2"/>
  <c r="C70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69" i="2"/>
  <c r="C69" i="2"/>
  <c r="G24" i="2"/>
  <c r="C24" i="2"/>
  <c r="G23" i="2"/>
  <c r="C23" i="2"/>
  <c r="G68" i="2"/>
  <c r="C68" i="2"/>
  <c r="G22" i="2"/>
  <c r="C22" i="2"/>
  <c r="G67" i="2"/>
  <c r="C67" i="2"/>
  <c r="G66" i="2"/>
  <c r="C66" i="2"/>
  <c r="G21" i="2"/>
  <c r="C21" i="2"/>
  <c r="G65" i="2"/>
  <c r="C65" i="2"/>
  <c r="G64" i="2"/>
  <c r="C64" i="2"/>
  <c r="G63" i="2"/>
  <c r="C63" i="2"/>
  <c r="G62" i="2"/>
  <c r="C62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H73" i="2"/>
  <c r="D73" i="2"/>
  <c r="B73" i="2"/>
  <c r="A73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72" i="2"/>
  <c r="D72" i="2"/>
  <c r="B72" i="2"/>
  <c r="A72" i="2"/>
  <c r="H36" i="2"/>
  <c r="D36" i="2"/>
  <c r="B36" i="2"/>
  <c r="A36" i="2"/>
  <c r="H71" i="2"/>
  <c r="D71" i="2"/>
  <c r="B71" i="2"/>
  <c r="A71" i="2"/>
  <c r="H35" i="2"/>
  <c r="D35" i="2"/>
  <c r="B35" i="2"/>
  <c r="A35" i="2"/>
  <c r="H34" i="2"/>
  <c r="D34" i="2"/>
  <c r="B34" i="2"/>
  <c r="A34" i="2"/>
  <c r="H70" i="2"/>
  <c r="D70" i="2"/>
  <c r="B70" i="2"/>
  <c r="A70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69" i="2"/>
  <c r="D69" i="2"/>
  <c r="B69" i="2"/>
  <c r="A69" i="2"/>
  <c r="H24" i="2"/>
  <c r="D24" i="2"/>
  <c r="B24" i="2"/>
  <c r="A24" i="2"/>
  <c r="H23" i="2"/>
  <c r="D23" i="2"/>
  <c r="B23" i="2"/>
  <c r="A23" i="2"/>
  <c r="H68" i="2"/>
  <c r="D68" i="2"/>
  <c r="B68" i="2"/>
  <c r="A68" i="2"/>
  <c r="H22" i="2"/>
  <c r="D22" i="2"/>
  <c r="B22" i="2"/>
  <c r="A22" i="2"/>
  <c r="H67" i="2"/>
  <c r="D67" i="2"/>
  <c r="B67" i="2"/>
  <c r="A67" i="2"/>
  <c r="H66" i="2"/>
  <c r="D66" i="2"/>
  <c r="B66" i="2"/>
  <c r="A66" i="2"/>
  <c r="H21" i="2"/>
  <c r="D21" i="2"/>
  <c r="B21" i="2"/>
  <c r="A21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Q56" i="1"/>
  <c r="Q59" i="1"/>
  <c r="Q60" i="1"/>
  <c r="Q61" i="1"/>
  <c r="Q88" i="1"/>
  <c r="Q89" i="1"/>
  <c r="Q86" i="1"/>
  <c r="Q81" i="1"/>
  <c r="Q85" i="1"/>
  <c r="Q84" i="1"/>
  <c r="Q82" i="1"/>
  <c r="Q80" i="1"/>
  <c r="Q79" i="1"/>
  <c r="Q53" i="1"/>
  <c r="Q55" i="1"/>
  <c r="Q75" i="1"/>
  <c r="Q78" i="1"/>
  <c r="Q77" i="1"/>
  <c r="Q62" i="1"/>
  <c r="Q63" i="1"/>
  <c r="Q64" i="1"/>
  <c r="Q65" i="1"/>
  <c r="Q66" i="1"/>
  <c r="Q67" i="1"/>
  <c r="Q69" i="1"/>
  <c r="Q70" i="1"/>
  <c r="Q72" i="1"/>
  <c r="Q74" i="1"/>
  <c r="Q76" i="1"/>
  <c r="Q83" i="1"/>
  <c r="Q58" i="1"/>
  <c r="C17" i="1"/>
  <c r="Q50" i="1"/>
  <c r="Q44" i="1"/>
  <c r="Q43" i="1"/>
  <c r="Q45" i="1"/>
  <c r="Q41" i="1"/>
  <c r="Q42" i="1"/>
  <c r="Q38" i="1"/>
  <c r="E112" i="1"/>
  <c r="F112" i="1" s="1"/>
  <c r="G112" i="1" s="1"/>
  <c r="K112" i="1" s="1"/>
  <c r="Q40" i="1"/>
  <c r="Q39" i="1"/>
  <c r="Q37" i="1"/>
  <c r="Q36" i="1"/>
  <c r="Q22" i="1"/>
  <c r="E62" i="1"/>
  <c r="F62" i="1" s="1"/>
  <c r="G62" i="1" s="1"/>
  <c r="K62" i="1" s="1"/>
  <c r="E57" i="1"/>
  <c r="F57" i="1" s="1"/>
  <c r="G57" i="1" s="1"/>
  <c r="I57" i="1" s="1"/>
  <c r="E47" i="1"/>
  <c r="F47" i="1" s="1"/>
  <c r="G47" i="1" s="1"/>
  <c r="K47" i="1" s="1"/>
  <c r="E29" i="1"/>
  <c r="F29" i="1" s="1"/>
  <c r="G29" i="1" s="1"/>
  <c r="I29" i="1" s="1"/>
  <c r="E96" i="1"/>
  <c r="F96" i="1" s="1"/>
  <c r="G96" i="1" s="1"/>
  <c r="K96" i="1" s="1"/>
  <c r="E81" i="1"/>
  <c r="F81" i="1"/>
  <c r="G81" i="1" s="1"/>
  <c r="K81" i="1" s="1"/>
  <c r="E73" i="1"/>
  <c r="F73" i="1" s="1"/>
  <c r="G73" i="1" s="1"/>
  <c r="K73" i="1" s="1"/>
  <c r="E65" i="1"/>
  <c r="F65" i="1" s="1"/>
  <c r="G65" i="1" s="1"/>
  <c r="K65" i="1" s="1"/>
  <c r="E116" i="1"/>
  <c r="F116" i="1"/>
  <c r="G116" i="1" s="1"/>
  <c r="K116" i="1" s="1"/>
  <c r="E107" i="1"/>
  <c r="F107" i="1" s="1"/>
  <c r="G107" i="1" s="1"/>
  <c r="K107" i="1" s="1"/>
  <c r="E98" i="1"/>
  <c r="F98" i="1" s="1"/>
  <c r="G98" i="1" s="1"/>
  <c r="K98" i="1" s="1"/>
  <c r="E87" i="1"/>
  <c r="F87" i="1" s="1"/>
  <c r="G87" i="1" s="1"/>
  <c r="K87" i="1" s="1"/>
  <c r="E58" i="1"/>
  <c r="F58" i="1" s="1"/>
  <c r="G58" i="1" s="1"/>
  <c r="K58" i="1" s="1"/>
  <c r="E54" i="1"/>
  <c r="F54" i="1" s="1"/>
  <c r="G54" i="1" s="1"/>
  <c r="K54" i="1" s="1"/>
  <c r="E34" i="1"/>
  <c r="F34" i="1" s="1"/>
  <c r="G34" i="1" s="1"/>
  <c r="I34" i="1" s="1"/>
  <c r="E26" i="1"/>
  <c r="F26" i="1" s="1"/>
  <c r="G26" i="1" s="1"/>
  <c r="I26" i="1" s="1"/>
  <c r="E59" i="1"/>
  <c r="F59" i="1" s="1"/>
  <c r="G59" i="1" s="1"/>
  <c r="J59" i="1" s="1"/>
  <c r="E86" i="1"/>
  <c r="F86" i="1" s="1"/>
  <c r="G86" i="1" s="1"/>
  <c r="K86" i="1" s="1"/>
  <c r="E78" i="1"/>
  <c r="F78" i="1" s="1"/>
  <c r="E70" i="1"/>
  <c r="F70" i="1"/>
  <c r="G70" i="1" s="1"/>
  <c r="K70" i="1" s="1"/>
  <c r="E113" i="1"/>
  <c r="F113" i="1" s="1"/>
  <c r="G113" i="1" s="1"/>
  <c r="K113" i="1" s="1"/>
  <c r="E103" i="1"/>
  <c r="F103" i="1" s="1"/>
  <c r="G103" i="1" s="1"/>
  <c r="K103" i="1" s="1"/>
  <c r="E94" i="1"/>
  <c r="F94" i="1" s="1"/>
  <c r="G94" i="1" s="1"/>
  <c r="K94" i="1" s="1"/>
  <c r="E49" i="1"/>
  <c r="F49" i="1"/>
  <c r="G49" i="1" s="1"/>
  <c r="K49" i="1" s="1"/>
  <c r="E31" i="1"/>
  <c r="F31" i="1" s="1"/>
  <c r="G31" i="1" s="1"/>
  <c r="I31" i="1" s="1"/>
  <c r="E23" i="1"/>
  <c r="F23" i="1" s="1"/>
  <c r="G23" i="1" s="1"/>
  <c r="I23" i="1" s="1"/>
  <c r="E83" i="1"/>
  <c r="F83" i="1" s="1"/>
  <c r="G83" i="1" s="1"/>
  <c r="K83" i="1" s="1"/>
  <c r="E75" i="1"/>
  <c r="F75" i="1" s="1"/>
  <c r="G75" i="1" s="1"/>
  <c r="K75" i="1" s="1"/>
  <c r="E67" i="1"/>
  <c r="F67" i="1" s="1"/>
  <c r="G67" i="1" s="1"/>
  <c r="K67" i="1" s="1"/>
  <c r="E118" i="1"/>
  <c r="F118" i="1" s="1"/>
  <c r="G118" i="1" s="1"/>
  <c r="K118" i="1" s="1"/>
  <c r="E109" i="1"/>
  <c r="F109" i="1" s="1"/>
  <c r="G109" i="1" s="1"/>
  <c r="K109" i="1" s="1"/>
  <c r="E100" i="1"/>
  <c r="F100" i="1" s="1"/>
  <c r="G100" i="1" s="1"/>
  <c r="K100" i="1" s="1"/>
  <c r="E91" i="1"/>
  <c r="F91" i="1"/>
  <c r="G91" i="1" s="1"/>
  <c r="K91" i="1" s="1"/>
  <c r="E46" i="1"/>
  <c r="F46" i="1" s="1"/>
  <c r="G46" i="1" s="1"/>
  <c r="K46" i="1" s="1"/>
  <c r="E28" i="1"/>
  <c r="F28" i="1" s="1"/>
  <c r="G28" i="1" s="1"/>
  <c r="I28" i="1" s="1"/>
  <c r="E50" i="1"/>
  <c r="F50" i="1" s="1"/>
  <c r="G50" i="1" s="1"/>
  <c r="K50" i="1" s="1"/>
  <c r="E39" i="1"/>
  <c r="F39" i="1" s="1"/>
  <c r="G39" i="1" s="1"/>
  <c r="K39" i="1" s="1"/>
  <c r="E37" i="1"/>
  <c r="F37" i="1" s="1"/>
  <c r="G37" i="1" s="1"/>
  <c r="J37" i="1" s="1"/>
  <c r="E55" i="1"/>
  <c r="F55" i="1" s="1"/>
  <c r="G55" i="1" s="1"/>
  <c r="J55" i="1" s="1"/>
  <c r="E56" i="1"/>
  <c r="F56" i="1" s="1"/>
  <c r="G56" i="1" s="1"/>
  <c r="J56" i="1" s="1"/>
  <c r="E44" i="1"/>
  <c r="F44" i="1" s="1"/>
  <c r="G44" i="1" s="1"/>
  <c r="J44" i="1" s="1"/>
  <c r="E41" i="1"/>
  <c r="F41" i="1" s="1"/>
  <c r="G41" i="1" s="1"/>
  <c r="J41" i="1" s="1"/>
  <c r="E38" i="1"/>
  <c r="F38" i="1" s="1"/>
  <c r="G38" i="1" s="1"/>
  <c r="J38" i="1" s="1"/>
  <c r="E89" i="1"/>
  <c r="F89" i="1" s="1"/>
  <c r="G89" i="1" s="1"/>
  <c r="K89" i="1" s="1"/>
  <c r="E80" i="1"/>
  <c r="F80" i="1"/>
  <c r="G80" i="1" s="1"/>
  <c r="J80" i="1" s="1"/>
  <c r="E72" i="1"/>
  <c r="F72" i="1" s="1"/>
  <c r="G72" i="1" s="1"/>
  <c r="K72" i="1" s="1"/>
  <c r="E64" i="1"/>
  <c r="F64" i="1" s="1"/>
  <c r="G64" i="1" s="1"/>
  <c r="K64" i="1" s="1"/>
  <c r="E115" i="1"/>
  <c r="F115" i="1" s="1"/>
  <c r="G115" i="1" s="1"/>
  <c r="K115" i="1" s="1"/>
  <c r="E106" i="1"/>
  <c r="F106" i="1" s="1"/>
  <c r="G106" i="1" s="1"/>
  <c r="K106" i="1" s="1"/>
  <c r="E97" i="1"/>
  <c r="F97" i="1"/>
  <c r="G97" i="1" s="1"/>
  <c r="K97" i="1" s="1"/>
  <c r="E104" i="1"/>
  <c r="F104" i="1" s="1"/>
  <c r="G104" i="1" s="1"/>
  <c r="K104" i="1" s="1"/>
  <c r="E22" i="1"/>
  <c r="F22" i="1"/>
  <c r="G22" i="1" s="1"/>
  <c r="H22" i="1" s="1"/>
  <c r="E52" i="1"/>
  <c r="F52" i="1" s="1"/>
  <c r="G52" i="1" s="1"/>
  <c r="K52" i="1" s="1"/>
  <c r="E33" i="1"/>
  <c r="F33" i="1"/>
  <c r="G33" i="1" s="1"/>
  <c r="I33" i="1" s="1"/>
  <c r="E25" i="1"/>
  <c r="F25" i="1" s="1"/>
  <c r="G25" i="1" s="1"/>
  <c r="I25" i="1" s="1"/>
  <c r="E85" i="1"/>
  <c r="F85" i="1"/>
  <c r="G85" i="1" s="1"/>
  <c r="J85" i="1" s="1"/>
  <c r="E77" i="1"/>
  <c r="F77" i="1" s="1"/>
  <c r="G77" i="1" s="1"/>
  <c r="J77" i="1" s="1"/>
  <c r="E69" i="1"/>
  <c r="F69" i="1"/>
  <c r="G69" i="1" s="1"/>
  <c r="K69" i="1" s="1"/>
  <c r="E111" i="1"/>
  <c r="F111" i="1" s="1"/>
  <c r="G111" i="1" s="1"/>
  <c r="K111" i="1" s="1"/>
  <c r="E102" i="1"/>
  <c r="F102" i="1" s="1"/>
  <c r="G102" i="1" s="1"/>
  <c r="K102" i="1" s="1"/>
  <c r="E93" i="1"/>
  <c r="F93" i="1" s="1"/>
  <c r="G93" i="1" s="1"/>
  <c r="K93" i="1" s="1"/>
  <c r="E48" i="1"/>
  <c r="F48" i="1" s="1"/>
  <c r="G48" i="1" s="1"/>
  <c r="K48" i="1" s="1"/>
  <c r="E30" i="1"/>
  <c r="F30" i="1" s="1"/>
  <c r="G30" i="1" s="1"/>
  <c r="I30" i="1" s="1"/>
  <c r="E61" i="1"/>
  <c r="F61" i="1" s="1"/>
  <c r="G61" i="1" s="1"/>
  <c r="J61" i="1" s="1"/>
  <c r="E82" i="1"/>
  <c r="F82" i="1" s="1"/>
  <c r="G82" i="1" s="1"/>
  <c r="J82" i="1" s="1"/>
  <c r="E74" i="1"/>
  <c r="F74" i="1" s="1"/>
  <c r="G74" i="1" s="1"/>
  <c r="K74" i="1" s="1"/>
  <c r="E66" i="1"/>
  <c r="F66" i="1" s="1"/>
  <c r="G66" i="1" s="1"/>
  <c r="K66" i="1" s="1"/>
  <c r="E117" i="1"/>
  <c r="F117" i="1" s="1"/>
  <c r="G117" i="1" s="1"/>
  <c r="K117" i="1" s="1"/>
  <c r="E108" i="1"/>
  <c r="F108" i="1" s="1"/>
  <c r="G108" i="1" s="1"/>
  <c r="K108" i="1" s="1"/>
  <c r="E99" i="1"/>
  <c r="F99" i="1"/>
  <c r="G99" i="1" s="1"/>
  <c r="K99" i="1" s="1"/>
  <c r="E90" i="1"/>
  <c r="F90" i="1" s="1"/>
  <c r="G90" i="1" s="1"/>
  <c r="K90" i="1" s="1"/>
  <c r="E35" i="1"/>
  <c r="F35" i="1" s="1"/>
  <c r="G35" i="1" s="1"/>
  <c r="I35" i="1" s="1"/>
  <c r="E27" i="1"/>
  <c r="F27" i="1"/>
  <c r="G27" i="1" s="1"/>
  <c r="I27" i="1" s="1"/>
  <c r="E21" i="1"/>
  <c r="F21" i="1" s="1"/>
  <c r="G21" i="1" s="1"/>
  <c r="I21" i="1" s="1"/>
  <c r="E88" i="1"/>
  <c r="F88" i="1" s="1"/>
  <c r="G88" i="1" s="1"/>
  <c r="K88" i="1" s="1"/>
  <c r="E79" i="1"/>
  <c r="F79" i="1" s="1"/>
  <c r="G79" i="1" s="1"/>
  <c r="J79" i="1" s="1"/>
  <c r="E71" i="1"/>
  <c r="F71" i="1" s="1"/>
  <c r="G71" i="1" s="1"/>
  <c r="K71" i="1" s="1"/>
  <c r="E114" i="1"/>
  <c r="F114" i="1" s="1"/>
  <c r="G114" i="1" s="1"/>
  <c r="K114" i="1" s="1"/>
  <c r="E105" i="1"/>
  <c r="F105" i="1"/>
  <c r="G105" i="1" s="1"/>
  <c r="K105" i="1" s="1"/>
  <c r="E95" i="1"/>
  <c r="F95" i="1" s="1"/>
  <c r="G95" i="1" s="1"/>
  <c r="K95" i="1" s="1"/>
  <c r="E63" i="1"/>
  <c r="F63" i="1" s="1"/>
  <c r="G63" i="1" s="1"/>
  <c r="K63" i="1" s="1"/>
  <c r="E36" i="1"/>
  <c r="F36" i="1"/>
  <c r="G36" i="1" s="1"/>
  <c r="J36" i="1" s="1"/>
  <c r="E51" i="1"/>
  <c r="F51" i="1" s="1"/>
  <c r="G51" i="1" s="1"/>
  <c r="K51" i="1" s="1"/>
  <c r="E32" i="1"/>
  <c r="F32" i="1" s="1"/>
  <c r="G32" i="1" s="1"/>
  <c r="I32" i="1" s="1"/>
  <c r="E24" i="1"/>
  <c r="F24" i="1"/>
  <c r="G24" i="1" s="1"/>
  <c r="I24" i="1" s="1"/>
  <c r="E40" i="1"/>
  <c r="F40" i="1" s="1"/>
  <c r="G40" i="1" s="1"/>
  <c r="K40" i="1" s="1"/>
  <c r="E45" i="1"/>
  <c r="F45" i="1" s="1"/>
  <c r="G45" i="1" s="1"/>
  <c r="K45" i="1" s="1"/>
  <c r="E60" i="1"/>
  <c r="F60" i="1" s="1"/>
  <c r="G60" i="1" s="1"/>
  <c r="J60" i="1" s="1"/>
  <c r="E53" i="1"/>
  <c r="F53" i="1"/>
  <c r="G53" i="1" s="1"/>
  <c r="J53" i="1" s="1"/>
  <c r="E43" i="1"/>
  <c r="F43" i="1" s="1"/>
  <c r="G43" i="1" s="1"/>
  <c r="J43" i="1" s="1"/>
  <c r="E42" i="1"/>
  <c r="F42" i="1" s="1"/>
  <c r="G42" i="1" s="1"/>
  <c r="J42" i="1" s="1"/>
  <c r="E84" i="1"/>
  <c r="F84" i="1" s="1"/>
  <c r="G84" i="1" s="1"/>
  <c r="J84" i="1" s="1"/>
  <c r="E76" i="1"/>
  <c r="F76" i="1"/>
  <c r="G76" i="1" s="1"/>
  <c r="K76" i="1" s="1"/>
  <c r="E68" i="1"/>
  <c r="F68" i="1" s="1"/>
  <c r="G68" i="1" s="1"/>
  <c r="K68" i="1" s="1"/>
  <c r="E110" i="1"/>
  <c r="F110" i="1" s="1"/>
  <c r="G110" i="1" s="1"/>
  <c r="K110" i="1" s="1"/>
  <c r="E101" i="1"/>
  <c r="F101" i="1" s="1"/>
  <c r="G101" i="1" s="1"/>
  <c r="K101" i="1" s="1"/>
  <c r="E92" i="1"/>
  <c r="F92" i="1" s="1"/>
  <c r="G92" i="1" s="1"/>
  <c r="K92" i="1" s="1"/>
  <c r="E72" i="2"/>
  <c r="E64" i="2"/>
  <c r="E11" i="2"/>
  <c r="E54" i="2"/>
  <c r="E20" i="2"/>
  <c r="E23" i="2"/>
  <c r="E18" i="2"/>
  <c r="E36" i="2"/>
  <c r="E25" i="2"/>
  <c r="E60" i="2"/>
  <c r="E35" i="2"/>
  <c r="E19" i="2"/>
  <c r="E57" i="2"/>
  <c r="E46" i="2"/>
  <c r="E61" i="2"/>
  <c r="E55" i="2"/>
  <c r="E53" i="2"/>
  <c r="E50" i="2"/>
  <c r="E51" i="2"/>
  <c r="E41" i="2"/>
  <c r="E22" i="2"/>
  <c r="E43" i="2"/>
  <c r="E73" i="2"/>
  <c r="E47" i="2"/>
  <c r="E15" i="2"/>
  <c r="E39" i="2"/>
  <c r="E37" i="2"/>
  <c r="E65" i="2"/>
  <c r="E42" i="2"/>
  <c r="E32" i="2"/>
  <c r="E49" i="2"/>
  <c r="E66" i="2"/>
  <c r="E34" i="2"/>
  <c r="E13" i="2"/>
  <c r="E33" i="2"/>
  <c r="E27" i="2"/>
  <c r="E69" i="2"/>
  <c r="E14" i="2"/>
  <c r="E29" i="2"/>
  <c r="E52" i="2"/>
  <c r="E28" i="2"/>
  <c r="E68" i="2"/>
  <c r="E16" i="2"/>
  <c r="E45" i="2"/>
  <c r="E67" i="2"/>
  <c r="E59" i="2"/>
  <c r="E17" i="2"/>
  <c r="C11" i="1"/>
  <c r="C12" i="1"/>
  <c r="O121" i="1" l="1"/>
  <c r="E30" i="2"/>
  <c r="E58" i="2"/>
  <c r="E31" i="2"/>
  <c r="E63" i="2"/>
  <c r="E26" i="2"/>
  <c r="E71" i="2"/>
  <c r="G78" i="1"/>
  <c r="K78" i="1"/>
  <c r="E70" i="2"/>
  <c r="E48" i="2"/>
  <c r="E21" i="2"/>
  <c r="E24" i="2"/>
  <c r="E38" i="2"/>
  <c r="E62" i="2"/>
  <c r="E44" i="2"/>
  <c r="E40" i="2"/>
  <c r="E56" i="2"/>
  <c r="E12" i="2"/>
  <c r="F15" i="1"/>
  <c r="O120" i="1"/>
  <c r="O119" i="1"/>
  <c r="O71" i="1"/>
  <c r="O76" i="1"/>
  <c r="O82" i="1"/>
  <c r="O103" i="1"/>
  <c r="O85" i="1"/>
  <c r="O80" i="1"/>
  <c r="O55" i="1"/>
  <c r="O79" i="1"/>
  <c r="O96" i="1"/>
  <c r="O58" i="1"/>
  <c r="O86" i="1"/>
  <c r="O41" i="1"/>
  <c r="O91" i="1"/>
  <c r="O113" i="1"/>
  <c r="O66" i="1"/>
  <c r="O53" i="1"/>
  <c r="O92" i="1"/>
  <c r="O72" i="1"/>
  <c r="O62" i="1"/>
  <c r="O40" i="1"/>
  <c r="O84" i="1"/>
  <c r="O104" i="1"/>
  <c r="O100" i="1"/>
  <c r="O48" i="1"/>
  <c r="O39" i="1"/>
  <c r="O77" i="1"/>
  <c r="O101" i="1"/>
  <c r="O43" i="1"/>
  <c r="O90" i="1"/>
  <c r="O88" i="1"/>
  <c r="O75" i="1"/>
  <c r="O97" i="1"/>
  <c r="O109" i="1"/>
  <c r="O73" i="1"/>
  <c r="O87" i="1"/>
  <c r="O65" i="1"/>
  <c r="O110" i="1"/>
  <c r="O112" i="1"/>
  <c r="O99" i="1"/>
  <c r="O78" i="1"/>
  <c r="O93" i="1"/>
  <c r="O63" i="1"/>
  <c r="O106" i="1"/>
  <c r="O118" i="1"/>
  <c r="O59" i="1"/>
  <c r="O98" i="1"/>
  <c r="O70" i="1"/>
  <c r="O46" i="1"/>
  <c r="O95" i="1"/>
  <c r="O108" i="1"/>
  <c r="O69" i="1"/>
  <c r="O102" i="1"/>
  <c r="O67" i="1"/>
  <c r="O115" i="1"/>
  <c r="O57" i="1"/>
  <c r="O81" i="1"/>
  <c r="O107" i="1"/>
  <c r="O83" i="1"/>
  <c r="O68" i="1"/>
  <c r="O105" i="1"/>
  <c r="O117" i="1"/>
  <c r="O47" i="1"/>
  <c r="O45" i="1"/>
  <c r="O56" i="1"/>
  <c r="O94" i="1"/>
  <c r="O50" i="1"/>
  <c r="O52" i="1"/>
  <c r="O42" i="1"/>
  <c r="O89" i="1"/>
  <c r="O49" i="1"/>
  <c r="O61" i="1"/>
  <c r="O60" i="1"/>
  <c r="O111" i="1"/>
  <c r="O114" i="1"/>
  <c r="O116" i="1"/>
  <c r="O74" i="1"/>
  <c r="O54" i="1"/>
  <c r="O51" i="1"/>
  <c r="O64" i="1"/>
  <c r="C15" i="1"/>
  <c r="O4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<sst xmlns="http://schemas.openxmlformats.org/spreadsheetml/2006/main" count="807" uniqueCount="360">
  <si>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</si>
  <si>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</si>
  <si>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</si>
  <si>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</si>
  <si>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</si>
  <si>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</si>
  <si>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</si>
  <si>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</si>
  <si>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</si>
  <si>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</si>
  <si>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</si>
  <si>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</si>
  <si>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</si>
  <si>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</si>
  <si>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</si>
  <si>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</si>
  <si>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</si>
  <si>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</si>
  <si>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</si>
  <si>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</si>
  <si>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</si>
  <si>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</si>
  <si>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</si>
  <si>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</si>
  <si>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</si>
  <si>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</si>
  <si>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</si>
  <si>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</si>
  <si>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Diethelm R</t>
  </si>
  <si>
    <t>BBSAG Bull.116</t>
  </si>
  <si>
    <t>B</t>
  </si>
  <si>
    <t>IBVS 5378</t>
  </si>
  <si>
    <t>I</t>
  </si>
  <si>
    <t>IBVS 5016</t>
  </si>
  <si>
    <t>IBVS 5296</t>
  </si>
  <si>
    <t>IBVS 5502</t>
  </si>
  <si>
    <t>IBVS 5657</t>
  </si>
  <si>
    <t>EB</t>
  </si>
  <si>
    <t># of data points:</t>
  </si>
  <si>
    <t>AX Cas / gsc 4030-1544</t>
  </si>
  <si>
    <t>IBVS 5731</t>
  </si>
  <si>
    <t>My time zone &gt;&gt;&gt;&gt;&gt;</t>
  </si>
  <si>
    <t>(PST=8, PDT=MDT=7, MDT=CST=6, etc.)</t>
  </si>
  <si>
    <t>JD today</t>
  </si>
  <si>
    <t>New Cycle</t>
  </si>
  <si>
    <t>IBVS 5781</t>
  </si>
  <si>
    <t>IBVS 5761</t>
  </si>
  <si>
    <t>Start of linear fit &gt;&gt;&gt;&gt;&gt;&gt;&gt;&gt;&gt;&gt;&gt;&gt;&gt;&gt;&gt;&gt;&gt;&gt;&gt;&gt;&gt;</t>
  </si>
  <si>
    <t>IBVS 5875</t>
  </si>
  <si>
    <t>Add cycle</t>
  </si>
  <si>
    <t>Old Cycle</t>
  </si>
  <si>
    <t>OEJV 0137</t>
  </si>
  <si>
    <t>IBVS 5918</t>
  </si>
  <si>
    <t>II</t>
  </si>
  <si>
    <t>IBVS 6010</t>
  </si>
  <si>
    <t>IBVS 6011</t>
  </si>
  <si>
    <t>OEJV 0160</t>
  </si>
  <si>
    <t>IBVS 6070</t>
  </si>
  <si>
    <t>OEJV</t>
  </si>
  <si>
    <t>JAVSO..41..328</t>
  </si>
  <si>
    <t>IBVS 6118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</si>
  <si>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</si>
  <si>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</si>
  <si>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</si>
  <si>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</si>
  <si>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</si>
  <si>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</si>
  <si>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</si>
  <si>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</si>
  <si>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</si>
  <si>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</si>
  <si>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</si>
  <si>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</si>
  <si>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</si>
  <si>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</si>
  <si>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</si>
  <si>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2428626.431 </t>
  </si>
  <si>
    <t> 02.04.1937 22:20 </t>
  </si>
  <si>
    <t> -0.011 </t>
  </si>
  <si>
    <t>P </t>
  </si>
  <si>
    <t> C.Hoffmeister </t>
  </si>
  <si>
    <t> VSS 1.67 </t>
  </si>
  <si>
    <t>2428635.450 </t>
  </si>
  <si>
    <t> 11.04.1937 22:48 </t>
  </si>
  <si>
    <t> 0.002 </t>
  </si>
  <si>
    <t>2429114.538 </t>
  </si>
  <si>
    <t> 04.08.1938 00:54 </t>
  </si>
  <si>
    <t> -0.010 </t>
  </si>
  <si>
    <t>2429162.586 </t>
  </si>
  <si>
    <t> 21.09.1938 02:03 </t>
  </si>
  <si>
    <t> 0.008 </t>
  </si>
  <si>
    <t>2429165.597 </t>
  </si>
  <si>
    <t> 24.09.1938 02:19 </t>
  </si>
  <si>
    <t> 0.017 </t>
  </si>
  <si>
    <t>2429883.608 </t>
  </si>
  <si>
    <t> 11.09.1940 02:35 </t>
  </si>
  <si>
    <t> -0.021 </t>
  </si>
  <si>
    <t>2429903.462 </t>
  </si>
  <si>
    <t> 30.09.1940 23:05 </t>
  </si>
  <si>
    <t> 0.020 </t>
  </si>
  <si>
    <t>2429932.264 </t>
  </si>
  <si>
    <t> 29.10.1940 18:20 </t>
  </si>
  <si>
    <t> 0.004 </t>
  </si>
  <si>
    <t>2430100.365 </t>
  </si>
  <si>
    <t> 15.04.1941 20:45 </t>
  </si>
  <si>
    <t> -0.000 </t>
  </si>
  <si>
    <t>2430462.392 </t>
  </si>
  <si>
    <t> 12.04.1942 21:24 </t>
  </si>
  <si>
    <t> 0.000 </t>
  </si>
  <si>
    <t>2430839.431 </t>
  </si>
  <si>
    <t> 24.04.1943 22:20 </t>
  </si>
  <si>
    <t> 0.003 </t>
  </si>
  <si>
    <t>2431001.526 </t>
  </si>
  <si>
    <t> 04.10.1943 00:37 </t>
  </si>
  <si>
    <t>2431145.609 </t>
  </si>
  <si>
    <t> 25.02.1944 02:36 </t>
  </si>
  <si>
    <t>2448562.477 </t>
  </si>
  <si>
    <t> 01.11.1991 23:26 </t>
  </si>
  <si>
    <t> -0.050 </t>
  </si>
  <si>
    <t> P.Frank </t>
  </si>
  <si>
    <t>BAVM 60 </t>
  </si>
  <si>
    <t>2450752.6298 </t>
  </si>
  <si>
    <t> 31.10.1997 03:06 </t>
  </si>
  <si>
    <t> -0.0693 </t>
  </si>
  <si>
    <t>E </t>
  </si>
  <si>
    <t>?</t>
  </si>
  <si>
    <t> R.Diethelm </t>
  </si>
  <si>
    <t> BBS 116 </t>
  </si>
  <si>
    <t>2451430.4630 </t>
  </si>
  <si>
    <t> 08.09.1999 23:06 </t>
  </si>
  <si>
    <t> -0.0606 </t>
  </si>
  <si>
    <t>o</t>
  </si>
  <si>
    <t> K.&amp; M.Rätz </t>
  </si>
  <si>
    <t>BAVM 132 </t>
  </si>
  <si>
    <t>2451780.4837 </t>
  </si>
  <si>
    <t> 23.08.2000 23:36 </t>
  </si>
  <si>
    <t> -0.0591 </t>
  </si>
  <si>
    <t>BAVM 152 </t>
  </si>
  <si>
    <t>2452576.5730 </t>
  </si>
  <si>
    <t> 29.10.2002 01:45 </t>
  </si>
  <si>
    <t> -0.0684 </t>
  </si>
  <si>
    <t> S.Dvorak </t>
  </si>
  <si>
    <t>IBVS 5378 </t>
  </si>
  <si>
    <t>2452992.6268 </t>
  </si>
  <si>
    <t> 19.12.2003 03:02 </t>
  </si>
  <si>
    <t> -0.0752 </t>
  </si>
  <si>
    <t>IBVS 5502 </t>
  </si>
  <si>
    <t>2453215.3644 </t>
  </si>
  <si>
    <t> 28.07.2004 20:44 </t>
  </si>
  <si>
    <t> -0.0771 </t>
  </si>
  <si>
    <t>C </t>
  </si>
  <si>
    <t> Moschner </t>
  </si>
  <si>
    <t>BAVM 178 </t>
  </si>
  <si>
    <t>2453254.3861 </t>
  </si>
  <si>
    <t> 05.09.2004 21:15 </t>
  </si>
  <si>
    <t> -0.0798 </t>
  </si>
  <si>
    <t> Moschner &amp; Frank </t>
  </si>
  <si>
    <t>BAVM 173 </t>
  </si>
  <si>
    <t>2454085.2962 </t>
  </si>
  <si>
    <t> 15.12.2006 19:06 </t>
  </si>
  <si>
    <t> -0.0901 </t>
  </si>
  <si>
    <t> H. Jungbluth </t>
  </si>
  <si>
    <t>BAVM 183 </t>
  </si>
  <si>
    <t>2454092.4997 </t>
  </si>
  <si>
    <t> 22.12.2006 23:59 </t>
  </si>
  <si>
    <t> -0.0911 </t>
  </si>
  <si>
    <t>-I</t>
  </si>
  <si>
    <t> F. Agerer </t>
  </si>
  <si>
    <t>2454097.3037 </t>
  </si>
  <si>
    <t> 27.12.2006 19:17 </t>
  </si>
  <si>
    <t>42425</t>
  </si>
  <si>
    <t> R. Diethelm </t>
  </si>
  <si>
    <t> BBS 133 (=IBVS 5781) </t>
  </si>
  <si>
    <t>2454367.4688 </t>
  </si>
  <si>
    <t> 23.09.2007 23:15 </t>
  </si>
  <si>
    <t>42875</t>
  </si>
  <si>
    <t> -0.0942 </t>
  </si>
  <si>
    <t> F.Agerer </t>
  </si>
  <si>
    <t>BAVM 193 </t>
  </si>
  <si>
    <t>2454388.4835 </t>
  </si>
  <si>
    <t> 14.10.2007 23:36 </t>
  </si>
  <si>
    <t>42910</t>
  </si>
  <si>
    <t> -0.0927 </t>
  </si>
  <si>
    <t>2454390.2831 </t>
  </si>
  <si>
    <t> 16.10.2007 18:47 </t>
  </si>
  <si>
    <t>42913</t>
  </si>
  <si>
    <t> H.Jungbluth </t>
  </si>
  <si>
    <t>2454405.2919 </t>
  </si>
  <si>
    <t> 31.10.2007 19:00 </t>
  </si>
  <si>
    <t>42938</t>
  </si>
  <si>
    <t> -0.0948 </t>
  </si>
  <si>
    <t>BAVM 203 </t>
  </si>
  <si>
    <t>2454704.8719 </t>
  </si>
  <si>
    <t> 26.08.2008 08:55 </t>
  </si>
  <si>
    <t>43437</t>
  </si>
  <si>
    <t> -0.1024 </t>
  </si>
  <si>
    <t> R.Nelson </t>
  </si>
  <si>
    <t>IBVS 5875 </t>
  </si>
  <si>
    <t>2454752.3007 </t>
  </si>
  <si>
    <t> 12.10.2008 19:13 </t>
  </si>
  <si>
    <t>43516</t>
  </si>
  <si>
    <t> -0.1033 </t>
  </si>
  <si>
    <t> U.Schmidt </t>
  </si>
  <si>
    <t>2454776.3195 </t>
  </si>
  <si>
    <t> 05.11.2008 19:40 </t>
  </si>
  <si>
    <t>43556</t>
  </si>
  <si>
    <t> -0.0996 </t>
  </si>
  <si>
    <t>2454847.4669 </t>
  </si>
  <si>
    <t> 15.01.2009 23:12 </t>
  </si>
  <si>
    <t>43674.5</t>
  </si>
  <si>
    <t> -0.0967 </t>
  </si>
  <si>
    <t>BAVM 209 </t>
  </si>
  <si>
    <t>2455154.5556 </t>
  </si>
  <si>
    <t> 19.11.2009 01:20 </t>
  </si>
  <si>
    <t>44186</t>
  </si>
  <si>
    <t> -0.1003 </t>
  </si>
  <si>
    <t>BAVM 212 </t>
  </si>
  <si>
    <t>2455473.3550 </t>
  </si>
  <si>
    <t> 03.10.2010 20:31 </t>
  </si>
  <si>
    <t>44717</t>
  </si>
  <si>
    <t> -0.1006 </t>
  </si>
  <si>
    <t> W.Moschner &amp; P.Frank </t>
  </si>
  <si>
    <t>BAVM 220 </t>
  </si>
  <si>
    <t>2455479.3600 </t>
  </si>
  <si>
    <t> 09.10.2010 20:38 </t>
  </si>
  <si>
    <t>44727</t>
  </si>
  <si>
    <t> -0.0994 </t>
  </si>
  <si>
    <t>BAVM 215 </t>
  </si>
  <si>
    <t>2455482.3600 </t>
  </si>
  <si>
    <t> 12.10.2010 20:38 </t>
  </si>
  <si>
    <t>44732</t>
  </si>
  <si>
    <t> -0.1012 </t>
  </si>
  <si>
    <t>R</t>
  </si>
  <si>
    <t> M.Lehky </t>
  </si>
  <si>
    <t>OEJV 0137 </t>
  </si>
  <si>
    <t>2455491.3678 </t>
  </si>
  <si>
    <t> 21.10.2010 20:49 </t>
  </si>
  <si>
    <t>44747</t>
  </si>
  <si>
    <t> -0.0991 </t>
  </si>
  <si>
    <t>2455491.6605 </t>
  </si>
  <si>
    <t> 22.10.2010 03:51 </t>
  </si>
  <si>
    <t>44747.5</t>
  </si>
  <si>
    <t> -0.1066 </t>
  </si>
  <si>
    <t>2455514.4853 </t>
  </si>
  <si>
    <t> 13.11.2010 23:38 </t>
  </si>
  <si>
    <t>44785.5</t>
  </si>
  <si>
    <t> -0.0960 </t>
  </si>
  <si>
    <t>2455792.45732 </t>
  </si>
  <si>
    <t> 18.08.2011 22:58 </t>
  </si>
  <si>
    <t>45248.5</t>
  </si>
  <si>
    <t> -0.09812 </t>
  </si>
  <si>
    <t>OEJV 0160 </t>
  </si>
  <si>
    <t>2455794.55578 </t>
  </si>
  <si>
    <t> 21.08.2011 01:20 </t>
  </si>
  <si>
    <t>45252</t>
  </si>
  <si>
    <t> -0.10097 </t>
  </si>
  <si>
    <t>2455797.55726 </t>
  </si>
  <si>
    <t> 24.08.2011 01:22 </t>
  </si>
  <si>
    <t>45257</t>
  </si>
  <si>
    <t> -0.10137 </t>
  </si>
  <si>
    <t>2455799.35877 </t>
  </si>
  <si>
    <t> 25.08.2011 20:36 </t>
  </si>
  <si>
    <t>45260</t>
  </si>
  <si>
    <t> -0.10099 </t>
  </si>
  <si>
    <t>2455802.36017 </t>
  </si>
  <si>
    <t> 28.08.2011 20:38 </t>
  </si>
  <si>
    <t>45265</t>
  </si>
  <si>
    <t> -0.10147 </t>
  </si>
  <si>
    <t>2455805.36247 </t>
  </si>
  <si>
    <t> 31.08.2011 20:41 </t>
  </si>
  <si>
    <t>45270</t>
  </si>
  <si>
    <t> -0.10105 </t>
  </si>
  <si>
    <t>2455820.3715 </t>
  </si>
  <si>
    <t> 15.09.2011 20:54 </t>
  </si>
  <si>
    <t>45295</t>
  </si>
  <si>
    <t> -0.1014 </t>
  </si>
  <si>
    <t>BAVM 225 </t>
  </si>
  <si>
    <t>2455830.28172 </t>
  </si>
  <si>
    <t> 25.09.2011 18:45 </t>
  </si>
  <si>
    <t>45311.5</t>
  </si>
  <si>
    <t> -0.09740 </t>
  </si>
  <si>
    <t>2455831.48278 </t>
  </si>
  <si>
    <t> 26.09.2011 23:35 </t>
  </si>
  <si>
    <t>45313.5</t>
  </si>
  <si>
    <t> -0.09710 </t>
  </si>
  <si>
    <t>2455835.3807 </t>
  </si>
  <si>
    <t> 30.09.2011 21:08 </t>
  </si>
  <si>
    <t>45320</t>
  </si>
  <si>
    <t> -0.1016 </t>
  </si>
  <si>
    <t>2455838.38331 </t>
  </si>
  <si>
    <t> 03.10.2011 21:11 </t>
  </si>
  <si>
    <t>45325</t>
  </si>
  <si>
    <t> -0.10089 </t>
  </si>
  <si>
    <t>2455858.5025 </t>
  </si>
  <si>
    <t> 24.10.2011 00:03 </t>
  </si>
  <si>
    <t>45358.5</t>
  </si>
  <si>
    <t> -0.0943 </t>
  </si>
  <si>
    <t>2455875.312 </t>
  </si>
  <si>
    <t> 09.11.2011 19:29 </t>
  </si>
  <si>
    <t>45386.5</t>
  </si>
  <si>
    <t> -0.095 </t>
  </si>
  <si>
    <t>2455905.6282 </t>
  </si>
  <si>
    <t> 10.12.2011 03:04 </t>
  </si>
  <si>
    <t>45437</t>
  </si>
  <si>
    <t> -0.0981 </t>
  </si>
  <si>
    <t>IBVS 6011 </t>
  </si>
  <si>
    <t>2456154.4873 </t>
  </si>
  <si>
    <t> 14.08.2012 23:41 </t>
  </si>
  <si>
    <t>45851.5</t>
  </si>
  <si>
    <t> -0.0949 </t>
  </si>
  <si>
    <t>2456179.3998 </t>
  </si>
  <si>
    <t> 08.09.2012 21:35 </t>
  </si>
  <si>
    <t>45893</t>
  </si>
  <si>
    <t> -0.0980 </t>
  </si>
  <si>
    <t>BAVM 231 </t>
  </si>
  <si>
    <t>2456292.2687 </t>
  </si>
  <si>
    <t> 30.12.2012 18:26 </t>
  </si>
  <si>
    <t>46081</t>
  </si>
  <si>
    <t> -0.0998 </t>
  </si>
  <si>
    <t> Y.Ogmen </t>
  </si>
  <si>
    <t> JAAVSO 41;328 </t>
  </si>
  <si>
    <t>2456342.4027 </t>
  </si>
  <si>
    <t> 18.02.2013 21:39 </t>
  </si>
  <si>
    <t>46164.5</t>
  </si>
  <si>
    <t> -0.0972 </t>
  </si>
  <si>
    <t>BAVM 234 </t>
  </si>
  <si>
    <t>2456507.5037 </t>
  </si>
  <si>
    <t> 03.08.2013 00:05 </t>
  </si>
  <si>
    <t>46439.5</t>
  </si>
  <si>
    <t>2456526.4198 </t>
  </si>
  <si>
    <t> 21.08.2013 22:04 </t>
  </si>
  <si>
    <t>46471</t>
  </si>
  <si>
    <t> -0.0953 </t>
  </si>
  <si>
    <t>2456535.42483 </t>
  </si>
  <si>
    <t> 30.08.2013 22:11 </t>
  </si>
  <si>
    <t>46486</t>
  </si>
  <si>
    <t> -0.09591 </t>
  </si>
  <si>
    <t> M.Magris </t>
  </si>
  <si>
    <t>2456538.4273 </t>
  </si>
  <si>
    <t> 02.09.2013 22:15 </t>
  </si>
  <si>
    <t>46491</t>
  </si>
  <si>
    <t>2456540.5295 </t>
  </si>
  <si>
    <t> 05.09.2013 00:42 </t>
  </si>
  <si>
    <t>46494.5</t>
  </si>
  <si>
    <t> -0.0944 </t>
  </si>
  <si>
    <t>2457082.3695 </t>
  </si>
  <si>
    <t> 28.02.2015 20:52 </t>
  </si>
  <si>
    <t>47397</t>
  </si>
  <si>
    <t> -0.0938 </t>
  </si>
  <si>
    <t>BAVM 241 (=IBVS 6157) </t>
  </si>
  <si>
    <t>IBVS 6157</t>
  </si>
  <si>
    <t>OEJV 0179</t>
  </si>
  <si>
    <t>JBAV, 60</t>
  </si>
  <si>
    <t>JAVSO, 50, 133</t>
  </si>
  <si>
    <t>JAAVSO, 52, 243</t>
  </si>
  <si>
    <t>Next ToM-P</t>
  </si>
  <si>
    <t>Next ToM-S</t>
  </si>
  <si>
    <t>12.80-13.30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</si>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</sst>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8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17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9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165" fontId="40" fillId="0" borderId="0" xfId="0" applyNumberFormat="1" applyFont="1" applyAlignment="1">
      <alignment horizontal="left" vertical="center" wrapText="1"/>
    </xf>
    <xf numFmtId="0" fontId="40" fillId="0" borderId="0" xfId="0" applyFont="1" applyAlignment="1" applyProtection="1">
      <alignment horizontal="center"/>
      <protection locked="0"/>
    </xf>
    <xf numFmtId="165" fontId="40" fillId="0" borderId="0" xfId="0" applyNumberFormat="1" applyFont="1" applyAlignment="1" applyProtection="1">
      <alignment horizontal="left"/>
      <protection locked="0"/>
    </xf>
    <xf numFmtId="165" fontId="40" fillId="0" borderId="0" xfId="0" applyNumberFormat="1" applyFont="1" applyAlignment="1" applyProtection="1">
      <alignment horizontal="left" vertical="center" wrapText="1"/>
      <protection locked="0"/>
    </xf>
    <xf numFmtId="0" fontId="0" fillId="0" borderId="19" xfId="0" applyBorder="1">
      <alignment vertical="top"/>
    </xf>
    <xf numFmtId="0" fontId="4" fillId="0" borderId="23" xfId="0" applyFont="1" applyBorder="1" applyAlignment="1">
      <alignment horizontal="right" vertical="center"/>
    </xf>
    <xf numFmtId="0" fontId="41" fillId="0" borderId="22" xfId="0" applyFont="1" applyBorder="1" applyAlignment="1">
      <alignment horizontal="right" vertical="center"/>
    </xf>
    <xf numFmtId="0" fontId="41" fillId="0" borderId="24" xfId="0" applyFont="1" applyBorder="1" applyAlignment="1">
      <alignment horizontal="right" vertical="center"/>
    </xf>
    <xf numFmtId="0" fontId="6" fillId="25" borderId="20" xfId="0" applyFont="1" applyFill="1" applyBorder="1" applyAlignment="1">
      <alignment horizontal="right" vertical="center"/>
    </xf>
    <xf numFmtId="0" fontId="6" fillId="25" borderId="21" xfId="0" applyFont="1" applyFill="1" applyBorder="1" applyAlignment="1">
      <alignment horizontal="center" vertical="center"/>
    </xf>
    <xf numFmtId="0" fontId="42" fillId="0" borderId="23" xfId="0" applyFont="1" applyBorder="1" applyAlignment="1">
      <alignment horizontal="right" vertical="center"/>
    </xf>
    <xf numFmtId="22" fontId="42" fillId="0" borderId="23" xfId="0" applyNumberFormat="1" applyFont="1" applyBorder="1" applyAlignment="1">
      <alignment horizontal="right" vertical="center"/>
    </xf>
    <xf numFmtId="22" fontId="42" fillId="0" borderId="25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Cas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182965299684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-0.10218390000591171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7-4C24-BACC-FBBAE75CC9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  <c:pt idx="100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  <c:pt idx="10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-0.11318390000451473</c:v>
                </c:pt>
                <c:pt idx="2">
                  <c:v>-9.9856900003942428E-2</c:v>
                </c:pt>
                <c:pt idx="3">
                  <c:v>-0.11366050000287942</c:v>
                </c:pt>
                <c:pt idx="4">
                  <c:v>-9.5916500005841954E-2</c:v>
                </c:pt>
                <c:pt idx="5">
                  <c:v>-8.6807500003487803E-2</c:v>
                </c:pt>
                <c:pt idx="6">
                  <c:v>-0.12813470000401139</c:v>
                </c:pt>
                <c:pt idx="7">
                  <c:v>-8.6615300006087637E-2</c:v>
                </c:pt>
                <c:pt idx="8">
                  <c:v>-0.10276890000386629</c:v>
                </c:pt>
                <c:pt idx="9">
                  <c:v>-0.10766490000241902</c:v>
                </c:pt>
                <c:pt idx="10">
                  <c:v>-0.1087195000036445</c:v>
                </c:pt>
                <c:pt idx="11">
                  <c:v>-0.10722910000185948</c:v>
                </c:pt>
                <c:pt idx="12">
                  <c:v>-0.11434310000186088</c:v>
                </c:pt>
                <c:pt idx="13">
                  <c:v>-0.12211110000498593</c:v>
                </c:pt>
                <c:pt idx="14">
                  <c:v>7.4495999993814621E-2</c:v>
                </c:pt>
                <c:pt idx="36">
                  <c:v>-1.6372000027331524E-3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7-4C24-BACC-FBBAE75CC9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5">
                  <c:v>4.762240000127349E-2</c:v>
                </c:pt>
                <c:pt idx="16">
                  <c:v>5.3834600003028754E-2</c:v>
                </c:pt>
                <c:pt idx="17">
                  <c:v>5.4043999996792991E-2</c:v>
                </c:pt>
                <c:pt idx="20">
                  <c:v>3.0845999994198792E-2</c:v>
                </c:pt>
                <c:pt idx="21">
                  <c:v>2.7963000000454485E-2</c:v>
                </c:pt>
                <c:pt idx="22">
                  <c:v>1.4634199993452057E-2</c:v>
                </c:pt>
                <c:pt idx="23">
                  <c:v>1.3595799995528068E-2</c:v>
                </c:pt>
                <c:pt idx="32">
                  <c:v>5.2092999976594001E-3</c:v>
                </c:pt>
                <c:pt idx="34">
                  <c:v>-9.642000004532747E-4</c:v>
                </c:pt>
                <c:pt idx="35">
                  <c:v>2.5379999715369195E-4</c:v>
                </c:pt>
                <c:pt idx="38">
                  <c:v>4.8979999701259658E-4</c:v>
                </c:pt>
                <c:pt idx="39">
                  <c:v>-6.9993000070098788E-3</c:v>
                </c:pt>
                <c:pt idx="40">
                  <c:v>3.429099997447338E-3</c:v>
                </c:pt>
                <c:pt idx="56">
                  <c:v>-9.2740000400226563E-4</c:v>
                </c:pt>
                <c:pt idx="58">
                  <c:v>-7.0870000490685925E-4</c:v>
                </c:pt>
                <c:pt idx="59">
                  <c:v>-3.7137000035727397E-3</c:v>
                </c:pt>
                <c:pt idx="61">
                  <c:v>4.7300000005634502E-4</c:v>
                </c:pt>
                <c:pt idx="63">
                  <c:v>4.0900000021792948E-4</c:v>
                </c:pt>
                <c:pt idx="64">
                  <c:v>1.2852999934693798E-3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7-4C24-BACC-FBBAE75CC9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">
                  <c:v>4.1850799992971588E-2</c:v>
                </c:pt>
                <c:pt idx="19">
                  <c:v>3.3558199997060001E-2</c:v>
                </c:pt>
                <c:pt idx="24">
                  <c:v>1.4570199993613642E-2</c:v>
                </c:pt>
                <c:pt idx="25">
                  <c:v>9.4802000021445565E-3</c:v>
                </c:pt>
                <c:pt idx="26">
                  <c:v>1.094320000265725E-2</c:v>
                </c:pt>
                <c:pt idx="27">
                  <c:v>9.4085999953676946E-3</c:v>
                </c:pt>
                <c:pt idx="28">
                  <c:v>8.753599991905503E-3</c:v>
                </c:pt>
                <c:pt idx="29">
                  <c:v>3.1799994758330286E-5</c:v>
                </c:pt>
                <c:pt idx="30">
                  <c:v>-1.0460000048624352E-3</c:v>
                </c:pt>
                <c:pt idx="31">
                  <c:v>2.6259999940521084E-3</c:v>
                </c:pt>
                <c:pt idx="33">
                  <c:v>4.5999999565538019E-4</c:v>
                </c:pt>
                <c:pt idx="37">
                  <c:v>-1.5872000003582798E-3</c:v>
                </c:pt>
                <c:pt idx="41">
                  <c:v>3.4249999589519575E-4</c:v>
                </c:pt>
                <c:pt idx="42">
                  <c:v>-2.5212000036844984E-3</c:v>
                </c:pt>
                <c:pt idx="43">
                  <c:v>-2.9322000045794994E-3</c:v>
                </c:pt>
                <c:pt idx="44">
                  <c:v>-2.5568000055500306E-3</c:v>
                </c:pt>
                <c:pt idx="45">
                  <c:v>-3.0478000044240616E-3</c:v>
                </c:pt>
                <c:pt idx="46">
                  <c:v>-2.6388000042061321E-3</c:v>
                </c:pt>
                <c:pt idx="47">
                  <c:v>-3.0638000025646761E-3</c:v>
                </c:pt>
                <c:pt idx="48">
                  <c:v>9.1589999647112563E-4</c:v>
                </c:pt>
                <c:pt idx="49">
                  <c:v>1.2194999944767915E-3</c:v>
                </c:pt>
                <c:pt idx="50">
                  <c:v>-3.3188000015798025E-3</c:v>
                </c:pt>
                <c:pt idx="51">
                  <c:v>-2.5998000055551529E-3</c:v>
                </c:pt>
                <c:pt idx="52">
                  <c:v>3.9204999993671663E-3</c:v>
                </c:pt>
                <c:pt idx="53">
                  <c:v>2.8308999972068705E-3</c:v>
                </c:pt>
                <c:pt idx="54">
                  <c:v>-6.8200002715457231E-5</c:v>
                </c:pt>
                <c:pt idx="55">
                  <c:v>2.2678999957861379E-3</c:v>
                </c:pt>
                <c:pt idx="57">
                  <c:v>-3.1290000042645261E-3</c:v>
                </c:pt>
                <c:pt idx="60">
                  <c:v>6.0629999643424526E-4</c:v>
                </c:pt>
                <c:pt idx="62">
                  <c:v>-1.6999999934341758E-4</c:v>
                </c:pt>
                <c:pt idx="65">
                  <c:v>1.2539999443106353E-4</c:v>
                </c:pt>
                <c:pt idx="66">
                  <c:v>-4.3260000529699028E-4</c:v>
                </c:pt>
                <c:pt idx="67">
                  <c:v>-3.3846000005723909E-3</c:v>
                </c:pt>
                <c:pt idx="68">
                  <c:v>-5.5460000294260681E-4</c:v>
                </c:pt>
                <c:pt idx="69">
                  <c:v>-9.6029999986058101E-4</c:v>
                </c:pt>
                <c:pt idx="70">
                  <c:v>5.3396999937831424E-3</c:v>
                </c:pt>
                <c:pt idx="71">
                  <c:v>-3.277600000728853E-3</c:v>
                </c:pt>
                <c:pt idx="72">
                  <c:v>-2.4916000038501807E-3</c:v>
                </c:pt>
                <c:pt idx="73">
                  <c:v>-6.9159999839030206E-4</c:v>
                </c:pt>
                <c:pt idx="74">
                  <c:v>1.3839999883202836E-4</c:v>
                </c:pt>
                <c:pt idx="75">
                  <c:v>-4.0200000512413681E-5</c:v>
                </c:pt>
                <c:pt idx="76">
                  <c:v>-6.1062000022502616E-3</c:v>
                </c:pt>
                <c:pt idx="77">
                  <c:v>-3.5962000038125552E-3</c:v>
                </c:pt>
                <c:pt idx="78">
                  <c:v>-1.7262000037590042E-3</c:v>
                </c:pt>
                <c:pt idx="79">
                  <c:v>-4.8220000462606549E-4</c:v>
                </c:pt>
                <c:pt idx="80">
                  <c:v>-1.7220000154338777E-4</c:v>
                </c:pt>
                <c:pt idx="81">
                  <c:v>-5.2200004574842751E-5</c:v>
                </c:pt>
                <c:pt idx="82">
                  <c:v>2.3779999901307747E-4</c:v>
                </c:pt>
                <c:pt idx="83">
                  <c:v>-4.9912000031326897E-3</c:v>
                </c:pt>
                <c:pt idx="84">
                  <c:v>-5.6282000005012378E-3</c:v>
                </c:pt>
                <c:pt idx="85">
                  <c:v>-5.5981999976211227E-3</c:v>
                </c:pt>
                <c:pt idx="86">
                  <c:v>-5.2682000023196451E-3</c:v>
                </c:pt>
                <c:pt idx="87">
                  <c:v>-5.0282000011065975E-3</c:v>
                </c:pt>
                <c:pt idx="88">
                  <c:v>-3.917499998351559E-3</c:v>
                </c:pt>
                <c:pt idx="89">
                  <c:v>-2.7974999975413084E-3</c:v>
                </c:pt>
                <c:pt idx="90">
                  <c:v>-8.1749999662861228E-4</c:v>
                </c:pt>
                <c:pt idx="91">
                  <c:v>-5.128800003149081E-3</c:v>
                </c:pt>
                <c:pt idx="92">
                  <c:v>-9.5378000041819178E-3</c:v>
                </c:pt>
                <c:pt idx="93">
                  <c:v>-9.4978000051924028E-3</c:v>
                </c:pt>
                <c:pt idx="94">
                  <c:v>-9.4978000051924028E-3</c:v>
                </c:pt>
                <c:pt idx="95">
                  <c:v>-8.5997999995015562E-3</c:v>
                </c:pt>
                <c:pt idx="96">
                  <c:v>-7.8398000041488558E-3</c:v>
                </c:pt>
                <c:pt idx="97">
                  <c:v>-6.9798000040464103E-3</c:v>
                </c:pt>
                <c:pt idx="98">
                  <c:v>-4.2139700002735481E-2</c:v>
                </c:pt>
                <c:pt idx="99">
                  <c:v>-4.7128000005614012E-2</c:v>
                </c:pt>
                <c:pt idx="100">
                  <c:v>-5.4857200004335027E-2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7-4C24-BACC-FBBAE75CC9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57-4C24-BACC-FBBAE75CC9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57-4C24-BACC-FBBAE75CC9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57-4C24-BACC-FBBAE75CC9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7.4384465917724102E-2</c:v>
                </c:pt>
                <c:pt idx="19">
                  <c:v>6.7412756511097141E-2</c:v>
                </c:pt>
                <c:pt idx="20">
                  <c:v>6.3680427232801901E-2</c:v>
                </c:pt>
                <c:pt idx="21">
                  <c:v>6.3026515095095187E-2</c:v>
                </c:pt>
                <c:pt idx="22">
                  <c:v>4.9103216655309187E-2</c:v>
                </c:pt>
                <c:pt idx="23">
                  <c:v>4.8982494414501782E-2</c:v>
                </c:pt>
                <c:pt idx="24">
                  <c:v>4.8902012920630192E-2</c:v>
                </c:pt>
                <c:pt idx="25">
                  <c:v>4.4374770036180247E-2</c:v>
                </c:pt>
                <c:pt idx="26">
                  <c:v>4.4022638985855761E-2</c:v>
                </c:pt>
                <c:pt idx="27">
                  <c:v>4.3992484140049568E-2</c:v>
                </c:pt>
                <c:pt idx="28">
                  <c:v>4.3740990447153225E-2</c:v>
                </c:pt>
                <c:pt idx="29">
                  <c:v>3.8721103413019431E-2</c:v>
                </c:pt>
                <c:pt idx="30">
                  <c:v>3.7926366721102306E-2</c:v>
                </c:pt>
                <c:pt idx="31">
                  <c:v>3.7523897722185687E-2</c:v>
                </c:pt>
                <c:pt idx="32">
                  <c:v>3.6331722307363812E-2</c:v>
                </c:pt>
                <c:pt idx="33">
                  <c:v>3.1186016374194058E-2</c:v>
                </c:pt>
                <c:pt idx="34">
                  <c:v>2.584408108295418E-2</c:v>
                </c:pt>
                <c:pt idx="35">
                  <c:v>2.5743458806300329E-2</c:v>
                </c:pt>
                <c:pt idx="36">
                  <c:v>2.5693189559012789E-2</c:v>
                </c:pt>
                <c:pt idx="37">
                  <c:v>2.5693188721191963E-2</c:v>
                </c:pt>
                <c:pt idx="38">
                  <c:v>2.5542251117107232E-2</c:v>
                </c:pt>
                <c:pt idx="39">
                  <c:v>2.5537346514213573E-2</c:v>
                </c:pt>
                <c:pt idx="40">
                  <c:v>2.5154884675717321E-2</c:v>
                </c:pt>
                <c:pt idx="41">
                  <c:v>2.0497069938251612E-2</c:v>
                </c:pt>
                <c:pt idx="42">
                  <c:v>2.046190727003059E-2</c:v>
                </c:pt>
                <c:pt idx="43">
                  <c:v>2.0411613223247735E-2</c:v>
                </c:pt>
                <c:pt idx="44">
                  <c:v>2.0381426372687451E-2</c:v>
                </c:pt>
                <c:pt idx="45">
                  <c:v>2.0331133666417828E-2</c:v>
                </c:pt>
                <c:pt idx="46">
                  <c:v>2.0280825879374034E-2</c:v>
                </c:pt>
                <c:pt idx="47">
                  <c:v>2.0029328332501976E-2</c:v>
                </c:pt>
                <c:pt idx="48">
                  <c:v>1.9863268565884037E-2</c:v>
                </c:pt>
                <c:pt idx="49">
                  <c:v>1.9843143105168323E-2</c:v>
                </c:pt>
                <c:pt idx="50">
                  <c:v>1.9777827937039257E-2</c:v>
                </c:pt>
                <c:pt idx="51">
                  <c:v>1.9727514955506641E-2</c:v>
                </c:pt>
                <c:pt idx="52">
                  <c:v>1.9390389443061561E-2</c:v>
                </c:pt>
                <c:pt idx="53">
                  <c:v>1.9108722472301661E-2</c:v>
                </c:pt>
                <c:pt idx="54">
                  <c:v>1.8600731620762131E-2</c:v>
                </c:pt>
                <c:pt idx="55">
                  <c:v>1.4430745074877207E-2</c:v>
                </c:pt>
                <c:pt idx="56">
                  <c:v>1.4013300867193617E-2</c:v>
                </c:pt>
                <c:pt idx="57">
                  <c:v>1.2122022652136044E-2</c:v>
                </c:pt>
                <c:pt idx="58">
                  <c:v>1.1281956504298227E-2</c:v>
                </c:pt>
                <c:pt idx="59">
                  <c:v>8.5154555054914611E-3</c:v>
                </c:pt>
                <c:pt idx="60">
                  <c:v>8.5153831177753672E-3</c:v>
                </c:pt>
                <c:pt idx="61">
                  <c:v>8.1984894692861444E-3</c:v>
                </c:pt>
                <c:pt idx="62">
                  <c:v>8.0475974426522344E-3</c:v>
                </c:pt>
                <c:pt idx="63">
                  <c:v>7.9972868070177696E-3</c:v>
                </c:pt>
                <c:pt idx="64">
                  <c:v>7.9620614698019156E-3</c:v>
                </c:pt>
                <c:pt idx="65">
                  <c:v>7.0113932592102725E-3</c:v>
                </c:pt>
                <c:pt idx="66">
                  <c:v>2.0819111096551076E-3</c:v>
                </c:pt>
                <c:pt idx="67">
                  <c:v>1.9813587072548692E-3</c:v>
                </c:pt>
                <c:pt idx="68">
                  <c:v>1.981311286598301E-3</c:v>
                </c:pt>
                <c:pt idx="69">
                  <c:v>1.8455055637677988E-3</c:v>
                </c:pt>
                <c:pt idx="70">
                  <c:v>1.8453999983486019E-3</c:v>
                </c:pt>
                <c:pt idx="71">
                  <c:v>1.830454113309149E-3</c:v>
                </c:pt>
                <c:pt idx="72">
                  <c:v>1.6292372080874314E-3</c:v>
                </c:pt>
                <c:pt idx="73">
                  <c:v>1.6292070465389668E-3</c:v>
                </c:pt>
                <c:pt idx="74">
                  <c:v>1.6291931387139302E-3</c:v>
                </c:pt>
                <c:pt idx="75">
                  <c:v>-1.1172348469584131E-3</c:v>
                </c:pt>
                <c:pt idx="76">
                  <c:v>-3.4309761513487708E-3</c:v>
                </c:pt>
                <c:pt idx="77">
                  <c:v>-3.4310182099523082E-3</c:v>
                </c:pt>
                <c:pt idx="78">
                  <c:v>-3.4310495444497876E-3</c:v>
                </c:pt>
                <c:pt idx="79">
                  <c:v>-3.7328759914494521E-3</c:v>
                </c:pt>
                <c:pt idx="80">
                  <c:v>-3.7328811859383901E-3</c:v>
                </c:pt>
                <c:pt idx="81">
                  <c:v>-3.7328831967082324E-3</c:v>
                </c:pt>
                <c:pt idx="82">
                  <c:v>-3.7328880560688633E-3</c:v>
                </c:pt>
                <c:pt idx="83">
                  <c:v>-4.1855088397985112E-3</c:v>
                </c:pt>
                <c:pt idx="84">
                  <c:v>-4.5376047016499315E-3</c:v>
                </c:pt>
                <c:pt idx="85">
                  <c:v>-4.5376052043424528E-3</c:v>
                </c:pt>
                <c:pt idx="86">
                  <c:v>-4.5376107339595764E-3</c:v>
                </c:pt>
                <c:pt idx="87">
                  <c:v>-4.5376147554993772E-3</c:v>
                </c:pt>
                <c:pt idx="88">
                  <c:v>-4.6533255142908129E-3</c:v>
                </c:pt>
                <c:pt idx="89">
                  <c:v>-4.6533442814764812E-3</c:v>
                </c:pt>
                <c:pt idx="90">
                  <c:v>-4.6533774591797066E-3</c:v>
                </c:pt>
                <c:pt idx="91">
                  <c:v>-5.8756179054192392E-3</c:v>
                </c:pt>
                <c:pt idx="92">
                  <c:v>-9.3463084495946681E-3</c:v>
                </c:pt>
                <c:pt idx="93">
                  <c:v>-9.3463091198512822E-3</c:v>
                </c:pt>
                <c:pt idx="94">
                  <c:v>-9.3463091198512822E-3</c:v>
                </c:pt>
                <c:pt idx="95">
                  <c:v>-1.045294470784713E-2</c:v>
                </c:pt>
                <c:pt idx="96">
                  <c:v>-1.0452957442723031E-2</c:v>
                </c:pt>
                <c:pt idx="97">
                  <c:v>-1.0452971853240588E-2</c:v>
                </c:pt>
                <c:pt idx="98">
                  <c:v>-4.1080621210847101E-2</c:v>
                </c:pt>
                <c:pt idx="99">
                  <c:v>-4.2654956848681438E-2</c:v>
                </c:pt>
                <c:pt idx="100">
                  <c:v>-5.5793431209530647E-2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57-4C24-BACC-FBBAE75CC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062056"/>
        <c:axId val="1"/>
      </c:scatterChart>
      <c:valAx>
        <c:axId val="59006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659305993690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06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2911454630044"/>
          <c:y val="0.917981072555205"/>
          <c:w val="0.7224085534458695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Cas - O-C Diagr.</a:t>
            </a:r>
          </a:p>
        </c:rich>
      </c:tx>
      <c:layout>
        <c:manualLayout>
          <c:xMode val="edge"/>
          <c:yMode val="edge"/>
          <c:x val="0.37395659432387313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207011686144"/>
          <c:y val="0.15094385976765112"/>
          <c:w val="0.80300500834724542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-0.10218390000591171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A4-4E09-AC9C-D31E660E05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  <c:pt idx="100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  <c:pt idx="10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-0.11318390000451473</c:v>
                </c:pt>
                <c:pt idx="2">
                  <c:v>-9.9856900003942428E-2</c:v>
                </c:pt>
                <c:pt idx="3">
                  <c:v>-0.11366050000287942</c:v>
                </c:pt>
                <c:pt idx="4">
                  <c:v>-9.5916500005841954E-2</c:v>
                </c:pt>
                <c:pt idx="5">
                  <c:v>-8.6807500003487803E-2</c:v>
                </c:pt>
                <c:pt idx="6">
                  <c:v>-0.12813470000401139</c:v>
                </c:pt>
                <c:pt idx="7">
                  <c:v>-8.6615300006087637E-2</c:v>
                </c:pt>
                <c:pt idx="8">
                  <c:v>-0.10276890000386629</c:v>
                </c:pt>
                <c:pt idx="9">
                  <c:v>-0.10766490000241902</c:v>
                </c:pt>
                <c:pt idx="10">
                  <c:v>-0.1087195000036445</c:v>
                </c:pt>
                <c:pt idx="11">
                  <c:v>-0.10722910000185948</c:v>
                </c:pt>
                <c:pt idx="12">
                  <c:v>-0.11434310000186088</c:v>
                </c:pt>
                <c:pt idx="13">
                  <c:v>-0.12211110000498593</c:v>
                </c:pt>
                <c:pt idx="14">
                  <c:v>7.4495999993814621E-2</c:v>
                </c:pt>
                <c:pt idx="36">
                  <c:v>-1.6372000027331524E-3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A4-4E09-AC9C-D31E660E05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5">
                  <c:v>4.762240000127349E-2</c:v>
                </c:pt>
                <c:pt idx="16">
                  <c:v>5.3834600003028754E-2</c:v>
                </c:pt>
                <c:pt idx="17">
                  <c:v>5.4043999996792991E-2</c:v>
                </c:pt>
                <c:pt idx="20">
                  <c:v>3.0845999994198792E-2</c:v>
                </c:pt>
                <c:pt idx="21">
                  <c:v>2.7963000000454485E-2</c:v>
                </c:pt>
                <c:pt idx="22">
                  <c:v>1.4634199993452057E-2</c:v>
                </c:pt>
                <c:pt idx="23">
                  <c:v>1.3595799995528068E-2</c:v>
                </c:pt>
                <c:pt idx="32">
                  <c:v>5.2092999976594001E-3</c:v>
                </c:pt>
                <c:pt idx="34">
                  <c:v>-9.642000004532747E-4</c:v>
                </c:pt>
                <c:pt idx="35">
                  <c:v>2.5379999715369195E-4</c:v>
                </c:pt>
                <c:pt idx="38">
                  <c:v>4.8979999701259658E-4</c:v>
                </c:pt>
                <c:pt idx="39">
                  <c:v>-6.9993000070098788E-3</c:v>
                </c:pt>
                <c:pt idx="40">
                  <c:v>3.429099997447338E-3</c:v>
                </c:pt>
                <c:pt idx="56">
                  <c:v>-9.2740000400226563E-4</c:v>
                </c:pt>
                <c:pt idx="58">
                  <c:v>-7.0870000490685925E-4</c:v>
                </c:pt>
                <c:pt idx="59">
                  <c:v>-3.7137000035727397E-3</c:v>
                </c:pt>
                <c:pt idx="61">
                  <c:v>4.7300000005634502E-4</c:v>
                </c:pt>
                <c:pt idx="63">
                  <c:v>4.0900000021792948E-4</c:v>
                </c:pt>
                <c:pt idx="64">
                  <c:v>1.2852999934693798E-3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A4-4E09-AC9C-D31E660E05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">
                  <c:v>4.1850799992971588E-2</c:v>
                </c:pt>
                <c:pt idx="19">
                  <c:v>3.3558199997060001E-2</c:v>
                </c:pt>
                <c:pt idx="24">
                  <c:v>1.4570199993613642E-2</c:v>
                </c:pt>
                <c:pt idx="25">
                  <c:v>9.4802000021445565E-3</c:v>
                </c:pt>
                <c:pt idx="26">
                  <c:v>1.094320000265725E-2</c:v>
                </c:pt>
                <c:pt idx="27">
                  <c:v>9.4085999953676946E-3</c:v>
                </c:pt>
                <c:pt idx="28">
                  <c:v>8.753599991905503E-3</c:v>
                </c:pt>
                <c:pt idx="29">
                  <c:v>3.1799994758330286E-5</c:v>
                </c:pt>
                <c:pt idx="30">
                  <c:v>-1.0460000048624352E-3</c:v>
                </c:pt>
                <c:pt idx="31">
                  <c:v>2.6259999940521084E-3</c:v>
                </c:pt>
                <c:pt idx="33">
                  <c:v>4.5999999565538019E-4</c:v>
                </c:pt>
                <c:pt idx="37">
                  <c:v>-1.5872000003582798E-3</c:v>
                </c:pt>
                <c:pt idx="41">
                  <c:v>3.4249999589519575E-4</c:v>
                </c:pt>
                <c:pt idx="42">
                  <c:v>-2.5212000036844984E-3</c:v>
                </c:pt>
                <c:pt idx="43">
                  <c:v>-2.9322000045794994E-3</c:v>
                </c:pt>
                <c:pt idx="44">
                  <c:v>-2.5568000055500306E-3</c:v>
                </c:pt>
                <c:pt idx="45">
                  <c:v>-3.0478000044240616E-3</c:v>
                </c:pt>
                <c:pt idx="46">
                  <c:v>-2.6388000042061321E-3</c:v>
                </c:pt>
                <c:pt idx="47">
                  <c:v>-3.0638000025646761E-3</c:v>
                </c:pt>
                <c:pt idx="48">
                  <c:v>9.1589999647112563E-4</c:v>
                </c:pt>
                <c:pt idx="49">
                  <c:v>1.2194999944767915E-3</c:v>
                </c:pt>
                <c:pt idx="50">
                  <c:v>-3.3188000015798025E-3</c:v>
                </c:pt>
                <c:pt idx="51">
                  <c:v>-2.5998000055551529E-3</c:v>
                </c:pt>
                <c:pt idx="52">
                  <c:v>3.9204999993671663E-3</c:v>
                </c:pt>
                <c:pt idx="53">
                  <c:v>2.8308999972068705E-3</c:v>
                </c:pt>
                <c:pt idx="54">
                  <c:v>-6.8200002715457231E-5</c:v>
                </c:pt>
                <c:pt idx="55">
                  <c:v>2.2678999957861379E-3</c:v>
                </c:pt>
                <c:pt idx="57">
                  <c:v>-3.1290000042645261E-3</c:v>
                </c:pt>
                <c:pt idx="60">
                  <c:v>6.0629999643424526E-4</c:v>
                </c:pt>
                <c:pt idx="62">
                  <c:v>-1.6999999934341758E-4</c:v>
                </c:pt>
                <c:pt idx="65">
                  <c:v>1.2539999443106353E-4</c:v>
                </c:pt>
                <c:pt idx="66">
                  <c:v>-4.3260000529699028E-4</c:v>
                </c:pt>
                <c:pt idx="67">
                  <c:v>-3.3846000005723909E-3</c:v>
                </c:pt>
                <c:pt idx="68">
                  <c:v>-5.5460000294260681E-4</c:v>
                </c:pt>
                <c:pt idx="69">
                  <c:v>-9.6029999986058101E-4</c:v>
                </c:pt>
                <c:pt idx="70">
                  <c:v>5.3396999937831424E-3</c:v>
                </c:pt>
                <c:pt idx="71">
                  <c:v>-3.277600000728853E-3</c:v>
                </c:pt>
                <c:pt idx="72">
                  <c:v>-2.4916000038501807E-3</c:v>
                </c:pt>
                <c:pt idx="73">
                  <c:v>-6.9159999839030206E-4</c:v>
                </c:pt>
                <c:pt idx="74">
                  <c:v>1.3839999883202836E-4</c:v>
                </c:pt>
                <c:pt idx="75">
                  <c:v>-4.0200000512413681E-5</c:v>
                </c:pt>
                <c:pt idx="76">
                  <c:v>-6.1062000022502616E-3</c:v>
                </c:pt>
                <c:pt idx="77">
                  <c:v>-3.5962000038125552E-3</c:v>
                </c:pt>
                <c:pt idx="78">
                  <c:v>-1.7262000037590042E-3</c:v>
                </c:pt>
                <c:pt idx="79">
                  <c:v>-4.8220000462606549E-4</c:v>
                </c:pt>
                <c:pt idx="80">
                  <c:v>-1.7220000154338777E-4</c:v>
                </c:pt>
                <c:pt idx="81">
                  <c:v>-5.2200004574842751E-5</c:v>
                </c:pt>
                <c:pt idx="82">
                  <c:v>2.3779999901307747E-4</c:v>
                </c:pt>
                <c:pt idx="83">
                  <c:v>-4.9912000031326897E-3</c:v>
                </c:pt>
                <c:pt idx="84">
                  <c:v>-5.6282000005012378E-3</c:v>
                </c:pt>
                <c:pt idx="85">
                  <c:v>-5.5981999976211227E-3</c:v>
                </c:pt>
                <c:pt idx="86">
                  <c:v>-5.2682000023196451E-3</c:v>
                </c:pt>
                <c:pt idx="87">
                  <c:v>-5.0282000011065975E-3</c:v>
                </c:pt>
                <c:pt idx="88">
                  <c:v>-3.917499998351559E-3</c:v>
                </c:pt>
                <c:pt idx="89">
                  <c:v>-2.7974999975413084E-3</c:v>
                </c:pt>
                <c:pt idx="90">
                  <c:v>-8.1749999662861228E-4</c:v>
                </c:pt>
                <c:pt idx="91">
                  <c:v>-5.128800003149081E-3</c:v>
                </c:pt>
                <c:pt idx="92">
                  <c:v>-9.5378000041819178E-3</c:v>
                </c:pt>
                <c:pt idx="93">
                  <c:v>-9.4978000051924028E-3</c:v>
                </c:pt>
                <c:pt idx="94">
                  <c:v>-9.4978000051924028E-3</c:v>
                </c:pt>
                <c:pt idx="95">
                  <c:v>-8.5997999995015562E-3</c:v>
                </c:pt>
                <c:pt idx="96">
                  <c:v>-7.8398000041488558E-3</c:v>
                </c:pt>
                <c:pt idx="97">
                  <c:v>-6.9798000040464103E-3</c:v>
                </c:pt>
                <c:pt idx="98">
                  <c:v>-4.2139700002735481E-2</c:v>
                </c:pt>
                <c:pt idx="99">
                  <c:v>-4.7128000005614012E-2</c:v>
                </c:pt>
                <c:pt idx="100">
                  <c:v>-5.4857200004335027E-2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A4-4E09-AC9C-D31E660E05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A4-4E09-AC9C-D31E660E05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A4-4E09-AC9C-D31E660E05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A4-4E09-AC9C-D31E660E05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-46485.5</c:v>
                </c:pt>
                <c:pt idx="1">
                  <c:v>-46485.5</c:v>
                </c:pt>
                <c:pt idx="2">
                  <c:v>-46470.5</c:v>
                </c:pt>
                <c:pt idx="3">
                  <c:v>-45672.5</c:v>
                </c:pt>
                <c:pt idx="4">
                  <c:v>-45592.5</c:v>
                </c:pt>
                <c:pt idx="5">
                  <c:v>-45587.5</c:v>
                </c:pt>
                <c:pt idx="6">
                  <c:v>-44391.5</c:v>
                </c:pt>
                <c:pt idx="7">
                  <c:v>-44358.5</c:v>
                </c:pt>
                <c:pt idx="8">
                  <c:v>-44310.5</c:v>
                </c:pt>
                <c:pt idx="9">
                  <c:v>-44030.5</c:v>
                </c:pt>
                <c:pt idx="10">
                  <c:v>-43427.5</c:v>
                </c:pt>
                <c:pt idx="11">
                  <c:v>-42799.5</c:v>
                </c:pt>
                <c:pt idx="12">
                  <c:v>-42529.5</c:v>
                </c:pt>
                <c:pt idx="13">
                  <c:v>-42289.5</c:v>
                </c:pt>
                <c:pt idx="14">
                  <c:v>-13280</c:v>
                </c:pt>
                <c:pt idx="15">
                  <c:v>-9632</c:v>
                </c:pt>
                <c:pt idx="16">
                  <c:v>-8503</c:v>
                </c:pt>
                <c:pt idx="17">
                  <c:v>-7920</c:v>
                </c:pt>
                <c:pt idx="18">
                  <c:v>-6594</c:v>
                </c:pt>
                <c:pt idx="19">
                  <c:v>-5901</c:v>
                </c:pt>
                <c:pt idx="20">
                  <c:v>-5530</c:v>
                </c:pt>
                <c:pt idx="21">
                  <c:v>-5465</c:v>
                </c:pt>
                <c:pt idx="22">
                  <c:v>-4081</c:v>
                </c:pt>
                <c:pt idx="23">
                  <c:v>-4069</c:v>
                </c:pt>
                <c:pt idx="24">
                  <c:v>-4061</c:v>
                </c:pt>
                <c:pt idx="25">
                  <c:v>-3611</c:v>
                </c:pt>
                <c:pt idx="26">
                  <c:v>-3576</c:v>
                </c:pt>
                <c:pt idx="27">
                  <c:v>-3573</c:v>
                </c:pt>
                <c:pt idx="28">
                  <c:v>-3548</c:v>
                </c:pt>
                <c:pt idx="29">
                  <c:v>-3049</c:v>
                </c:pt>
                <c:pt idx="30">
                  <c:v>-2970</c:v>
                </c:pt>
                <c:pt idx="31">
                  <c:v>-2930</c:v>
                </c:pt>
                <c:pt idx="32">
                  <c:v>-2811.5</c:v>
                </c:pt>
                <c:pt idx="33">
                  <c:v>-2300</c:v>
                </c:pt>
                <c:pt idx="34">
                  <c:v>-1769</c:v>
                </c:pt>
                <c:pt idx="35">
                  <c:v>-1759</c:v>
                </c:pt>
                <c:pt idx="36">
                  <c:v>-1754</c:v>
                </c:pt>
                <c:pt idx="37">
                  <c:v>-1754</c:v>
                </c:pt>
                <c:pt idx="38">
                  <c:v>-1739</c:v>
                </c:pt>
                <c:pt idx="39">
                  <c:v>-1738.5</c:v>
                </c:pt>
                <c:pt idx="40">
                  <c:v>-1700.5</c:v>
                </c:pt>
                <c:pt idx="41">
                  <c:v>-1237.5</c:v>
                </c:pt>
                <c:pt idx="42">
                  <c:v>-1234</c:v>
                </c:pt>
                <c:pt idx="43">
                  <c:v>-1229</c:v>
                </c:pt>
                <c:pt idx="44">
                  <c:v>-1226</c:v>
                </c:pt>
                <c:pt idx="45">
                  <c:v>-1221</c:v>
                </c:pt>
                <c:pt idx="46">
                  <c:v>-1216</c:v>
                </c:pt>
                <c:pt idx="47">
                  <c:v>-1191</c:v>
                </c:pt>
                <c:pt idx="48">
                  <c:v>-1174.5</c:v>
                </c:pt>
                <c:pt idx="49">
                  <c:v>-1172.5</c:v>
                </c:pt>
                <c:pt idx="50">
                  <c:v>-1166</c:v>
                </c:pt>
                <c:pt idx="51">
                  <c:v>-1161</c:v>
                </c:pt>
                <c:pt idx="52">
                  <c:v>-1127.5</c:v>
                </c:pt>
                <c:pt idx="53">
                  <c:v>-1099.5</c:v>
                </c:pt>
                <c:pt idx="54">
                  <c:v>-1049</c:v>
                </c:pt>
                <c:pt idx="55">
                  <c:v>-634.5</c:v>
                </c:pt>
                <c:pt idx="56">
                  <c:v>-593</c:v>
                </c:pt>
                <c:pt idx="57">
                  <c:v>-405</c:v>
                </c:pt>
                <c:pt idx="58">
                  <c:v>-321.5</c:v>
                </c:pt>
                <c:pt idx="59">
                  <c:v>-46.5</c:v>
                </c:pt>
                <c:pt idx="60">
                  <c:v>-46.5</c:v>
                </c:pt>
                <c:pt idx="61">
                  <c:v>-15</c:v>
                </c:pt>
                <c:pt idx="62">
                  <c:v>0</c:v>
                </c:pt>
                <c:pt idx="63">
                  <c:v>5</c:v>
                </c:pt>
                <c:pt idx="64">
                  <c:v>8.5</c:v>
                </c:pt>
                <c:pt idx="65">
                  <c:v>103</c:v>
                </c:pt>
                <c:pt idx="66">
                  <c:v>593</c:v>
                </c:pt>
                <c:pt idx="67">
                  <c:v>603</c:v>
                </c:pt>
                <c:pt idx="68">
                  <c:v>603</c:v>
                </c:pt>
                <c:pt idx="69">
                  <c:v>616.5</c:v>
                </c:pt>
                <c:pt idx="70">
                  <c:v>616.5</c:v>
                </c:pt>
                <c:pt idx="71">
                  <c:v>618</c:v>
                </c:pt>
                <c:pt idx="72">
                  <c:v>638</c:v>
                </c:pt>
                <c:pt idx="73">
                  <c:v>638</c:v>
                </c:pt>
                <c:pt idx="74">
                  <c:v>638</c:v>
                </c:pt>
                <c:pt idx="75">
                  <c:v>911</c:v>
                </c:pt>
                <c:pt idx="76">
                  <c:v>1141</c:v>
                </c:pt>
                <c:pt idx="77">
                  <c:v>1141</c:v>
                </c:pt>
                <c:pt idx="78">
                  <c:v>1141</c:v>
                </c:pt>
                <c:pt idx="79">
                  <c:v>1171</c:v>
                </c:pt>
                <c:pt idx="80">
                  <c:v>1171</c:v>
                </c:pt>
                <c:pt idx="81">
                  <c:v>1171</c:v>
                </c:pt>
                <c:pt idx="82">
                  <c:v>1171</c:v>
                </c:pt>
                <c:pt idx="83">
                  <c:v>1216</c:v>
                </c:pt>
                <c:pt idx="84">
                  <c:v>1251</c:v>
                </c:pt>
                <c:pt idx="85">
                  <c:v>1251</c:v>
                </c:pt>
                <c:pt idx="86">
                  <c:v>1251</c:v>
                </c:pt>
                <c:pt idx="87">
                  <c:v>1251</c:v>
                </c:pt>
                <c:pt idx="88">
                  <c:v>1262.5</c:v>
                </c:pt>
                <c:pt idx="89">
                  <c:v>1262.5</c:v>
                </c:pt>
                <c:pt idx="90">
                  <c:v>1262.5</c:v>
                </c:pt>
                <c:pt idx="91">
                  <c:v>1384</c:v>
                </c:pt>
                <c:pt idx="92">
                  <c:v>1729</c:v>
                </c:pt>
                <c:pt idx="93">
                  <c:v>1729</c:v>
                </c:pt>
                <c:pt idx="94">
                  <c:v>1729</c:v>
                </c:pt>
                <c:pt idx="95">
                  <c:v>1839</c:v>
                </c:pt>
                <c:pt idx="96">
                  <c:v>1839</c:v>
                </c:pt>
                <c:pt idx="97">
                  <c:v>1839</c:v>
                </c:pt>
                <c:pt idx="98">
                  <c:v>4883.5</c:v>
                </c:pt>
                <c:pt idx="99">
                  <c:v>5040</c:v>
                </c:pt>
                <c:pt idx="100">
                  <c:v>6346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7.4384465917724102E-2</c:v>
                </c:pt>
                <c:pt idx="19">
                  <c:v>6.7412756511097141E-2</c:v>
                </c:pt>
                <c:pt idx="20">
                  <c:v>6.3680427232801901E-2</c:v>
                </c:pt>
                <c:pt idx="21">
                  <c:v>6.3026515095095187E-2</c:v>
                </c:pt>
                <c:pt idx="22">
                  <c:v>4.9103216655309187E-2</c:v>
                </c:pt>
                <c:pt idx="23">
                  <c:v>4.8982494414501782E-2</c:v>
                </c:pt>
                <c:pt idx="24">
                  <c:v>4.8902012920630192E-2</c:v>
                </c:pt>
                <c:pt idx="25">
                  <c:v>4.4374770036180247E-2</c:v>
                </c:pt>
                <c:pt idx="26">
                  <c:v>4.4022638985855761E-2</c:v>
                </c:pt>
                <c:pt idx="27">
                  <c:v>4.3992484140049568E-2</c:v>
                </c:pt>
                <c:pt idx="28">
                  <c:v>4.3740990447153225E-2</c:v>
                </c:pt>
                <c:pt idx="29">
                  <c:v>3.8721103413019431E-2</c:v>
                </c:pt>
                <c:pt idx="30">
                  <c:v>3.7926366721102306E-2</c:v>
                </c:pt>
                <c:pt idx="31">
                  <c:v>3.7523897722185687E-2</c:v>
                </c:pt>
                <c:pt idx="32">
                  <c:v>3.6331722307363812E-2</c:v>
                </c:pt>
                <c:pt idx="33">
                  <c:v>3.1186016374194058E-2</c:v>
                </c:pt>
                <c:pt idx="34">
                  <c:v>2.584408108295418E-2</c:v>
                </c:pt>
                <c:pt idx="35">
                  <c:v>2.5743458806300329E-2</c:v>
                </c:pt>
                <c:pt idx="36">
                  <c:v>2.5693189559012789E-2</c:v>
                </c:pt>
                <c:pt idx="37">
                  <c:v>2.5693188721191963E-2</c:v>
                </c:pt>
                <c:pt idx="38">
                  <c:v>2.5542251117107232E-2</c:v>
                </c:pt>
                <c:pt idx="39">
                  <c:v>2.5537346514213573E-2</c:v>
                </c:pt>
                <c:pt idx="40">
                  <c:v>2.5154884675717321E-2</c:v>
                </c:pt>
                <c:pt idx="41">
                  <c:v>2.0497069938251612E-2</c:v>
                </c:pt>
                <c:pt idx="42">
                  <c:v>2.046190727003059E-2</c:v>
                </c:pt>
                <c:pt idx="43">
                  <c:v>2.0411613223247735E-2</c:v>
                </c:pt>
                <c:pt idx="44">
                  <c:v>2.0381426372687451E-2</c:v>
                </c:pt>
                <c:pt idx="45">
                  <c:v>2.0331133666417828E-2</c:v>
                </c:pt>
                <c:pt idx="46">
                  <c:v>2.0280825879374034E-2</c:v>
                </c:pt>
                <c:pt idx="47">
                  <c:v>2.0029328332501976E-2</c:v>
                </c:pt>
                <c:pt idx="48">
                  <c:v>1.9863268565884037E-2</c:v>
                </c:pt>
                <c:pt idx="49">
                  <c:v>1.9843143105168323E-2</c:v>
                </c:pt>
                <c:pt idx="50">
                  <c:v>1.9777827937039257E-2</c:v>
                </c:pt>
                <c:pt idx="51">
                  <c:v>1.9727514955506641E-2</c:v>
                </c:pt>
                <c:pt idx="52">
                  <c:v>1.9390389443061561E-2</c:v>
                </c:pt>
                <c:pt idx="53">
                  <c:v>1.9108722472301661E-2</c:v>
                </c:pt>
                <c:pt idx="54">
                  <c:v>1.8600731620762131E-2</c:v>
                </c:pt>
                <c:pt idx="55">
                  <c:v>1.4430745074877207E-2</c:v>
                </c:pt>
                <c:pt idx="56">
                  <c:v>1.4013300867193617E-2</c:v>
                </c:pt>
                <c:pt idx="57">
                  <c:v>1.2122022652136044E-2</c:v>
                </c:pt>
                <c:pt idx="58">
                  <c:v>1.1281956504298227E-2</c:v>
                </c:pt>
                <c:pt idx="59">
                  <c:v>8.5154555054914611E-3</c:v>
                </c:pt>
                <c:pt idx="60">
                  <c:v>8.5153831177753672E-3</c:v>
                </c:pt>
                <c:pt idx="61">
                  <c:v>8.1984894692861444E-3</c:v>
                </c:pt>
                <c:pt idx="62">
                  <c:v>8.0475974426522344E-3</c:v>
                </c:pt>
                <c:pt idx="63">
                  <c:v>7.9972868070177696E-3</c:v>
                </c:pt>
                <c:pt idx="64">
                  <c:v>7.9620614698019156E-3</c:v>
                </c:pt>
                <c:pt idx="65">
                  <c:v>7.0113932592102725E-3</c:v>
                </c:pt>
                <c:pt idx="66">
                  <c:v>2.0819111096551076E-3</c:v>
                </c:pt>
                <c:pt idx="67">
                  <c:v>1.9813587072548692E-3</c:v>
                </c:pt>
                <c:pt idx="68">
                  <c:v>1.981311286598301E-3</c:v>
                </c:pt>
                <c:pt idx="69">
                  <c:v>1.8455055637677988E-3</c:v>
                </c:pt>
                <c:pt idx="70">
                  <c:v>1.8453999983486019E-3</c:v>
                </c:pt>
                <c:pt idx="71">
                  <c:v>1.830454113309149E-3</c:v>
                </c:pt>
                <c:pt idx="72">
                  <c:v>1.6292372080874314E-3</c:v>
                </c:pt>
                <c:pt idx="73">
                  <c:v>1.6292070465389668E-3</c:v>
                </c:pt>
                <c:pt idx="74">
                  <c:v>1.6291931387139302E-3</c:v>
                </c:pt>
                <c:pt idx="75">
                  <c:v>-1.1172348469584131E-3</c:v>
                </c:pt>
                <c:pt idx="76">
                  <c:v>-3.4309761513487708E-3</c:v>
                </c:pt>
                <c:pt idx="77">
                  <c:v>-3.4310182099523082E-3</c:v>
                </c:pt>
                <c:pt idx="78">
                  <c:v>-3.4310495444497876E-3</c:v>
                </c:pt>
                <c:pt idx="79">
                  <c:v>-3.7328759914494521E-3</c:v>
                </c:pt>
                <c:pt idx="80">
                  <c:v>-3.7328811859383901E-3</c:v>
                </c:pt>
                <c:pt idx="81">
                  <c:v>-3.7328831967082324E-3</c:v>
                </c:pt>
                <c:pt idx="82">
                  <c:v>-3.7328880560688633E-3</c:v>
                </c:pt>
                <c:pt idx="83">
                  <c:v>-4.1855088397985112E-3</c:v>
                </c:pt>
                <c:pt idx="84">
                  <c:v>-4.5376047016499315E-3</c:v>
                </c:pt>
                <c:pt idx="85">
                  <c:v>-4.5376052043424528E-3</c:v>
                </c:pt>
                <c:pt idx="86">
                  <c:v>-4.5376107339595764E-3</c:v>
                </c:pt>
                <c:pt idx="87">
                  <c:v>-4.5376147554993772E-3</c:v>
                </c:pt>
                <c:pt idx="88">
                  <c:v>-4.6533255142908129E-3</c:v>
                </c:pt>
                <c:pt idx="89">
                  <c:v>-4.6533442814764812E-3</c:v>
                </c:pt>
                <c:pt idx="90">
                  <c:v>-4.6533774591797066E-3</c:v>
                </c:pt>
                <c:pt idx="91">
                  <c:v>-5.8756179054192392E-3</c:v>
                </c:pt>
                <c:pt idx="92">
                  <c:v>-9.3463084495946681E-3</c:v>
                </c:pt>
                <c:pt idx="93">
                  <c:v>-9.3463091198512822E-3</c:v>
                </c:pt>
                <c:pt idx="94">
                  <c:v>-9.3463091198512822E-3</c:v>
                </c:pt>
                <c:pt idx="95">
                  <c:v>-1.045294470784713E-2</c:v>
                </c:pt>
                <c:pt idx="96">
                  <c:v>-1.0452957442723031E-2</c:v>
                </c:pt>
                <c:pt idx="97">
                  <c:v>-1.0452971853240588E-2</c:v>
                </c:pt>
                <c:pt idx="98">
                  <c:v>-4.1080621210847101E-2</c:v>
                </c:pt>
                <c:pt idx="99">
                  <c:v>-4.2654956848681438E-2</c:v>
                </c:pt>
                <c:pt idx="100">
                  <c:v>-5.5793431209530647E-2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A4-4E09-AC9C-D31E660E0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059760"/>
        <c:axId val="1"/>
      </c:scatterChart>
      <c:valAx>
        <c:axId val="5900597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0701168614359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05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64774624373956"/>
          <c:y val="0.9182419650373892"/>
          <c:w val="0.7212020033388981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257175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15FE68-E732-23D5-D78F-82197B8BC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47625</xdr:rowOff>
    </xdr:from>
    <xdr:to>
      <xdr:col>27</xdr:col>
      <xdr:colOff>95250</xdr:colOff>
      <xdr:row>17</xdr:row>
      <xdr:rowOff>171450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70BEF716-E483-B539-37BA-FF9B6F8D4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bav-astro.de/sfs/BAVM_link.php?BAVMnr=193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132" TargetMode="External"/><Relationship Id="rId21" Type="http://schemas.openxmlformats.org/officeDocument/2006/relationships/hyperlink" Target="http://www.bav-astro.de/sfs/BAVM_link.php?BAVMnr=215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www.bav-astro.de/sfs/BAVM_link.php?BAVMnr=234" TargetMode="External"/><Relationship Id="rId47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03" TargetMode="External"/><Relationship Id="rId25" Type="http://schemas.openxmlformats.org/officeDocument/2006/relationships/hyperlink" Target="http://www.bav-astro.de/sfs/BAVM_link.php?BAVMnr=215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ar.astro.cz/oejv/issues/oejv0160.pdf" TargetMode="External"/><Relationship Id="rId46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60" TargetMode="External"/><Relationship Id="rId16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220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02" TargetMode="External"/><Relationship Id="rId11" Type="http://schemas.openxmlformats.org/officeDocument/2006/relationships/hyperlink" Target="http://www.bav-astro.de/sfs/BAVM_link.php?BAVMnr=193" TargetMode="External"/><Relationship Id="rId24" Type="http://schemas.openxmlformats.org/officeDocument/2006/relationships/hyperlink" Target="http://www.bav-astro.de/sfs/BAVM_link.php?BAVMnr=215" TargetMode="External"/><Relationship Id="rId32" Type="http://schemas.openxmlformats.org/officeDocument/2006/relationships/hyperlink" Target="http://www.bav-astro.de/sfs/BAVM_link.php?BAVMnr=225" TargetMode="External"/><Relationship Id="rId37" Type="http://schemas.openxmlformats.org/officeDocument/2006/relationships/hyperlink" Target="http://www.bav-astro.de/sfs/BAVM_link.php?BAVMnr=225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378" TargetMode="External"/><Relationship Id="rId15" Type="http://schemas.openxmlformats.org/officeDocument/2006/relationships/hyperlink" Target="http://www.konkoly.hu/cgi-bin/IBVS?5875" TargetMode="External"/><Relationship Id="rId23" Type="http://schemas.openxmlformats.org/officeDocument/2006/relationships/hyperlink" Target="http://www.bav-astro.de/sfs/BAVM_link.php?BAVMnr=215" TargetMode="External"/><Relationship Id="rId28" Type="http://schemas.openxmlformats.org/officeDocument/2006/relationships/hyperlink" Target="http://var.astro.cz/oejv/issues/oejv0160.pdf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bav-astro.de/sfs/BAVM_link.php?BAVMnr=203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www.bav-astro.de/sfs/BAVM_link.php?BAVMnr=225" TargetMode="External"/><Relationship Id="rId43" Type="http://schemas.openxmlformats.org/officeDocument/2006/relationships/hyperlink" Target="http://www.bav-astro.de/sfs/BAVM_link.php?BAVMnr=234" TargetMode="External"/><Relationship Id="rId48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5"/>
  <sheetViews>
    <sheetView tabSelected="1" workbookViewId="0">
      <pane xSplit="14" ySplit="22" topLeftCell="O111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6.7109375" customWidth="1"/>
    <col min="2" max="2" width="5.140625" style="5" customWidth="1"/>
    <col min="3" max="3" width="11.85546875" customWidth="1"/>
    <col min="4" max="4" width="9.42578125" customWidth="1"/>
    <col min="5" max="5" width="12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39</v>
      </c>
    </row>
    <row r="2" spans="1:6">
      <c r="A2" t="s">
        <v>25</v>
      </c>
      <c r="B2" s="15" t="s">
        <v>37</v>
      </c>
    </row>
    <row r="4" spans="1:6" ht="14.25" thickTop="1" thickBot="1">
      <c r="A4" s="7" t="s">
        <v>1</v>
      </c>
      <c r="C4" s="3">
        <v>28626.441999999999</v>
      </c>
      <c r="D4" s="4">
        <v>0.60037600000000002</v>
      </c>
    </row>
    <row r="5" spans="1:6" ht="13.5" thickTop="1">
      <c r="A5" s="21" t="s">
        <v>41</v>
      </c>
      <c r="B5" s="16"/>
      <c r="C5" s="22">
        <v>-9.5</v>
      </c>
      <c r="D5" s="16" t="s">
        <v>42</v>
      </c>
    </row>
    <row r="6" spans="1:6">
      <c r="A6" s="7" t="s">
        <v>2</v>
      </c>
    </row>
    <row r="7" spans="1:6">
      <c r="A7" t="s">
        <v>3</v>
      </c>
      <c r="C7">
        <v>56535.425000000003</v>
      </c>
      <c r="D7" s="85" t="s">
        <v>359</v>
      </c>
    </row>
    <row r="8" spans="1:6">
      <c r="A8" t="s">
        <v>4</v>
      </c>
      <c r="C8">
        <v>0.60037819999999997</v>
      </c>
      <c r="D8" s="85" t="s">
        <v>359</v>
      </c>
    </row>
    <row r="9" spans="1:6">
      <c r="A9" s="33" t="s">
        <v>47</v>
      </c>
      <c r="B9" s="34">
        <v>88</v>
      </c>
      <c r="C9" s="24" t="str">
        <f>"F"&amp;B9</f>
        <v>F88</v>
      </c>
      <c r="D9" s="25" t="str">
        <f>"G"&amp;B9</f>
        <v>G88</v>
      </c>
    </row>
    <row r="10" spans="1:6" ht="13.5" thickBot="1">
      <c r="A10" s="16"/>
      <c r="B10" s="16"/>
      <c r="C10" s="6" t="s">
        <v>21</v>
      </c>
      <c r="D10" s="6" t="s">
        <v>22</v>
      </c>
      <c r="E10" s="16"/>
    </row>
    <row r="11" spans="1:6">
      <c r="A11" s="16" t="s">
        <v>17</v>
      </c>
      <c r="B11" s="16"/>
      <c r="C11" s="23">
        <f ca="1">INTERCEPT(INDIRECT($D$9):G992,INDIRECT($C$9):F992)</f>
        <v>8.0475945940615655E-3</v>
      </c>
      <c r="D11" s="5"/>
      <c r="E11" s="16"/>
    </row>
    <row r="12" spans="1:6">
      <c r="A12" s="16" t="s">
        <v>18</v>
      </c>
      <c r="B12" s="16"/>
      <c r="C12" s="23">
        <f ca="1">SLOPE(INDIRECT($D$9):G992,INDIRECT($C$9):F992)</f>
        <v>-1.0060186733949428E-5</v>
      </c>
      <c r="D12" s="5"/>
      <c r="E12" s="80" t="s">
        <v>358</v>
      </c>
      <c r="F12" s="81" t="s">
        <v>357</v>
      </c>
    </row>
    <row r="13" spans="1:6">
      <c r="A13" s="16" t="s">
        <v>20</v>
      </c>
      <c r="B13" s="16"/>
      <c r="C13" s="5" t="s">
        <v>15</v>
      </c>
      <c r="E13" s="78" t="s">
        <v>49</v>
      </c>
      <c r="F13" s="77">
        <v>1</v>
      </c>
    </row>
    <row r="14" spans="1:6">
      <c r="A14" s="16"/>
      <c r="B14" s="16"/>
      <c r="C14" s="16"/>
      <c r="E14" s="78" t="s">
        <v>43</v>
      </c>
      <c r="F14" s="82">
        <f ca="1">NOW()+15018.5+$C$5/24</f>
        <v>60678.814372106477</v>
      </c>
    </row>
    <row r="15" spans="1:6">
      <c r="A15" s="26" t="s">
        <v>19</v>
      </c>
      <c r="B15" s="16"/>
      <c r="C15" s="27">
        <f ca="1">(C7+C11)+(C8+C12)*INT(MAX(F21:F3533))</f>
        <v>60345.369262849585</v>
      </c>
      <c r="E15" s="78" t="s">
        <v>50</v>
      </c>
      <c r="F15" s="82">
        <f ca="1">ROUND(2*($F$14-$C$7)/$C$8,0)/2+$F$13</f>
        <v>6902.5</v>
      </c>
    </row>
    <row r="16" spans="1:6">
      <c r="A16" s="29" t="s">
        <v>5</v>
      </c>
      <c r="B16" s="16"/>
      <c r="C16" s="30">
        <f ca="1">+C8+C12</f>
        <v>0.60036813981326598</v>
      </c>
      <c r="E16" s="78" t="s">
        <v>44</v>
      </c>
      <c r="F16" s="82">
        <f ca="1">ROUND(2*($F$14-$C$15)/$C$16,0)/2+$F$13</f>
        <v>556.5</v>
      </c>
    </row>
    <row r="17" spans="1:17" ht="13.5" thickBot="1">
      <c r="A17" s="28" t="s">
        <v>38</v>
      </c>
      <c r="B17" s="16"/>
      <c r="C17" s="16">
        <f>COUNT(C21:C2191)</f>
        <v>101</v>
      </c>
      <c r="E17" s="78" t="s">
        <v>355</v>
      </c>
      <c r="F17" s="83">
        <f ca="1">+$C$15+$C$16*$F$16-15018.5-$C$5/24</f>
        <v>45661.369965989004</v>
      </c>
    </row>
    <row r="18" spans="1:17" ht="14.25" thickTop="1" thickBot="1">
      <c r="A18" s="29" t="s">
        <v>6</v>
      </c>
      <c r="B18" s="16"/>
      <c r="C18" s="32">
        <f ca="1">+C15</f>
        <v>60345.369262849585</v>
      </c>
      <c r="D18" s="76">
        <f ca="1">+C16</f>
        <v>0.60036813981326598</v>
      </c>
      <c r="E18" s="79" t="s">
        <v>356</v>
      </c>
      <c r="F18" s="84">
        <f ca="1">+($C$15+$C$16*$F$16)-($C$16/2)-15018.5-$C$5/24</f>
        <v>45661.069781919097</v>
      </c>
    </row>
    <row r="19" spans="1:17" ht="13.5" thickTop="1">
      <c r="E19" s="28"/>
      <c r="F19" s="31"/>
    </row>
    <row r="20" spans="1:17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70</v>
      </c>
      <c r="I20" s="9" t="s">
        <v>73</v>
      </c>
      <c r="J20" s="9" t="s">
        <v>67</v>
      </c>
      <c r="K20" s="9" t="s">
        <v>65</v>
      </c>
      <c r="L20" s="9" t="s">
        <v>58</v>
      </c>
      <c r="M20" s="9" t="s">
        <v>26</v>
      </c>
      <c r="N20" s="9" t="s">
        <v>27</v>
      </c>
      <c r="O20" s="9" t="s">
        <v>24</v>
      </c>
      <c r="P20" s="8" t="s">
        <v>23</v>
      </c>
      <c r="Q20" s="6" t="s">
        <v>16</v>
      </c>
    </row>
    <row r="21" spans="1:17">
      <c r="A21" s="58" t="s">
        <v>81</v>
      </c>
      <c r="B21" s="59" t="s">
        <v>32</v>
      </c>
      <c r="C21" s="58">
        <v>28626.431</v>
      </c>
      <c r="D21" s="58" t="s">
        <v>73</v>
      </c>
      <c r="E21">
        <f t="shared" ref="E21:E52" si="0">+(C21-C$7)/C$8</f>
        <v>-46485.688521002266</v>
      </c>
      <c r="F21">
        <f t="shared" ref="F21:F52" si="1">ROUND(2*E21,0)/2</f>
        <v>-46485.5</v>
      </c>
      <c r="G21">
        <f t="shared" ref="G21:G52" si="2">+C21-(C$7+F21*C$8)</f>
        <v>-0.11318390000451473</v>
      </c>
      <c r="H21" s="13"/>
      <c r="I21">
        <f>G21</f>
        <v>-0.11318390000451473</v>
      </c>
      <c r="Q21" s="2">
        <f t="shared" ref="Q21:Q52" si="3">+C21-15018.5</f>
        <v>13607.931</v>
      </c>
    </row>
    <row r="22" spans="1:17">
      <c r="A22" t="s">
        <v>13</v>
      </c>
      <c r="C22" s="13">
        <v>28626.441999999999</v>
      </c>
      <c r="D22" s="13" t="s">
        <v>15</v>
      </c>
      <c r="E22">
        <f t="shared" si="0"/>
        <v>-46485.67019921777</v>
      </c>
      <c r="F22">
        <f t="shared" si="1"/>
        <v>-46485.5</v>
      </c>
      <c r="G22">
        <f t="shared" si="2"/>
        <v>-0.10218390000591171</v>
      </c>
      <c r="H22">
        <f>+G22</f>
        <v>-0.10218390000591171</v>
      </c>
      <c r="Q22" s="2">
        <f t="shared" si="3"/>
        <v>13607.941999999999</v>
      </c>
    </row>
    <row r="23" spans="1:17">
      <c r="A23" s="58" t="s">
        <v>81</v>
      </c>
      <c r="B23" s="59" t="s">
        <v>32</v>
      </c>
      <c r="C23" s="58">
        <v>28635.45</v>
      </c>
      <c r="D23" s="58" t="s">
        <v>73</v>
      </c>
      <c r="E23">
        <f t="shared" si="0"/>
        <v>-46470.666323327532</v>
      </c>
      <c r="F23">
        <f t="shared" si="1"/>
        <v>-46470.5</v>
      </c>
      <c r="G23">
        <f t="shared" si="2"/>
        <v>-9.9856900003942428E-2</v>
      </c>
      <c r="H23" s="13"/>
      <c r="I23">
        <f t="shared" ref="I23:I35" si="4">G23</f>
        <v>-9.9856900003942428E-2</v>
      </c>
      <c r="Q23" s="2">
        <f t="shared" si="3"/>
        <v>13616.95</v>
      </c>
    </row>
    <row r="24" spans="1:17">
      <c r="A24" s="58" t="s">
        <v>81</v>
      </c>
      <c r="B24" s="59" t="s">
        <v>32</v>
      </c>
      <c r="C24" s="58">
        <v>29114.538</v>
      </c>
      <c r="D24" s="58" t="s">
        <v>73</v>
      </c>
      <c r="E24">
        <f t="shared" si="0"/>
        <v>-45672.689314835225</v>
      </c>
      <c r="F24">
        <f t="shared" si="1"/>
        <v>-45672.5</v>
      </c>
      <c r="G24">
        <f t="shared" si="2"/>
        <v>-0.11366050000287942</v>
      </c>
      <c r="H24" s="13"/>
      <c r="I24">
        <f t="shared" si="4"/>
        <v>-0.11366050000287942</v>
      </c>
      <c r="Q24" s="2">
        <f t="shared" si="3"/>
        <v>14096.038</v>
      </c>
    </row>
    <row r="25" spans="1:17">
      <c r="A25" s="58" t="s">
        <v>81</v>
      </c>
      <c r="B25" s="59" t="s">
        <v>32</v>
      </c>
      <c r="C25" s="58">
        <v>29162.585999999999</v>
      </c>
      <c r="D25" s="58" t="s">
        <v>73</v>
      </c>
      <c r="E25">
        <f t="shared" si="0"/>
        <v>-45592.659760131202</v>
      </c>
      <c r="F25">
        <f t="shared" si="1"/>
        <v>-45592.5</v>
      </c>
      <c r="G25">
        <f t="shared" si="2"/>
        <v>-9.5916500005841954E-2</v>
      </c>
      <c r="H25" s="13"/>
      <c r="I25">
        <f t="shared" si="4"/>
        <v>-9.5916500005841954E-2</v>
      </c>
      <c r="Q25" s="2">
        <f t="shared" si="3"/>
        <v>14144.085999999999</v>
      </c>
    </row>
    <row r="26" spans="1:17">
      <c r="A26" s="58" t="s">
        <v>81</v>
      </c>
      <c r="B26" s="59" t="s">
        <v>32</v>
      </c>
      <c r="C26" s="58">
        <v>29165.597000000002</v>
      </c>
      <c r="D26" s="58" t="s">
        <v>73</v>
      </c>
      <c r="E26">
        <f t="shared" si="0"/>
        <v>-45587.644588028015</v>
      </c>
      <c r="F26">
        <f t="shared" si="1"/>
        <v>-45587.5</v>
      </c>
      <c r="G26">
        <f t="shared" si="2"/>
        <v>-8.6807500003487803E-2</v>
      </c>
      <c r="H26" s="13"/>
      <c r="I26">
        <f t="shared" si="4"/>
        <v>-8.6807500003487803E-2</v>
      </c>
      <c r="Q26" s="2">
        <f t="shared" si="3"/>
        <v>14147.097000000002</v>
      </c>
    </row>
    <row r="27" spans="1:17">
      <c r="A27" s="58" t="s">
        <v>81</v>
      </c>
      <c r="B27" s="59" t="s">
        <v>32</v>
      </c>
      <c r="C27" s="58">
        <v>29883.608</v>
      </c>
      <c r="D27" s="58" t="s">
        <v>73</v>
      </c>
      <c r="E27">
        <f t="shared" si="0"/>
        <v>-44391.713423305519</v>
      </c>
      <c r="F27">
        <f t="shared" si="1"/>
        <v>-44391.5</v>
      </c>
      <c r="G27">
        <f t="shared" si="2"/>
        <v>-0.12813470000401139</v>
      </c>
      <c r="H27" s="13"/>
      <c r="I27">
        <f t="shared" si="4"/>
        <v>-0.12813470000401139</v>
      </c>
      <c r="Q27" s="2">
        <f t="shared" si="3"/>
        <v>14865.108</v>
      </c>
    </row>
    <row r="28" spans="1:17">
      <c r="A28" s="58" t="s">
        <v>81</v>
      </c>
      <c r="B28" s="59" t="s">
        <v>32</v>
      </c>
      <c r="C28" s="58">
        <v>29903.462</v>
      </c>
      <c r="D28" s="58" t="s">
        <v>73</v>
      </c>
      <c r="E28">
        <f t="shared" si="0"/>
        <v>-44358.644267896474</v>
      </c>
      <c r="F28">
        <f t="shared" si="1"/>
        <v>-44358.5</v>
      </c>
      <c r="G28">
        <f t="shared" si="2"/>
        <v>-8.6615300006087637E-2</v>
      </c>
      <c r="H28" s="13"/>
      <c r="I28">
        <f t="shared" si="4"/>
        <v>-8.6615300006087637E-2</v>
      </c>
      <c r="Q28" s="2">
        <f t="shared" si="3"/>
        <v>14884.962</v>
      </c>
    </row>
    <row r="29" spans="1:17">
      <c r="A29" s="58" t="s">
        <v>81</v>
      </c>
      <c r="B29" s="59" t="s">
        <v>32</v>
      </c>
      <c r="C29" s="58">
        <v>29932.263999999999</v>
      </c>
      <c r="D29" s="58" t="s">
        <v>73</v>
      </c>
      <c r="E29">
        <f t="shared" si="0"/>
        <v>-44310.67117360358</v>
      </c>
      <c r="F29">
        <f t="shared" si="1"/>
        <v>-44310.5</v>
      </c>
      <c r="G29">
        <f t="shared" si="2"/>
        <v>-0.10276890000386629</v>
      </c>
      <c r="H29" s="13"/>
      <c r="I29">
        <f t="shared" si="4"/>
        <v>-0.10276890000386629</v>
      </c>
      <c r="Q29" s="2">
        <f t="shared" si="3"/>
        <v>14913.763999999999</v>
      </c>
    </row>
    <row r="30" spans="1:17">
      <c r="A30" s="58" t="s">
        <v>81</v>
      </c>
      <c r="B30" s="59" t="s">
        <v>32</v>
      </c>
      <c r="C30" s="58">
        <v>30100.365000000002</v>
      </c>
      <c r="D30" s="58" t="s">
        <v>73</v>
      </c>
      <c r="E30">
        <f t="shared" si="0"/>
        <v>-44030.679328463295</v>
      </c>
      <c r="F30">
        <f t="shared" si="1"/>
        <v>-44030.5</v>
      </c>
      <c r="G30">
        <f t="shared" si="2"/>
        <v>-0.10766490000241902</v>
      </c>
      <c r="H30" s="13"/>
      <c r="I30">
        <f t="shared" si="4"/>
        <v>-0.10766490000241902</v>
      </c>
      <c r="Q30" s="2">
        <f t="shared" si="3"/>
        <v>15081.865000000002</v>
      </c>
    </row>
    <row r="31" spans="1:17">
      <c r="A31" s="58" t="s">
        <v>81</v>
      </c>
      <c r="B31" s="59" t="s">
        <v>32</v>
      </c>
      <c r="C31" s="58">
        <v>30462.392</v>
      </c>
      <c r="D31" s="58" t="s">
        <v>73</v>
      </c>
      <c r="E31">
        <f t="shared" si="0"/>
        <v>-43427.681085022748</v>
      </c>
      <c r="F31">
        <f t="shared" si="1"/>
        <v>-43427.5</v>
      </c>
      <c r="G31">
        <f t="shared" si="2"/>
        <v>-0.1087195000036445</v>
      </c>
      <c r="H31" s="13"/>
      <c r="I31">
        <f t="shared" si="4"/>
        <v>-0.1087195000036445</v>
      </c>
      <c r="Q31" s="2">
        <f t="shared" si="3"/>
        <v>15443.892</v>
      </c>
    </row>
    <row r="32" spans="1:17">
      <c r="A32" s="58" t="s">
        <v>81</v>
      </c>
      <c r="B32" s="59" t="s">
        <v>32</v>
      </c>
      <c r="C32" s="60">
        <v>30839.431</v>
      </c>
      <c r="D32" s="58" t="s">
        <v>73</v>
      </c>
      <c r="E32">
        <f t="shared" si="0"/>
        <v>-42799.678602587512</v>
      </c>
      <c r="F32">
        <f t="shared" si="1"/>
        <v>-42799.5</v>
      </c>
      <c r="G32">
        <f t="shared" si="2"/>
        <v>-0.10722910000185948</v>
      </c>
      <c r="H32" s="13"/>
      <c r="I32">
        <f t="shared" si="4"/>
        <v>-0.10722910000185948</v>
      </c>
      <c r="Q32" s="2">
        <f t="shared" si="3"/>
        <v>15820.931</v>
      </c>
    </row>
    <row r="33" spans="1:31">
      <c r="A33" s="58" t="s">
        <v>81</v>
      </c>
      <c r="B33" s="59" t="s">
        <v>32</v>
      </c>
      <c r="C33" s="58">
        <v>31001.526000000002</v>
      </c>
      <c r="D33" s="58" t="s">
        <v>73</v>
      </c>
      <c r="E33">
        <f t="shared" si="0"/>
        <v>-42529.690451785231</v>
      </c>
      <c r="F33">
        <f t="shared" si="1"/>
        <v>-42529.5</v>
      </c>
      <c r="G33">
        <f t="shared" si="2"/>
        <v>-0.11434310000186088</v>
      </c>
      <c r="H33" s="13"/>
      <c r="I33">
        <f t="shared" si="4"/>
        <v>-0.11434310000186088</v>
      </c>
      <c r="Q33" s="2">
        <f t="shared" si="3"/>
        <v>15983.026000000002</v>
      </c>
    </row>
    <row r="34" spans="1:31">
      <c r="A34" s="58" t="s">
        <v>81</v>
      </c>
      <c r="B34" s="59" t="s">
        <v>32</v>
      </c>
      <c r="C34" s="58">
        <v>31145.609</v>
      </c>
      <c r="D34" s="58" t="s">
        <v>73</v>
      </c>
      <c r="E34">
        <f t="shared" si="0"/>
        <v>-42289.703390296323</v>
      </c>
      <c r="F34">
        <f t="shared" si="1"/>
        <v>-42289.5</v>
      </c>
      <c r="G34">
        <f t="shared" si="2"/>
        <v>-0.12211110000498593</v>
      </c>
      <c r="H34" s="13"/>
      <c r="I34">
        <f t="shared" si="4"/>
        <v>-0.12211110000498593</v>
      </c>
      <c r="Q34" s="2">
        <f t="shared" si="3"/>
        <v>16127.109</v>
      </c>
    </row>
    <row r="35" spans="1:31">
      <c r="A35" s="58" t="s">
        <v>120</v>
      </c>
      <c r="B35" s="59" t="s">
        <v>32</v>
      </c>
      <c r="C35" s="58">
        <v>48562.476999999999</v>
      </c>
      <c r="D35" s="58" t="s">
        <v>73</v>
      </c>
      <c r="E35">
        <f t="shared" si="0"/>
        <v>-13279.875918212894</v>
      </c>
      <c r="F35">
        <f t="shared" si="1"/>
        <v>-13280</v>
      </c>
      <c r="G35">
        <f t="shared" si="2"/>
        <v>7.4495999993814621E-2</v>
      </c>
      <c r="H35" s="13"/>
      <c r="I35">
        <f t="shared" si="4"/>
        <v>7.4495999993814621E-2</v>
      </c>
      <c r="Q35" s="2">
        <f t="shared" si="3"/>
        <v>33543.976999999999</v>
      </c>
    </row>
    <row r="36" spans="1:31">
      <c r="A36" t="s">
        <v>29</v>
      </c>
      <c r="C36" s="19">
        <v>50752.629800000002</v>
      </c>
      <c r="D36" s="13">
        <v>1.4E-3</v>
      </c>
      <c r="E36">
        <f t="shared" si="0"/>
        <v>-9631.9206793317953</v>
      </c>
      <c r="F36">
        <f t="shared" si="1"/>
        <v>-9632</v>
      </c>
      <c r="G36">
        <f t="shared" si="2"/>
        <v>4.762240000127349E-2</v>
      </c>
      <c r="J36">
        <f>G36</f>
        <v>4.762240000127349E-2</v>
      </c>
      <c r="Q36" s="2">
        <f t="shared" si="3"/>
        <v>35734.129800000002</v>
      </c>
      <c r="AA36">
        <v>11</v>
      </c>
    </row>
    <row r="37" spans="1:31">
      <c r="A37" t="s">
        <v>33</v>
      </c>
      <c r="C37" s="13">
        <v>51430.463000000003</v>
      </c>
      <c r="D37" s="13">
        <v>1E-4</v>
      </c>
      <c r="E37">
        <f t="shared" si="0"/>
        <v>-8502.9103321872772</v>
      </c>
      <c r="F37">
        <f t="shared" si="1"/>
        <v>-8503</v>
      </c>
      <c r="G37">
        <f t="shared" si="2"/>
        <v>5.3834600003028754E-2</v>
      </c>
      <c r="J37">
        <f>G37</f>
        <v>5.3834600003028754E-2</v>
      </c>
      <c r="Q37" s="2">
        <f t="shared" si="3"/>
        <v>36411.963000000003</v>
      </c>
    </row>
    <row r="38" spans="1:31">
      <c r="A38" s="11" t="s">
        <v>34</v>
      </c>
      <c r="B38" s="10"/>
      <c r="C38" s="13">
        <v>51780.483699999997</v>
      </c>
      <c r="D38" s="13">
        <v>2.0000000000000001E-4</v>
      </c>
      <c r="E38">
        <f t="shared" si="0"/>
        <v>-7919.9099834071358</v>
      </c>
      <c r="F38">
        <f t="shared" si="1"/>
        <v>-7920</v>
      </c>
      <c r="G38">
        <f t="shared" si="2"/>
        <v>5.4043999996792991E-2</v>
      </c>
      <c r="J38">
        <f>G38</f>
        <v>5.4043999996792991E-2</v>
      </c>
      <c r="Q38" s="2">
        <f t="shared" si="3"/>
        <v>36761.983699999997</v>
      </c>
    </row>
    <row r="39" spans="1:31">
      <c r="A39" t="s">
        <v>31</v>
      </c>
      <c r="B39" s="5" t="s">
        <v>32</v>
      </c>
      <c r="C39" s="13">
        <v>52576.572999999997</v>
      </c>
      <c r="D39" s="13">
        <v>2.0000000000000001E-4</v>
      </c>
      <c r="E39">
        <f t="shared" si="0"/>
        <v>-6593.9302926055716</v>
      </c>
      <c r="F39">
        <f t="shared" si="1"/>
        <v>-6594</v>
      </c>
      <c r="G39">
        <f t="shared" si="2"/>
        <v>4.1850799992971588E-2</v>
      </c>
      <c r="K39">
        <f>G39</f>
        <v>4.1850799992971588E-2</v>
      </c>
      <c r="O39">
        <f t="shared" ref="O39:O45" ca="1" si="5">+C$11+C$12*F39</f>
        <v>7.4384465917724102E-2</v>
      </c>
      <c r="Q39" s="2">
        <f t="shared" si="3"/>
        <v>37558.072999999997</v>
      </c>
    </row>
    <row r="40" spans="1:31">
      <c r="A40" s="13" t="s">
        <v>35</v>
      </c>
      <c r="B40" s="12" t="s">
        <v>32</v>
      </c>
      <c r="C40" s="20">
        <v>52992.626799999998</v>
      </c>
      <c r="D40" s="13">
        <v>2.0000000000000001E-4</v>
      </c>
      <c r="E40">
        <f t="shared" si="0"/>
        <v>-5900.9441048992203</v>
      </c>
      <c r="F40">
        <f t="shared" si="1"/>
        <v>-5901</v>
      </c>
      <c r="G40">
        <f t="shared" si="2"/>
        <v>3.3558199997060001E-2</v>
      </c>
      <c r="K40">
        <f>G40</f>
        <v>3.3558199997060001E-2</v>
      </c>
      <c r="O40">
        <f t="shared" ca="1" si="5"/>
        <v>6.7412756511097141E-2</v>
      </c>
      <c r="Q40" s="2">
        <f t="shared" si="3"/>
        <v>37974.126799999998</v>
      </c>
    </row>
    <row r="41" spans="1:31">
      <c r="A41" s="16" t="s">
        <v>40</v>
      </c>
      <c r="B41" s="10"/>
      <c r="C41" s="13">
        <v>53215.364399999999</v>
      </c>
      <c r="D41" s="13">
        <v>2.0000000000000001E-4</v>
      </c>
      <c r="E41">
        <f t="shared" si="0"/>
        <v>-5529.9486223850308</v>
      </c>
      <c r="F41">
        <f t="shared" si="1"/>
        <v>-5530</v>
      </c>
      <c r="G41">
        <f t="shared" si="2"/>
        <v>3.0845999994198792E-2</v>
      </c>
      <c r="J41">
        <f>G41</f>
        <v>3.0845999994198792E-2</v>
      </c>
      <c r="O41">
        <f t="shared" ca="1" si="5"/>
        <v>6.3680427232801901E-2</v>
      </c>
      <c r="Q41" s="2">
        <f t="shared" si="3"/>
        <v>38196.864399999999</v>
      </c>
    </row>
    <row r="42" spans="1:31">
      <c r="A42" s="14" t="s">
        <v>36</v>
      </c>
      <c r="B42" s="12"/>
      <c r="C42" s="13">
        <v>53254.386100000003</v>
      </c>
      <c r="D42" s="13">
        <v>2.0000000000000001E-4</v>
      </c>
      <c r="E42">
        <f t="shared" si="0"/>
        <v>-5464.9534243581793</v>
      </c>
      <c r="F42">
        <f t="shared" si="1"/>
        <v>-5465</v>
      </c>
      <c r="G42">
        <f t="shared" si="2"/>
        <v>2.7963000000454485E-2</v>
      </c>
      <c r="J42">
        <f>G42</f>
        <v>2.7963000000454485E-2</v>
      </c>
      <c r="O42">
        <f t="shared" ca="1" si="5"/>
        <v>6.3026515095095187E-2</v>
      </c>
      <c r="Q42" s="2">
        <f t="shared" si="3"/>
        <v>38235.886100000003</v>
      </c>
    </row>
    <row r="43" spans="1:31">
      <c r="A43" s="18" t="s">
        <v>46</v>
      </c>
      <c r="B43" s="12" t="s">
        <v>32</v>
      </c>
      <c r="C43" s="13">
        <v>54085.296199999997</v>
      </c>
      <c r="D43" s="13">
        <v>1.2999999999999999E-3</v>
      </c>
      <c r="E43">
        <f t="shared" si="0"/>
        <v>-4080.975625031032</v>
      </c>
      <c r="F43">
        <f t="shared" si="1"/>
        <v>-4081</v>
      </c>
      <c r="G43">
        <f t="shared" si="2"/>
        <v>1.4634199993452057E-2</v>
      </c>
      <c r="J43">
        <f>G43</f>
        <v>1.4634199993452057E-2</v>
      </c>
      <c r="O43">
        <f t="shared" ca="1" si="5"/>
        <v>4.9103216655309187E-2</v>
      </c>
      <c r="Q43" s="2">
        <f t="shared" si="3"/>
        <v>39066.796199999997</v>
      </c>
    </row>
    <row r="44" spans="1:31">
      <c r="A44" s="18" t="s">
        <v>46</v>
      </c>
      <c r="B44" s="35" t="s">
        <v>32</v>
      </c>
      <c r="C44" s="36">
        <v>54092.4997</v>
      </c>
      <c r="D44" s="36">
        <v>1.2999999999999999E-3</v>
      </c>
      <c r="E44">
        <f t="shared" si="0"/>
        <v>-4068.9773546074834</v>
      </c>
      <c r="F44">
        <f t="shared" si="1"/>
        <v>-4069</v>
      </c>
      <c r="G44">
        <f t="shared" si="2"/>
        <v>1.3595799995528068E-2</v>
      </c>
      <c r="J44">
        <f>G44</f>
        <v>1.3595799995528068E-2</v>
      </c>
      <c r="O44">
        <f t="shared" ca="1" si="5"/>
        <v>4.8982494414501782E-2</v>
      </c>
      <c r="Q44" s="2">
        <f t="shared" si="3"/>
        <v>39073.9997</v>
      </c>
    </row>
    <row r="45" spans="1:31">
      <c r="A45" s="17" t="s">
        <v>45</v>
      </c>
      <c r="B45" s="5" t="s">
        <v>32</v>
      </c>
      <c r="C45" s="13">
        <v>54097.303699999997</v>
      </c>
      <c r="D45" s="13">
        <v>2.9999999999999997E-4</v>
      </c>
      <c r="E45">
        <f t="shared" si="0"/>
        <v>-4060.9757316305058</v>
      </c>
      <c r="F45">
        <f t="shared" si="1"/>
        <v>-4061</v>
      </c>
      <c r="G45">
        <f t="shared" si="2"/>
        <v>1.4570199993613642E-2</v>
      </c>
      <c r="K45">
        <f t="shared" ref="K45:K52" si="6">G45</f>
        <v>1.4570199993613642E-2</v>
      </c>
      <c r="O45">
        <f t="shared" ca="1" si="5"/>
        <v>4.8902012920630192E-2</v>
      </c>
      <c r="Q45" s="2">
        <f t="shared" si="3"/>
        <v>39078.803699999997</v>
      </c>
    </row>
    <row r="46" spans="1:31">
      <c r="A46" s="58" t="s">
        <v>178</v>
      </c>
      <c r="B46" s="59" t="s">
        <v>32</v>
      </c>
      <c r="C46" s="58">
        <v>54367.468800000002</v>
      </c>
      <c r="D46" s="58" t="s">
        <v>73</v>
      </c>
      <c r="E46">
        <f t="shared" si="0"/>
        <v>-3610.9842096198709</v>
      </c>
      <c r="F46">
        <f t="shared" si="1"/>
        <v>-3611</v>
      </c>
      <c r="G46">
        <f t="shared" si="2"/>
        <v>9.4802000021445565E-3</v>
      </c>
      <c r="H46" s="13"/>
      <c r="K46">
        <f t="shared" si="6"/>
        <v>9.4802000021445565E-3</v>
      </c>
      <c r="O46">
        <f t="shared" ref="O46:O77" ca="1" si="7">+C$11+C$12*E46</f>
        <v>4.4374770036180247E-2</v>
      </c>
      <c r="Q46" s="2">
        <f t="shared" si="3"/>
        <v>39348.968800000002</v>
      </c>
      <c r="AC46" t="s">
        <v>28</v>
      </c>
      <c r="AE46" t="s">
        <v>30</v>
      </c>
    </row>
    <row r="47" spans="1:31">
      <c r="A47" s="58" t="s">
        <v>178</v>
      </c>
      <c r="B47" s="59" t="s">
        <v>32</v>
      </c>
      <c r="C47" s="58">
        <v>54388.483500000002</v>
      </c>
      <c r="D47" s="58" t="s">
        <v>73</v>
      </c>
      <c r="E47">
        <f t="shared" si="0"/>
        <v>-3575.9817728225325</v>
      </c>
      <c r="F47">
        <f t="shared" si="1"/>
        <v>-3576</v>
      </c>
      <c r="G47">
        <f t="shared" si="2"/>
        <v>1.094320000265725E-2</v>
      </c>
      <c r="H47" s="13"/>
      <c r="K47">
        <f t="shared" si="6"/>
        <v>1.094320000265725E-2</v>
      </c>
      <c r="O47">
        <f t="shared" ca="1" si="7"/>
        <v>4.4022638985855761E-2</v>
      </c>
      <c r="Q47" s="2">
        <f t="shared" si="3"/>
        <v>39369.983500000002</v>
      </c>
    </row>
    <row r="48" spans="1:31">
      <c r="A48" s="58" t="s">
        <v>178</v>
      </c>
      <c r="B48" s="59" t="s">
        <v>32</v>
      </c>
      <c r="C48" s="58">
        <v>54390.283100000001</v>
      </c>
      <c r="D48" s="58" t="s">
        <v>73</v>
      </c>
      <c r="E48">
        <f t="shared" si="0"/>
        <v>-3572.9843288780348</v>
      </c>
      <c r="F48">
        <f t="shared" si="1"/>
        <v>-3573</v>
      </c>
      <c r="G48">
        <f t="shared" si="2"/>
        <v>9.4085999953676946E-3</v>
      </c>
      <c r="H48" s="13"/>
      <c r="K48">
        <f t="shared" si="6"/>
        <v>9.4085999953676946E-3</v>
      </c>
      <c r="O48">
        <f t="shared" ca="1" si="7"/>
        <v>4.3992484140049568E-2</v>
      </c>
      <c r="Q48" s="2">
        <f t="shared" si="3"/>
        <v>39371.783100000001</v>
      </c>
    </row>
    <row r="49" spans="1:17">
      <c r="A49" s="58" t="s">
        <v>191</v>
      </c>
      <c r="B49" s="59" t="s">
        <v>32</v>
      </c>
      <c r="C49" s="58">
        <v>54405.291899999997</v>
      </c>
      <c r="D49" s="58" t="s">
        <v>73</v>
      </c>
      <c r="E49">
        <f t="shared" si="0"/>
        <v>-3547.9854198570274</v>
      </c>
      <c r="F49">
        <f t="shared" si="1"/>
        <v>-3548</v>
      </c>
      <c r="G49">
        <f t="shared" si="2"/>
        <v>8.753599991905503E-3</v>
      </c>
      <c r="H49" s="13"/>
      <c r="K49">
        <f t="shared" si="6"/>
        <v>8.753599991905503E-3</v>
      </c>
      <c r="O49">
        <f t="shared" ca="1" si="7"/>
        <v>4.3740990447153225E-2</v>
      </c>
      <c r="Q49" s="2">
        <f t="shared" si="3"/>
        <v>39386.791899999997</v>
      </c>
    </row>
    <row r="50" spans="1:17">
      <c r="A50" s="37" t="s">
        <v>48</v>
      </c>
      <c r="B50" s="38"/>
      <c r="C50" s="36">
        <v>54704.871899999998</v>
      </c>
      <c r="D50" s="36">
        <v>1E-4</v>
      </c>
      <c r="E50">
        <f t="shared" si="0"/>
        <v>-3048.9999470333946</v>
      </c>
      <c r="F50">
        <f t="shared" si="1"/>
        <v>-3049</v>
      </c>
      <c r="G50">
        <f t="shared" si="2"/>
        <v>3.1799994758330286E-5</v>
      </c>
      <c r="H50" s="13"/>
      <c r="K50">
        <f t="shared" si="6"/>
        <v>3.1799994758330286E-5</v>
      </c>
      <c r="O50">
        <f t="shared" ca="1" si="7"/>
        <v>3.8721103413019431E-2</v>
      </c>
      <c r="Q50" s="2">
        <f t="shared" si="3"/>
        <v>39686.371899999998</v>
      </c>
    </row>
    <row r="51" spans="1:17">
      <c r="A51" s="58" t="s">
        <v>191</v>
      </c>
      <c r="B51" s="59" t="s">
        <v>32</v>
      </c>
      <c r="C51" s="58">
        <v>54752.3007</v>
      </c>
      <c r="D51" s="58" t="s">
        <v>73</v>
      </c>
      <c r="E51">
        <f t="shared" si="0"/>
        <v>-2970.0017422351498</v>
      </c>
      <c r="F51">
        <f t="shared" si="1"/>
        <v>-2970</v>
      </c>
      <c r="G51">
        <f t="shared" si="2"/>
        <v>-1.0460000048624352E-3</v>
      </c>
      <c r="H51" s="13"/>
      <c r="K51">
        <f t="shared" si="6"/>
        <v>-1.0460000048624352E-3</v>
      </c>
      <c r="O51">
        <f t="shared" ca="1" si="7"/>
        <v>3.7926366721102306E-2</v>
      </c>
      <c r="Q51" s="2">
        <f t="shared" si="3"/>
        <v>39733.8007</v>
      </c>
    </row>
    <row r="52" spans="1:17">
      <c r="A52" s="58" t="s">
        <v>191</v>
      </c>
      <c r="B52" s="59" t="s">
        <v>32</v>
      </c>
      <c r="C52" s="58">
        <v>54776.319499999998</v>
      </c>
      <c r="D52" s="58" t="s">
        <v>73</v>
      </c>
      <c r="E52">
        <f t="shared" si="0"/>
        <v>-2929.9956260903632</v>
      </c>
      <c r="F52">
        <f t="shared" si="1"/>
        <v>-2930</v>
      </c>
      <c r="G52">
        <f t="shared" si="2"/>
        <v>2.6259999940521084E-3</v>
      </c>
      <c r="H52" s="13"/>
      <c r="K52">
        <f t="shared" si="6"/>
        <v>2.6259999940521084E-3</v>
      </c>
      <c r="O52">
        <f t="shared" ca="1" si="7"/>
        <v>3.7523897722185687E-2</v>
      </c>
      <c r="Q52" s="2">
        <f t="shared" si="3"/>
        <v>39757.819499999998</v>
      </c>
    </row>
    <row r="53" spans="1:17">
      <c r="A53" s="17" t="s">
        <v>52</v>
      </c>
      <c r="B53" s="40" t="s">
        <v>53</v>
      </c>
      <c r="C53" s="17">
        <v>54847.466899999999</v>
      </c>
      <c r="D53" s="17">
        <v>1.1000000000000001E-3</v>
      </c>
      <c r="E53">
        <f t="shared" ref="E53:E84" si="8">+(C53-C$7)/C$8</f>
        <v>-2811.4913233025509</v>
      </c>
      <c r="F53">
        <f t="shared" ref="F53:F84" si="9">ROUND(2*E53,0)/2</f>
        <v>-2811.5</v>
      </c>
      <c r="G53">
        <f t="shared" ref="G53:G84" si="10">+C53-(C$7+F53*C$8)</f>
        <v>5.2092999976594001E-3</v>
      </c>
      <c r="H53" s="13"/>
      <c r="J53">
        <f>G53</f>
        <v>5.2092999976594001E-3</v>
      </c>
      <c r="O53">
        <f t="shared" ca="1" si="7"/>
        <v>3.6331722307363812E-2</v>
      </c>
      <c r="Q53" s="2">
        <f t="shared" ref="Q53:Q84" si="11">+C53-15018.5</f>
        <v>39828.966899999999</v>
      </c>
    </row>
    <row r="54" spans="1:17">
      <c r="A54" s="58" t="s">
        <v>216</v>
      </c>
      <c r="B54" s="59" t="s">
        <v>32</v>
      </c>
      <c r="C54" s="58">
        <v>55154.5556</v>
      </c>
      <c r="D54" s="58" t="s">
        <v>73</v>
      </c>
      <c r="E54">
        <f t="shared" si="8"/>
        <v>-2299.9992338162901</v>
      </c>
      <c r="F54">
        <f t="shared" si="9"/>
        <v>-2300</v>
      </c>
      <c r="G54">
        <f t="shared" si="10"/>
        <v>4.5999999565538019E-4</v>
      </c>
      <c r="H54" s="13"/>
      <c r="K54">
        <f>G54</f>
        <v>4.5999999565538019E-4</v>
      </c>
      <c r="O54">
        <f t="shared" ca="1" si="7"/>
        <v>3.1186016374194058E-2</v>
      </c>
      <c r="Q54" s="2">
        <f t="shared" si="11"/>
        <v>40136.0556</v>
      </c>
    </row>
    <row r="55" spans="1:17">
      <c r="A55" s="17" t="s">
        <v>54</v>
      </c>
      <c r="B55" s="40" t="s">
        <v>32</v>
      </c>
      <c r="C55" s="17">
        <v>55473.355000000003</v>
      </c>
      <c r="D55" s="17">
        <v>2.0000000000000001E-4</v>
      </c>
      <c r="E55">
        <f t="shared" si="8"/>
        <v>-1769.0016059876921</v>
      </c>
      <c r="F55">
        <f t="shared" si="9"/>
        <v>-1769</v>
      </c>
      <c r="G55">
        <f t="shared" si="10"/>
        <v>-9.642000004532747E-4</v>
      </c>
      <c r="H55" s="13"/>
      <c r="J55">
        <f>G55</f>
        <v>-9.642000004532747E-4</v>
      </c>
      <c r="O55">
        <f t="shared" ca="1" si="7"/>
        <v>2.584408108295418E-2</v>
      </c>
      <c r="Q55" s="2">
        <f t="shared" si="11"/>
        <v>40454.855000000003</v>
      </c>
    </row>
    <row r="56" spans="1:17">
      <c r="A56" s="44" t="s">
        <v>61</v>
      </c>
      <c r="B56" s="44"/>
      <c r="C56" s="41">
        <v>55479.360000000001</v>
      </c>
      <c r="D56" s="41">
        <v>5.0000000000000001E-4</v>
      </c>
      <c r="E56">
        <f t="shared" si="8"/>
        <v>-1758.999577266467</v>
      </c>
      <c r="F56">
        <f t="shared" si="9"/>
        <v>-1759</v>
      </c>
      <c r="G56">
        <f t="shared" si="10"/>
        <v>2.5379999715369195E-4</v>
      </c>
      <c r="H56" s="13"/>
      <c r="J56">
        <f>G56</f>
        <v>2.5379999715369195E-4</v>
      </c>
      <c r="O56">
        <f t="shared" ca="1" si="7"/>
        <v>2.5743458806300329E-2</v>
      </c>
      <c r="Q56" s="2">
        <f t="shared" si="11"/>
        <v>40460.86</v>
      </c>
    </row>
    <row r="57" spans="1:17">
      <c r="A57" s="58" t="s">
        <v>51</v>
      </c>
      <c r="B57" s="59" t="s">
        <v>32</v>
      </c>
      <c r="C57" s="58">
        <v>55482.36</v>
      </c>
      <c r="D57" s="58" t="s">
        <v>73</v>
      </c>
      <c r="E57">
        <f t="shared" si="8"/>
        <v>-1754.0027269477846</v>
      </c>
      <c r="F57">
        <f t="shared" si="9"/>
        <v>-1754</v>
      </c>
      <c r="G57">
        <f t="shared" si="10"/>
        <v>-1.6372000027331524E-3</v>
      </c>
      <c r="H57" s="13"/>
      <c r="I57">
        <f>G57</f>
        <v>-1.6372000027331524E-3</v>
      </c>
      <c r="O57">
        <f t="shared" ca="1" si="7"/>
        <v>2.5693189559012789E-2</v>
      </c>
      <c r="Q57" s="2">
        <f t="shared" si="11"/>
        <v>40463.86</v>
      </c>
    </row>
    <row r="58" spans="1:17">
      <c r="A58" s="18" t="s">
        <v>51</v>
      </c>
      <c r="B58" s="39" t="s">
        <v>32</v>
      </c>
      <c r="C58" s="36">
        <v>55482.360050000003</v>
      </c>
      <c r="D58" s="36">
        <v>1E-4</v>
      </c>
      <c r="E58">
        <f t="shared" si="8"/>
        <v>-1754.002643666942</v>
      </c>
      <c r="F58">
        <f t="shared" si="9"/>
        <v>-1754</v>
      </c>
      <c r="G58">
        <f t="shared" si="10"/>
        <v>-1.5872000003582798E-3</v>
      </c>
      <c r="H58" s="13"/>
      <c r="K58">
        <f>G58</f>
        <v>-1.5872000003582798E-3</v>
      </c>
      <c r="O58">
        <f t="shared" ca="1" si="7"/>
        <v>2.5693188721191963E-2</v>
      </c>
      <c r="Q58" s="2">
        <f t="shared" si="11"/>
        <v>40463.860050000003</v>
      </c>
    </row>
    <row r="59" spans="1:17">
      <c r="A59" s="44" t="s">
        <v>61</v>
      </c>
      <c r="B59" s="44"/>
      <c r="C59" s="41">
        <v>55491.3678</v>
      </c>
      <c r="D59" s="41">
        <v>1.4E-3</v>
      </c>
      <c r="E59">
        <f t="shared" si="8"/>
        <v>-1738.9991841809097</v>
      </c>
      <c r="F59">
        <f t="shared" si="9"/>
        <v>-1739</v>
      </c>
      <c r="G59">
        <f t="shared" si="10"/>
        <v>4.8979999701259658E-4</v>
      </c>
      <c r="H59" s="13"/>
      <c r="J59">
        <f>G59</f>
        <v>4.8979999701259658E-4</v>
      </c>
      <c r="O59">
        <f t="shared" ca="1" si="7"/>
        <v>2.5542251117107232E-2</v>
      </c>
      <c r="Q59" s="2">
        <f t="shared" si="11"/>
        <v>40472.8678</v>
      </c>
    </row>
    <row r="60" spans="1:17">
      <c r="A60" s="44" t="s">
        <v>61</v>
      </c>
      <c r="B60" s="44"/>
      <c r="C60" s="41">
        <v>55491.660499999998</v>
      </c>
      <c r="D60" s="41">
        <v>2.8999999999999998E-3</v>
      </c>
      <c r="E60">
        <f t="shared" si="8"/>
        <v>-1738.5116581514865</v>
      </c>
      <c r="F60">
        <f t="shared" si="9"/>
        <v>-1738.5</v>
      </c>
      <c r="G60">
        <f t="shared" si="10"/>
        <v>-6.9993000070098788E-3</v>
      </c>
      <c r="H60" s="13"/>
      <c r="J60">
        <f>G60</f>
        <v>-6.9993000070098788E-3</v>
      </c>
      <c r="O60">
        <f t="shared" ca="1" si="7"/>
        <v>2.5537346514213573E-2</v>
      </c>
      <c r="Q60" s="2">
        <f t="shared" si="11"/>
        <v>40473.160499999998</v>
      </c>
    </row>
    <row r="61" spans="1:17">
      <c r="A61" s="44" t="s">
        <v>61</v>
      </c>
      <c r="B61" s="44"/>
      <c r="C61" s="41">
        <v>55514.4853</v>
      </c>
      <c r="D61" s="41">
        <v>6.1999999999999998E-3</v>
      </c>
      <c r="E61">
        <f t="shared" si="8"/>
        <v>-1700.4942884335285</v>
      </c>
      <c r="F61">
        <f t="shared" si="9"/>
        <v>-1700.5</v>
      </c>
      <c r="G61">
        <f t="shared" si="10"/>
        <v>3.429099997447338E-3</v>
      </c>
      <c r="H61" s="13"/>
      <c r="J61">
        <f>G61</f>
        <v>3.429099997447338E-3</v>
      </c>
      <c r="O61">
        <f t="shared" ca="1" si="7"/>
        <v>2.5154884675717321E-2</v>
      </c>
      <c r="Q61" s="2">
        <f t="shared" si="11"/>
        <v>40495.9853</v>
      </c>
    </row>
    <row r="62" spans="1:17">
      <c r="A62" s="18" t="s">
        <v>56</v>
      </c>
      <c r="B62" s="39" t="s">
        <v>53</v>
      </c>
      <c r="C62" s="36">
        <v>55792.457320000001</v>
      </c>
      <c r="D62" s="36">
        <v>8.9999999999999998E-4</v>
      </c>
      <c r="E62">
        <f t="shared" si="8"/>
        <v>-1237.4994295262579</v>
      </c>
      <c r="F62">
        <f t="shared" si="9"/>
        <v>-1237.5</v>
      </c>
      <c r="G62">
        <f t="shared" si="10"/>
        <v>3.4249999589519575E-4</v>
      </c>
      <c r="H62" s="13"/>
      <c r="K62">
        <f t="shared" ref="K62:K76" si="12">G62</f>
        <v>3.4249999589519575E-4</v>
      </c>
      <c r="O62">
        <f t="shared" ca="1" si="7"/>
        <v>2.0497069938251612E-2</v>
      </c>
      <c r="Q62" s="2">
        <f t="shared" si="11"/>
        <v>40773.957320000001</v>
      </c>
    </row>
    <row r="63" spans="1:17">
      <c r="A63" s="18" t="s">
        <v>56</v>
      </c>
      <c r="B63" s="39" t="s">
        <v>32</v>
      </c>
      <c r="C63" s="36">
        <v>55794.555780000002</v>
      </c>
      <c r="D63" s="36">
        <v>2.0000000000000001E-4</v>
      </c>
      <c r="E63">
        <f t="shared" si="8"/>
        <v>-1234.0041993530087</v>
      </c>
      <c r="F63">
        <f t="shared" si="9"/>
        <v>-1234</v>
      </c>
      <c r="G63">
        <f t="shared" si="10"/>
        <v>-2.5212000036844984E-3</v>
      </c>
      <c r="H63" s="13"/>
      <c r="K63">
        <f t="shared" si="12"/>
        <v>-2.5212000036844984E-3</v>
      </c>
      <c r="O63">
        <f t="shared" ca="1" si="7"/>
        <v>2.046190727003059E-2</v>
      </c>
      <c r="Q63" s="2">
        <f t="shared" si="11"/>
        <v>40776.055780000002</v>
      </c>
    </row>
    <row r="64" spans="1:17">
      <c r="A64" s="18" t="s">
        <v>56</v>
      </c>
      <c r="B64" s="39" t="s">
        <v>32</v>
      </c>
      <c r="C64" s="36">
        <v>55797.557260000001</v>
      </c>
      <c r="D64" s="36">
        <v>2.9999999999999997E-4</v>
      </c>
      <c r="E64">
        <f t="shared" si="8"/>
        <v>-1229.004883921504</v>
      </c>
      <c r="F64">
        <f t="shared" si="9"/>
        <v>-1229</v>
      </c>
      <c r="G64">
        <f t="shared" si="10"/>
        <v>-2.9322000045794994E-3</v>
      </c>
      <c r="H64" s="13"/>
      <c r="K64">
        <f t="shared" si="12"/>
        <v>-2.9322000045794994E-3</v>
      </c>
      <c r="O64">
        <f t="shared" ca="1" si="7"/>
        <v>2.0411613223247735E-2</v>
      </c>
      <c r="Q64" s="2">
        <f t="shared" si="11"/>
        <v>40779.057260000001</v>
      </c>
    </row>
    <row r="65" spans="1:17">
      <c r="A65" s="18" t="s">
        <v>56</v>
      </c>
      <c r="B65" s="39" t="s">
        <v>32</v>
      </c>
      <c r="C65" s="36">
        <v>55799.358769999999</v>
      </c>
      <c r="D65" s="36">
        <v>1E-4</v>
      </c>
      <c r="E65">
        <f t="shared" si="8"/>
        <v>-1226.0042586489717</v>
      </c>
      <c r="F65">
        <f t="shared" si="9"/>
        <v>-1226</v>
      </c>
      <c r="G65">
        <f t="shared" si="10"/>
        <v>-2.5568000055500306E-3</v>
      </c>
      <c r="H65" s="13"/>
      <c r="K65">
        <f t="shared" si="12"/>
        <v>-2.5568000055500306E-3</v>
      </c>
      <c r="O65">
        <f t="shared" ca="1" si="7"/>
        <v>2.0381426372687451E-2</v>
      </c>
      <c r="Q65" s="2">
        <f t="shared" si="11"/>
        <v>40780.858769999999</v>
      </c>
    </row>
    <row r="66" spans="1:17">
      <c r="A66" s="18" t="s">
        <v>56</v>
      </c>
      <c r="B66" s="39" t="s">
        <v>32</v>
      </c>
      <c r="C66" s="36">
        <v>55802.36017</v>
      </c>
      <c r="D66" s="36">
        <v>1E-4</v>
      </c>
      <c r="E66">
        <f t="shared" si="8"/>
        <v>-1221.0050764668053</v>
      </c>
      <c r="F66">
        <f t="shared" si="9"/>
        <v>-1221</v>
      </c>
      <c r="G66">
        <f t="shared" si="10"/>
        <v>-3.0478000044240616E-3</v>
      </c>
      <c r="H66" s="13"/>
      <c r="K66">
        <f t="shared" si="12"/>
        <v>-3.0478000044240616E-3</v>
      </c>
      <c r="O66">
        <f t="shared" ca="1" si="7"/>
        <v>2.0331133666417828E-2</v>
      </c>
      <c r="Q66" s="2">
        <f t="shared" si="11"/>
        <v>40783.86017</v>
      </c>
    </row>
    <row r="67" spans="1:17">
      <c r="A67" s="18" t="s">
        <v>56</v>
      </c>
      <c r="B67" s="39" t="s">
        <v>32</v>
      </c>
      <c r="C67" s="36">
        <v>55805.36247</v>
      </c>
      <c r="D67" s="36">
        <v>2.0000000000000001E-4</v>
      </c>
      <c r="E67">
        <f t="shared" si="8"/>
        <v>-1216.0043952295453</v>
      </c>
      <c r="F67">
        <f t="shared" si="9"/>
        <v>-1216</v>
      </c>
      <c r="G67">
        <f t="shared" si="10"/>
        <v>-2.6388000042061321E-3</v>
      </c>
      <c r="H67" s="13"/>
      <c r="K67">
        <f t="shared" si="12"/>
        <v>-2.6388000042061321E-3</v>
      </c>
      <c r="O67">
        <f t="shared" ca="1" si="7"/>
        <v>2.0280825879374034E-2</v>
      </c>
      <c r="Q67" s="2">
        <f t="shared" si="11"/>
        <v>40786.86247</v>
      </c>
    </row>
    <row r="68" spans="1:17">
      <c r="A68" s="58" t="s">
        <v>276</v>
      </c>
      <c r="B68" s="59" t="s">
        <v>32</v>
      </c>
      <c r="C68" s="58">
        <v>55820.371500000001</v>
      </c>
      <c r="D68" s="58" t="s">
        <v>73</v>
      </c>
      <c r="E68">
        <f t="shared" si="8"/>
        <v>-1191.0051031166718</v>
      </c>
      <c r="F68">
        <f t="shared" si="9"/>
        <v>-1191</v>
      </c>
      <c r="G68">
        <f t="shared" si="10"/>
        <v>-3.0638000025646761E-3</v>
      </c>
      <c r="H68" s="13"/>
      <c r="K68">
        <f t="shared" si="12"/>
        <v>-3.0638000025646761E-3</v>
      </c>
      <c r="O68">
        <f t="shared" ca="1" si="7"/>
        <v>2.0029328332501976E-2</v>
      </c>
      <c r="Q68" s="2">
        <f t="shared" si="11"/>
        <v>40801.871500000001</v>
      </c>
    </row>
    <row r="69" spans="1:17">
      <c r="A69" s="18" t="s">
        <v>56</v>
      </c>
      <c r="B69" s="39" t="s">
        <v>53</v>
      </c>
      <c r="C69" s="36">
        <v>55830.281719999999</v>
      </c>
      <c r="D69" s="36">
        <v>5.9999999999999995E-4</v>
      </c>
      <c r="E69">
        <f t="shared" si="8"/>
        <v>-1174.4984744616042</v>
      </c>
      <c r="F69">
        <f t="shared" si="9"/>
        <v>-1174.5</v>
      </c>
      <c r="G69">
        <f t="shared" si="10"/>
        <v>9.1589999647112563E-4</v>
      </c>
      <c r="H69" s="13"/>
      <c r="K69">
        <f t="shared" si="12"/>
        <v>9.1589999647112563E-4</v>
      </c>
      <c r="O69">
        <f t="shared" ca="1" si="7"/>
        <v>1.9863268565884037E-2</v>
      </c>
      <c r="Q69" s="2">
        <f t="shared" si="11"/>
        <v>40811.781719999999</v>
      </c>
    </row>
    <row r="70" spans="1:17">
      <c r="A70" s="18" t="s">
        <v>56</v>
      </c>
      <c r="B70" s="39" t="s">
        <v>53</v>
      </c>
      <c r="C70" s="36">
        <v>55831.482779999998</v>
      </c>
      <c r="D70" s="36">
        <v>5.0000000000000001E-4</v>
      </c>
      <c r="E70">
        <f t="shared" si="8"/>
        <v>-1172.4979687803529</v>
      </c>
      <c r="F70">
        <f t="shared" si="9"/>
        <v>-1172.5</v>
      </c>
      <c r="G70">
        <f t="shared" si="10"/>
        <v>1.2194999944767915E-3</v>
      </c>
      <c r="H70" s="13"/>
      <c r="K70">
        <f t="shared" si="12"/>
        <v>1.2194999944767915E-3</v>
      </c>
      <c r="O70">
        <f t="shared" ca="1" si="7"/>
        <v>1.9843143105168323E-2</v>
      </c>
      <c r="Q70" s="2">
        <f t="shared" si="11"/>
        <v>40812.982779999998</v>
      </c>
    </row>
    <row r="71" spans="1:17">
      <c r="A71" s="58" t="s">
        <v>276</v>
      </c>
      <c r="B71" s="59" t="s">
        <v>32</v>
      </c>
      <c r="C71" s="58">
        <v>55835.380700000002</v>
      </c>
      <c r="D71" s="58" t="s">
        <v>73</v>
      </c>
      <c r="E71">
        <f t="shared" si="8"/>
        <v>-1166.0055278489483</v>
      </c>
      <c r="F71">
        <f t="shared" si="9"/>
        <v>-1166</v>
      </c>
      <c r="G71">
        <f t="shared" si="10"/>
        <v>-3.3188000015798025E-3</v>
      </c>
      <c r="H71" s="13"/>
      <c r="K71">
        <f t="shared" si="12"/>
        <v>-3.3188000015798025E-3</v>
      </c>
      <c r="O71">
        <f t="shared" ca="1" si="7"/>
        <v>1.9777827937039257E-2</v>
      </c>
      <c r="Q71" s="2">
        <f t="shared" si="11"/>
        <v>40816.880700000002</v>
      </c>
    </row>
    <row r="72" spans="1:17">
      <c r="A72" s="18" t="s">
        <v>56</v>
      </c>
      <c r="B72" s="39" t="s">
        <v>32</v>
      </c>
      <c r="C72" s="36">
        <v>55838.383309999997</v>
      </c>
      <c r="D72" s="36">
        <v>1E-4</v>
      </c>
      <c r="E72">
        <f t="shared" si="8"/>
        <v>-1161.0043302704953</v>
      </c>
      <c r="F72">
        <f t="shared" si="9"/>
        <v>-1161</v>
      </c>
      <c r="G72">
        <f t="shared" si="10"/>
        <v>-2.5998000055551529E-3</v>
      </c>
      <c r="H72" s="13"/>
      <c r="K72">
        <f t="shared" si="12"/>
        <v>-2.5998000055551529E-3</v>
      </c>
      <c r="O72">
        <f t="shared" ca="1" si="7"/>
        <v>1.9727514955506641E-2</v>
      </c>
      <c r="Q72" s="2">
        <f t="shared" si="11"/>
        <v>40819.883309999997</v>
      </c>
    </row>
    <row r="73" spans="1:17">
      <c r="A73" s="58" t="s">
        <v>276</v>
      </c>
      <c r="B73" s="59" t="s">
        <v>53</v>
      </c>
      <c r="C73" s="58">
        <v>55858.502500000002</v>
      </c>
      <c r="D73" s="58" t="s">
        <v>73</v>
      </c>
      <c r="E73">
        <f t="shared" si="8"/>
        <v>-1127.4934699494429</v>
      </c>
      <c r="F73">
        <f t="shared" si="9"/>
        <v>-1127.5</v>
      </c>
      <c r="G73">
        <f t="shared" si="10"/>
        <v>3.9204999993671663E-3</v>
      </c>
      <c r="H73" s="13"/>
      <c r="K73">
        <f t="shared" si="12"/>
        <v>3.9204999993671663E-3</v>
      </c>
      <c r="O73">
        <f t="shared" ca="1" si="7"/>
        <v>1.9390389443061561E-2</v>
      </c>
      <c r="Q73" s="2">
        <f t="shared" si="11"/>
        <v>40840.002500000002</v>
      </c>
    </row>
    <row r="74" spans="1:17">
      <c r="A74" s="18" t="s">
        <v>56</v>
      </c>
      <c r="B74" s="39" t="s">
        <v>53</v>
      </c>
      <c r="C74" s="36">
        <v>55875.311999999998</v>
      </c>
      <c r="D74" s="36">
        <v>4.0000000000000002E-4</v>
      </c>
      <c r="E74">
        <f t="shared" si="8"/>
        <v>-1099.4952848054857</v>
      </c>
      <c r="F74">
        <f t="shared" si="9"/>
        <v>-1099.5</v>
      </c>
      <c r="G74">
        <f t="shared" si="10"/>
        <v>2.8308999972068705E-3</v>
      </c>
      <c r="H74" s="13"/>
      <c r="K74">
        <f t="shared" si="12"/>
        <v>2.8308999972068705E-3</v>
      </c>
      <c r="O74">
        <f t="shared" ca="1" si="7"/>
        <v>1.9108722472301661E-2</v>
      </c>
      <c r="Q74" s="2">
        <f t="shared" si="11"/>
        <v>40856.811999999998</v>
      </c>
    </row>
    <row r="75" spans="1:17">
      <c r="A75" s="17" t="s">
        <v>55</v>
      </c>
      <c r="B75" s="40" t="s">
        <v>32</v>
      </c>
      <c r="C75" s="17">
        <v>55905.628199999999</v>
      </c>
      <c r="D75" s="17">
        <v>5.9999999999999995E-4</v>
      </c>
      <c r="E75">
        <f t="shared" si="8"/>
        <v>-1049.0001135950702</v>
      </c>
      <c r="F75">
        <f t="shared" si="9"/>
        <v>-1049</v>
      </c>
      <c r="G75">
        <f t="shared" si="10"/>
        <v>-6.8200002715457231E-5</v>
      </c>
      <c r="H75" s="13"/>
      <c r="K75">
        <f t="shared" si="12"/>
        <v>-6.8200002715457231E-5</v>
      </c>
      <c r="O75">
        <f t="shared" ca="1" si="7"/>
        <v>1.8600731620762131E-2</v>
      </c>
      <c r="Q75" s="2">
        <f t="shared" si="11"/>
        <v>40887.128199999999</v>
      </c>
    </row>
    <row r="76" spans="1:17">
      <c r="A76" s="18" t="s">
        <v>56</v>
      </c>
      <c r="B76" s="39" t="s">
        <v>53</v>
      </c>
      <c r="C76" s="36">
        <v>56154.487300000001</v>
      </c>
      <c r="D76" s="36">
        <v>2.9999999999999997E-4</v>
      </c>
      <c r="E76">
        <f t="shared" si="8"/>
        <v>-634.49622254772453</v>
      </c>
      <c r="F76">
        <f t="shared" si="9"/>
        <v>-634.5</v>
      </c>
      <c r="G76">
        <f t="shared" si="10"/>
        <v>2.2678999957861379E-3</v>
      </c>
      <c r="H76" s="13"/>
      <c r="K76">
        <f t="shared" si="12"/>
        <v>2.2678999957861379E-3</v>
      </c>
      <c r="O76">
        <f t="shared" ca="1" si="7"/>
        <v>1.4430745074877207E-2</v>
      </c>
      <c r="Q76" s="2">
        <f t="shared" si="11"/>
        <v>41135.987300000001</v>
      </c>
    </row>
    <row r="77" spans="1:17">
      <c r="A77" s="18" t="s">
        <v>57</v>
      </c>
      <c r="B77" s="39" t="s">
        <v>32</v>
      </c>
      <c r="C77" s="36">
        <v>56179.399799999999</v>
      </c>
      <c r="D77" s="36">
        <v>1E-3</v>
      </c>
      <c r="E77">
        <f t="shared" si="8"/>
        <v>-593.00154469300139</v>
      </c>
      <c r="F77">
        <f t="shared" si="9"/>
        <v>-593</v>
      </c>
      <c r="G77">
        <f t="shared" si="10"/>
        <v>-9.2740000400226563E-4</v>
      </c>
      <c r="H77" s="13"/>
      <c r="J77">
        <f>G77</f>
        <v>-9.2740000400226563E-4</v>
      </c>
      <c r="O77">
        <f t="shared" ca="1" si="7"/>
        <v>1.4013300867193617E-2</v>
      </c>
      <c r="Q77" s="2">
        <f t="shared" si="11"/>
        <v>41160.899799999999</v>
      </c>
    </row>
    <row r="78" spans="1:17">
      <c r="A78" s="18" t="s">
        <v>59</v>
      </c>
      <c r="B78" s="39" t="s">
        <v>32</v>
      </c>
      <c r="C78" s="36">
        <v>56292.268700000001</v>
      </c>
      <c r="D78" s="36">
        <v>1E-4</v>
      </c>
      <c r="E78">
        <f t="shared" si="8"/>
        <v>-405.00521171488634</v>
      </c>
      <c r="F78">
        <f t="shared" si="9"/>
        <v>-405</v>
      </c>
      <c r="G78">
        <f t="shared" si="10"/>
        <v>-3.1290000042645261E-3</v>
      </c>
      <c r="H78" s="13"/>
      <c r="K78">
        <f>+C78-(C$7+F78*C$8)</f>
        <v>-3.1290000042645261E-3</v>
      </c>
      <c r="O78">
        <f t="shared" ref="O78:O109" ca="1" si="13">+C$11+C$12*E78</f>
        <v>1.2122022652136044E-2</v>
      </c>
      <c r="Q78" s="2">
        <f t="shared" si="11"/>
        <v>41273.768700000001</v>
      </c>
    </row>
    <row r="79" spans="1:17">
      <c r="A79" s="42" t="s">
        <v>60</v>
      </c>
      <c r="B79" s="35" t="s">
        <v>32</v>
      </c>
      <c r="C79" s="36">
        <v>56342.402699999999</v>
      </c>
      <c r="D79" s="43">
        <v>1.6000000000000001E-3</v>
      </c>
      <c r="E79">
        <f t="shared" si="8"/>
        <v>-321.50118042261391</v>
      </c>
      <c r="F79">
        <f t="shared" si="9"/>
        <v>-321.5</v>
      </c>
      <c r="G79">
        <f t="shared" si="10"/>
        <v>-7.0870000490685925E-4</v>
      </c>
      <c r="H79" s="13"/>
      <c r="J79">
        <f>G79</f>
        <v>-7.0870000490685925E-4</v>
      </c>
      <c r="O79">
        <f t="shared" ca="1" si="13"/>
        <v>1.1281956504298227E-2</v>
      </c>
      <c r="Q79" s="2">
        <f t="shared" si="11"/>
        <v>41323.902699999999</v>
      </c>
    </row>
    <row r="80" spans="1:17">
      <c r="A80" s="42" t="s">
        <v>60</v>
      </c>
      <c r="B80" s="35" t="s">
        <v>32</v>
      </c>
      <c r="C80" s="36">
        <v>56507.503700000001</v>
      </c>
      <c r="D80" s="43">
        <v>3.5000000000000001E-3</v>
      </c>
      <c r="E80">
        <f t="shared" si="8"/>
        <v>-46.506185601012483</v>
      </c>
      <c r="F80">
        <f t="shared" si="9"/>
        <v>-46.5</v>
      </c>
      <c r="G80">
        <f t="shared" si="10"/>
        <v>-3.7137000035727397E-3</v>
      </c>
      <c r="H80" s="13"/>
      <c r="J80">
        <f>G80</f>
        <v>-3.7137000035727397E-3</v>
      </c>
      <c r="O80">
        <f t="shared" ca="1" si="13"/>
        <v>8.5154555054914611E-3</v>
      </c>
      <c r="Q80" s="2">
        <f t="shared" si="11"/>
        <v>41489.003700000001</v>
      </c>
    </row>
    <row r="81" spans="1:17">
      <c r="A81" s="36" t="s">
        <v>62</v>
      </c>
      <c r="B81" s="39" t="s">
        <v>53</v>
      </c>
      <c r="C81" s="61">
        <v>56507.508020000001</v>
      </c>
      <c r="D81" s="36">
        <v>4.0000000000000002E-4</v>
      </c>
      <c r="E81">
        <f t="shared" si="8"/>
        <v>-46.498990136553573</v>
      </c>
      <c r="F81">
        <f t="shared" si="9"/>
        <v>-46.5</v>
      </c>
      <c r="G81">
        <f t="shared" si="10"/>
        <v>6.0629999643424526E-4</v>
      </c>
      <c r="H81" s="13"/>
      <c r="K81">
        <f>G81</f>
        <v>6.0629999643424526E-4</v>
      </c>
      <c r="O81">
        <f t="shared" ca="1" si="13"/>
        <v>8.5153831177753672E-3</v>
      </c>
      <c r="Q81" s="2">
        <f t="shared" si="11"/>
        <v>41489.008020000001</v>
      </c>
    </row>
    <row r="82" spans="1:17">
      <c r="A82" s="42" t="s">
        <v>60</v>
      </c>
      <c r="B82" s="35" t="s">
        <v>32</v>
      </c>
      <c r="C82" s="36">
        <v>56526.419800000003</v>
      </c>
      <c r="D82" s="43">
        <v>1.5E-3</v>
      </c>
      <c r="E82">
        <f t="shared" si="8"/>
        <v>-14.999212163265762</v>
      </c>
      <c r="F82">
        <f t="shared" si="9"/>
        <v>-15</v>
      </c>
      <c r="G82">
        <f t="shared" si="10"/>
        <v>4.7300000005634502E-4</v>
      </c>
      <c r="H82" s="13"/>
      <c r="J82">
        <f>G82</f>
        <v>4.7300000005634502E-4</v>
      </c>
      <c r="O82">
        <f t="shared" ca="1" si="13"/>
        <v>8.1984894692861444E-3</v>
      </c>
      <c r="Q82" s="2">
        <f t="shared" si="11"/>
        <v>41507.919800000003</v>
      </c>
    </row>
    <row r="83" spans="1:17">
      <c r="A83" s="18" t="s">
        <v>56</v>
      </c>
      <c r="B83" s="39" t="s">
        <v>32</v>
      </c>
      <c r="C83" s="36">
        <v>56535.424830000004</v>
      </c>
      <c r="D83" s="36">
        <v>4.0000000000000002E-4</v>
      </c>
      <c r="E83">
        <f t="shared" si="8"/>
        <v>-2.8315485029839125E-4</v>
      </c>
      <c r="F83">
        <f t="shared" si="9"/>
        <v>0</v>
      </c>
      <c r="G83">
        <f t="shared" si="10"/>
        <v>-1.6999999934341758E-4</v>
      </c>
      <c r="H83" s="13"/>
      <c r="K83">
        <f>G83</f>
        <v>-1.6999999934341758E-4</v>
      </c>
      <c r="O83">
        <f t="shared" ca="1" si="13"/>
        <v>8.0475974426522344E-3</v>
      </c>
      <c r="Q83" s="2">
        <f t="shared" si="11"/>
        <v>41516.924830000004</v>
      </c>
    </row>
    <row r="84" spans="1:17">
      <c r="A84" s="42" t="s">
        <v>60</v>
      </c>
      <c r="B84" s="35" t="s">
        <v>32</v>
      </c>
      <c r="C84" s="36">
        <v>56538.427300000003</v>
      </c>
      <c r="D84" s="43">
        <v>8.9999999999999998E-4</v>
      </c>
      <c r="E84">
        <f t="shared" si="8"/>
        <v>5.000681237260288</v>
      </c>
      <c r="F84">
        <f t="shared" si="9"/>
        <v>5</v>
      </c>
      <c r="G84">
        <f t="shared" si="10"/>
        <v>4.0900000021792948E-4</v>
      </c>
      <c r="H84" s="13"/>
      <c r="J84">
        <f>G84</f>
        <v>4.0900000021792948E-4</v>
      </c>
      <c r="O84">
        <f t="shared" ca="1" si="13"/>
        <v>7.9972868070177696E-3</v>
      </c>
      <c r="Q84" s="2">
        <f t="shared" si="11"/>
        <v>41519.927300000003</v>
      </c>
    </row>
    <row r="85" spans="1:17">
      <c r="A85" s="42" t="s">
        <v>60</v>
      </c>
      <c r="B85" s="35" t="s">
        <v>32</v>
      </c>
      <c r="C85" s="36">
        <v>56540.529499999997</v>
      </c>
      <c r="D85" s="43">
        <v>2.7000000000000001E-3</v>
      </c>
      <c r="E85">
        <f t="shared" ref="E85:E118" si="14">+(C85-C$7)/C$8</f>
        <v>8.5021408172282147</v>
      </c>
      <c r="F85">
        <f t="shared" ref="F85:F116" si="15">ROUND(2*E85,0)/2</f>
        <v>8.5</v>
      </c>
      <c r="G85">
        <f t="shared" ref="G85:G116" si="16">+C85-(C$7+F85*C$8)</f>
        <v>1.2852999934693798E-3</v>
      </c>
      <c r="H85" s="13"/>
      <c r="J85">
        <f>G85</f>
        <v>1.2852999934693798E-3</v>
      </c>
      <c r="O85">
        <f t="shared" ca="1" si="13"/>
        <v>7.9620614698019156E-3</v>
      </c>
      <c r="Q85" s="2">
        <f t="shared" ref="Q85:Q118" si="17">+C85-15018.5</f>
        <v>41522.029499999997</v>
      </c>
    </row>
    <row r="86" spans="1:17">
      <c r="A86" s="36" t="s">
        <v>62</v>
      </c>
      <c r="B86" s="39" t="s">
        <v>32</v>
      </c>
      <c r="C86" s="61">
        <v>56597.264080000001</v>
      </c>
      <c r="D86" s="36">
        <v>1E-4</v>
      </c>
      <c r="E86">
        <f t="shared" si="14"/>
        <v>103.00020886833987</v>
      </c>
      <c r="F86">
        <f t="shared" si="15"/>
        <v>103</v>
      </c>
      <c r="G86">
        <f t="shared" si="16"/>
        <v>1.2539999443106353E-4</v>
      </c>
      <c r="H86" s="13"/>
      <c r="K86">
        <f t="shared" ref="K86:K118" si="18">G86</f>
        <v>1.2539999443106353E-4</v>
      </c>
      <c r="O86">
        <f t="shared" ca="1" si="13"/>
        <v>7.0113932592102725E-3</v>
      </c>
      <c r="Q86" s="2">
        <f t="shared" si="17"/>
        <v>41578.764080000001</v>
      </c>
    </row>
    <row r="87" spans="1:17">
      <c r="A87" s="66" t="s">
        <v>351</v>
      </c>
      <c r="B87" s="67" t="s">
        <v>32</v>
      </c>
      <c r="C87" s="68">
        <v>56891.448839999997</v>
      </c>
      <c r="D87" s="68">
        <v>2.9999999999999997E-4</v>
      </c>
      <c r="E87">
        <f t="shared" si="14"/>
        <v>592.99927945417471</v>
      </c>
      <c r="F87">
        <f t="shared" si="15"/>
        <v>593</v>
      </c>
      <c r="G87">
        <f t="shared" si="16"/>
        <v>-4.3260000529699028E-4</v>
      </c>
      <c r="H87" s="13"/>
      <c r="K87">
        <f t="shared" si="18"/>
        <v>-4.3260000529699028E-4</v>
      </c>
      <c r="O87">
        <f t="shared" ca="1" si="13"/>
        <v>2.0819111096551076E-3</v>
      </c>
      <c r="Q87" s="2">
        <f t="shared" si="17"/>
        <v>41872.948839999997</v>
      </c>
    </row>
    <row r="88" spans="1:17">
      <c r="A88" s="36" t="s">
        <v>62</v>
      </c>
      <c r="B88" s="39" t="s">
        <v>32</v>
      </c>
      <c r="C88" s="61">
        <v>56897.449670000002</v>
      </c>
      <c r="D88" s="36">
        <v>1E-4</v>
      </c>
      <c r="E88">
        <f t="shared" si="14"/>
        <v>602.99436255346859</v>
      </c>
      <c r="F88">
        <f t="shared" si="15"/>
        <v>603</v>
      </c>
      <c r="G88">
        <f t="shared" si="16"/>
        <v>-3.3846000005723909E-3</v>
      </c>
      <c r="H88" s="13"/>
      <c r="K88">
        <f t="shared" si="18"/>
        <v>-3.3846000005723909E-3</v>
      </c>
      <c r="O88">
        <f t="shared" ca="1" si="13"/>
        <v>1.9813587072548692E-3</v>
      </c>
      <c r="Q88" s="2">
        <f t="shared" si="17"/>
        <v>41878.949670000002</v>
      </c>
    </row>
    <row r="89" spans="1:17">
      <c r="A89" s="36" t="s">
        <v>62</v>
      </c>
      <c r="B89" s="39" t="s">
        <v>32</v>
      </c>
      <c r="C89" s="61">
        <v>56897.452499999999</v>
      </c>
      <c r="D89" s="36">
        <v>2.0000000000000001E-4</v>
      </c>
      <c r="E89">
        <f t="shared" si="14"/>
        <v>602.99907624893194</v>
      </c>
      <c r="F89">
        <f t="shared" si="15"/>
        <v>603</v>
      </c>
      <c r="G89">
        <f t="shared" si="16"/>
        <v>-5.5460000294260681E-4</v>
      </c>
      <c r="H89" s="13"/>
      <c r="K89">
        <f t="shared" si="18"/>
        <v>-5.5460000294260681E-4</v>
      </c>
      <c r="O89">
        <f t="shared" ca="1" si="13"/>
        <v>1.981311286598301E-3</v>
      </c>
      <c r="Q89" s="2">
        <f t="shared" si="17"/>
        <v>41878.952499999999</v>
      </c>
    </row>
    <row r="90" spans="1:17">
      <c r="A90" s="66" t="s">
        <v>351</v>
      </c>
      <c r="B90" s="67" t="s">
        <v>53</v>
      </c>
      <c r="C90" s="68">
        <v>56905.557200000003</v>
      </c>
      <c r="D90" s="68">
        <v>5.9999999999999995E-4</v>
      </c>
      <c r="E90">
        <f t="shared" si="14"/>
        <v>616.49840050821308</v>
      </c>
      <c r="F90">
        <f t="shared" si="15"/>
        <v>616.5</v>
      </c>
      <c r="G90">
        <f t="shared" si="16"/>
        <v>-9.6029999986058101E-4</v>
      </c>
      <c r="H90" s="13"/>
      <c r="K90">
        <f t="shared" si="18"/>
        <v>-9.6029999986058101E-4</v>
      </c>
      <c r="O90">
        <f t="shared" ca="1" si="13"/>
        <v>1.8455055637677988E-3</v>
      </c>
      <c r="Q90" s="2">
        <f t="shared" si="17"/>
        <v>41887.057200000003</v>
      </c>
    </row>
    <row r="91" spans="1:17">
      <c r="A91" s="66" t="s">
        <v>351</v>
      </c>
      <c r="B91" s="67" t="s">
        <v>53</v>
      </c>
      <c r="C91" s="68">
        <v>56905.563499999997</v>
      </c>
      <c r="D91" s="68">
        <v>1.9E-3</v>
      </c>
      <c r="E91">
        <f t="shared" si="14"/>
        <v>616.50889389387169</v>
      </c>
      <c r="F91">
        <f t="shared" si="15"/>
        <v>616.5</v>
      </c>
      <c r="G91">
        <f t="shared" si="16"/>
        <v>5.3396999937831424E-3</v>
      </c>
      <c r="H91" s="13"/>
      <c r="K91">
        <f t="shared" si="18"/>
        <v>5.3396999937831424E-3</v>
      </c>
      <c r="O91">
        <f t="shared" ca="1" si="13"/>
        <v>1.8453999983486019E-3</v>
      </c>
      <c r="Q91" s="2">
        <f t="shared" si="17"/>
        <v>41887.063499999997</v>
      </c>
    </row>
    <row r="92" spans="1:17">
      <c r="A92" s="66" t="s">
        <v>351</v>
      </c>
      <c r="B92" s="67" t="s">
        <v>32</v>
      </c>
      <c r="C92" s="68">
        <v>56906.455450000001</v>
      </c>
      <c r="D92" s="68">
        <v>1E-4</v>
      </c>
      <c r="E92">
        <f t="shared" si="14"/>
        <v>617.99454077446251</v>
      </c>
      <c r="F92">
        <f t="shared" si="15"/>
        <v>618</v>
      </c>
      <c r="G92">
        <f t="shared" si="16"/>
        <v>-3.277600000728853E-3</v>
      </c>
      <c r="H92" s="13"/>
      <c r="K92">
        <f t="shared" si="18"/>
        <v>-3.277600000728853E-3</v>
      </c>
      <c r="O92">
        <f t="shared" ca="1" si="13"/>
        <v>1.830454113309149E-3</v>
      </c>
      <c r="Q92" s="2">
        <f t="shared" si="17"/>
        <v>41887.955450000001</v>
      </c>
    </row>
    <row r="93" spans="1:17">
      <c r="A93" s="66" t="s">
        <v>351</v>
      </c>
      <c r="B93" s="67" t="s">
        <v>32</v>
      </c>
      <c r="C93" s="68">
        <v>56918.463799999998</v>
      </c>
      <c r="D93" s="68">
        <v>1E-4</v>
      </c>
      <c r="E93">
        <f t="shared" si="14"/>
        <v>637.99584994923998</v>
      </c>
      <c r="F93">
        <f t="shared" si="15"/>
        <v>638</v>
      </c>
      <c r="G93">
        <f t="shared" si="16"/>
        <v>-2.4916000038501807E-3</v>
      </c>
      <c r="H93" s="13"/>
      <c r="K93">
        <f t="shared" si="18"/>
        <v>-2.4916000038501807E-3</v>
      </c>
      <c r="O93">
        <f t="shared" ca="1" si="13"/>
        <v>1.6292372080874314E-3</v>
      </c>
      <c r="Q93" s="2">
        <f t="shared" si="17"/>
        <v>41899.963799999998</v>
      </c>
    </row>
    <row r="94" spans="1:17">
      <c r="A94" s="66" t="s">
        <v>351</v>
      </c>
      <c r="B94" s="67" t="s">
        <v>32</v>
      </c>
      <c r="C94" s="68">
        <v>56918.465600000003</v>
      </c>
      <c r="D94" s="68">
        <v>1E-4</v>
      </c>
      <c r="E94">
        <f t="shared" si="14"/>
        <v>637.99884805944032</v>
      </c>
      <c r="F94">
        <f t="shared" si="15"/>
        <v>638</v>
      </c>
      <c r="G94">
        <f t="shared" si="16"/>
        <v>-6.9159999839030206E-4</v>
      </c>
      <c r="H94" s="13"/>
      <c r="K94">
        <f t="shared" si="18"/>
        <v>-6.9159999839030206E-4</v>
      </c>
      <c r="O94">
        <f t="shared" ca="1" si="13"/>
        <v>1.6292070465389668E-3</v>
      </c>
      <c r="Q94" s="2">
        <f t="shared" si="17"/>
        <v>41899.965600000003</v>
      </c>
    </row>
    <row r="95" spans="1:17">
      <c r="A95" s="66" t="s">
        <v>351</v>
      </c>
      <c r="B95" s="67" t="s">
        <v>32</v>
      </c>
      <c r="C95" s="68">
        <v>56918.46643</v>
      </c>
      <c r="D95" s="68">
        <v>2.0000000000000001E-4</v>
      </c>
      <c r="E95">
        <f t="shared" si="14"/>
        <v>638.00023052135725</v>
      </c>
      <c r="F95">
        <f t="shared" si="15"/>
        <v>638</v>
      </c>
      <c r="G95">
        <f t="shared" si="16"/>
        <v>1.3839999883202836E-4</v>
      </c>
      <c r="H95" s="13"/>
      <c r="K95">
        <f t="shared" si="18"/>
        <v>1.3839999883202836E-4</v>
      </c>
      <c r="O95">
        <f t="shared" ca="1" si="13"/>
        <v>1.6291931387139302E-3</v>
      </c>
      <c r="Q95" s="2">
        <f t="shared" si="17"/>
        <v>41899.96643</v>
      </c>
    </row>
    <row r="96" spans="1:17">
      <c r="A96" s="11" t="s">
        <v>350</v>
      </c>
      <c r="B96" s="62"/>
      <c r="C96" s="11">
        <v>57082.369500000001</v>
      </c>
      <c r="D96" s="11">
        <v>1.6999999999999999E-3</v>
      </c>
      <c r="E96">
        <f t="shared" si="14"/>
        <v>910.99993304220209</v>
      </c>
      <c r="F96">
        <f t="shared" si="15"/>
        <v>911</v>
      </c>
      <c r="G96">
        <f t="shared" si="16"/>
        <v>-4.0200000512413681E-5</v>
      </c>
      <c r="H96" s="13"/>
      <c r="K96">
        <f t="shared" si="18"/>
        <v>-4.0200000512413681E-5</v>
      </c>
      <c r="O96">
        <f t="shared" ca="1" si="13"/>
        <v>-1.1172348469584131E-3</v>
      </c>
      <c r="Q96" s="2">
        <f t="shared" si="17"/>
        <v>42063.869500000001</v>
      </c>
    </row>
    <row r="97" spans="1:17">
      <c r="A97" s="66" t="s">
        <v>351</v>
      </c>
      <c r="B97" s="67" t="s">
        <v>32</v>
      </c>
      <c r="C97" s="68">
        <v>57220.450420000001</v>
      </c>
      <c r="D97" s="68">
        <v>2.9999999999999997E-4</v>
      </c>
      <c r="E97">
        <f t="shared" si="14"/>
        <v>1140.9898294108582</v>
      </c>
      <c r="F97">
        <f t="shared" si="15"/>
        <v>1141</v>
      </c>
      <c r="G97">
        <f t="shared" si="16"/>
        <v>-6.1062000022502616E-3</v>
      </c>
      <c r="H97" s="13"/>
      <c r="K97">
        <f t="shared" si="18"/>
        <v>-6.1062000022502616E-3</v>
      </c>
      <c r="O97">
        <f t="shared" ca="1" si="13"/>
        <v>-3.4309761513487708E-3</v>
      </c>
      <c r="Q97" s="2">
        <f t="shared" si="17"/>
        <v>42201.950420000001</v>
      </c>
    </row>
    <row r="98" spans="1:17">
      <c r="A98" s="66" t="s">
        <v>351</v>
      </c>
      <c r="B98" s="67" t="s">
        <v>32</v>
      </c>
      <c r="C98" s="68">
        <v>57220.452929999999</v>
      </c>
      <c r="D98" s="68">
        <v>4.0000000000000002E-4</v>
      </c>
      <c r="E98">
        <f t="shared" si="14"/>
        <v>1140.9940101089555</v>
      </c>
      <c r="F98">
        <f t="shared" si="15"/>
        <v>1141</v>
      </c>
      <c r="G98">
        <f t="shared" si="16"/>
        <v>-3.5962000038125552E-3</v>
      </c>
      <c r="H98" s="13"/>
      <c r="K98">
        <f t="shared" si="18"/>
        <v>-3.5962000038125552E-3</v>
      </c>
      <c r="O98">
        <f t="shared" ca="1" si="13"/>
        <v>-3.4310182099523082E-3</v>
      </c>
      <c r="Q98" s="2">
        <f t="shared" si="17"/>
        <v>42201.952929999999</v>
      </c>
    </row>
    <row r="99" spans="1:17">
      <c r="A99" s="66" t="s">
        <v>351</v>
      </c>
      <c r="B99" s="67" t="s">
        <v>32</v>
      </c>
      <c r="C99" s="68">
        <v>57220.4548</v>
      </c>
      <c r="D99" s="68">
        <v>1.1000000000000001E-3</v>
      </c>
      <c r="E99">
        <f t="shared" si="14"/>
        <v>1140.9971248123211</v>
      </c>
      <c r="F99">
        <f t="shared" si="15"/>
        <v>1141</v>
      </c>
      <c r="G99">
        <f t="shared" si="16"/>
        <v>-1.7262000037590042E-3</v>
      </c>
      <c r="H99" s="13"/>
      <c r="K99">
        <f t="shared" si="18"/>
        <v>-1.7262000037590042E-3</v>
      </c>
      <c r="O99">
        <f t="shared" ca="1" si="13"/>
        <v>-3.4310495444497876E-3</v>
      </c>
      <c r="Q99" s="2">
        <f t="shared" si="17"/>
        <v>42201.9548</v>
      </c>
    </row>
    <row r="100" spans="1:17">
      <c r="A100" s="66" t="s">
        <v>351</v>
      </c>
      <c r="B100" s="67" t="s">
        <v>32</v>
      </c>
      <c r="C100" s="68">
        <v>57238.467389999998</v>
      </c>
      <c r="D100" s="68">
        <v>4.0000000000000002E-4</v>
      </c>
      <c r="E100">
        <f t="shared" si="14"/>
        <v>1170.9991968395839</v>
      </c>
      <c r="F100">
        <f t="shared" si="15"/>
        <v>1171</v>
      </c>
      <c r="G100">
        <f t="shared" si="16"/>
        <v>-4.8220000462606549E-4</v>
      </c>
      <c r="H100" s="13"/>
      <c r="K100">
        <f t="shared" si="18"/>
        <v>-4.8220000462606549E-4</v>
      </c>
      <c r="O100">
        <f t="shared" ca="1" si="13"/>
        <v>-3.7328759914494521E-3</v>
      </c>
      <c r="Q100" s="2">
        <f t="shared" si="17"/>
        <v>42219.967389999998</v>
      </c>
    </row>
    <row r="101" spans="1:17">
      <c r="A101" s="66" t="s">
        <v>351</v>
      </c>
      <c r="B101" s="67" t="s">
        <v>32</v>
      </c>
      <c r="C101" s="68">
        <v>57238.467700000001</v>
      </c>
      <c r="D101" s="68">
        <v>2.9999999999999997E-4</v>
      </c>
      <c r="E101">
        <f t="shared" si="14"/>
        <v>1170.9997131807886</v>
      </c>
      <c r="F101">
        <f t="shared" si="15"/>
        <v>1171</v>
      </c>
      <c r="G101">
        <f t="shared" si="16"/>
        <v>-1.7220000154338777E-4</v>
      </c>
      <c r="H101" s="13"/>
      <c r="K101">
        <f t="shared" si="18"/>
        <v>-1.7220000154338777E-4</v>
      </c>
      <c r="O101">
        <f t="shared" ca="1" si="13"/>
        <v>-3.7328811859383901E-3</v>
      </c>
      <c r="Q101" s="2">
        <f t="shared" si="17"/>
        <v>42219.967700000001</v>
      </c>
    </row>
    <row r="102" spans="1:17">
      <c r="A102" s="66" t="s">
        <v>351</v>
      </c>
      <c r="B102" s="67" t="s">
        <v>32</v>
      </c>
      <c r="C102" s="68">
        <v>57238.467819999998</v>
      </c>
      <c r="D102" s="68">
        <v>2.9999999999999997E-4</v>
      </c>
      <c r="E102">
        <f t="shared" si="14"/>
        <v>1170.9999130547965</v>
      </c>
      <c r="F102">
        <f t="shared" si="15"/>
        <v>1171</v>
      </c>
      <c r="G102">
        <f t="shared" si="16"/>
        <v>-5.2200004574842751E-5</v>
      </c>
      <c r="H102" s="13"/>
      <c r="K102">
        <f t="shared" si="18"/>
        <v>-5.2200004574842751E-5</v>
      </c>
      <c r="O102">
        <f t="shared" ca="1" si="13"/>
        <v>-3.7328831967082324E-3</v>
      </c>
      <c r="Q102" s="2">
        <f t="shared" si="17"/>
        <v>42219.967819999998</v>
      </c>
    </row>
    <row r="103" spans="1:17">
      <c r="A103" s="66" t="s">
        <v>351</v>
      </c>
      <c r="B103" s="67" t="s">
        <v>32</v>
      </c>
      <c r="C103" s="68">
        <v>57238.468110000002</v>
      </c>
      <c r="D103" s="68">
        <v>5.0000000000000001E-4</v>
      </c>
      <c r="E103">
        <f t="shared" si="14"/>
        <v>1171.0003960836666</v>
      </c>
      <c r="F103">
        <f t="shared" si="15"/>
        <v>1171</v>
      </c>
      <c r="G103">
        <f t="shared" si="16"/>
        <v>2.3779999901307747E-4</v>
      </c>
      <c r="H103" s="13"/>
      <c r="K103">
        <f t="shared" si="18"/>
        <v>2.3779999901307747E-4</v>
      </c>
      <c r="O103">
        <f t="shared" ca="1" si="13"/>
        <v>-3.7328880560688633E-3</v>
      </c>
      <c r="Q103" s="2">
        <f t="shared" si="17"/>
        <v>42219.968110000002</v>
      </c>
    </row>
    <row r="104" spans="1:17">
      <c r="A104" s="63" t="s">
        <v>0</v>
      </c>
      <c r="B104" s="64" t="s">
        <v>32</v>
      </c>
      <c r="C104" s="65">
        <v>57265.479899999998</v>
      </c>
      <c r="D104" s="65">
        <v>1.5E-3</v>
      </c>
      <c r="E104">
        <f t="shared" si="14"/>
        <v>1215.9916865735559</v>
      </c>
      <c r="F104">
        <f t="shared" si="15"/>
        <v>1216</v>
      </c>
      <c r="G104">
        <f t="shared" si="16"/>
        <v>-4.9912000031326897E-3</v>
      </c>
      <c r="H104" s="13"/>
      <c r="K104">
        <f t="shared" si="18"/>
        <v>-4.9912000031326897E-3</v>
      </c>
      <c r="O104">
        <f t="shared" ca="1" si="13"/>
        <v>-4.1855088397985112E-3</v>
      </c>
      <c r="Q104" s="2">
        <f t="shared" si="17"/>
        <v>42246.979899999998</v>
      </c>
    </row>
    <row r="105" spans="1:17">
      <c r="A105" s="66" t="s">
        <v>351</v>
      </c>
      <c r="B105" s="67" t="s">
        <v>32</v>
      </c>
      <c r="C105" s="68">
        <v>57286.4925</v>
      </c>
      <c r="D105" s="68">
        <v>2.0000000000000001E-4</v>
      </c>
      <c r="E105">
        <f t="shared" si="14"/>
        <v>1250.9906255756746</v>
      </c>
      <c r="F105">
        <f t="shared" si="15"/>
        <v>1251</v>
      </c>
      <c r="G105">
        <f t="shared" si="16"/>
        <v>-5.6282000005012378E-3</v>
      </c>
      <c r="H105" s="13"/>
      <c r="K105">
        <f t="shared" si="18"/>
        <v>-5.6282000005012378E-3</v>
      </c>
      <c r="O105">
        <f t="shared" ca="1" si="13"/>
        <v>-4.5376047016499315E-3</v>
      </c>
      <c r="Q105" s="2">
        <f t="shared" si="17"/>
        <v>42267.9925</v>
      </c>
    </row>
    <row r="106" spans="1:17">
      <c r="A106" s="66" t="s">
        <v>351</v>
      </c>
      <c r="B106" s="67" t="s">
        <v>32</v>
      </c>
      <c r="C106" s="68">
        <v>57286.492530000003</v>
      </c>
      <c r="D106" s="68">
        <v>1E-4</v>
      </c>
      <c r="E106">
        <f t="shared" si="14"/>
        <v>1250.9906755441825</v>
      </c>
      <c r="F106">
        <f t="shared" si="15"/>
        <v>1251</v>
      </c>
      <c r="G106">
        <f t="shared" si="16"/>
        <v>-5.5981999976211227E-3</v>
      </c>
      <c r="H106" s="13"/>
      <c r="K106">
        <f t="shared" si="18"/>
        <v>-5.5981999976211227E-3</v>
      </c>
      <c r="O106">
        <f t="shared" ca="1" si="13"/>
        <v>-4.5376052043424528E-3</v>
      </c>
      <c r="Q106" s="2">
        <f t="shared" si="17"/>
        <v>42267.992530000003</v>
      </c>
    </row>
    <row r="107" spans="1:17">
      <c r="A107" s="66" t="s">
        <v>351</v>
      </c>
      <c r="B107" s="67" t="s">
        <v>32</v>
      </c>
      <c r="C107" s="68">
        <v>57286.492859999998</v>
      </c>
      <c r="D107" s="68">
        <v>1E-4</v>
      </c>
      <c r="E107">
        <f t="shared" si="14"/>
        <v>1250.9912251977098</v>
      </c>
      <c r="F107">
        <f t="shared" si="15"/>
        <v>1251</v>
      </c>
      <c r="G107">
        <f t="shared" si="16"/>
        <v>-5.2682000023196451E-3</v>
      </c>
      <c r="H107" s="13"/>
      <c r="K107">
        <f t="shared" si="18"/>
        <v>-5.2682000023196451E-3</v>
      </c>
      <c r="O107">
        <f t="shared" ca="1" si="13"/>
        <v>-4.5376107339595764E-3</v>
      </c>
      <c r="Q107" s="2">
        <f t="shared" si="17"/>
        <v>42267.992859999998</v>
      </c>
    </row>
    <row r="108" spans="1:17">
      <c r="A108" s="66" t="s">
        <v>351</v>
      </c>
      <c r="B108" s="67" t="s">
        <v>32</v>
      </c>
      <c r="C108" s="68">
        <v>57286.4931</v>
      </c>
      <c r="D108" s="68">
        <v>1E-4</v>
      </c>
      <c r="E108">
        <f t="shared" si="14"/>
        <v>1250.9916249457372</v>
      </c>
      <c r="F108">
        <f t="shared" si="15"/>
        <v>1251</v>
      </c>
      <c r="G108">
        <f t="shared" si="16"/>
        <v>-5.0282000011065975E-3</v>
      </c>
      <c r="H108" s="13"/>
      <c r="K108">
        <f t="shared" si="18"/>
        <v>-5.0282000011065975E-3</v>
      </c>
      <c r="O108">
        <f t="shared" ca="1" si="13"/>
        <v>-4.5376147554993772E-3</v>
      </c>
      <c r="Q108" s="2">
        <f t="shared" si="17"/>
        <v>42267.9931</v>
      </c>
    </row>
    <row r="109" spans="1:17">
      <c r="A109" s="66" t="s">
        <v>351</v>
      </c>
      <c r="B109" s="67" t="s">
        <v>53</v>
      </c>
      <c r="C109" s="68">
        <v>57293.398560000001</v>
      </c>
      <c r="D109" s="68">
        <v>1E-3</v>
      </c>
      <c r="E109">
        <f t="shared" si="14"/>
        <v>1262.4934749462898</v>
      </c>
      <c r="F109">
        <f t="shared" si="15"/>
        <v>1262.5</v>
      </c>
      <c r="G109">
        <f t="shared" si="16"/>
        <v>-3.917499998351559E-3</v>
      </c>
      <c r="H109" s="13"/>
      <c r="K109">
        <f t="shared" si="18"/>
        <v>-3.917499998351559E-3</v>
      </c>
      <c r="O109">
        <f t="shared" ca="1" si="13"/>
        <v>-4.6533255142908129E-3</v>
      </c>
      <c r="Q109" s="2">
        <f t="shared" si="17"/>
        <v>42274.898560000001</v>
      </c>
    </row>
    <row r="110" spans="1:17">
      <c r="A110" s="66" t="s">
        <v>351</v>
      </c>
      <c r="B110" s="67" t="s">
        <v>53</v>
      </c>
      <c r="C110" s="68">
        <v>57293.399680000002</v>
      </c>
      <c r="D110" s="68">
        <v>5.9999999999999995E-4</v>
      </c>
      <c r="E110">
        <f t="shared" si="14"/>
        <v>1262.4953404370767</v>
      </c>
      <c r="F110">
        <f t="shared" si="15"/>
        <v>1262.5</v>
      </c>
      <c r="G110">
        <f t="shared" si="16"/>
        <v>-2.7974999975413084E-3</v>
      </c>
      <c r="H110" s="13"/>
      <c r="K110">
        <f t="shared" si="18"/>
        <v>-2.7974999975413084E-3</v>
      </c>
      <c r="O110">
        <f t="shared" ref="O110:O118" ca="1" si="19">+C$11+C$12*E110</f>
        <v>-4.6533442814764812E-3</v>
      </c>
      <c r="Q110" s="2">
        <f t="shared" si="17"/>
        <v>42274.899680000002</v>
      </c>
    </row>
    <row r="111" spans="1:17">
      <c r="A111" s="66" t="s">
        <v>351</v>
      </c>
      <c r="B111" s="67" t="s">
        <v>53</v>
      </c>
      <c r="C111" s="68">
        <v>57293.401660000003</v>
      </c>
      <c r="D111" s="68">
        <v>5.0000000000000001E-4</v>
      </c>
      <c r="E111">
        <f t="shared" si="14"/>
        <v>1262.4986383582886</v>
      </c>
      <c r="F111">
        <f t="shared" si="15"/>
        <v>1262.5</v>
      </c>
      <c r="G111">
        <f t="shared" si="16"/>
        <v>-8.1749999662861228E-4</v>
      </c>
      <c r="H111" s="13"/>
      <c r="K111">
        <f t="shared" si="18"/>
        <v>-8.1749999662861228E-4</v>
      </c>
      <c r="O111">
        <f t="shared" ca="1" si="19"/>
        <v>-4.6533774591797066E-3</v>
      </c>
      <c r="Q111" s="2">
        <f t="shared" si="17"/>
        <v>42274.901660000003</v>
      </c>
    </row>
    <row r="112" spans="1:17">
      <c r="A112" s="63" t="s">
        <v>0</v>
      </c>
      <c r="B112" s="64" t="s">
        <v>32</v>
      </c>
      <c r="C112" s="65">
        <v>57366.3433</v>
      </c>
      <c r="D112" s="65">
        <v>6.9999999999999999E-4</v>
      </c>
      <c r="E112">
        <f t="shared" si="14"/>
        <v>1383.9914573846911</v>
      </c>
      <c r="F112">
        <f t="shared" si="15"/>
        <v>1384</v>
      </c>
      <c r="G112">
        <f t="shared" si="16"/>
        <v>-5.128800003149081E-3</v>
      </c>
      <c r="H112" s="13"/>
      <c r="K112">
        <f t="shared" si="18"/>
        <v>-5.128800003149081E-3</v>
      </c>
      <c r="O112">
        <f t="shared" ca="1" si="19"/>
        <v>-5.8756179054192392E-3</v>
      </c>
      <c r="Q112" s="2">
        <f t="shared" si="17"/>
        <v>42347.8433</v>
      </c>
    </row>
    <row r="113" spans="1:17">
      <c r="A113" s="66" t="s">
        <v>351</v>
      </c>
      <c r="B113" s="67" t="s">
        <v>32</v>
      </c>
      <c r="C113" s="68">
        <v>57573.469369999999</v>
      </c>
      <c r="D113" s="68">
        <v>1E-4</v>
      </c>
      <c r="E113">
        <f t="shared" si="14"/>
        <v>1728.9841136803368</v>
      </c>
      <c r="F113">
        <f t="shared" si="15"/>
        <v>1729</v>
      </c>
      <c r="G113">
        <f t="shared" si="16"/>
        <v>-9.5378000041819178E-3</v>
      </c>
      <c r="H113" s="13"/>
      <c r="K113">
        <f t="shared" si="18"/>
        <v>-9.5378000041819178E-3</v>
      </c>
      <c r="O113">
        <f t="shared" ca="1" si="19"/>
        <v>-9.3463084495946681E-3</v>
      </c>
      <c r="Q113" s="2">
        <f t="shared" si="17"/>
        <v>42554.969369999999</v>
      </c>
    </row>
    <row r="114" spans="1:17" ht="12.95" customHeight="1">
      <c r="A114" s="66" t="s">
        <v>351</v>
      </c>
      <c r="B114" s="67" t="s">
        <v>32</v>
      </c>
      <c r="C114" s="68">
        <v>57573.469409999998</v>
      </c>
      <c r="D114" s="68">
        <v>1E-4</v>
      </c>
      <c r="E114">
        <f t="shared" si="14"/>
        <v>1728.984180305006</v>
      </c>
      <c r="F114">
        <f t="shared" si="15"/>
        <v>1729</v>
      </c>
      <c r="G114">
        <f t="shared" si="16"/>
        <v>-9.4978000051924028E-3</v>
      </c>
      <c r="H114" s="13"/>
      <c r="K114">
        <f t="shared" si="18"/>
        <v>-9.4978000051924028E-3</v>
      </c>
      <c r="O114">
        <f t="shared" ca="1" si="19"/>
        <v>-9.3463091198512822E-3</v>
      </c>
      <c r="Q114" s="2">
        <f t="shared" si="17"/>
        <v>42554.969409999998</v>
      </c>
    </row>
    <row r="115" spans="1:17" ht="12.95" customHeight="1">
      <c r="A115" s="66" t="s">
        <v>351</v>
      </c>
      <c r="B115" s="67" t="s">
        <v>32</v>
      </c>
      <c r="C115" s="68">
        <v>57573.469409999998</v>
      </c>
      <c r="D115" s="68">
        <v>1E-4</v>
      </c>
      <c r="E115">
        <f t="shared" si="14"/>
        <v>1728.984180305006</v>
      </c>
      <c r="F115">
        <f t="shared" si="15"/>
        <v>1729</v>
      </c>
      <c r="G115">
        <f t="shared" si="16"/>
        <v>-9.4978000051924028E-3</v>
      </c>
      <c r="H115" s="13"/>
      <c r="K115">
        <f t="shared" si="18"/>
        <v>-9.4978000051924028E-3</v>
      </c>
      <c r="O115">
        <f t="shared" ca="1" si="19"/>
        <v>-9.3463091198512822E-3</v>
      </c>
      <c r="Q115" s="2">
        <f t="shared" si="17"/>
        <v>42554.969409999998</v>
      </c>
    </row>
    <row r="116" spans="1:17" ht="12.95" customHeight="1">
      <c r="A116" s="66" t="s">
        <v>351</v>
      </c>
      <c r="B116" s="67" t="s">
        <v>32</v>
      </c>
      <c r="C116" s="68">
        <v>57639.511910000001</v>
      </c>
      <c r="D116" s="68">
        <v>2.9999999999999997E-4</v>
      </c>
      <c r="E116">
        <f t="shared" si="14"/>
        <v>1838.9856760288735</v>
      </c>
      <c r="F116">
        <f t="shared" si="15"/>
        <v>1839</v>
      </c>
      <c r="G116">
        <f t="shared" si="16"/>
        <v>-8.5997999995015562E-3</v>
      </c>
      <c r="H116" s="13"/>
      <c r="K116">
        <f t="shared" si="18"/>
        <v>-8.5997999995015562E-3</v>
      </c>
      <c r="O116">
        <f t="shared" ca="1" si="19"/>
        <v>-1.045294470784713E-2</v>
      </c>
      <c r="Q116" s="2">
        <f t="shared" si="17"/>
        <v>42621.011910000001</v>
      </c>
    </row>
    <row r="117" spans="1:17" ht="12.95" customHeight="1">
      <c r="A117" s="66" t="s">
        <v>351</v>
      </c>
      <c r="B117" s="67" t="s">
        <v>32</v>
      </c>
      <c r="C117" s="68">
        <v>57639.512669999996</v>
      </c>
      <c r="D117" s="68">
        <v>4.0000000000000002E-4</v>
      </c>
      <c r="E117">
        <f t="shared" si="14"/>
        <v>1838.9869418976132</v>
      </c>
      <c r="F117">
        <f>ROUND(2*E117,0)/2</f>
        <v>1839</v>
      </c>
      <c r="G117">
        <f>+C117-(C$7+F117*C$8)</f>
        <v>-7.8398000041488558E-3</v>
      </c>
      <c r="H117" s="13"/>
      <c r="K117">
        <f t="shared" si="18"/>
        <v>-7.8398000041488558E-3</v>
      </c>
      <c r="O117">
        <f t="shared" ca="1" si="19"/>
        <v>-1.0452957442723031E-2</v>
      </c>
      <c r="Q117" s="2">
        <f t="shared" si="17"/>
        <v>42621.012669999996</v>
      </c>
    </row>
    <row r="118" spans="1:17" ht="12.95" customHeight="1">
      <c r="A118" s="66" t="s">
        <v>351</v>
      </c>
      <c r="B118" s="67" t="s">
        <v>32</v>
      </c>
      <c r="C118" s="68">
        <v>57639.513529999997</v>
      </c>
      <c r="D118" s="68">
        <v>4.0000000000000002E-4</v>
      </c>
      <c r="E118">
        <f t="shared" si="14"/>
        <v>1838.9883743280379</v>
      </c>
      <c r="F118">
        <f>ROUND(2*E118,0)/2</f>
        <v>1839</v>
      </c>
      <c r="G118">
        <f>+C118-(C$7+F118*C$8)</f>
        <v>-6.9798000040464103E-3</v>
      </c>
      <c r="H118" s="13"/>
      <c r="K118">
        <f t="shared" si="18"/>
        <v>-6.9798000040464103E-3</v>
      </c>
      <c r="O118">
        <f t="shared" ca="1" si="19"/>
        <v>-1.0452971853240588E-2</v>
      </c>
      <c r="Q118" s="2">
        <f t="shared" si="17"/>
        <v>42621.013529999997</v>
      </c>
    </row>
    <row r="119" spans="1:17" ht="12.95" customHeight="1">
      <c r="A119" s="69" t="s">
        <v>352</v>
      </c>
      <c r="B119" s="70" t="s">
        <v>32</v>
      </c>
      <c r="C119" s="72">
        <v>59467.3298</v>
      </c>
      <c r="D119" s="71">
        <v>4.1999999999999997E-3</v>
      </c>
      <c r="E119">
        <f t="shared" ref="E119:E120" si="20">+(C119-C$7)/C$8</f>
        <v>4883.4298114088697</v>
      </c>
      <c r="F119">
        <f t="shared" ref="F119:F120" si="21">ROUND(2*E119,0)/2</f>
        <v>4883.5</v>
      </c>
      <c r="G119">
        <f t="shared" ref="G119:G120" si="22">+C119-(C$7+F119*C$8)</f>
        <v>-4.2139700002735481E-2</v>
      </c>
      <c r="H119" s="13"/>
      <c r="K119">
        <f t="shared" ref="K119:K120" si="23">G119</f>
        <v>-4.2139700002735481E-2</v>
      </c>
      <c r="O119">
        <f t="shared" ref="O119:O120" ca="1" si="24">+C$11+C$12*E119</f>
        <v>-4.1080621210847101E-2</v>
      </c>
      <c r="Q119" s="2">
        <f t="shared" ref="Q119:Q120" si="25">+C119-15018.5</f>
        <v>44448.8298</v>
      </c>
    </row>
    <row r="120" spans="1:17" ht="12.95" customHeight="1">
      <c r="A120" s="71" t="s">
        <v>353</v>
      </c>
      <c r="B120" s="70" t="s">
        <v>32</v>
      </c>
      <c r="C120" s="72">
        <v>59561.284</v>
      </c>
      <c r="D120" s="71">
        <v>2.0000000000000001E-4</v>
      </c>
      <c r="E120">
        <f t="shared" si="20"/>
        <v>5039.9215028127219</v>
      </c>
      <c r="F120">
        <f t="shared" si="21"/>
        <v>5040</v>
      </c>
      <c r="G120">
        <f t="shared" si="22"/>
        <v>-4.7128000005614012E-2</v>
      </c>
      <c r="H120" s="13"/>
      <c r="K120">
        <f t="shared" si="23"/>
        <v>-4.7128000005614012E-2</v>
      </c>
      <c r="O120">
        <f t="shared" ca="1" si="24"/>
        <v>-4.2654956848681438E-2</v>
      </c>
      <c r="Q120" s="2">
        <f t="shared" si="25"/>
        <v>44542.784</v>
      </c>
    </row>
    <row r="121" spans="1:17" ht="12.95" customHeight="1">
      <c r="A121" s="69" t="s">
        <v>354</v>
      </c>
      <c r="B121" s="73" t="s">
        <v>32</v>
      </c>
      <c r="C121" s="75">
        <v>60345.370199999998</v>
      </c>
      <c r="D121" s="74">
        <v>2.0000000000000001E-4</v>
      </c>
      <c r="E121">
        <f t="shared" ref="E121" si="26">+(C121-C$7)/C$8</f>
        <v>6345.9086289275574</v>
      </c>
      <c r="F121">
        <f t="shared" ref="F121" si="27">ROUND(2*E121,0)/2</f>
        <v>6346</v>
      </c>
      <c r="G121">
        <f t="shared" ref="G121" si="28">+C121-(C$7+F121*C$8)</f>
        <v>-5.4857200004335027E-2</v>
      </c>
      <c r="H121" s="13"/>
      <c r="K121">
        <f t="shared" ref="K121" si="29">G121</f>
        <v>-5.4857200004335027E-2</v>
      </c>
      <c r="O121">
        <f t="shared" ref="O121" ca="1" si="30">+C$11+C$12*E121</f>
        <v>-5.5793431209530647E-2</v>
      </c>
      <c r="Q121" s="2">
        <f t="shared" ref="Q121" si="31">+C121-15018.5</f>
        <v>45326.870199999998</v>
      </c>
    </row>
    <row r="122" spans="1:17" ht="12.95" customHeight="1">
      <c r="C122" s="13"/>
      <c r="D122" s="13"/>
    </row>
    <row r="123" spans="1:17" ht="12.95" customHeight="1">
      <c r="C123" s="13"/>
      <c r="D123" s="13"/>
    </row>
    <row r="124" spans="1:17" ht="12.95" customHeight="1">
      <c r="C124" s="13"/>
      <c r="D124" s="13"/>
    </row>
    <row r="125" spans="1:17" ht="12.95" customHeight="1">
      <c r="C125" s="13"/>
      <c r="D125" s="13"/>
    </row>
    <row r="126" spans="1:17" ht="12.95" customHeight="1">
      <c r="C126" s="13"/>
      <c r="D126" s="13"/>
    </row>
    <row r="127" spans="1:17" ht="12.95" customHeight="1">
      <c r="C127" s="13"/>
      <c r="D127" s="13"/>
    </row>
    <row r="128" spans="1:17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</sheetData>
  <phoneticPr fontId="8" type="noConversion"/>
  <hyperlinks>
    <hyperlink ref="H2544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6"/>
  <sheetViews>
    <sheetView topLeftCell="A31" workbookViewId="0">
      <selection activeCell="A48" sqref="A48:D73"/>
    </sheetView>
  </sheetViews>
  <sheetFormatPr defaultRowHeight="12.75"/>
  <cols>
    <col min="1" max="1" width="19.7109375" style="13" customWidth="1"/>
    <col min="2" max="2" width="4.42578125" style="16" customWidth="1"/>
    <col min="3" max="3" width="12.7109375" style="13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3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45" t="s">
        <v>63</v>
      </c>
      <c r="I1" s="46" t="s">
        <v>64</v>
      </c>
      <c r="J1" s="47" t="s">
        <v>65</v>
      </c>
    </row>
    <row r="2" spans="1:16">
      <c r="I2" s="48" t="s">
        <v>66</v>
      </c>
      <c r="J2" s="49" t="s">
        <v>67</v>
      </c>
    </row>
    <row r="3" spans="1:16">
      <c r="A3" s="50" t="s">
        <v>68</v>
      </c>
      <c r="I3" s="48" t="s">
        <v>69</v>
      </c>
      <c r="J3" s="49" t="s">
        <v>70</v>
      </c>
    </row>
    <row r="4" spans="1:16">
      <c r="I4" s="48" t="s">
        <v>71</v>
      </c>
      <c r="J4" s="49" t="s">
        <v>70</v>
      </c>
    </row>
    <row r="5" spans="1:16" ht="13.5" thickBot="1">
      <c r="I5" s="51" t="s">
        <v>72</v>
      </c>
      <c r="J5" s="52" t="s">
        <v>73</v>
      </c>
    </row>
    <row r="10" spans="1:16" ht="13.5" thickBot="1"/>
    <row r="11" spans="1:16" ht="12.75" customHeight="1" thickBot="1">
      <c r="A11" s="13" t="str">
        <f t="shared" ref="A11:A42" si="0">P11</f>
        <v> BBS 116 </v>
      </c>
      <c r="B11" s="5" t="str">
        <f t="shared" ref="B11:B42" si="1">IF(H11=INT(H11),"I","II")</f>
        <v>I</v>
      </c>
      <c r="C11" s="13">
        <f t="shared" ref="C11:C42" si="2">1*G11</f>
        <v>50752.629800000002</v>
      </c>
      <c r="D11" s="16" t="str">
        <f t="shared" ref="D11:D42" si="3">VLOOKUP(F11,I$1:J$5,2,FALSE)</f>
        <v>vis</v>
      </c>
      <c r="E11" s="53">
        <f>VLOOKUP(C11,Active!C$21:E$973,3,FALSE)</f>
        <v>-9631.9206793317953</v>
      </c>
      <c r="F11" s="5" t="s">
        <v>72</v>
      </c>
      <c r="G11" s="16" t="str">
        <f t="shared" ref="G11:G42" si="4">MID(I11,3,LEN(I11)-3)</f>
        <v>50752.6298</v>
      </c>
      <c r="H11" s="13">
        <f t="shared" ref="H11:H42" si="5">1*K11</f>
        <v>36854</v>
      </c>
      <c r="I11" s="54" t="s">
        <v>121</v>
      </c>
      <c r="J11" s="55" t="s">
        <v>122</v>
      </c>
      <c r="K11" s="54">
        <v>36854</v>
      </c>
      <c r="L11" s="54" t="s">
        <v>123</v>
      </c>
      <c r="M11" s="55" t="s">
        <v>124</v>
      </c>
      <c r="N11" s="55" t="s">
        <v>125</v>
      </c>
      <c r="O11" s="56" t="s">
        <v>126</v>
      </c>
      <c r="P11" s="56" t="s">
        <v>127</v>
      </c>
    </row>
    <row r="12" spans="1:16" ht="12.75" customHeight="1" thickBot="1">
      <c r="A12" s="13" t="str">
        <f t="shared" si="0"/>
        <v>BAVM 132 </v>
      </c>
      <c r="B12" s="5" t="str">
        <f t="shared" si="1"/>
        <v>I</v>
      </c>
      <c r="C12" s="13">
        <f t="shared" si="2"/>
        <v>51430.463000000003</v>
      </c>
      <c r="D12" s="16" t="str">
        <f t="shared" si="3"/>
        <v>vis</v>
      </c>
      <c r="E12" s="53">
        <f>VLOOKUP(C12,Active!C$21:E$973,3,FALSE)</f>
        <v>-8502.9103321872772</v>
      </c>
      <c r="F12" s="5" t="s">
        <v>72</v>
      </c>
      <c r="G12" s="16" t="str">
        <f t="shared" si="4"/>
        <v>51430.4630</v>
      </c>
      <c r="H12" s="13">
        <f t="shared" si="5"/>
        <v>37983</v>
      </c>
      <c r="I12" s="54" t="s">
        <v>128</v>
      </c>
      <c r="J12" s="55" t="s">
        <v>129</v>
      </c>
      <c r="K12" s="54">
        <v>37983</v>
      </c>
      <c r="L12" s="54" t="s">
        <v>130</v>
      </c>
      <c r="M12" s="55" t="s">
        <v>124</v>
      </c>
      <c r="N12" s="55" t="s">
        <v>131</v>
      </c>
      <c r="O12" s="56" t="s">
        <v>132</v>
      </c>
      <c r="P12" s="57" t="s">
        <v>133</v>
      </c>
    </row>
    <row r="13" spans="1:16" ht="12.75" customHeight="1" thickBot="1">
      <c r="A13" s="13" t="str">
        <f t="shared" si="0"/>
        <v>BAVM 152 </v>
      </c>
      <c r="B13" s="5" t="str">
        <f t="shared" si="1"/>
        <v>I</v>
      </c>
      <c r="C13" s="13">
        <f t="shared" si="2"/>
        <v>51780.483699999997</v>
      </c>
      <c r="D13" s="16" t="str">
        <f t="shared" si="3"/>
        <v>vis</v>
      </c>
      <c r="E13" s="53">
        <f>VLOOKUP(C13,Active!C$21:E$973,3,FALSE)</f>
        <v>-7919.9099834071358</v>
      </c>
      <c r="F13" s="5" t="s">
        <v>72</v>
      </c>
      <c r="G13" s="16" t="str">
        <f t="shared" si="4"/>
        <v>51780.4837</v>
      </c>
      <c r="H13" s="13">
        <f t="shared" si="5"/>
        <v>38566</v>
      </c>
      <c r="I13" s="54" t="s">
        <v>134</v>
      </c>
      <c r="J13" s="55" t="s">
        <v>135</v>
      </c>
      <c r="K13" s="54">
        <v>38566</v>
      </c>
      <c r="L13" s="54" t="s">
        <v>136</v>
      </c>
      <c r="M13" s="55" t="s">
        <v>124</v>
      </c>
      <c r="N13" s="55" t="s">
        <v>131</v>
      </c>
      <c r="O13" s="56" t="s">
        <v>132</v>
      </c>
      <c r="P13" s="57" t="s">
        <v>137</v>
      </c>
    </row>
    <row r="14" spans="1:16" ht="12.75" customHeight="1" thickBot="1">
      <c r="A14" s="13" t="str">
        <f t="shared" si="0"/>
        <v>IBVS 5378 </v>
      </c>
      <c r="B14" s="5" t="str">
        <f t="shared" si="1"/>
        <v>I</v>
      </c>
      <c r="C14" s="13">
        <f t="shared" si="2"/>
        <v>52576.572999999997</v>
      </c>
      <c r="D14" s="16" t="str">
        <f t="shared" si="3"/>
        <v>vis</v>
      </c>
      <c r="E14" s="53">
        <f>VLOOKUP(C14,Active!C$21:E$973,3,FALSE)</f>
        <v>-6593.9302926055716</v>
      </c>
      <c r="F14" s="5" t="s">
        <v>72</v>
      </c>
      <c r="G14" s="16" t="str">
        <f t="shared" si="4"/>
        <v>52576.5730</v>
      </c>
      <c r="H14" s="13">
        <f t="shared" si="5"/>
        <v>39892</v>
      </c>
      <c r="I14" s="54" t="s">
        <v>138</v>
      </c>
      <c r="J14" s="55" t="s">
        <v>139</v>
      </c>
      <c r="K14" s="54">
        <v>39892</v>
      </c>
      <c r="L14" s="54" t="s">
        <v>140</v>
      </c>
      <c r="M14" s="55" t="s">
        <v>124</v>
      </c>
      <c r="N14" s="55" t="s">
        <v>125</v>
      </c>
      <c r="O14" s="56" t="s">
        <v>141</v>
      </c>
      <c r="P14" s="57" t="s">
        <v>142</v>
      </c>
    </row>
    <row r="15" spans="1:16" ht="12.75" customHeight="1" thickBot="1">
      <c r="A15" s="13" t="str">
        <f t="shared" si="0"/>
        <v>IBVS 5502 </v>
      </c>
      <c r="B15" s="5" t="str">
        <f t="shared" si="1"/>
        <v>I</v>
      </c>
      <c r="C15" s="13">
        <f t="shared" si="2"/>
        <v>52992.626799999998</v>
      </c>
      <c r="D15" s="16" t="str">
        <f t="shared" si="3"/>
        <v>vis</v>
      </c>
      <c r="E15" s="53">
        <f>VLOOKUP(C15,Active!C$21:E$973,3,FALSE)</f>
        <v>-5900.9441048992203</v>
      </c>
      <c r="F15" s="5" t="s">
        <v>72</v>
      </c>
      <c r="G15" s="16" t="str">
        <f t="shared" si="4"/>
        <v>52992.6268</v>
      </c>
      <c r="H15" s="13">
        <f t="shared" si="5"/>
        <v>40585</v>
      </c>
      <c r="I15" s="54" t="s">
        <v>143</v>
      </c>
      <c r="J15" s="55" t="s">
        <v>144</v>
      </c>
      <c r="K15" s="54">
        <v>40585</v>
      </c>
      <c r="L15" s="54" t="s">
        <v>145</v>
      </c>
      <c r="M15" s="55" t="s">
        <v>124</v>
      </c>
      <c r="N15" s="55" t="s">
        <v>125</v>
      </c>
      <c r="O15" s="56" t="s">
        <v>141</v>
      </c>
      <c r="P15" s="57" t="s">
        <v>146</v>
      </c>
    </row>
    <row r="16" spans="1:16" ht="12.75" customHeight="1" thickBot="1">
      <c r="A16" s="13" t="str">
        <f t="shared" si="0"/>
        <v>BAVM 178 </v>
      </c>
      <c r="B16" s="5" t="str">
        <f t="shared" si="1"/>
        <v>I</v>
      </c>
      <c r="C16" s="13">
        <f t="shared" si="2"/>
        <v>53215.364399999999</v>
      </c>
      <c r="D16" s="16" t="str">
        <f t="shared" si="3"/>
        <v>vis</v>
      </c>
      <c r="E16" s="53">
        <f>VLOOKUP(C16,Active!C$21:E$973,3,FALSE)</f>
        <v>-5529.9486223850308</v>
      </c>
      <c r="F16" s="5" t="s">
        <v>72</v>
      </c>
      <c r="G16" s="16" t="str">
        <f t="shared" si="4"/>
        <v>53215.3644</v>
      </c>
      <c r="H16" s="13">
        <f t="shared" si="5"/>
        <v>40956</v>
      </c>
      <c r="I16" s="54" t="s">
        <v>147</v>
      </c>
      <c r="J16" s="55" t="s">
        <v>148</v>
      </c>
      <c r="K16" s="54">
        <v>40956</v>
      </c>
      <c r="L16" s="54" t="s">
        <v>149</v>
      </c>
      <c r="M16" s="55" t="s">
        <v>150</v>
      </c>
      <c r="N16" s="55" t="s">
        <v>131</v>
      </c>
      <c r="O16" s="56" t="s">
        <v>151</v>
      </c>
      <c r="P16" s="57" t="s">
        <v>152</v>
      </c>
    </row>
    <row r="17" spans="1:16" ht="12.75" customHeight="1" thickBot="1">
      <c r="A17" s="13" t="str">
        <f t="shared" si="0"/>
        <v>BAVM 173 </v>
      </c>
      <c r="B17" s="5" t="str">
        <f t="shared" si="1"/>
        <v>I</v>
      </c>
      <c r="C17" s="13">
        <f t="shared" si="2"/>
        <v>53254.386100000003</v>
      </c>
      <c r="D17" s="16" t="str">
        <f t="shared" si="3"/>
        <v>vis</v>
      </c>
      <c r="E17" s="53">
        <f>VLOOKUP(C17,Active!C$21:E$973,3,FALSE)</f>
        <v>-5464.9534243581793</v>
      </c>
      <c r="F17" s="5" t="s">
        <v>72</v>
      </c>
      <c r="G17" s="16" t="str">
        <f t="shared" si="4"/>
        <v>53254.3861</v>
      </c>
      <c r="H17" s="13">
        <f t="shared" si="5"/>
        <v>41021</v>
      </c>
      <c r="I17" s="54" t="s">
        <v>153</v>
      </c>
      <c r="J17" s="55" t="s">
        <v>154</v>
      </c>
      <c r="K17" s="54">
        <v>41021</v>
      </c>
      <c r="L17" s="54" t="s">
        <v>155</v>
      </c>
      <c r="M17" s="55" t="s">
        <v>124</v>
      </c>
      <c r="N17" s="55" t="s">
        <v>131</v>
      </c>
      <c r="O17" s="56" t="s">
        <v>156</v>
      </c>
      <c r="P17" s="57" t="s">
        <v>157</v>
      </c>
    </row>
    <row r="18" spans="1:16" ht="12.75" customHeight="1" thickBot="1">
      <c r="A18" s="13" t="str">
        <f t="shared" si="0"/>
        <v>BAVM 183 </v>
      </c>
      <c r="B18" s="5" t="str">
        <f t="shared" si="1"/>
        <v>I</v>
      </c>
      <c r="C18" s="13">
        <f t="shared" si="2"/>
        <v>54085.296199999997</v>
      </c>
      <c r="D18" s="16" t="str">
        <f t="shared" si="3"/>
        <v>vis</v>
      </c>
      <c r="E18" s="53">
        <f>VLOOKUP(C18,Active!C$21:E$973,3,FALSE)</f>
        <v>-4080.975625031032</v>
      </c>
      <c r="F18" s="5" t="s">
        <v>72</v>
      </c>
      <c r="G18" s="16" t="str">
        <f t="shared" si="4"/>
        <v>54085.2962</v>
      </c>
      <c r="H18" s="13">
        <f t="shared" si="5"/>
        <v>42405</v>
      </c>
      <c r="I18" s="54" t="s">
        <v>158</v>
      </c>
      <c r="J18" s="55" t="s">
        <v>159</v>
      </c>
      <c r="K18" s="54">
        <v>42405</v>
      </c>
      <c r="L18" s="54" t="s">
        <v>160</v>
      </c>
      <c r="M18" s="55" t="s">
        <v>150</v>
      </c>
      <c r="N18" s="55" t="s">
        <v>131</v>
      </c>
      <c r="O18" s="56" t="s">
        <v>161</v>
      </c>
      <c r="P18" s="57" t="s">
        <v>162</v>
      </c>
    </row>
    <row r="19" spans="1:16" ht="12.75" customHeight="1" thickBot="1">
      <c r="A19" s="13" t="str">
        <f t="shared" si="0"/>
        <v>BAVM 183 </v>
      </c>
      <c r="B19" s="5" t="str">
        <f t="shared" si="1"/>
        <v>I</v>
      </c>
      <c r="C19" s="13">
        <f t="shared" si="2"/>
        <v>54092.4997</v>
      </c>
      <c r="D19" s="16" t="str">
        <f t="shared" si="3"/>
        <v>vis</v>
      </c>
      <c r="E19" s="53">
        <f>VLOOKUP(C19,Active!C$21:E$973,3,FALSE)</f>
        <v>-4068.9773546074834</v>
      </c>
      <c r="F19" s="5" t="s">
        <v>72</v>
      </c>
      <c r="G19" s="16" t="str">
        <f t="shared" si="4"/>
        <v>54092.4997</v>
      </c>
      <c r="H19" s="13">
        <f t="shared" si="5"/>
        <v>42417</v>
      </c>
      <c r="I19" s="54" t="s">
        <v>163</v>
      </c>
      <c r="J19" s="55" t="s">
        <v>164</v>
      </c>
      <c r="K19" s="54">
        <v>42417</v>
      </c>
      <c r="L19" s="54" t="s">
        <v>165</v>
      </c>
      <c r="M19" s="55" t="s">
        <v>150</v>
      </c>
      <c r="N19" s="55" t="s">
        <v>166</v>
      </c>
      <c r="O19" s="56" t="s">
        <v>167</v>
      </c>
      <c r="P19" s="57" t="s">
        <v>162</v>
      </c>
    </row>
    <row r="20" spans="1:16" ht="12.75" customHeight="1" thickBot="1">
      <c r="A20" s="13" t="str">
        <f t="shared" si="0"/>
        <v> BBS 133 (=IBVS 5781) </v>
      </c>
      <c r="B20" s="5" t="str">
        <f t="shared" si="1"/>
        <v>I</v>
      </c>
      <c r="C20" s="13">
        <f t="shared" si="2"/>
        <v>54097.303699999997</v>
      </c>
      <c r="D20" s="16" t="str">
        <f t="shared" si="3"/>
        <v>vis</v>
      </c>
      <c r="E20" s="53">
        <f>VLOOKUP(C20,Active!C$21:E$973,3,FALSE)</f>
        <v>-4060.9757316305058</v>
      </c>
      <c r="F20" s="5" t="s">
        <v>72</v>
      </c>
      <c r="G20" s="16" t="str">
        <f t="shared" si="4"/>
        <v>54097.3037</v>
      </c>
      <c r="H20" s="13">
        <f t="shared" si="5"/>
        <v>42425</v>
      </c>
      <c r="I20" s="54" t="s">
        <v>168</v>
      </c>
      <c r="J20" s="55" t="s">
        <v>169</v>
      </c>
      <c r="K20" s="54" t="s">
        <v>170</v>
      </c>
      <c r="L20" s="54" t="s">
        <v>160</v>
      </c>
      <c r="M20" s="55" t="s">
        <v>150</v>
      </c>
      <c r="N20" s="55" t="s">
        <v>72</v>
      </c>
      <c r="O20" s="56" t="s">
        <v>171</v>
      </c>
      <c r="P20" s="56" t="s">
        <v>172</v>
      </c>
    </row>
    <row r="21" spans="1:16" ht="12.75" customHeight="1" thickBot="1">
      <c r="A21" s="13" t="str">
        <f t="shared" si="0"/>
        <v>IBVS 5875 </v>
      </c>
      <c r="B21" s="5" t="str">
        <f t="shared" si="1"/>
        <v>I</v>
      </c>
      <c r="C21" s="13">
        <f t="shared" si="2"/>
        <v>54704.871899999998</v>
      </c>
      <c r="D21" s="16" t="str">
        <f t="shared" si="3"/>
        <v>vis</v>
      </c>
      <c r="E21" s="53">
        <f>VLOOKUP(C21,Active!C$21:E$973,3,FALSE)</f>
        <v>-3048.9999470333946</v>
      </c>
      <c r="F21" s="5" t="s">
        <v>72</v>
      </c>
      <c r="G21" s="16" t="str">
        <f t="shared" si="4"/>
        <v>54704.8719</v>
      </c>
      <c r="H21" s="13">
        <f t="shared" si="5"/>
        <v>43437</v>
      </c>
      <c r="I21" s="54" t="s">
        <v>192</v>
      </c>
      <c r="J21" s="55" t="s">
        <v>193</v>
      </c>
      <c r="K21" s="54" t="s">
        <v>194</v>
      </c>
      <c r="L21" s="54" t="s">
        <v>195</v>
      </c>
      <c r="M21" s="55" t="s">
        <v>150</v>
      </c>
      <c r="N21" s="55" t="s">
        <v>64</v>
      </c>
      <c r="O21" s="56" t="s">
        <v>196</v>
      </c>
      <c r="P21" s="57" t="s">
        <v>197</v>
      </c>
    </row>
    <row r="22" spans="1:16" ht="12.75" customHeight="1" thickBot="1">
      <c r="A22" s="13" t="str">
        <f t="shared" si="0"/>
        <v>BAVM 209 </v>
      </c>
      <c r="B22" s="5" t="str">
        <f t="shared" si="1"/>
        <v>II</v>
      </c>
      <c r="C22" s="13">
        <f t="shared" si="2"/>
        <v>54847.466899999999</v>
      </c>
      <c r="D22" s="16" t="str">
        <f t="shared" si="3"/>
        <v>vis</v>
      </c>
      <c r="E22" s="53">
        <f>VLOOKUP(C22,Active!C$21:E$973,3,FALSE)</f>
        <v>-2811.4913233025509</v>
      </c>
      <c r="F22" s="5" t="s">
        <v>72</v>
      </c>
      <c r="G22" s="16" t="str">
        <f t="shared" si="4"/>
        <v>54847.4669</v>
      </c>
      <c r="H22" s="13">
        <f t="shared" si="5"/>
        <v>43674.5</v>
      </c>
      <c r="I22" s="54" t="s">
        <v>207</v>
      </c>
      <c r="J22" s="55" t="s">
        <v>208</v>
      </c>
      <c r="K22" s="54" t="s">
        <v>209</v>
      </c>
      <c r="L22" s="54" t="s">
        <v>210</v>
      </c>
      <c r="M22" s="55" t="s">
        <v>150</v>
      </c>
      <c r="N22" s="55" t="s">
        <v>166</v>
      </c>
      <c r="O22" s="56" t="s">
        <v>177</v>
      </c>
      <c r="P22" s="57" t="s">
        <v>211</v>
      </c>
    </row>
    <row r="23" spans="1:16" ht="12.75" customHeight="1" thickBot="1">
      <c r="A23" s="13" t="str">
        <f t="shared" si="0"/>
        <v>BAVM 220 </v>
      </c>
      <c r="B23" s="5" t="str">
        <f t="shared" si="1"/>
        <v>I</v>
      </c>
      <c r="C23" s="13">
        <f t="shared" si="2"/>
        <v>55473.355000000003</v>
      </c>
      <c r="D23" s="16" t="str">
        <f t="shared" si="3"/>
        <v>vis</v>
      </c>
      <c r="E23" s="53">
        <f>VLOOKUP(C23,Active!C$21:E$973,3,FALSE)</f>
        <v>-1769.0016059876921</v>
      </c>
      <c r="F23" s="5" t="s">
        <v>72</v>
      </c>
      <c r="G23" s="16" t="str">
        <f t="shared" si="4"/>
        <v>55473.3550</v>
      </c>
      <c r="H23" s="13">
        <f t="shared" si="5"/>
        <v>44717</v>
      </c>
      <c r="I23" s="54" t="s">
        <v>217</v>
      </c>
      <c r="J23" s="55" t="s">
        <v>218</v>
      </c>
      <c r="K23" s="54" t="s">
        <v>219</v>
      </c>
      <c r="L23" s="54" t="s">
        <v>220</v>
      </c>
      <c r="M23" s="55" t="s">
        <v>150</v>
      </c>
      <c r="N23" s="55" t="s">
        <v>131</v>
      </c>
      <c r="O23" s="56" t="s">
        <v>221</v>
      </c>
      <c r="P23" s="57" t="s">
        <v>222</v>
      </c>
    </row>
    <row r="24" spans="1:16" ht="12.75" customHeight="1" thickBot="1">
      <c r="A24" s="13" t="str">
        <f t="shared" si="0"/>
        <v>BAVM 215 </v>
      </c>
      <c r="B24" s="5" t="str">
        <f t="shared" si="1"/>
        <v>I</v>
      </c>
      <c r="C24" s="13">
        <f t="shared" si="2"/>
        <v>55479.360000000001</v>
      </c>
      <c r="D24" s="16" t="str">
        <f t="shared" si="3"/>
        <v>vis</v>
      </c>
      <c r="E24" s="53">
        <f>VLOOKUP(C24,Active!C$21:E$973,3,FALSE)</f>
        <v>-1758.999577266467</v>
      </c>
      <c r="F24" s="5" t="s">
        <v>72</v>
      </c>
      <c r="G24" s="16" t="str">
        <f t="shared" si="4"/>
        <v>55479.3600</v>
      </c>
      <c r="H24" s="13">
        <f t="shared" si="5"/>
        <v>44727</v>
      </c>
      <c r="I24" s="54" t="s">
        <v>223</v>
      </c>
      <c r="J24" s="55" t="s">
        <v>224</v>
      </c>
      <c r="K24" s="54" t="s">
        <v>225</v>
      </c>
      <c r="L24" s="54" t="s">
        <v>226</v>
      </c>
      <c r="M24" s="55" t="s">
        <v>150</v>
      </c>
      <c r="N24" s="55" t="s">
        <v>166</v>
      </c>
      <c r="O24" s="56" t="s">
        <v>177</v>
      </c>
      <c r="P24" s="57" t="s">
        <v>227</v>
      </c>
    </row>
    <row r="25" spans="1:16" ht="12.75" customHeight="1" thickBot="1">
      <c r="A25" s="13" t="str">
        <f t="shared" si="0"/>
        <v>BAVM 215 </v>
      </c>
      <c r="B25" s="5" t="str">
        <f t="shared" si="1"/>
        <v>I</v>
      </c>
      <c r="C25" s="13">
        <f t="shared" si="2"/>
        <v>55491.3678</v>
      </c>
      <c r="D25" s="16" t="str">
        <f t="shared" si="3"/>
        <v>vis</v>
      </c>
      <c r="E25" s="53">
        <f>VLOOKUP(C25,Active!C$21:E$973,3,FALSE)</f>
        <v>-1738.9991841809097</v>
      </c>
      <c r="F25" s="5" t="s">
        <v>72</v>
      </c>
      <c r="G25" s="16" t="str">
        <f t="shared" si="4"/>
        <v>55491.3678</v>
      </c>
      <c r="H25" s="13">
        <f t="shared" si="5"/>
        <v>44747</v>
      </c>
      <c r="I25" s="54" t="s">
        <v>235</v>
      </c>
      <c r="J25" s="55" t="s">
        <v>236</v>
      </c>
      <c r="K25" s="54" t="s">
        <v>237</v>
      </c>
      <c r="L25" s="54" t="s">
        <v>238</v>
      </c>
      <c r="M25" s="55" t="s">
        <v>150</v>
      </c>
      <c r="N25" s="55" t="s">
        <v>166</v>
      </c>
      <c r="O25" s="56" t="s">
        <v>177</v>
      </c>
      <c r="P25" s="57" t="s">
        <v>227</v>
      </c>
    </row>
    <row r="26" spans="1:16" ht="12.75" customHeight="1" thickBot="1">
      <c r="A26" s="13" t="str">
        <f t="shared" si="0"/>
        <v>BAVM 215 </v>
      </c>
      <c r="B26" s="5" t="str">
        <f t="shared" si="1"/>
        <v>II</v>
      </c>
      <c r="C26" s="13">
        <f t="shared" si="2"/>
        <v>55491.660499999998</v>
      </c>
      <c r="D26" s="16" t="str">
        <f t="shared" si="3"/>
        <v>vis</v>
      </c>
      <c r="E26" s="53">
        <f>VLOOKUP(C26,Active!C$21:E$973,3,FALSE)</f>
        <v>-1738.5116581514865</v>
      </c>
      <c r="F26" s="5" t="s">
        <v>72</v>
      </c>
      <c r="G26" s="16" t="str">
        <f t="shared" si="4"/>
        <v>55491.6605</v>
      </c>
      <c r="H26" s="13">
        <f t="shared" si="5"/>
        <v>44747.5</v>
      </c>
      <c r="I26" s="54" t="s">
        <v>239</v>
      </c>
      <c r="J26" s="55" t="s">
        <v>240</v>
      </c>
      <c r="K26" s="54" t="s">
        <v>241</v>
      </c>
      <c r="L26" s="54" t="s">
        <v>242</v>
      </c>
      <c r="M26" s="55" t="s">
        <v>150</v>
      </c>
      <c r="N26" s="55" t="s">
        <v>166</v>
      </c>
      <c r="O26" s="56" t="s">
        <v>177</v>
      </c>
      <c r="P26" s="57" t="s">
        <v>227</v>
      </c>
    </row>
    <row r="27" spans="1:16" ht="12.75" customHeight="1" thickBot="1">
      <c r="A27" s="13" t="str">
        <f t="shared" si="0"/>
        <v>BAVM 215 </v>
      </c>
      <c r="B27" s="5" t="str">
        <f t="shared" si="1"/>
        <v>II</v>
      </c>
      <c r="C27" s="13">
        <f t="shared" si="2"/>
        <v>55514.4853</v>
      </c>
      <c r="D27" s="16" t="str">
        <f t="shared" si="3"/>
        <v>vis</v>
      </c>
      <c r="E27" s="53">
        <f>VLOOKUP(C27,Active!C$21:E$973,3,FALSE)</f>
        <v>-1700.4942884335285</v>
      </c>
      <c r="F27" s="5" t="s">
        <v>72</v>
      </c>
      <c r="G27" s="16" t="str">
        <f t="shared" si="4"/>
        <v>55514.4853</v>
      </c>
      <c r="H27" s="13">
        <f t="shared" si="5"/>
        <v>44785.5</v>
      </c>
      <c r="I27" s="54" t="s">
        <v>243</v>
      </c>
      <c r="J27" s="55" t="s">
        <v>244</v>
      </c>
      <c r="K27" s="54" t="s">
        <v>245</v>
      </c>
      <c r="L27" s="54" t="s">
        <v>246</v>
      </c>
      <c r="M27" s="55" t="s">
        <v>150</v>
      </c>
      <c r="N27" s="55" t="s">
        <v>166</v>
      </c>
      <c r="O27" s="56" t="s">
        <v>177</v>
      </c>
      <c r="P27" s="57" t="s">
        <v>227</v>
      </c>
    </row>
    <row r="28" spans="1:16" ht="12.75" customHeight="1" thickBot="1">
      <c r="A28" s="13" t="str">
        <f t="shared" si="0"/>
        <v>OEJV 0160 </v>
      </c>
      <c r="B28" s="5" t="str">
        <f t="shared" si="1"/>
        <v>II</v>
      </c>
      <c r="C28" s="13">
        <f t="shared" si="2"/>
        <v>55792.457320000001</v>
      </c>
      <c r="D28" s="16" t="str">
        <f t="shared" si="3"/>
        <v>vis</v>
      </c>
      <c r="E28" s="53">
        <f>VLOOKUP(C28,Active!C$21:E$973,3,FALSE)</f>
        <v>-1237.4994295262579</v>
      </c>
      <c r="F28" s="5" t="s">
        <v>72</v>
      </c>
      <c r="G28" s="16" t="str">
        <f t="shared" si="4"/>
        <v>55792.45732</v>
      </c>
      <c r="H28" s="13">
        <f t="shared" si="5"/>
        <v>45248.5</v>
      </c>
      <c r="I28" s="54" t="s">
        <v>247</v>
      </c>
      <c r="J28" s="55" t="s">
        <v>248</v>
      </c>
      <c r="K28" s="54" t="s">
        <v>249</v>
      </c>
      <c r="L28" s="54" t="s">
        <v>250</v>
      </c>
      <c r="M28" s="55" t="s">
        <v>150</v>
      </c>
      <c r="N28" s="55" t="s">
        <v>232</v>
      </c>
      <c r="O28" s="56" t="s">
        <v>233</v>
      </c>
      <c r="P28" s="57" t="s">
        <v>251</v>
      </c>
    </row>
    <row r="29" spans="1:16" ht="12.75" customHeight="1" thickBot="1">
      <c r="A29" s="13" t="str">
        <f t="shared" si="0"/>
        <v>OEJV 0160 </v>
      </c>
      <c r="B29" s="5" t="str">
        <f t="shared" si="1"/>
        <v>I</v>
      </c>
      <c r="C29" s="13">
        <f t="shared" si="2"/>
        <v>55794.555780000002</v>
      </c>
      <c r="D29" s="16" t="str">
        <f t="shared" si="3"/>
        <v>vis</v>
      </c>
      <c r="E29" s="53">
        <f>VLOOKUP(C29,Active!C$21:E$973,3,FALSE)</f>
        <v>-1234.0041993530087</v>
      </c>
      <c r="F29" s="5" t="s">
        <v>72</v>
      </c>
      <c r="G29" s="16" t="str">
        <f t="shared" si="4"/>
        <v>55794.55578</v>
      </c>
      <c r="H29" s="13">
        <f t="shared" si="5"/>
        <v>45252</v>
      </c>
      <c r="I29" s="54" t="s">
        <v>252</v>
      </c>
      <c r="J29" s="55" t="s">
        <v>253</v>
      </c>
      <c r="K29" s="54" t="s">
        <v>254</v>
      </c>
      <c r="L29" s="54" t="s">
        <v>255</v>
      </c>
      <c r="M29" s="55" t="s">
        <v>150</v>
      </c>
      <c r="N29" s="55" t="s">
        <v>232</v>
      </c>
      <c r="O29" s="56" t="s">
        <v>233</v>
      </c>
      <c r="P29" s="57" t="s">
        <v>251</v>
      </c>
    </row>
    <row r="30" spans="1:16" ht="12.75" customHeight="1" thickBot="1">
      <c r="A30" s="13" t="str">
        <f t="shared" si="0"/>
        <v>OEJV 0160 </v>
      </c>
      <c r="B30" s="5" t="str">
        <f t="shared" si="1"/>
        <v>I</v>
      </c>
      <c r="C30" s="13">
        <f t="shared" si="2"/>
        <v>55797.557260000001</v>
      </c>
      <c r="D30" s="16" t="str">
        <f t="shared" si="3"/>
        <v>vis</v>
      </c>
      <c r="E30" s="53">
        <f>VLOOKUP(C30,Active!C$21:E$973,3,FALSE)</f>
        <v>-1229.004883921504</v>
      </c>
      <c r="F30" s="5" t="s">
        <v>72</v>
      </c>
      <c r="G30" s="16" t="str">
        <f t="shared" si="4"/>
        <v>55797.55726</v>
      </c>
      <c r="H30" s="13">
        <f t="shared" si="5"/>
        <v>45257</v>
      </c>
      <c r="I30" s="54" t="s">
        <v>256</v>
      </c>
      <c r="J30" s="55" t="s">
        <v>257</v>
      </c>
      <c r="K30" s="54" t="s">
        <v>258</v>
      </c>
      <c r="L30" s="54" t="s">
        <v>259</v>
      </c>
      <c r="M30" s="55" t="s">
        <v>150</v>
      </c>
      <c r="N30" s="55" t="s">
        <v>232</v>
      </c>
      <c r="O30" s="56" t="s">
        <v>233</v>
      </c>
      <c r="P30" s="57" t="s">
        <v>251</v>
      </c>
    </row>
    <row r="31" spans="1:16" ht="12.75" customHeight="1" thickBot="1">
      <c r="A31" s="13" t="str">
        <f t="shared" si="0"/>
        <v>OEJV 0160 </v>
      </c>
      <c r="B31" s="5" t="str">
        <f t="shared" si="1"/>
        <v>I</v>
      </c>
      <c r="C31" s="13">
        <f t="shared" si="2"/>
        <v>55799.358769999999</v>
      </c>
      <c r="D31" s="16" t="str">
        <f t="shared" si="3"/>
        <v>vis</v>
      </c>
      <c r="E31" s="53">
        <f>VLOOKUP(C31,Active!C$21:E$973,3,FALSE)</f>
        <v>-1226.0042586489717</v>
      </c>
      <c r="F31" s="5" t="s">
        <v>72</v>
      </c>
      <c r="G31" s="16" t="str">
        <f t="shared" si="4"/>
        <v>55799.35877</v>
      </c>
      <c r="H31" s="13">
        <f t="shared" si="5"/>
        <v>45260</v>
      </c>
      <c r="I31" s="54" t="s">
        <v>260</v>
      </c>
      <c r="J31" s="55" t="s">
        <v>261</v>
      </c>
      <c r="K31" s="54" t="s">
        <v>262</v>
      </c>
      <c r="L31" s="54" t="s">
        <v>263</v>
      </c>
      <c r="M31" s="55" t="s">
        <v>150</v>
      </c>
      <c r="N31" s="55" t="s">
        <v>232</v>
      </c>
      <c r="O31" s="56" t="s">
        <v>233</v>
      </c>
      <c r="P31" s="57" t="s">
        <v>251</v>
      </c>
    </row>
    <row r="32" spans="1:16" ht="12.75" customHeight="1" thickBot="1">
      <c r="A32" s="13" t="str">
        <f t="shared" si="0"/>
        <v>OEJV 0160 </v>
      </c>
      <c r="B32" s="5" t="str">
        <f t="shared" si="1"/>
        <v>I</v>
      </c>
      <c r="C32" s="13">
        <f t="shared" si="2"/>
        <v>55802.36017</v>
      </c>
      <c r="D32" s="16" t="str">
        <f t="shared" si="3"/>
        <v>vis</v>
      </c>
      <c r="E32" s="53">
        <f>VLOOKUP(C32,Active!C$21:E$973,3,FALSE)</f>
        <v>-1221.0050764668053</v>
      </c>
      <c r="F32" s="5" t="s">
        <v>72</v>
      </c>
      <c r="G32" s="16" t="str">
        <f t="shared" si="4"/>
        <v>55802.36017</v>
      </c>
      <c r="H32" s="13">
        <f t="shared" si="5"/>
        <v>45265</v>
      </c>
      <c r="I32" s="54" t="s">
        <v>264</v>
      </c>
      <c r="J32" s="55" t="s">
        <v>265</v>
      </c>
      <c r="K32" s="54" t="s">
        <v>266</v>
      </c>
      <c r="L32" s="54" t="s">
        <v>267</v>
      </c>
      <c r="M32" s="55" t="s">
        <v>150</v>
      </c>
      <c r="N32" s="55" t="s">
        <v>232</v>
      </c>
      <c r="O32" s="56" t="s">
        <v>233</v>
      </c>
      <c r="P32" s="57" t="s">
        <v>251</v>
      </c>
    </row>
    <row r="33" spans="1:16" ht="12.75" customHeight="1" thickBot="1">
      <c r="A33" s="13" t="str">
        <f t="shared" si="0"/>
        <v>OEJV 0160 </v>
      </c>
      <c r="B33" s="5" t="str">
        <f t="shared" si="1"/>
        <v>I</v>
      </c>
      <c r="C33" s="13">
        <f t="shared" si="2"/>
        <v>55805.36247</v>
      </c>
      <c r="D33" s="16" t="str">
        <f t="shared" si="3"/>
        <v>vis</v>
      </c>
      <c r="E33" s="53">
        <f>VLOOKUP(C33,Active!C$21:E$973,3,FALSE)</f>
        <v>-1216.0043952295453</v>
      </c>
      <c r="F33" s="5" t="s">
        <v>72</v>
      </c>
      <c r="G33" s="16" t="str">
        <f t="shared" si="4"/>
        <v>55805.36247</v>
      </c>
      <c r="H33" s="13">
        <f t="shared" si="5"/>
        <v>45270</v>
      </c>
      <c r="I33" s="54" t="s">
        <v>268</v>
      </c>
      <c r="J33" s="55" t="s">
        <v>269</v>
      </c>
      <c r="K33" s="54" t="s">
        <v>270</v>
      </c>
      <c r="L33" s="54" t="s">
        <v>271</v>
      </c>
      <c r="M33" s="55" t="s">
        <v>150</v>
      </c>
      <c r="N33" s="55" t="s">
        <v>232</v>
      </c>
      <c r="O33" s="56" t="s">
        <v>233</v>
      </c>
      <c r="P33" s="57" t="s">
        <v>251</v>
      </c>
    </row>
    <row r="34" spans="1:16" ht="12.75" customHeight="1" thickBot="1">
      <c r="A34" s="13" t="str">
        <f t="shared" si="0"/>
        <v>OEJV 0160 </v>
      </c>
      <c r="B34" s="5" t="str">
        <f t="shared" si="1"/>
        <v>II</v>
      </c>
      <c r="C34" s="13">
        <f t="shared" si="2"/>
        <v>55830.281719999999</v>
      </c>
      <c r="D34" s="16" t="str">
        <f t="shared" si="3"/>
        <v>vis</v>
      </c>
      <c r="E34" s="53">
        <f>VLOOKUP(C34,Active!C$21:E$973,3,FALSE)</f>
        <v>-1174.4984744616042</v>
      </c>
      <c r="F34" s="5" t="s">
        <v>72</v>
      </c>
      <c r="G34" s="16" t="str">
        <f t="shared" si="4"/>
        <v>55830.28172</v>
      </c>
      <c r="H34" s="13">
        <f t="shared" si="5"/>
        <v>45311.5</v>
      </c>
      <c r="I34" s="54" t="s">
        <v>277</v>
      </c>
      <c r="J34" s="55" t="s">
        <v>278</v>
      </c>
      <c r="K34" s="54" t="s">
        <v>279</v>
      </c>
      <c r="L34" s="54" t="s">
        <v>280</v>
      </c>
      <c r="M34" s="55" t="s">
        <v>150</v>
      </c>
      <c r="N34" s="55" t="s">
        <v>232</v>
      </c>
      <c r="O34" s="56" t="s">
        <v>233</v>
      </c>
      <c r="P34" s="57" t="s">
        <v>251</v>
      </c>
    </row>
    <row r="35" spans="1:16" ht="12.75" customHeight="1" thickBot="1">
      <c r="A35" s="13" t="str">
        <f t="shared" si="0"/>
        <v>OEJV 0160 </v>
      </c>
      <c r="B35" s="5" t="str">
        <f t="shared" si="1"/>
        <v>II</v>
      </c>
      <c r="C35" s="13">
        <f t="shared" si="2"/>
        <v>55831.482779999998</v>
      </c>
      <c r="D35" s="16" t="str">
        <f t="shared" si="3"/>
        <v>vis</v>
      </c>
      <c r="E35" s="53">
        <f>VLOOKUP(C35,Active!C$21:E$973,3,FALSE)</f>
        <v>-1172.4979687803529</v>
      </c>
      <c r="F35" s="5" t="s">
        <v>72</v>
      </c>
      <c r="G35" s="16" t="str">
        <f t="shared" si="4"/>
        <v>55831.48278</v>
      </c>
      <c r="H35" s="13">
        <f t="shared" si="5"/>
        <v>45313.5</v>
      </c>
      <c r="I35" s="54" t="s">
        <v>281</v>
      </c>
      <c r="J35" s="55" t="s">
        <v>282</v>
      </c>
      <c r="K35" s="54" t="s">
        <v>283</v>
      </c>
      <c r="L35" s="54" t="s">
        <v>284</v>
      </c>
      <c r="M35" s="55" t="s">
        <v>150</v>
      </c>
      <c r="N35" s="55" t="s">
        <v>232</v>
      </c>
      <c r="O35" s="56" t="s">
        <v>233</v>
      </c>
      <c r="P35" s="57" t="s">
        <v>251</v>
      </c>
    </row>
    <row r="36" spans="1:16" ht="12.75" customHeight="1" thickBot="1">
      <c r="A36" s="13" t="str">
        <f t="shared" si="0"/>
        <v>OEJV 0160 </v>
      </c>
      <c r="B36" s="5" t="str">
        <f t="shared" si="1"/>
        <v>I</v>
      </c>
      <c r="C36" s="13">
        <f t="shared" si="2"/>
        <v>55838.383309999997</v>
      </c>
      <c r="D36" s="16" t="str">
        <f t="shared" si="3"/>
        <v>vis</v>
      </c>
      <c r="E36" s="53">
        <f>VLOOKUP(C36,Active!C$21:E$973,3,FALSE)</f>
        <v>-1161.0043302704953</v>
      </c>
      <c r="F36" s="5" t="s">
        <v>72</v>
      </c>
      <c r="G36" s="16" t="str">
        <f t="shared" si="4"/>
        <v>55838.38331</v>
      </c>
      <c r="H36" s="13">
        <f t="shared" si="5"/>
        <v>45325</v>
      </c>
      <c r="I36" s="54" t="s">
        <v>289</v>
      </c>
      <c r="J36" s="55" t="s">
        <v>290</v>
      </c>
      <c r="K36" s="54" t="s">
        <v>291</v>
      </c>
      <c r="L36" s="54" t="s">
        <v>292</v>
      </c>
      <c r="M36" s="55" t="s">
        <v>150</v>
      </c>
      <c r="N36" s="55" t="s">
        <v>232</v>
      </c>
      <c r="O36" s="56" t="s">
        <v>233</v>
      </c>
      <c r="P36" s="57" t="s">
        <v>251</v>
      </c>
    </row>
    <row r="37" spans="1:16" ht="12.75" customHeight="1" thickBot="1">
      <c r="A37" s="13" t="str">
        <f t="shared" si="0"/>
        <v>OEJV 0160 </v>
      </c>
      <c r="B37" s="5" t="str">
        <f t="shared" si="1"/>
        <v>II</v>
      </c>
      <c r="C37" s="13">
        <f t="shared" si="2"/>
        <v>55875.311999999998</v>
      </c>
      <c r="D37" s="16" t="str">
        <f t="shared" si="3"/>
        <v>vis</v>
      </c>
      <c r="E37" s="53">
        <f>VLOOKUP(C37,Active!C$21:E$973,3,FALSE)</f>
        <v>-1099.4952848054857</v>
      </c>
      <c r="F37" s="5" t="s">
        <v>72</v>
      </c>
      <c r="G37" s="16" t="str">
        <f t="shared" si="4"/>
        <v>55875.312</v>
      </c>
      <c r="H37" s="13">
        <f t="shared" si="5"/>
        <v>45386.5</v>
      </c>
      <c r="I37" s="54" t="s">
        <v>297</v>
      </c>
      <c r="J37" s="55" t="s">
        <v>298</v>
      </c>
      <c r="K37" s="54" t="s">
        <v>299</v>
      </c>
      <c r="L37" s="54" t="s">
        <v>300</v>
      </c>
      <c r="M37" s="55" t="s">
        <v>150</v>
      </c>
      <c r="N37" s="55" t="s">
        <v>232</v>
      </c>
      <c r="O37" s="56" t="s">
        <v>233</v>
      </c>
      <c r="P37" s="57" t="s">
        <v>251</v>
      </c>
    </row>
    <row r="38" spans="1:16" ht="12.75" customHeight="1" thickBot="1">
      <c r="A38" s="13" t="str">
        <f t="shared" si="0"/>
        <v>IBVS 6011 </v>
      </c>
      <c r="B38" s="5" t="str">
        <f t="shared" si="1"/>
        <v>I</v>
      </c>
      <c r="C38" s="13">
        <f t="shared" si="2"/>
        <v>55905.628199999999</v>
      </c>
      <c r="D38" s="16" t="str">
        <f t="shared" si="3"/>
        <v>vis</v>
      </c>
      <c r="E38" s="53">
        <f>VLOOKUP(C38,Active!C$21:E$973,3,FALSE)</f>
        <v>-1049.0001135950702</v>
      </c>
      <c r="F38" s="5" t="s">
        <v>72</v>
      </c>
      <c r="G38" s="16" t="str">
        <f t="shared" si="4"/>
        <v>55905.6282</v>
      </c>
      <c r="H38" s="13">
        <f t="shared" si="5"/>
        <v>45437</v>
      </c>
      <c r="I38" s="54" t="s">
        <v>301</v>
      </c>
      <c r="J38" s="55" t="s">
        <v>302</v>
      </c>
      <c r="K38" s="54" t="s">
        <v>303</v>
      </c>
      <c r="L38" s="54" t="s">
        <v>304</v>
      </c>
      <c r="M38" s="55" t="s">
        <v>150</v>
      </c>
      <c r="N38" s="55" t="s">
        <v>72</v>
      </c>
      <c r="O38" s="56" t="s">
        <v>126</v>
      </c>
      <c r="P38" s="57" t="s">
        <v>305</v>
      </c>
    </row>
    <row r="39" spans="1:16" ht="12.75" customHeight="1" thickBot="1">
      <c r="A39" s="13" t="str">
        <f t="shared" si="0"/>
        <v>OEJV 0160 </v>
      </c>
      <c r="B39" s="5" t="str">
        <f t="shared" si="1"/>
        <v>II</v>
      </c>
      <c r="C39" s="13">
        <f t="shared" si="2"/>
        <v>56154.487300000001</v>
      </c>
      <c r="D39" s="16" t="str">
        <f t="shared" si="3"/>
        <v>vis</v>
      </c>
      <c r="E39" s="53">
        <f>VLOOKUP(C39,Active!C$21:E$973,3,FALSE)</f>
        <v>-634.49622254772453</v>
      </c>
      <c r="F39" s="5" t="s">
        <v>72</v>
      </c>
      <c r="G39" s="16" t="str">
        <f t="shared" si="4"/>
        <v>56154.4873</v>
      </c>
      <c r="H39" s="13">
        <f t="shared" si="5"/>
        <v>45851.5</v>
      </c>
      <c r="I39" s="54" t="s">
        <v>306</v>
      </c>
      <c r="J39" s="55" t="s">
        <v>307</v>
      </c>
      <c r="K39" s="54" t="s">
        <v>308</v>
      </c>
      <c r="L39" s="54" t="s">
        <v>309</v>
      </c>
      <c r="M39" s="55" t="s">
        <v>150</v>
      </c>
      <c r="N39" s="55" t="s">
        <v>232</v>
      </c>
      <c r="O39" s="56" t="s">
        <v>233</v>
      </c>
      <c r="P39" s="57" t="s">
        <v>251</v>
      </c>
    </row>
    <row r="40" spans="1:16" ht="12.75" customHeight="1" thickBot="1">
      <c r="A40" s="13" t="str">
        <f t="shared" si="0"/>
        <v>BAVM 231 </v>
      </c>
      <c r="B40" s="5" t="str">
        <f t="shared" si="1"/>
        <v>I</v>
      </c>
      <c r="C40" s="13">
        <f t="shared" si="2"/>
        <v>56179.399799999999</v>
      </c>
      <c r="D40" s="16" t="str">
        <f t="shared" si="3"/>
        <v>vis</v>
      </c>
      <c r="E40" s="53">
        <f>VLOOKUP(C40,Active!C$21:E$973,3,FALSE)</f>
        <v>-593.00154469300139</v>
      </c>
      <c r="F40" s="5" t="s">
        <v>72</v>
      </c>
      <c r="G40" s="16" t="str">
        <f t="shared" si="4"/>
        <v>56179.3998</v>
      </c>
      <c r="H40" s="13">
        <f t="shared" si="5"/>
        <v>45893</v>
      </c>
      <c r="I40" s="54" t="s">
        <v>310</v>
      </c>
      <c r="J40" s="55" t="s">
        <v>311</v>
      </c>
      <c r="K40" s="54" t="s">
        <v>312</v>
      </c>
      <c r="L40" s="54" t="s">
        <v>313</v>
      </c>
      <c r="M40" s="55" t="s">
        <v>150</v>
      </c>
      <c r="N40" s="55" t="s">
        <v>131</v>
      </c>
      <c r="O40" s="56" t="s">
        <v>186</v>
      </c>
      <c r="P40" s="57" t="s">
        <v>314</v>
      </c>
    </row>
    <row r="41" spans="1:16" ht="12.75" customHeight="1" thickBot="1">
      <c r="A41" s="13" t="str">
        <f t="shared" si="0"/>
        <v> JAAVSO 41;328 </v>
      </c>
      <c r="B41" s="5" t="str">
        <f t="shared" si="1"/>
        <v>I</v>
      </c>
      <c r="C41" s="13">
        <f t="shared" si="2"/>
        <v>56292.268700000001</v>
      </c>
      <c r="D41" s="16" t="str">
        <f t="shared" si="3"/>
        <v>vis</v>
      </c>
      <c r="E41" s="53">
        <f>VLOOKUP(C41,Active!C$21:E$973,3,FALSE)</f>
        <v>-405.00521171488634</v>
      </c>
      <c r="F41" s="5" t="s">
        <v>72</v>
      </c>
      <c r="G41" s="16" t="str">
        <f t="shared" si="4"/>
        <v>56292.2687</v>
      </c>
      <c r="H41" s="13">
        <f t="shared" si="5"/>
        <v>46081</v>
      </c>
      <c r="I41" s="54" t="s">
        <v>315</v>
      </c>
      <c r="J41" s="55" t="s">
        <v>316</v>
      </c>
      <c r="K41" s="54" t="s">
        <v>317</v>
      </c>
      <c r="L41" s="54" t="s">
        <v>318</v>
      </c>
      <c r="M41" s="55" t="s">
        <v>150</v>
      </c>
      <c r="N41" s="55" t="s">
        <v>64</v>
      </c>
      <c r="O41" s="56" t="s">
        <v>319</v>
      </c>
      <c r="P41" s="56" t="s">
        <v>320</v>
      </c>
    </row>
    <row r="42" spans="1:16" ht="12.75" customHeight="1" thickBot="1">
      <c r="A42" s="13" t="str">
        <f t="shared" si="0"/>
        <v>BAVM 234 </v>
      </c>
      <c r="B42" s="5" t="str">
        <f t="shared" si="1"/>
        <v>II</v>
      </c>
      <c r="C42" s="13">
        <f t="shared" si="2"/>
        <v>56342.402699999999</v>
      </c>
      <c r="D42" s="16" t="str">
        <f t="shared" si="3"/>
        <v>vis</v>
      </c>
      <c r="E42" s="53">
        <f>VLOOKUP(C42,Active!C$21:E$973,3,FALSE)</f>
        <v>-321.50118042261391</v>
      </c>
      <c r="F42" s="5" t="s">
        <v>72</v>
      </c>
      <c r="G42" s="16" t="str">
        <f t="shared" si="4"/>
        <v>56342.4027</v>
      </c>
      <c r="H42" s="13">
        <f t="shared" si="5"/>
        <v>46164.5</v>
      </c>
      <c r="I42" s="54" t="s">
        <v>321</v>
      </c>
      <c r="J42" s="55" t="s">
        <v>322</v>
      </c>
      <c r="K42" s="54" t="s">
        <v>323</v>
      </c>
      <c r="L42" s="54" t="s">
        <v>324</v>
      </c>
      <c r="M42" s="55" t="s">
        <v>150</v>
      </c>
      <c r="N42" s="55" t="s">
        <v>131</v>
      </c>
      <c r="O42" s="56" t="s">
        <v>186</v>
      </c>
      <c r="P42" s="57" t="s">
        <v>325</v>
      </c>
    </row>
    <row r="43" spans="1:16" ht="12.75" customHeight="1" thickBot="1">
      <c r="A43" s="13" t="str">
        <f t="shared" ref="A43:A73" si="6">P43</f>
        <v>BAVM 234 </v>
      </c>
      <c r="B43" s="5" t="str">
        <f t="shared" ref="B43:B73" si="7">IF(H43=INT(H43),"I","II")</f>
        <v>II</v>
      </c>
      <c r="C43" s="13">
        <f t="shared" ref="C43:C73" si="8">1*G43</f>
        <v>56507.503700000001</v>
      </c>
      <c r="D43" s="16" t="str">
        <f t="shared" ref="D43:D73" si="9">VLOOKUP(F43,I$1:J$5,2,FALSE)</f>
        <v>vis</v>
      </c>
      <c r="E43" s="53">
        <f>VLOOKUP(C43,Active!C$21:E$973,3,FALSE)</f>
        <v>-46.506185601012483</v>
      </c>
      <c r="F43" s="5" t="s">
        <v>72</v>
      </c>
      <c r="G43" s="16" t="str">
        <f t="shared" ref="G43:G73" si="10">MID(I43,3,LEN(I43)-3)</f>
        <v>56507.5037</v>
      </c>
      <c r="H43" s="13">
        <f t="shared" ref="H43:H73" si="11">1*K43</f>
        <v>46439.5</v>
      </c>
      <c r="I43" s="54" t="s">
        <v>326</v>
      </c>
      <c r="J43" s="55" t="s">
        <v>327</v>
      </c>
      <c r="K43" s="54" t="s">
        <v>328</v>
      </c>
      <c r="L43" s="54" t="s">
        <v>206</v>
      </c>
      <c r="M43" s="55" t="s">
        <v>150</v>
      </c>
      <c r="N43" s="55" t="s">
        <v>166</v>
      </c>
      <c r="O43" s="56" t="s">
        <v>177</v>
      </c>
      <c r="P43" s="57" t="s">
        <v>325</v>
      </c>
    </row>
    <row r="44" spans="1:16" ht="12.75" customHeight="1" thickBot="1">
      <c r="A44" s="13" t="str">
        <f t="shared" si="6"/>
        <v>BAVM 234 </v>
      </c>
      <c r="B44" s="5" t="str">
        <f t="shared" si="7"/>
        <v>I</v>
      </c>
      <c r="C44" s="13">
        <f t="shared" si="8"/>
        <v>56526.419800000003</v>
      </c>
      <c r="D44" s="16" t="str">
        <f t="shared" si="9"/>
        <v>vis</v>
      </c>
      <c r="E44" s="53">
        <f>VLOOKUP(C44,Active!C$21:E$973,3,FALSE)</f>
        <v>-14.999212163265762</v>
      </c>
      <c r="F44" s="5" t="s">
        <v>72</v>
      </c>
      <c r="G44" s="16" t="str">
        <f t="shared" si="10"/>
        <v>56526.4198</v>
      </c>
      <c r="H44" s="13">
        <f t="shared" si="11"/>
        <v>46471</v>
      </c>
      <c r="I44" s="54" t="s">
        <v>329</v>
      </c>
      <c r="J44" s="55" t="s">
        <v>330</v>
      </c>
      <c r="K44" s="54" t="s">
        <v>331</v>
      </c>
      <c r="L44" s="54" t="s">
        <v>332</v>
      </c>
      <c r="M44" s="55" t="s">
        <v>150</v>
      </c>
      <c r="N44" s="55" t="s">
        <v>166</v>
      </c>
      <c r="O44" s="56" t="s">
        <v>177</v>
      </c>
      <c r="P44" s="57" t="s">
        <v>325</v>
      </c>
    </row>
    <row r="45" spans="1:16" ht="12.75" customHeight="1" thickBot="1">
      <c r="A45" s="13" t="str">
        <f t="shared" si="6"/>
        <v>OEJV 0160 </v>
      </c>
      <c r="B45" s="5" t="str">
        <f t="shared" si="7"/>
        <v>I</v>
      </c>
      <c r="C45" s="13">
        <f t="shared" si="8"/>
        <v>56535.424830000004</v>
      </c>
      <c r="D45" s="16" t="str">
        <f t="shared" si="9"/>
        <v>vis</v>
      </c>
      <c r="E45" s="53">
        <f>VLOOKUP(C45,Active!C$21:E$973,3,FALSE)</f>
        <v>-2.8315485029839125E-4</v>
      </c>
      <c r="F45" s="5" t="s">
        <v>72</v>
      </c>
      <c r="G45" s="16" t="str">
        <f t="shared" si="10"/>
        <v>56535.42483</v>
      </c>
      <c r="H45" s="13">
        <f t="shared" si="11"/>
        <v>46486</v>
      </c>
      <c r="I45" s="54" t="s">
        <v>333</v>
      </c>
      <c r="J45" s="55" t="s">
        <v>334</v>
      </c>
      <c r="K45" s="54" t="s">
        <v>335</v>
      </c>
      <c r="L45" s="54" t="s">
        <v>336</v>
      </c>
      <c r="M45" s="55" t="s">
        <v>150</v>
      </c>
      <c r="N45" s="55" t="s">
        <v>72</v>
      </c>
      <c r="O45" s="56" t="s">
        <v>337</v>
      </c>
      <c r="P45" s="57" t="s">
        <v>251</v>
      </c>
    </row>
    <row r="46" spans="1:16" ht="12.75" customHeight="1" thickBot="1">
      <c r="A46" s="13" t="str">
        <f t="shared" si="6"/>
        <v>BAVM 234 </v>
      </c>
      <c r="B46" s="5" t="str">
        <f t="shared" si="7"/>
        <v>I</v>
      </c>
      <c r="C46" s="13">
        <f t="shared" si="8"/>
        <v>56538.427300000003</v>
      </c>
      <c r="D46" s="16" t="str">
        <f t="shared" si="9"/>
        <v>vis</v>
      </c>
      <c r="E46" s="53">
        <f>VLOOKUP(C46,Active!C$21:E$973,3,FALSE)</f>
        <v>5.000681237260288</v>
      </c>
      <c r="F46" s="5" t="s">
        <v>72</v>
      </c>
      <c r="G46" s="16" t="str">
        <f t="shared" si="10"/>
        <v>56538.4273</v>
      </c>
      <c r="H46" s="13">
        <f t="shared" si="11"/>
        <v>46491</v>
      </c>
      <c r="I46" s="54" t="s">
        <v>338</v>
      </c>
      <c r="J46" s="55" t="s">
        <v>339</v>
      </c>
      <c r="K46" s="54" t="s">
        <v>340</v>
      </c>
      <c r="L46" s="54" t="s">
        <v>332</v>
      </c>
      <c r="M46" s="55" t="s">
        <v>150</v>
      </c>
      <c r="N46" s="55" t="s">
        <v>131</v>
      </c>
      <c r="O46" s="56" t="s">
        <v>186</v>
      </c>
      <c r="P46" s="57" t="s">
        <v>325</v>
      </c>
    </row>
    <row r="47" spans="1:16" ht="12.75" customHeight="1" thickBot="1">
      <c r="A47" s="13" t="str">
        <f t="shared" si="6"/>
        <v>BAVM 234 </v>
      </c>
      <c r="B47" s="5" t="str">
        <f t="shared" si="7"/>
        <v>II</v>
      </c>
      <c r="C47" s="13">
        <f t="shared" si="8"/>
        <v>56540.529499999997</v>
      </c>
      <c r="D47" s="16" t="str">
        <f t="shared" si="9"/>
        <v>vis</v>
      </c>
      <c r="E47" s="53">
        <f>VLOOKUP(C47,Active!C$21:E$973,3,FALSE)</f>
        <v>8.5021408172282147</v>
      </c>
      <c r="F47" s="5" t="s">
        <v>72</v>
      </c>
      <c r="G47" s="16" t="str">
        <f t="shared" si="10"/>
        <v>56540.5295</v>
      </c>
      <c r="H47" s="13">
        <f t="shared" si="11"/>
        <v>46494.5</v>
      </c>
      <c r="I47" s="54" t="s">
        <v>341</v>
      </c>
      <c r="J47" s="55" t="s">
        <v>342</v>
      </c>
      <c r="K47" s="54" t="s">
        <v>343</v>
      </c>
      <c r="L47" s="54" t="s">
        <v>344</v>
      </c>
      <c r="M47" s="55" t="s">
        <v>150</v>
      </c>
      <c r="N47" s="55" t="s">
        <v>166</v>
      </c>
      <c r="O47" s="56" t="s">
        <v>177</v>
      </c>
      <c r="P47" s="57" t="s">
        <v>325</v>
      </c>
    </row>
    <row r="48" spans="1:16" ht="12.75" customHeight="1" thickBot="1">
      <c r="A48" s="13" t="str">
        <f t="shared" si="6"/>
        <v> VSS 1.67 </v>
      </c>
      <c r="B48" s="5" t="str">
        <f t="shared" si="7"/>
        <v>I</v>
      </c>
      <c r="C48" s="13">
        <f t="shared" si="8"/>
        <v>28626.431</v>
      </c>
      <c r="D48" s="16" t="str">
        <f t="shared" si="9"/>
        <v>vis</v>
      </c>
      <c r="E48" s="53">
        <f>VLOOKUP(C48,Active!C$21:E$973,3,FALSE)</f>
        <v>-46485.688521002266</v>
      </c>
      <c r="F48" s="5" t="s">
        <v>72</v>
      </c>
      <c r="G48" s="16" t="str">
        <f t="shared" si="10"/>
        <v>28626.431</v>
      </c>
      <c r="H48" s="13">
        <f t="shared" si="11"/>
        <v>0</v>
      </c>
      <c r="I48" s="54" t="s">
        <v>76</v>
      </c>
      <c r="J48" s="55" t="s">
        <v>77</v>
      </c>
      <c r="K48" s="54">
        <v>0</v>
      </c>
      <c r="L48" s="54" t="s">
        <v>78</v>
      </c>
      <c r="M48" s="55" t="s">
        <v>79</v>
      </c>
      <c r="N48" s="55"/>
      <c r="O48" s="56" t="s">
        <v>80</v>
      </c>
      <c r="P48" s="56" t="s">
        <v>81</v>
      </c>
    </row>
    <row r="49" spans="1:16" ht="12.75" customHeight="1" thickBot="1">
      <c r="A49" s="13" t="str">
        <f t="shared" si="6"/>
        <v> VSS 1.67 </v>
      </c>
      <c r="B49" s="5" t="str">
        <f t="shared" si="7"/>
        <v>I</v>
      </c>
      <c r="C49" s="13">
        <f t="shared" si="8"/>
        <v>28635.45</v>
      </c>
      <c r="D49" s="16" t="str">
        <f t="shared" si="9"/>
        <v>vis</v>
      </c>
      <c r="E49" s="53">
        <f>VLOOKUP(C49,Active!C$21:E$973,3,FALSE)</f>
        <v>-46470.666323327532</v>
      </c>
      <c r="F49" s="5" t="s">
        <v>72</v>
      </c>
      <c r="G49" s="16" t="str">
        <f t="shared" si="10"/>
        <v>28635.450</v>
      </c>
      <c r="H49" s="13">
        <f t="shared" si="11"/>
        <v>15</v>
      </c>
      <c r="I49" s="54" t="s">
        <v>82</v>
      </c>
      <c r="J49" s="55" t="s">
        <v>83</v>
      </c>
      <c r="K49" s="54">
        <v>15</v>
      </c>
      <c r="L49" s="54" t="s">
        <v>84</v>
      </c>
      <c r="M49" s="55" t="s">
        <v>79</v>
      </c>
      <c r="N49" s="55"/>
      <c r="O49" s="56" t="s">
        <v>80</v>
      </c>
      <c r="P49" s="56" t="s">
        <v>81</v>
      </c>
    </row>
    <row r="50" spans="1:16" ht="12.75" customHeight="1" thickBot="1">
      <c r="A50" s="13" t="str">
        <f t="shared" si="6"/>
        <v> VSS 1.67 </v>
      </c>
      <c r="B50" s="5" t="str">
        <f t="shared" si="7"/>
        <v>I</v>
      </c>
      <c r="C50" s="13">
        <f t="shared" si="8"/>
        <v>29114.538</v>
      </c>
      <c r="D50" s="16" t="str">
        <f t="shared" si="9"/>
        <v>vis</v>
      </c>
      <c r="E50" s="53">
        <f>VLOOKUP(C50,Active!C$21:E$973,3,FALSE)</f>
        <v>-45672.689314835225</v>
      </c>
      <c r="F50" s="5" t="s">
        <v>72</v>
      </c>
      <c r="G50" s="16" t="str">
        <f t="shared" si="10"/>
        <v>29114.538</v>
      </c>
      <c r="H50" s="13">
        <f t="shared" si="11"/>
        <v>813</v>
      </c>
      <c r="I50" s="54" t="s">
        <v>85</v>
      </c>
      <c r="J50" s="55" t="s">
        <v>86</v>
      </c>
      <c r="K50" s="54">
        <v>813</v>
      </c>
      <c r="L50" s="54" t="s">
        <v>87</v>
      </c>
      <c r="M50" s="55" t="s">
        <v>79</v>
      </c>
      <c r="N50" s="55"/>
      <c r="O50" s="56" t="s">
        <v>80</v>
      </c>
      <c r="P50" s="56" t="s">
        <v>81</v>
      </c>
    </row>
    <row r="51" spans="1:16" ht="12.75" customHeight="1" thickBot="1">
      <c r="A51" s="13" t="str">
        <f t="shared" si="6"/>
        <v> VSS 1.67 </v>
      </c>
      <c r="B51" s="5" t="str">
        <f t="shared" si="7"/>
        <v>I</v>
      </c>
      <c r="C51" s="13">
        <f t="shared" si="8"/>
        <v>29162.585999999999</v>
      </c>
      <c r="D51" s="16" t="str">
        <f t="shared" si="9"/>
        <v>vis</v>
      </c>
      <c r="E51" s="53">
        <f>VLOOKUP(C51,Active!C$21:E$973,3,FALSE)</f>
        <v>-45592.659760131202</v>
      </c>
      <c r="F51" s="5" t="s">
        <v>72</v>
      </c>
      <c r="G51" s="16" t="str">
        <f t="shared" si="10"/>
        <v>29162.586</v>
      </c>
      <c r="H51" s="13">
        <f t="shared" si="11"/>
        <v>893</v>
      </c>
      <c r="I51" s="54" t="s">
        <v>88</v>
      </c>
      <c r="J51" s="55" t="s">
        <v>89</v>
      </c>
      <c r="K51" s="54">
        <v>893</v>
      </c>
      <c r="L51" s="54" t="s">
        <v>90</v>
      </c>
      <c r="M51" s="55" t="s">
        <v>79</v>
      </c>
      <c r="N51" s="55"/>
      <c r="O51" s="56" t="s">
        <v>80</v>
      </c>
      <c r="P51" s="56" t="s">
        <v>81</v>
      </c>
    </row>
    <row r="52" spans="1:16" ht="12.75" customHeight="1" thickBot="1">
      <c r="A52" s="13" t="str">
        <f t="shared" si="6"/>
        <v> VSS 1.67 </v>
      </c>
      <c r="B52" s="5" t="str">
        <f t="shared" si="7"/>
        <v>I</v>
      </c>
      <c r="C52" s="13">
        <f t="shared" si="8"/>
        <v>29165.597000000002</v>
      </c>
      <c r="D52" s="16" t="str">
        <f t="shared" si="9"/>
        <v>vis</v>
      </c>
      <c r="E52" s="53">
        <f>VLOOKUP(C52,Active!C$21:E$973,3,FALSE)</f>
        <v>-45587.644588028015</v>
      </c>
      <c r="F52" s="5" t="s">
        <v>72</v>
      </c>
      <c r="G52" s="16" t="str">
        <f t="shared" si="10"/>
        <v>29165.597</v>
      </c>
      <c r="H52" s="13">
        <f t="shared" si="11"/>
        <v>898</v>
      </c>
      <c r="I52" s="54" t="s">
        <v>91</v>
      </c>
      <c r="J52" s="55" t="s">
        <v>92</v>
      </c>
      <c r="K52" s="54">
        <v>898</v>
      </c>
      <c r="L52" s="54" t="s">
        <v>93</v>
      </c>
      <c r="M52" s="55" t="s">
        <v>79</v>
      </c>
      <c r="N52" s="55"/>
      <c r="O52" s="56" t="s">
        <v>80</v>
      </c>
      <c r="P52" s="56" t="s">
        <v>81</v>
      </c>
    </row>
    <row r="53" spans="1:16" ht="12.75" customHeight="1" thickBot="1">
      <c r="A53" s="13" t="str">
        <f t="shared" si="6"/>
        <v> VSS 1.67 </v>
      </c>
      <c r="B53" s="5" t="str">
        <f t="shared" si="7"/>
        <v>I</v>
      </c>
      <c r="C53" s="13">
        <f t="shared" si="8"/>
        <v>29883.608</v>
      </c>
      <c r="D53" s="16" t="str">
        <f t="shared" si="9"/>
        <v>vis</v>
      </c>
      <c r="E53" s="53">
        <f>VLOOKUP(C53,Active!C$21:E$973,3,FALSE)</f>
        <v>-44391.713423305519</v>
      </c>
      <c r="F53" s="5" t="s">
        <v>72</v>
      </c>
      <c r="G53" s="16" t="str">
        <f t="shared" si="10"/>
        <v>29883.608</v>
      </c>
      <c r="H53" s="13">
        <f t="shared" si="11"/>
        <v>2094</v>
      </c>
      <c r="I53" s="54" t="s">
        <v>94</v>
      </c>
      <c r="J53" s="55" t="s">
        <v>95</v>
      </c>
      <c r="K53" s="54">
        <v>2094</v>
      </c>
      <c r="L53" s="54" t="s">
        <v>96</v>
      </c>
      <c r="M53" s="55" t="s">
        <v>79</v>
      </c>
      <c r="N53" s="55"/>
      <c r="O53" s="56" t="s">
        <v>80</v>
      </c>
      <c r="P53" s="56" t="s">
        <v>81</v>
      </c>
    </row>
    <row r="54" spans="1:16" ht="12.75" customHeight="1" thickBot="1">
      <c r="A54" s="13" t="str">
        <f t="shared" si="6"/>
        <v> VSS 1.67 </v>
      </c>
      <c r="B54" s="5" t="str">
        <f t="shared" si="7"/>
        <v>I</v>
      </c>
      <c r="C54" s="13">
        <f t="shared" si="8"/>
        <v>29903.462</v>
      </c>
      <c r="D54" s="16" t="str">
        <f t="shared" si="9"/>
        <v>vis</v>
      </c>
      <c r="E54" s="53">
        <f>VLOOKUP(C54,Active!C$21:E$973,3,FALSE)</f>
        <v>-44358.644267896474</v>
      </c>
      <c r="F54" s="5" t="s">
        <v>72</v>
      </c>
      <c r="G54" s="16" t="str">
        <f t="shared" si="10"/>
        <v>29903.462</v>
      </c>
      <c r="H54" s="13">
        <f t="shared" si="11"/>
        <v>2127</v>
      </c>
      <c r="I54" s="54" t="s">
        <v>97</v>
      </c>
      <c r="J54" s="55" t="s">
        <v>98</v>
      </c>
      <c r="K54" s="54">
        <v>2127</v>
      </c>
      <c r="L54" s="54" t="s">
        <v>99</v>
      </c>
      <c r="M54" s="55" t="s">
        <v>79</v>
      </c>
      <c r="N54" s="55"/>
      <c r="O54" s="56" t="s">
        <v>80</v>
      </c>
      <c r="P54" s="56" t="s">
        <v>81</v>
      </c>
    </row>
    <row r="55" spans="1:16" ht="12.75" customHeight="1" thickBot="1">
      <c r="A55" s="13" t="str">
        <f t="shared" si="6"/>
        <v> VSS 1.67 </v>
      </c>
      <c r="B55" s="5" t="str">
        <f t="shared" si="7"/>
        <v>I</v>
      </c>
      <c r="C55" s="13">
        <f t="shared" si="8"/>
        <v>29932.263999999999</v>
      </c>
      <c r="D55" s="16" t="str">
        <f t="shared" si="9"/>
        <v>vis</v>
      </c>
      <c r="E55" s="53">
        <f>VLOOKUP(C55,Active!C$21:E$973,3,FALSE)</f>
        <v>-44310.67117360358</v>
      </c>
      <c r="F55" s="5" t="s">
        <v>72</v>
      </c>
      <c r="G55" s="16" t="str">
        <f t="shared" si="10"/>
        <v>29932.264</v>
      </c>
      <c r="H55" s="13">
        <f t="shared" si="11"/>
        <v>2175</v>
      </c>
      <c r="I55" s="54" t="s">
        <v>100</v>
      </c>
      <c r="J55" s="55" t="s">
        <v>101</v>
      </c>
      <c r="K55" s="54">
        <v>2175</v>
      </c>
      <c r="L55" s="54" t="s">
        <v>102</v>
      </c>
      <c r="M55" s="55" t="s">
        <v>79</v>
      </c>
      <c r="N55" s="55"/>
      <c r="O55" s="56" t="s">
        <v>80</v>
      </c>
      <c r="P55" s="56" t="s">
        <v>81</v>
      </c>
    </row>
    <row r="56" spans="1:16" ht="12.75" customHeight="1" thickBot="1">
      <c r="A56" s="13" t="str">
        <f t="shared" si="6"/>
        <v> VSS 1.67 </v>
      </c>
      <c r="B56" s="5" t="str">
        <f t="shared" si="7"/>
        <v>I</v>
      </c>
      <c r="C56" s="13">
        <f t="shared" si="8"/>
        <v>30100.365000000002</v>
      </c>
      <c r="D56" s="16" t="str">
        <f t="shared" si="9"/>
        <v>vis</v>
      </c>
      <c r="E56" s="53">
        <f>VLOOKUP(C56,Active!C$21:E$973,3,FALSE)</f>
        <v>-44030.679328463295</v>
      </c>
      <c r="F56" s="5" t="s">
        <v>72</v>
      </c>
      <c r="G56" s="16" t="str">
        <f t="shared" si="10"/>
        <v>30100.365</v>
      </c>
      <c r="H56" s="13">
        <f t="shared" si="11"/>
        <v>2455</v>
      </c>
      <c r="I56" s="54" t="s">
        <v>103</v>
      </c>
      <c r="J56" s="55" t="s">
        <v>104</v>
      </c>
      <c r="K56" s="54">
        <v>2455</v>
      </c>
      <c r="L56" s="54" t="s">
        <v>105</v>
      </c>
      <c r="M56" s="55" t="s">
        <v>79</v>
      </c>
      <c r="N56" s="55"/>
      <c r="O56" s="56" t="s">
        <v>80</v>
      </c>
      <c r="P56" s="56" t="s">
        <v>81</v>
      </c>
    </row>
    <row r="57" spans="1:16" ht="12.75" customHeight="1" thickBot="1">
      <c r="A57" s="13" t="str">
        <f t="shared" si="6"/>
        <v> VSS 1.67 </v>
      </c>
      <c r="B57" s="5" t="str">
        <f t="shared" si="7"/>
        <v>I</v>
      </c>
      <c r="C57" s="13">
        <f t="shared" si="8"/>
        <v>30462.392</v>
      </c>
      <c r="D57" s="16" t="str">
        <f t="shared" si="9"/>
        <v>vis</v>
      </c>
      <c r="E57" s="53">
        <f>VLOOKUP(C57,Active!C$21:E$973,3,FALSE)</f>
        <v>-43427.681085022748</v>
      </c>
      <c r="F57" s="5" t="s">
        <v>72</v>
      </c>
      <c r="G57" s="16" t="str">
        <f t="shared" si="10"/>
        <v>30462.392</v>
      </c>
      <c r="H57" s="13">
        <f t="shared" si="11"/>
        <v>3058</v>
      </c>
      <c r="I57" s="54" t="s">
        <v>106</v>
      </c>
      <c r="J57" s="55" t="s">
        <v>107</v>
      </c>
      <c r="K57" s="54">
        <v>3058</v>
      </c>
      <c r="L57" s="54" t="s">
        <v>108</v>
      </c>
      <c r="M57" s="55" t="s">
        <v>79</v>
      </c>
      <c r="N57" s="55"/>
      <c r="O57" s="56" t="s">
        <v>80</v>
      </c>
      <c r="P57" s="56" t="s">
        <v>81</v>
      </c>
    </row>
    <row r="58" spans="1:16" ht="12.75" customHeight="1" thickBot="1">
      <c r="A58" s="13" t="str">
        <f t="shared" si="6"/>
        <v> VSS 1.67 </v>
      </c>
      <c r="B58" s="5" t="str">
        <f t="shared" si="7"/>
        <v>I</v>
      </c>
      <c r="C58" s="13">
        <f t="shared" si="8"/>
        <v>30839.431</v>
      </c>
      <c r="D58" s="16" t="str">
        <f t="shared" si="9"/>
        <v>vis</v>
      </c>
      <c r="E58" s="53">
        <f>VLOOKUP(C58,Active!C$21:E$973,3,FALSE)</f>
        <v>-42799.678602587512</v>
      </c>
      <c r="F58" s="5" t="s">
        <v>72</v>
      </c>
      <c r="G58" s="16" t="str">
        <f t="shared" si="10"/>
        <v>30839.431</v>
      </c>
      <c r="H58" s="13">
        <f t="shared" si="11"/>
        <v>3686</v>
      </c>
      <c r="I58" s="54" t="s">
        <v>109</v>
      </c>
      <c r="J58" s="55" t="s">
        <v>110</v>
      </c>
      <c r="K58" s="54">
        <v>3686</v>
      </c>
      <c r="L58" s="54" t="s">
        <v>111</v>
      </c>
      <c r="M58" s="55" t="s">
        <v>79</v>
      </c>
      <c r="N58" s="55"/>
      <c r="O58" s="56" t="s">
        <v>80</v>
      </c>
      <c r="P58" s="56" t="s">
        <v>81</v>
      </c>
    </row>
    <row r="59" spans="1:16" ht="12.75" customHeight="1" thickBot="1">
      <c r="A59" s="13" t="str">
        <f t="shared" si="6"/>
        <v> VSS 1.67 </v>
      </c>
      <c r="B59" s="5" t="str">
        <f t="shared" si="7"/>
        <v>I</v>
      </c>
      <c r="C59" s="13">
        <f t="shared" si="8"/>
        <v>31001.526000000002</v>
      </c>
      <c r="D59" s="16" t="str">
        <f t="shared" si="9"/>
        <v>vis</v>
      </c>
      <c r="E59" s="53">
        <f>VLOOKUP(C59,Active!C$21:E$973,3,FALSE)</f>
        <v>-42529.690451785231</v>
      </c>
      <c r="F59" s="5" t="s">
        <v>72</v>
      </c>
      <c r="G59" s="16" t="str">
        <f t="shared" si="10"/>
        <v>31001.526</v>
      </c>
      <c r="H59" s="13">
        <f t="shared" si="11"/>
        <v>3956</v>
      </c>
      <c r="I59" s="54" t="s">
        <v>112</v>
      </c>
      <c r="J59" s="55" t="s">
        <v>113</v>
      </c>
      <c r="K59" s="54">
        <v>3956</v>
      </c>
      <c r="L59" s="54" t="s">
        <v>74</v>
      </c>
      <c r="M59" s="55" t="s">
        <v>79</v>
      </c>
      <c r="N59" s="55"/>
      <c r="O59" s="56" t="s">
        <v>80</v>
      </c>
      <c r="P59" s="56" t="s">
        <v>81</v>
      </c>
    </row>
    <row r="60" spans="1:16" ht="12.75" customHeight="1" thickBot="1">
      <c r="A60" s="13" t="str">
        <f t="shared" si="6"/>
        <v> VSS 1.67 </v>
      </c>
      <c r="B60" s="5" t="str">
        <f t="shared" si="7"/>
        <v>I</v>
      </c>
      <c r="C60" s="13">
        <f t="shared" si="8"/>
        <v>31145.609</v>
      </c>
      <c r="D60" s="16" t="str">
        <f t="shared" si="9"/>
        <v>vis</v>
      </c>
      <c r="E60" s="53">
        <f>VLOOKUP(C60,Active!C$21:E$973,3,FALSE)</f>
        <v>-42289.703390296323</v>
      </c>
      <c r="F60" s="5" t="s">
        <v>72</v>
      </c>
      <c r="G60" s="16" t="str">
        <f t="shared" si="10"/>
        <v>31145.609</v>
      </c>
      <c r="H60" s="13">
        <f t="shared" si="11"/>
        <v>4196</v>
      </c>
      <c r="I60" s="54" t="s">
        <v>114</v>
      </c>
      <c r="J60" s="55" t="s">
        <v>115</v>
      </c>
      <c r="K60" s="54">
        <v>4196</v>
      </c>
      <c r="L60" s="54" t="s">
        <v>78</v>
      </c>
      <c r="M60" s="55" t="s">
        <v>79</v>
      </c>
      <c r="N60" s="55"/>
      <c r="O60" s="56" t="s">
        <v>80</v>
      </c>
      <c r="P60" s="56" t="s">
        <v>81</v>
      </c>
    </row>
    <row r="61" spans="1:16" ht="12.75" customHeight="1" thickBot="1">
      <c r="A61" s="13" t="str">
        <f t="shared" si="6"/>
        <v>BAVM 60 </v>
      </c>
      <c r="B61" s="5" t="str">
        <f t="shared" si="7"/>
        <v>I</v>
      </c>
      <c r="C61" s="13">
        <f t="shared" si="8"/>
        <v>48562.476999999999</v>
      </c>
      <c r="D61" s="16" t="str">
        <f t="shared" si="9"/>
        <v>vis</v>
      </c>
      <c r="E61" s="53">
        <f>VLOOKUP(C61,Active!C$21:E$973,3,FALSE)</f>
        <v>-13279.875918212894</v>
      </c>
      <c r="F61" s="5" t="s">
        <v>72</v>
      </c>
      <c r="G61" s="16" t="str">
        <f t="shared" si="10"/>
        <v>48562.477</v>
      </c>
      <c r="H61" s="13">
        <f t="shared" si="11"/>
        <v>33206</v>
      </c>
      <c r="I61" s="54" t="s">
        <v>116</v>
      </c>
      <c r="J61" s="55" t="s">
        <v>117</v>
      </c>
      <c r="K61" s="54">
        <v>33206</v>
      </c>
      <c r="L61" s="54" t="s">
        <v>118</v>
      </c>
      <c r="M61" s="55" t="s">
        <v>75</v>
      </c>
      <c r="N61" s="55"/>
      <c r="O61" s="56" t="s">
        <v>119</v>
      </c>
      <c r="P61" s="57" t="s">
        <v>120</v>
      </c>
    </row>
    <row r="62" spans="1:16" ht="12.75" customHeight="1" thickBot="1">
      <c r="A62" s="13" t="str">
        <f t="shared" si="6"/>
        <v>BAVM 193 </v>
      </c>
      <c r="B62" s="5" t="str">
        <f t="shared" si="7"/>
        <v>I</v>
      </c>
      <c r="C62" s="13">
        <f t="shared" si="8"/>
        <v>54367.468800000002</v>
      </c>
      <c r="D62" s="16" t="str">
        <f t="shared" si="9"/>
        <v>vis</v>
      </c>
      <c r="E62" s="53">
        <f>VLOOKUP(C62,Active!C$21:E$973,3,FALSE)</f>
        <v>-3610.9842096198709</v>
      </c>
      <c r="F62" s="5" t="s">
        <v>72</v>
      </c>
      <c r="G62" s="16" t="str">
        <f t="shared" si="10"/>
        <v>54367.4688</v>
      </c>
      <c r="H62" s="13">
        <f t="shared" si="11"/>
        <v>42875</v>
      </c>
      <c r="I62" s="54" t="s">
        <v>173</v>
      </c>
      <c r="J62" s="55" t="s">
        <v>174</v>
      </c>
      <c r="K62" s="54" t="s">
        <v>175</v>
      </c>
      <c r="L62" s="54" t="s">
        <v>176</v>
      </c>
      <c r="M62" s="55" t="s">
        <v>150</v>
      </c>
      <c r="N62" s="55" t="s">
        <v>166</v>
      </c>
      <c r="O62" s="56" t="s">
        <v>177</v>
      </c>
      <c r="P62" s="57" t="s">
        <v>178</v>
      </c>
    </row>
    <row r="63" spans="1:16" ht="12.75" customHeight="1" thickBot="1">
      <c r="A63" s="13" t="str">
        <f t="shared" si="6"/>
        <v>BAVM 193 </v>
      </c>
      <c r="B63" s="5" t="str">
        <f t="shared" si="7"/>
        <v>I</v>
      </c>
      <c r="C63" s="13">
        <f t="shared" si="8"/>
        <v>54388.483500000002</v>
      </c>
      <c r="D63" s="16" t="str">
        <f t="shared" si="9"/>
        <v>vis</v>
      </c>
      <c r="E63" s="53">
        <f>VLOOKUP(C63,Active!C$21:E$973,3,FALSE)</f>
        <v>-3575.9817728225325</v>
      </c>
      <c r="F63" s="5" t="s">
        <v>72</v>
      </c>
      <c r="G63" s="16" t="str">
        <f t="shared" si="10"/>
        <v>54388.4835</v>
      </c>
      <c r="H63" s="13">
        <f t="shared" si="11"/>
        <v>42910</v>
      </c>
      <c r="I63" s="54" t="s">
        <v>179</v>
      </c>
      <c r="J63" s="55" t="s">
        <v>180</v>
      </c>
      <c r="K63" s="54" t="s">
        <v>181</v>
      </c>
      <c r="L63" s="54" t="s">
        <v>182</v>
      </c>
      <c r="M63" s="55" t="s">
        <v>150</v>
      </c>
      <c r="N63" s="55" t="s">
        <v>166</v>
      </c>
      <c r="O63" s="56" t="s">
        <v>177</v>
      </c>
      <c r="P63" s="57" t="s">
        <v>178</v>
      </c>
    </row>
    <row r="64" spans="1:16" ht="12.75" customHeight="1" thickBot="1">
      <c r="A64" s="13" t="str">
        <f t="shared" si="6"/>
        <v>BAVM 193 </v>
      </c>
      <c r="B64" s="5" t="str">
        <f t="shared" si="7"/>
        <v>I</v>
      </c>
      <c r="C64" s="13">
        <f t="shared" si="8"/>
        <v>54390.283100000001</v>
      </c>
      <c r="D64" s="16" t="str">
        <f t="shared" si="9"/>
        <v>vis</v>
      </c>
      <c r="E64" s="53">
        <f>VLOOKUP(C64,Active!C$21:E$973,3,FALSE)</f>
        <v>-3572.9843288780348</v>
      </c>
      <c r="F64" s="5" t="s">
        <v>72</v>
      </c>
      <c r="G64" s="16" t="str">
        <f t="shared" si="10"/>
        <v>54390.2831</v>
      </c>
      <c r="H64" s="13">
        <f t="shared" si="11"/>
        <v>42913</v>
      </c>
      <c r="I64" s="54" t="s">
        <v>183</v>
      </c>
      <c r="J64" s="55" t="s">
        <v>184</v>
      </c>
      <c r="K64" s="54" t="s">
        <v>185</v>
      </c>
      <c r="L64" s="54" t="s">
        <v>176</v>
      </c>
      <c r="M64" s="55" t="s">
        <v>150</v>
      </c>
      <c r="N64" s="55" t="s">
        <v>131</v>
      </c>
      <c r="O64" s="56" t="s">
        <v>186</v>
      </c>
      <c r="P64" s="57" t="s">
        <v>178</v>
      </c>
    </row>
    <row r="65" spans="1:16" ht="12.75" customHeight="1" thickBot="1">
      <c r="A65" s="13" t="str">
        <f t="shared" si="6"/>
        <v>BAVM 203 </v>
      </c>
      <c r="B65" s="5" t="str">
        <f t="shared" si="7"/>
        <v>I</v>
      </c>
      <c r="C65" s="13">
        <f t="shared" si="8"/>
        <v>54405.291899999997</v>
      </c>
      <c r="D65" s="16" t="str">
        <f t="shared" si="9"/>
        <v>vis</v>
      </c>
      <c r="E65" s="53">
        <f>VLOOKUP(C65,Active!C$21:E$973,3,FALSE)</f>
        <v>-3547.9854198570274</v>
      </c>
      <c r="F65" s="5" t="s">
        <v>72</v>
      </c>
      <c r="G65" s="16" t="str">
        <f t="shared" si="10"/>
        <v>54405.2919</v>
      </c>
      <c r="H65" s="13">
        <f t="shared" si="11"/>
        <v>42938</v>
      </c>
      <c r="I65" s="54" t="s">
        <v>187</v>
      </c>
      <c r="J65" s="55" t="s">
        <v>188</v>
      </c>
      <c r="K65" s="54" t="s">
        <v>189</v>
      </c>
      <c r="L65" s="54" t="s">
        <v>190</v>
      </c>
      <c r="M65" s="55" t="s">
        <v>150</v>
      </c>
      <c r="N65" s="55" t="s">
        <v>131</v>
      </c>
      <c r="O65" s="56" t="s">
        <v>156</v>
      </c>
      <c r="P65" s="57" t="s">
        <v>191</v>
      </c>
    </row>
    <row r="66" spans="1:16" ht="12.75" customHeight="1" thickBot="1">
      <c r="A66" s="13" t="str">
        <f t="shared" si="6"/>
        <v>BAVM 203 </v>
      </c>
      <c r="B66" s="5" t="str">
        <f t="shared" si="7"/>
        <v>I</v>
      </c>
      <c r="C66" s="13">
        <f t="shared" si="8"/>
        <v>54752.3007</v>
      </c>
      <c r="D66" s="16" t="str">
        <f t="shared" si="9"/>
        <v>vis</v>
      </c>
      <c r="E66" s="53">
        <f>VLOOKUP(C66,Active!C$21:E$973,3,FALSE)</f>
        <v>-2970.0017422351498</v>
      </c>
      <c r="F66" s="5" t="s">
        <v>72</v>
      </c>
      <c r="G66" s="16" t="str">
        <f t="shared" si="10"/>
        <v>54752.3007</v>
      </c>
      <c r="H66" s="13">
        <f t="shared" si="11"/>
        <v>43516</v>
      </c>
      <c r="I66" s="54" t="s">
        <v>198</v>
      </c>
      <c r="J66" s="55" t="s">
        <v>199</v>
      </c>
      <c r="K66" s="54" t="s">
        <v>200</v>
      </c>
      <c r="L66" s="54" t="s">
        <v>201</v>
      </c>
      <c r="M66" s="55" t="s">
        <v>150</v>
      </c>
      <c r="N66" s="55" t="s">
        <v>131</v>
      </c>
      <c r="O66" s="56" t="s">
        <v>202</v>
      </c>
      <c r="P66" s="57" t="s">
        <v>191</v>
      </c>
    </row>
    <row r="67" spans="1:16" ht="12.75" customHeight="1" thickBot="1">
      <c r="A67" s="13" t="str">
        <f t="shared" si="6"/>
        <v>BAVM 203 </v>
      </c>
      <c r="B67" s="5" t="str">
        <f t="shared" si="7"/>
        <v>I</v>
      </c>
      <c r="C67" s="13">
        <f t="shared" si="8"/>
        <v>54776.319499999998</v>
      </c>
      <c r="D67" s="16" t="str">
        <f t="shared" si="9"/>
        <v>vis</v>
      </c>
      <c r="E67" s="53">
        <f>VLOOKUP(C67,Active!C$21:E$973,3,FALSE)</f>
        <v>-2929.9956260903632</v>
      </c>
      <c r="F67" s="5" t="s">
        <v>72</v>
      </c>
      <c r="G67" s="16" t="str">
        <f t="shared" si="10"/>
        <v>54776.3195</v>
      </c>
      <c r="H67" s="13">
        <f t="shared" si="11"/>
        <v>43556</v>
      </c>
      <c r="I67" s="54" t="s">
        <v>203</v>
      </c>
      <c r="J67" s="55" t="s">
        <v>204</v>
      </c>
      <c r="K67" s="54" t="s">
        <v>205</v>
      </c>
      <c r="L67" s="54" t="s">
        <v>206</v>
      </c>
      <c r="M67" s="55" t="s">
        <v>150</v>
      </c>
      <c r="N67" s="55" t="s">
        <v>166</v>
      </c>
      <c r="O67" s="56" t="s">
        <v>177</v>
      </c>
      <c r="P67" s="57" t="s">
        <v>191</v>
      </c>
    </row>
    <row r="68" spans="1:16" ht="12.75" customHeight="1" thickBot="1">
      <c r="A68" s="13" t="str">
        <f t="shared" si="6"/>
        <v>BAVM 212 </v>
      </c>
      <c r="B68" s="5" t="str">
        <f t="shared" si="7"/>
        <v>I</v>
      </c>
      <c r="C68" s="13">
        <f t="shared" si="8"/>
        <v>55154.5556</v>
      </c>
      <c r="D68" s="16" t="str">
        <f t="shared" si="9"/>
        <v>vis</v>
      </c>
      <c r="E68" s="53">
        <f>VLOOKUP(C68,Active!C$21:E$973,3,FALSE)</f>
        <v>-2299.9992338162901</v>
      </c>
      <c r="F68" s="5" t="s">
        <v>72</v>
      </c>
      <c r="G68" s="16" t="str">
        <f t="shared" si="10"/>
        <v>55154.5556</v>
      </c>
      <c r="H68" s="13">
        <f t="shared" si="11"/>
        <v>44186</v>
      </c>
      <c r="I68" s="54" t="s">
        <v>212</v>
      </c>
      <c r="J68" s="55" t="s">
        <v>213</v>
      </c>
      <c r="K68" s="54" t="s">
        <v>214</v>
      </c>
      <c r="L68" s="54" t="s">
        <v>215</v>
      </c>
      <c r="M68" s="55" t="s">
        <v>150</v>
      </c>
      <c r="N68" s="55" t="s">
        <v>166</v>
      </c>
      <c r="O68" s="56" t="s">
        <v>177</v>
      </c>
      <c r="P68" s="57" t="s">
        <v>216</v>
      </c>
    </row>
    <row r="69" spans="1:16" ht="12.75" customHeight="1" thickBot="1">
      <c r="A69" s="13" t="str">
        <f t="shared" si="6"/>
        <v>OEJV 0137 </v>
      </c>
      <c r="B69" s="5" t="str">
        <f t="shared" si="7"/>
        <v>I</v>
      </c>
      <c r="C69" s="13">
        <f t="shared" si="8"/>
        <v>55482.36</v>
      </c>
      <c r="D69" s="16" t="str">
        <f t="shared" si="9"/>
        <v>vis</v>
      </c>
      <c r="E69" s="53">
        <f>VLOOKUP(C69,Active!C$21:E$973,3,FALSE)</f>
        <v>-1754.0027269477846</v>
      </c>
      <c r="F69" s="5" t="s">
        <v>72</v>
      </c>
      <c r="G69" s="16" t="str">
        <f t="shared" si="10"/>
        <v>55482.3600</v>
      </c>
      <c r="H69" s="13">
        <f t="shared" si="11"/>
        <v>44732</v>
      </c>
      <c r="I69" s="54" t="s">
        <v>228</v>
      </c>
      <c r="J69" s="55" t="s">
        <v>229</v>
      </c>
      <c r="K69" s="54" t="s">
        <v>230</v>
      </c>
      <c r="L69" s="54" t="s">
        <v>231</v>
      </c>
      <c r="M69" s="55" t="s">
        <v>150</v>
      </c>
      <c r="N69" s="55" t="s">
        <v>232</v>
      </c>
      <c r="O69" s="56" t="s">
        <v>233</v>
      </c>
      <c r="P69" s="57" t="s">
        <v>234</v>
      </c>
    </row>
    <row r="70" spans="1:16" ht="12.75" customHeight="1" thickBot="1">
      <c r="A70" s="13" t="str">
        <f t="shared" si="6"/>
        <v>BAVM 225 </v>
      </c>
      <c r="B70" s="5" t="str">
        <f t="shared" si="7"/>
        <v>I</v>
      </c>
      <c r="C70" s="13">
        <f t="shared" si="8"/>
        <v>55820.371500000001</v>
      </c>
      <c r="D70" s="16" t="str">
        <f t="shared" si="9"/>
        <v>vis</v>
      </c>
      <c r="E70" s="53">
        <f>VLOOKUP(C70,Active!C$21:E$973,3,FALSE)</f>
        <v>-1191.0051031166718</v>
      </c>
      <c r="F70" s="5" t="s">
        <v>72</v>
      </c>
      <c r="G70" s="16" t="str">
        <f t="shared" si="10"/>
        <v>55820.3715</v>
      </c>
      <c r="H70" s="13">
        <f t="shared" si="11"/>
        <v>45295</v>
      </c>
      <c r="I70" s="54" t="s">
        <v>272</v>
      </c>
      <c r="J70" s="55" t="s">
        <v>273</v>
      </c>
      <c r="K70" s="54" t="s">
        <v>274</v>
      </c>
      <c r="L70" s="54" t="s">
        <v>275</v>
      </c>
      <c r="M70" s="55" t="s">
        <v>150</v>
      </c>
      <c r="N70" s="55" t="s">
        <v>131</v>
      </c>
      <c r="O70" s="56" t="s">
        <v>221</v>
      </c>
      <c r="P70" s="57" t="s">
        <v>276</v>
      </c>
    </row>
    <row r="71" spans="1:16" ht="12.75" customHeight="1" thickBot="1">
      <c r="A71" s="13" t="str">
        <f t="shared" si="6"/>
        <v>BAVM 225 </v>
      </c>
      <c r="B71" s="5" t="str">
        <f t="shared" si="7"/>
        <v>I</v>
      </c>
      <c r="C71" s="13">
        <f t="shared" si="8"/>
        <v>55835.380700000002</v>
      </c>
      <c r="D71" s="16" t="str">
        <f t="shared" si="9"/>
        <v>vis</v>
      </c>
      <c r="E71" s="53">
        <f>VLOOKUP(C71,Active!C$21:E$973,3,FALSE)</f>
        <v>-1166.0055278489483</v>
      </c>
      <c r="F71" s="5" t="s">
        <v>72</v>
      </c>
      <c r="G71" s="16" t="str">
        <f t="shared" si="10"/>
        <v>55835.3807</v>
      </c>
      <c r="H71" s="13">
        <f t="shared" si="11"/>
        <v>45320</v>
      </c>
      <c r="I71" s="54" t="s">
        <v>285</v>
      </c>
      <c r="J71" s="55" t="s">
        <v>286</v>
      </c>
      <c r="K71" s="54" t="s">
        <v>287</v>
      </c>
      <c r="L71" s="54" t="s">
        <v>288</v>
      </c>
      <c r="M71" s="55" t="s">
        <v>150</v>
      </c>
      <c r="N71" s="55" t="s">
        <v>131</v>
      </c>
      <c r="O71" s="56" t="s">
        <v>186</v>
      </c>
      <c r="P71" s="57" t="s">
        <v>276</v>
      </c>
    </row>
    <row r="72" spans="1:16" ht="12.75" customHeight="1" thickBot="1">
      <c r="A72" s="13" t="str">
        <f t="shared" si="6"/>
        <v>BAVM 225 </v>
      </c>
      <c r="B72" s="5" t="str">
        <f t="shared" si="7"/>
        <v>II</v>
      </c>
      <c r="C72" s="13">
        <f t="shared" si="8"/>
        <v>55858.502500000002</v>
      </c>
      <c r="D72" s="16" t="str">
        <f t="shared" si="9"/>
        <v>vis</v>
      </c>
      <c r="E72" s="53">
        <f>VLOOKUP(C72,Active!C$21:E$973,3,FALSE)</f>
        <v>-1127.4934699494429</v>
      </c>
      <c r="F72" s="5" t="s">
        <v>72</v>
      </c>
      <c r="G72" s="16" t="str">
        <f t="shared" si="10"/>
        <v>55858.5025</v>
      </c>
      <c r="H72" s="13">
        <f t="shared" si="11"/>
        <v>45358.5</v>
      </c>
      <c r="I72" s="54" t="s">
        <v>293</v>
      </c>
      <c r="J72" s="55" t="s">
        <v>294</v>
      </c>
      <c r="K72" s="54" t="s">
        <v>295</v>
      </c>
      <c r="L72" s="54" t="s">
        <v>296</v>
      </c>
      <c r="M72" s="55" t="s">
        <v>150</v>
      </c>
      <c r="N72" s="55" t="s">
        <v>166</v>
      </c>
      <c r="O72" s="56" t="s">
        <v>177</v>
      </c>
      <c r="P72" s="57" t="s">
        <v>276</v>
      </c>
    </row>
    <row r="73" spans="1:16" ht="12.75" customHeight="1" thickBot="1">
      <c r="A73" s="13" t="str">
        <f t="shared" si="6"/>
        <v>BAVM 241 (=IBVS 6157) </v>
      </c>
      <c r="B73" s="5" t="str">
        <f t="shared" si="7"/>
        <v>I</v>
      </c>
      <c r="C73" s="13">
        <f t="shared" si="8"/>
        <v>57082.369500000001</v>
      </c>
      <c r="D73" s="16" t="str">
        <f t="shared" si="9"/>
        <v>vis</v>
      </c>
      <c r="E73" s="53">
        <f>VLOOKUP(C73,Active!C$21:E$973,3,FALSE)</f>
        <v>910.99993304220209</v>
      </c>
      <c r="F73" s="5" t="s">
        <v>72</v>
      </c>
      <c r="G73" s="16" t="str">
        <f t="shared" si="10"/>
        <v>57082.3695</v>
      </c>
      <c r="H73" s="13">
        <f t="shared" si="11"/>
        <v>47397</v>
      </c>
      <c r="I73" s="54" t="s">
        <v>345</v>
      </c>
      <c r="J73" s="55" t="s">
        <v>346</v>
      </c>
      <c r="K73" s="54" t="s">
        <v>347</v>
      </c>
      <c r="L73" s="54" t="s">
        <v>348</v>
      </c>
      <c r="M73" s="55" t="s">
        <v>150</v>
      </c>
      <c r="N73" s="55" t="s">
        <v>131</v>
      </c>
      <c r="O73" s="56" t="s">
        <v>186</v>
      </c>
      <c r="P73" s="57" t="s">
        <v>349</v>
      </c>
    </row>
    <row r="74" spans="1:16">
      <c r="B74" s="5"/>
      <c r="F74" s="5"/>
    </row>
    <row r="75" spans="1:16">
      <c r="B75" s="5"/>
      <c r="F75" s="5"/>
    </row>
    <row r="76" spans="1:16">
      <c r="B76" s="5"/>
      <c r="F76" s="5"/>
    </row>
    <row r="77" spans="1:16">
      <c r="B77" s="5"/>
      <c r="F77" s="5"/>
    </row>
    <row r="78" spans="1:16">
      <c r="B78" s="5"/>
      <c r="F78" s="5"/>
    </row>
    <row r="79" spans="1:16">
      <c r="B79" s="5"/>
      <c r="F79" s="5"/>
    </row>
    <row r="80" spans="1:1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</sheetData>
  <phoneticPr fontId="8" type="noConversion"/>
  <hyperlinks>
    <hyperlink ref="A3" r:id="rId1" xr:uid="{00000000-0004-0000-0100-000000000000}"/>
    <hyperlink ref="P61" r:id="rId2" display="http://www.bav-astro.de/sfs/BAVM_link.php?BAVMnr=60" xr:uid="{00000000-0004-0000-0100-000001000000}"/>
    <hyperlink ref="P12" r:id="rId3" display="http://www.bav-astro.de/sfs/BAVM_link.php?BAVMnr=132" xr:uid="{00000000-0004-0000-0100-000002000000}"/>
    <hyperlink ref="P13" r:id="rId4" display="http://www.bav-astro.de/sfs/BAVM_link.php?BAVMnr=152" xr:uid="{00000000-0004-0000-0100-000003000000}"/>
    <hyperlink ref="P14" r:id="rId5" display="http://www.konkoly.hu/cgi-bin/IBVS?5378" xr:uid="{00000000-0004-0000-0100-000004000000}"/>
    <hyperlink ref="P15" r:id="rId6" display="http://www.konkoly.hu/cgi-bin/IBVS?5502" xr:uid="{00000000-0004-0000-0100-000005000000}"/>
    <hyperlink ref="P16" r:id="rId7" display="http://www.bav-astro.de/sfs/BAVM_link.php?BAVMnr=178" xr:uid="{00000000-0004-0000-0100-000006000000}"/>
    <hyperlink ref="P17" r:id="rId8" display="http://www.bav-astro.de/sfs/BAVM_link.php?BAVMnr=173" xr:uid="{00000000-0004-0000-0100-000007000000}"/>
    <hyperlink ref="P18" r:id="rId9" display="http://www.bav-astro.de/sfs/BAVM_link.php?BAVMnr=183" xr:uid="{00000000-0004-0000-0100-000008000000}"/>
    <hyperlink ref="P19" r:id="rId10" display="http://www.bav-astro.de/sfs/BAVM_link.php?BAVMnr=183" xr:uid="{00000000-0004-0000-0100-000009000000}"/>
    <hyperlink ref="P62" r:id="rId11" display="http://www.bav-astro.de/sfs/BAVM_link.php?BAVMnr=193" xr:uid="{00000000-0004-0000-0100-00000A000000}"/>
    <hyperlink ref="P63" r:id="rId12" display="http://www.bav-astro.de/sfs/BAVM_link.php?BAVMnr=193" xr:uid="{00000000-0004-0000-0100-00000B000000}"/>
    <hyperlink ref="P64" r:id="rId13" display="http://www.bav-astro.de/sfs/BAVM_link.php?BAVMnr=193" xr:uid="{00000000-0004-0000-0100-00000C000000}"/>
    <hyperlink ref="P65" r:id="rId14" display="http://www.bav-astro.de/sfs/BAVM_link.php?BAVMnr=203" xr:uid="{00000000-0004-0000-0100-00000D000000}"/>
    <hyperlink ref="P21" r:id="rId15" display="http://www.konkoly.hu/cgi-bin/IBVS?5875" xr:uid="{00000000-0004-0000-0100-00000E000000}"/>
    <hyperlink ref="P66" r:id="rId16" display="http://www.bav-astro.de/sfs/BAVM_link.php?BAVMnr=203" xr:uid="{00000000-0004-0000-0100-00000F000000}"/>
    <hyperlink ref="P67" r:id="rId17" display="http://www.bav-astro.de/sfs/BAVM_link.php?BAVMnr=203" xr:uid="{00000000-0004-0000-0100-000010000000}"/>
    <hyperlink ref="P22" r:id="rId18" display="http://www.bav-astro.de/sfs/BAVM_link.php?BAVMnr=209" xr:uid="{00000000-0004-0000-0100-000011000000}"/>
    <hyperlink ref="P68" r:id="rId19" display="http://www.bav-astro.de/sfs/BAVM_link.php?BAVMnr=212" xr:uid="{00000000-0004-0000-0100-000012000000}"/>
    <hyperlink ref="P23" r:id="rId20" display="http://www.bav-astro.de/sfs/BAVM_link.php?BAVMnr=220" xr:uid="{00000000-0004-0000-0100-000013000000}"/>
    <hyperlink ref="P24" r:id="rId21" display="http://www.bav-astro.de/sfs/BAVM_link.php?BAVMnr=215" xr:uid="{00000000-0004-0000-0100-000014000000}"/>
    <hyperlink ref="P69" r:id="rId22" display="http://var.astro.cz/oejv/issues/oejv0137.pdf" xr:uid="{00000000-0004-0000-0100-000015000000}"/>
    <hyperlink ref="P25" r:id="rId23" display="http://www.bav-astro.de/sfs/BAVM_link.php?BAVMnr=215" xr:uid="{00000000-0004-0000-0100-000016000000}"/>
    <hyperlink ref="P26" r:id="rId24" display="http://www.bav-astro.de/sfs/BAVM_link.php?BAVMnr=215" xr:uid="{00000000-0004-0000-0100-000017000000}"/>
    <hyperlink ref="P27" r:id="rId25" display="http://www.bav-astro.de/sfs/BAVM_link.php?BAVMnr=215" xr:uid="{00000000-0004-0000-0100-000018000000}"/>
    <hyperlink ref="P28" r:id="rId26" display="http://var.astro.cz/oejv/issues/oejv0160.pdf" xr:uid="{00000000-0004-0000-0100-000019000000}"/>
    <hyperlink ref="P29" r:id="rId27" display="http://var.astro.cz/oejv/issues/oejv0160.pdf" xr:uid="{00000000-0004-0000-0100-00001A000000}"/>
    <hyperlink ref="P30" r:id="rId28" display="http://var.astro.cz/oejv/issues/oejv0160.pdf" xr:uid="{00000000-0004-0000-0100-00001B000000}"/>
    <hyperlink ref="P31" r:id="rId29" display="http://var.astro.cz/oejv/issues/oejv0160.pdf" xr:uid="{00000000-0004-0000-0100-00001C000000}"/>
    <hyperlink ref="P32" r:id="rId30" display="http://var.astro.cz/oejv/issues/oejv0160.pdf" xr:uid="{00000000-0004-0000-0100-00001D000000}"/>
    <hyperlink ref="P33" r:id="rId31" display="http://var.astro.cz/oejv/issues/oejv0160.pdf" xr:uid="{00000000-0004-0000-0100-00001E000000}"/>
    <hyperlink ref="P70" r:id="rId32" display="http://www.bav-astro.de/sfs/BAVM_link.php?BAVMnr=225" xr:uid="{00000000-0004-0000-0100-00001F000000}"/>
    <hyperlink ref="P34" r:id="rId33" display="http://var.astro.cz/oejv/issues/oejv0160.pdf" xr:uid="{00000000-0004-0000-0100-000020000000}"/>
    <hyperlink ref="P35" r:id="rId34" display="http://var.astro.cz/oejv/issues/oejv0160.pdf" xr:uid="{00000000-0004-0000-0100-000021000000}"/>
    <hyperlink ref="P71" r:id="rId35" display="http://www.bav-astro.de/sfs/BAVM_link.php?BAVMnr=225" xr:uid="{00000000-0004-0000-0100-000022000000}"/>
    <hyperlink ref="P36" r:id="rId36" display="http://var.astro.cz/oejv/issues/oejv0160.pdf" xr:uid="{00000000-0004-0000-0100-000023000000}"/>
    <hyperlink ref="P72" r:id="rId37" display="http://www.bav-astro.de/sfs/BAVM_link.php?BAVMnr=225" xr:uid="{00000000-0004-0000-0100-000024000000}"/>
    <hyperlink ref="P37" r:id="rId38" display="http://var.astro.cz/oejv/issues/oejv0160.pdf" xr:uid="{00000000-0004-0000-0100-000025000000}"/>
    <hyperlink ref="P38" r:id="rId39" display="http://www.konkoly.hu/cgi-bin/IBVS?6011" xr:uid="{00000000-0004-0000-0100-000026000000}"/>
    <hyperlink ref="P39" r:id="rId40" display="http://var.astro.cz/oejv/issues/oejv0160.pdf" xr:uid="{00000000-0004-0000-0100-000027000000}"/>
    <hyperlink ref="P40" r:id="rId41" display="http://www.bav-astro.de/sfs/BAVM_link.php?BAVMnr=231" xr:uid="{00000000-0004-0000-0100-000028000000}"/>
    <hyperlink ref="P42" r:id="rId42" display="http://www.bav-astro.de/sfs/BAVM_link.php?BAVMnr=234" xr:uid="{00000000-0004-0000-0100-000029000000}"/>
    <hyperlink ref="P43" r:id="rId43" display="http://www.bav-astro.de/sfs/BAVM_link.php?BAVMnr=234" xr:uid="{00000000-0004-0000-0100-00002A000000}"/>
    <hyperlink ref="P44" r:id="rId44" display="http://www.bav-astro.de/sfs/BAVM_link.php?BAVMnr=234" xr:uid="{00000000-0004-0000-0100-00002B000000}"/>
    <hyperlink ref="P45" r:id="rId45" display="http://var.astro.cz/oejv/issues/oejv0160.pdf" xr:uid="{00000000-0004-0000-0100-00002C000000}"/>
    <hyperlink ref="P46" r:id="rId46" display="http://www.bav-astro.de/sfs/BAVM_link.php?BAVMnr=234" xr:uid="{00000000-0004-0000-0100-00002D000000}"/>
    <hyperlink ref="P47" r:id="rId47" display="http://www.bav-astro.de/sfs/BAVM_link.php?BAVMnr=234" xr:uid="{00000000-0004-0000-0100-00002E000000}"/>
    <hyperlink ref="P73" r:id="rId48" display="http://www.bav-astro.de/sfs/BAVM_link.php?BAVMnr=241" xr:uid="{00000000-0004-0000-0100-00002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2025-01-03T06:32:41Z</dcterms:modified>
</cp:coreProperties>
</file>