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156F3C6-70B6-4243-ADBA-70441004F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4" i="1" l="1"/>
  <c r="F114" i="1" s="1"/>
  <c r="G114" i="1" s="1"/>
  <c r="Q114" i="1"/>
  <c r="F12" i="1"/>
  <c r="Q69" i="1"/>
  <c r="Q70" i="1"/>
  <c r="E113" i="1"/>
  <c r="F113" i="1" s="1"/>
  <c r="G113" i="1" s="1"/>
  <c r="Q113" i="1"/>
  <c r="E112" i="1"/>
  <c r="F112" i="1" s="1"/>
  <c r="G112" i="1" s="1"/>
  <c r="Q112" i="1"/>
  <c r="D14" i="1"/>
  <c r="D13" i="1"/>
  <c r="E70" i="1"/>
  <c r="F70" i="1" s="1"/>
  <c r="E72" i="1"/>
  <c r="F72" i="1" s="1"/>
  <c r="G72" i="1" s="1"/>
  <c r="E73" i="1"/>
  <c r="F73" i="1"/>
  <c r="G73" i="1" s="1"/>
  <c r="E74" i="1"/>
  <c r="F74" i="1" s="1"/>
  <c r="G74" i="1" s="1"/>
  <c r="E75" i="1"/>
  <c r="F75" i="1" s="1"/>
  <c r="G75" i="1" s="1"/>
  <c r="E84" i="1"/>
  <c r="F84" i="1" s="1"/>
  <c r="G84" i="1" s="1"/>
  <c r="E85" i="1"/>
  <c r="F85" i="1" s="1"/>
  <c r="G85" i="1" s="1"/>
  <c r="E88" i="1"/>
  <c r="F88" i="1" s="1"/>
  <c r="E92" i="1"/>
  <c r="F92" i="1" s="1"/>
  <c r="G92" i="1" s="1"/>
  <c r="E93" i="1"/>
  <c r="F93" i="1" s="1"/>
  <c r="G93" i="1" s="1"/>
  <c r="E95" i="1"/>
  <c r="F95" i="1" s="1"/>
  <c r="G95" i="1" s="1"/>
  <c r="E96" i="1"/>
  <c r="F96" i="1" s="1"/>
  <c r="G96" i="1" s="1"/>
  <c r="E100" i="1"/>
  <c r="F100" i="1" s="1"/>
  <c r="G100" i="1" s="1"/>
  <c r="E102" i="1"/>
  <c r="F102" i="1" s="1"/>
  <c r="G102" i="1" s="1"/>
  <c r="E105" i="1"/>
  <c r="F105" i="1" s="1"/>
  <c r="G105" i="1" s="1"/>
  <c r="E109" i="1"/>
  <c r="F109" i="1" s="1"/>
  <c r="G109" i="1" s="1"/>
  <c r="E110" i="1"/>
  <c r="F110" i="1" s="1"/>
  <c r="G110" i="1" s="1"/>
  <c r="E66" i="1"/>
  <c r="F66" i="1" s="1"/>
  <c r="G66" i="1" s="1"/>
  <c r="E67" i="1"/>
  <c r="F67" i="1" s="1"/>
  <c r="G67" i="1" s="1"/>
  <c r="E68" i="1"/>
  <c r="F68" i="1" s="1"/>
  <c r="G68" i="1" s="1"/>
  <c r="E69" i="1"/>
  <c r="E80" i="2" s="1"/>
  <c r="E71" i="1"/>
  <c r="F71" i="1" s="1"/>
  <c r="G71" i="1" s="1"/>
  <c r="E76" i="1"/>
  <c r="F76" i="1" s="1"/>
  <c r="G76" i="1" s="1"/>
  <c r="E77" i="1"/>
  <c r="F77" i="1" s="1"/>
  <c r="G77" i="1" s="1"/>
  <c r="E78" i="1"/>
  <c r="F78" i="1" s="1"/>
  <c r="G78" i="1" s="1"/>
  <c r="E79" i="1"/>
  <c r="F79" i="1" s="1"/>
  <c r="G79" i="1" s="1"/>
  <c r="E80" i="1"/>
  <c r="F80" i="1" s="1"/>
  <c r="G80" i="1" s="1"/>
  <c r="E81" i="1"/>
  <c r="F81" i="1" s="1"/>
  <c r="G81" i="1" s="1"/>
  <c r="E82" i="1"/>
  <c r="F82" i="1" s="1"/>
  <c r="G82" i="1" s="1"/>
  <c r="E83" i="1"/>
  <c r="F83" i="1" s="1"/>
  <c r="G83" i="1" s="1"/>
  <c r="E86" i="1"/>
  <c r="F86" i="1" s="1"/>
  <c r="G86" i="1" s="1"/>
  <c r="E87" i="1"/>
  <c r="F87" i="1" s="1"/>
  <c r="G87" i="1" s="1"/>
  <c r="E89" i="1"/>
  <c r="F89" i="1" s="1"/>
  <c r="G89" i="1" s="1"/>
  <c r="E90" i="1"/>
  <c r="F90" i="1" s="1"/>
  <c r="G90" i="1" s="1"/>
  <c r="E91" i="1"/>
  <c r="F91" i="1" s="1"/>
  <c r="G91" i="1" s="1"/>
  <c r="E94" i="1"/>
  <c r="F94" i="1" s="1"/>
  <c r="T94" i="1" s="1"/>
  <c r="E97" i="1"/>
  <c r="F97" i="1" s="1"/>
  <c r="G97" i="1" s="1"/>
  <c r="E98" i="1"/>
  <c r="F98" i="1" s="1"/>
  <c r="G98" i="1" s="1"/>
  <c r="E99" i="1"/>
  <c r="F99" i="1" s="1"/>
  <c r="G99" i="1" s="1"/>
  <c r="E101" i="1"/>
  <c r="F101" i="1" s="1"/>
  <c r="G101" i="1" s="1"/>
  <c r="E103" i="1"/>
  <c r="F103" i="1" s="1"/>
  <c r="G103" i="1" s="1"/>
  <c r="E104" i="1"/>
  <c r="F104" i="1" s="1"/>
  <c r="G104" i="1" s="1"/>
  <c r="E106" i="1"/>
  <c r="F106" i="1" s="1"/>
  <c r="G106" i="1" s="1"/>
  <c r="E107" i="1"/>
  <c r="F107" i="1" s="1"/>
  <c r="G107" i="1" s="1"/>
  <c r="E108" i="1"/>
  <c r="F108" i="1" s="1"/>
  <c r="G108" i="1" s="1"/>
  <c r="E111" i="1"/>
  <c r="E36" i="2" s="1"/>
  <c r="C14" i="1"/>
  <c r="C13" i="1"/>
  <c r="E21" i="1"/>
  <c r="F21" i="1" s="1"/>
  <c r="G21" i="1" s="1"/>
  <c r="E22" i="1"/>
  <c r="F22" i="1" s="1"/>
  <c r="G22" i="1" s="1"/>
  <c r="E23" i="1"/>
  <c r="F23" i="1" s="1"/>
  <c r="G23" i="1" s="1"/>
  <c r="E24" i="1"/>
  <c r="E39" i="2" s="1"/>
  <c r="E25" i="1"/>
  <c r="F25" i="1" s="1"/>
  <c r="G25" i="1" s="1"/>
  <c r="E26" i="1"/>
  <c r="F26" i="1"/>
  <c r="G26" i="1" s="1"/>
  <c r="E27" i="1"/>
  <c r="F27" i="1" s="1"/>
  <c r="G27" i="1" s="1"/>
  <c r="E28" i="1"/>
  <c r="F28" i="1" s="1"/>
  <c r="G28" i="1" s="1"/>
  <c r="E30" i="1"/>
  <c r="F30" i="1" s="1"/>
  <c r="G30" i="1" s="1"/>
  <c r="E33" i="1"/>
  <c r="F33" i="1"/>
  <c r="G33" i="1" s="1"/>
  <c r="E36" i="1"/>
  <c r="F36" i="1" s="1"/>
  <c r="G36" i="1" s="1"/>
  <c r="E37" i="1"/>
  <c r="F37" i="1" s="1"/>
  <c r="G37" i="1" s="1"/>
  <c r="E38" i="1"/>
  <c r="F38" i="1" s="1"/>
  <c r="G38" i="1" s="1"/>
  <c r="E39" i="1"/>
  <c r="F39" i="1"/>
  <c r="G39" i="1" s="1"/>
  <c r="E40" i="1"/>
  <c r="F40" i="1" s="1"/>
  <c r="G40" i="1" s="1"/>
  <c r="E43" i="1"/>
  <c r="F43" i="1" s="1"/>
  <c r="G43" i="1" s="1"/>
  <c r="E44" i="1"/>
  <c r="F44" i="1" s="1"/>
  <c r="G44" i="1" s="1"/>
  <c r="E45" i="1"/>
  <c r="F45" i="1"/>
  <c r="G45" i="1" s="1"/>
  <c r="E46" i="1"/>
  <c r="F46" i="1" s="1"/>
  <c r="G46" i="1" s="1"/>
  <c r="E47" i="1"/>
  <c r="E62" i="2" s="1"/>
  <c r="E49" i="1"/>
  <c r="F49" i="1" s="1"/>
  <c r="G49" i="1" s="1"/>
  <c r="E50" i="1"/>
  <c r="F50" i="1"/>
  <c r="G50" i="1" s="1"/>
  <c r="E52" i="1"/>
  <c r="F52" i="1" s="1"/>
  <c r="G52" i="1" s="1"/>
  <c r="E53" i="1"/>
  <c r="F53" i="1" s="1"/>
  <c r="G53" i="1" s="1"/>
  <c r="E55" i="1"/>
  <c r="F55" i="1" s="1"/>
  <c r="G55" i="1" s="1"/>
  <c r="E56" i="1"/>
  <c r="F56" i="1"/>
  <c r="G56" i="1" s="1"/>
  <c r="E58" i="1"/>
  <c r="F58" i="1" s="1"/>
  <c r="G58" i="1" s="1"/>
  <c r="E59" i="1"/>
  <c r="F59" i="1" s="1"/>
  <c r="G59" i="1" s="1"/>
  <c r="E62" i="1"/>
  <c r="F62" i="1" s="1"/>
  <c r="G62" i="1" s="1"/>
  <c r="E29" i="1"/>
  <c r="F29" i="1"/>
  <c r="G29" i="1" s="1"/>
  <c r="E31" i="1"/>
  <c r="F31" i="1" s="1"/>
  <c r="G31" i="1" s="1"/>
  <c r="E32" i="1"/>
  <c r="F32" i="1" s="1"/>
  <c r="G32" i="1" s="1"/>
  <c r="E34" i="1"/>
  <c r="F34" i="1" s="1"/>
  <c r="G34" i="1" s="1"/>
  <c r="E35" i="1"/>
  <c r="F35" i="1"/>
  <c r="G35" i="1" s="1"/>
  <c r="E41" i="1"/>
  <c r="F41" i="1" s="1"/>
  <c r="G41" i="1" s="1"/>
  <c r="E42" i="1"/>
  <c r="E57" i="2" s="1"/>
  <c r="E48" i="1"/>
  <c r="F48" i="1" s="1"/>
  <c r="G48" i="1" s="1"/>
  <c r="E51" i="1"/>
  <c r="F51" i="1"/>
  <c r="G51" i="1" s="1"/>
  <c r="E54" i="1"/>
  <c r="F54" i="1" s="1"/>
  <c r="G54" i="1" s="1"/>
  <c r="E57" i="1"/>
  <c r="F57" i="1" s="1"/>
  <c r="G57" i="1" s="1"/>
  <c r="E60" i="1"/>
  <c r="F60" i="1" s="1"/>
  <c r="G60" i="1" s="1"/>
  <c r="E61" i="1"/>
  <c r="F61" i="1"/>
  <c r="G61" i="1" s="1"/>
  <c r="E63" i="1"/>
  <c r="F63" i="1" s="1"/>
  <c r="G63" i="1" s="1"/>
  <c r="E64" i="1"/>
  <c r="F64" i="1" s="1"/>
  <c r="G64" i="1" s="1"/>
  <c r="E65" i="1"/>
  <c r="F65" i="1" s="1"/>
  <c r="G65" i="1" s="1"/>
  <c r="C17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77" i="1"/>
  <c r="Q79" i="1"/>
  <c r="Q84" i="1"/>
  <c r="Q88" i="1"/>
  <c r="Q89" i="1"/>
  <c r="Q99" i="1"/>
  <c r="Q101" i="1"/>
  <c r="Q102" i="1"/>
  <c r="Q104" i="1"/>
  <c r="G36" i="2"/>
  <c r="C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91" i="2"/>
  <c r="C91" i="2"/>
  <c r="E91" i="2"/>
  <c r="G29" i="2"/>
  <c r="C29" i="2"/>
  <c r="G90" i="2"/>
  <c r="C90" i="2"/>
  <c r="G89" i="2"/>
  <c r="C89" i="2"/>
  <c r="E89" i="2"/>
  <c r="G28" i="2"/>
  <c r="C28" i="2"/>
  <c r="E28" i="2"/>
  <c r="G88" i="2"/>
  <c r="C88" i="2"/>
  <c r="E88" i="2"/>
  <c r="G27" i="2"/>
  <c r="C27" i="2"/>
  <c r="E27" i="2"/>
  <c r="G26" i="2"/>
  <c r="C26" i="2"/>
  <c r="E26" i="2"/>
  <c r="G25" i="2"/>
  <c r="C25" i="2"/>
  <c r="G24" i="2"/>
  <c r="C24" i="2"/>
  <c r="G23" i="2"/>
  <c r="C23" i="2"/>
  <c r="E23" i="2"/>
  <c r="G22" i="2"/>
  <c r="C22" i="2"/>
  <c r="G21" i="2"/>
  <c r="C21" i="2"/>
  <c r="G87" i="2"/>
  <c r="C87" i="2"/>
  <c r="E87" i="2"/>
  <c r="G86" i="2"/>
  <c r="C86" i="2"/>
  <c r="G85" i="2"/>
  <c r="C85" i="2"/>
  <c r="E85" i="2"/>
  <c r="G84" i="2"/>
  <c r="C84" i="2"/>
  <c r="E84" i="2"/>
  <c r="G20" i="2"/>
  <c r="C20" i="2"/>
  <c r="E20" i="2"/>
  <c r="G19" i="2"/>
  <c r="C19" i="2"/>
  <c r="E19" i="2"/>
  <c r="G83" i="2"/>
  <c r="C83" i="2"/>
  <c r="E83" i="2"/>
  <c r="G18" i="2"/>
  <c r="C18" i="2"/>
  <c r="G82" i="2"/>
  <c r="C82" i="2"/>
  <c r="E82" i="2"/>
  <c r="G17" i="2"/>
  <c r="C17" i="2"/>
  <c r="E17" i="2"/>
  <c r="G16" i="2"/>
  <c r="C16" i="2"/>
  <c r="E16" i="2"/>
  <c r="G15" i="2"/>
  <c r="C15" i="2"/>
  <c r="E15" i="2"/>
  <c r="G81" i="2"/>
  <c r="C81" i="2"/>
  <c r="G80" i="2"/>
  <c r="C80" i="2"/>
  <c r="G14" i="2"/>
  <c r="C14" i="2"/>
  <c r="E14" i="2"/>
  <c r="G13" i="2"/>
  <c r="C13" i="2"/>
  <c r="E13" i="2"/>
  <c r="G12" i="2"/>
  <c r="C12" i="2"/>
  <c r="E12" i="2"/>
  <c r="G11" i="2"/>
  <c r="C11" i="2"/>
  <c r="E11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G69" i="2"/>
  <c r="C69" i="2"/>
  <c r="G68" i="2"/>
  <c r="C68" i="2"/>
  <c r="E68" i="2"/>
  <c r="G67" i="2"/>
  <c r="C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G56" i="2"/>
  <c r="C56" i="2"/>
  <c r="E56" i="2"/>
  <c r="G55" i="2"/>
  <c r="C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G44" i="2"/>
  <c r="C44" i="2"/>
  <c r="E44" i="2"/>
  <c r="G43" i="2"/>
  <c r="C43" i="2"/>
  <c r="E43" i="2"/>
  <c r="G42" i="2"/>
  <c r="C42" i="2"/>
  <c r="G41" i="2"/>
  <c r="C41" i="2"/>
  <c r="E41" i="2"/>
  <c r="G40" i="2"/>
  <c r="C40" i="2"/>
  <c r="E40" i="2"/>
  <c r="G39" i="2"/>
  <c r="C39" i="2"/>
  <c r="G38" i="2"/>
  <c r="C38" i="2"/>
  <c r="E38" i="2"/>
  <c r="G37" i="2"/>
  <c r="C37" i="2"/>
  <c r="E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91" i="2"/>
  <c r="B91" i="2"/>
  <c r="D91" i="2"/>
  <c r="A91" i="2"/>
  <c r="H29" i="2"/>
  <c r="B29" i="2"/>
  <c r="D29" i="2"/>
  <c r="A29" i="2"/>
  <c r="H90" i="2"/>
  <c r="B90" i="2"/>
  <c r="F90" i="2"/>
  <c r="D90" i="2"/>
  <c r="A90" i="2"/>
  <c r="H89" i="2"/>
  <c r="B89" i="2"/>
  <c r="F89" i="2"/>
  <c r="D89" i="2"/>
  <c r="A89" i="2"/>
  <c r="H28" i="2"/>
  <c r="F28" i="2"/>
  <c r="D28" i="2"/>
  <c r="B28" i="2"/>
  <c r="A28" i="2"/>
  <c r="H88" i="2"/>
  <c r="B88" i="2"/>
  <c r="F88" i="2"/>
  <c r="D88" i="2"/>
  <c r="A88" i="2"/>
  <c r="H27" i="2"/>
  <c r="F27" i="2"/>
  <c r="D27" i="2"/>
  <c r="B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20" i="2"/>
  <c r="B20" i="2"/>
  <c r="D20" i="2"/>
  <c r="A20" i="2"/>
  <c r="H19" i="2"/>
  <c r="B19" i="2"/>
  <c r="D19" i="2"/>
  <c r="A19" i="2"/>
  <c r="H83" i="2"/>
  <c r="B83" i="2"/>
  <c r="D83" i="2"/>
  <c r="A83" i="2"/>
  <c r="H18" i="2"/>
  <c r="B18" i="2"/>
  <c r="D18" i="2"/>
  <c r="A18" i="2"/>
  <c r="H82" i="2"/>
  <c r="B82" i="2"/>
  <c r="D82" i="2"/>
  <c r="A82" i="2"/>
  <c r="H17" i="2"/>
  <c r="B17" i="2"/>
  <c r="D17" i="2"/>
  <c r="A17" i="2"/>
  <c r="H16" i="2"/>
  <c r="B16" i="2"/>
  <c r="D16" i="2"/>
  <c r="A16" i="2"/>
  <c r="H15" i="2"/>
  <c r="B15" i="2"/>
  <c r="D15" i="2"/>
  <c r="A15" i="2"/>
  <c r="H81" i="2"/>
  <c r="B81" i="2"/>
  <c r="D81" i="2"/>
  <c r="A81" i="2"/>
  <c r="H80" i="2"/>
  <c r="B80" i="2"/>
  <c r="D80" i="2"/>
  <c r="A80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Q105" i="1"/>
  <c r="Q110" i="1"/>
  <c r="Q111" i="1"/>
  <c r="Q107" i="1"/>
  <c r="Q108" i="1"/>
  <c r="Q109" i="1"/>
  <c r="Q103" i="1"/>
  <c r="Q106" i="1"/>
  <c r="Q96" i="1"/>
  <c r="Q97" i="1"/>
  <c r="Q95" i="1"/>
  <c r="Q100" i="1"/>
  <c r="Q98" i="1"/>
  <c r="Q94" i="1"/>
  <c r="Q90" i="1"/>
  <c r="Q73" i="1"/>
  <c r="Q75" i="1"/>
  <c r="Q76" i="1"/>
  <c r="Q78" i="1"/>
  <c r="Q80" i="1"/>
  <c r="Q81" i="1"/>
  <c r="Q82" i="1"/>
  <c r="Q85" i="1"/>
  <c r="Q87" i="1"/>
  <c r="Q91" i="1"/>
  <c r="Q92" i="1"/>
  <c r="Q93" i="1"/>
  <c r="Q65" i="1"/>
  <c r="Q74" i="1"/>
  <c r="Q72" i="1"/>
  <c r="Q86" i="1"/>
  <c r="Q83" i="1"/>
  <c r="Q71" i="1"/>
  <c r="Q22" i="1"/>
  <c r="Q66" i="1"/>
  <c r="Q67" i="1"/>
  <c r="Q68" i="1"/>
  <c r="J114" i="1" l="1"/>
  <c r="R114" i="1"/>
  <c r="E35" i="2"/>
  <c r="F42" i="1"/>
  <c r="G42" i="1" s="1"/>
  <c r="I42" i="1" s="1"/>
  <c r="F47" i="1"/>
  <c r="G47" i="1" s="1"/>
  <c r="F24" i="1"/>
  <c r="G24" i="1" s="1"/>
  <c r="F111" i="1"/>
  <c r="G111" i="1" s="1"/>
  <c r="F69" i="1"/>
  <c r="G69" i="1" s="1"/>
  <c r="I69" i="1" s="1"/>
  <c r="E75" i="2"/>
  <c r="E45" i="2"/>
  <c r="E70" i="2"/>
  <c r="E29" i="2"/>
  <c r="E21" i="2"/>
  <c r="E18" i="2"/>
  <c r="E25" i="2"/>
  <c r="R91" i="1"/>
  <c r="K91" i="1"/>
  <c r="S75" i="1"/>
  <c r="K75" i="1"/>
  <c r="K95" i="1"/>
  <c r="S95" i="1"/>
  <c r="S57" i="1"/>
  <c r="I57" i="1"/>
  <c r="R53" i="1"/>
  <c r="I53" i="1"/>
  <c r="I28" i="1"/>
  <c r="R28" i="1"/>
  <c r="K82" i="1"/>
  <c r="R82" i="1"/>
  <c r="R77" i="1"/>
  <c r="I77" i="1"/>
  <c r="R68" i="1"/>
  <c r="K68" i="1"/>
  <c r="K109" i="1"/>
  <c r="S109" i="1"/>
  <c r="K74" i="1"/>
  <c r="S74" i="1"/>
  <c r="R112" i="1"/>
  <c r="J112" i="1"/>
  <c r="R40" i="1"/>
  <c r="I40" i="1"/>
  <c r="R111" i="1"/>
  <c r="J111" i="1"/>
  <c r="I55" i="1"/>
  <c r="R55" i="1"/>
  <c r="J103" i="1"/>
  <c r="R103" i="1"/>
  <c r="S41" i="1"/>
  <c r="I41" i="1"/>
  <c r="R46" i="1"/>
  <c r="I46" i="1"/>
  <c r="S93" i="1"/>
  <c r="K93" i="1"/>
  <c r="I65" i="1"/>
  <c r="S65" i="1"/>
  <c r="S35" i="1"/>
  <c r="I35" i="1"/>
  <c r="I62" i="1"/>
  <c r="R62" i="1"/>
  <c r="I45" i="1"/>
  <c r="R45" i="1"/>
  <c r="R38" i="1"/>
  <c r="I38" i="1"/>
  <c r="R22" i="1"/>
  <c r="H22" i="1"/>
  <c r="K92" i="1"/>
  <c r="S92" i="1"/>
  <c r="K73" i="1"/>
  <c r="S73" i="1"/>
  <c r="S96" i="1"/>
  <c r="K96" i="1"/>
  <c r="K78" i="1"/>
  <c r="R78" i="1"/>
  <c r="R108" i="1"/>
  <c r="J108" i="1"/>
  <c r="I64" i="1"/>
  <c r="S64" i="1"/>
  <c r="S54" i="1"/>
  <c r="I54" i="1"/>
  <c r="R59" i="1"/>
  <c r="I59" i="1"/>
  <c r="R52" i="1"/>
  <c r="I52" i="1"/>
  <c r="R37" i="1"/>
  <c r="I37" i="1"/>
  <c r="I27" i="1"/>
  <c r="R27" i="1"/>
  <c r="R21" i="1"/>
  <c r="I21" i="1"/>
  <c r="R107" i="1"/>
  <c r="J107" i="1"/>
  <c r="R99" i="1"/>
  <c r="K99" i="1"/>
  <c r="K87" i="1"/>
  <c r="R87" i="1"/>
  <c r="K81" i="1"/>
  <c r="R81" i="1"/>
  <c r="K76" i="1"/>
  <c r="R76" i="1"/>
  <c r="K67" i="1"/>
  <c r="R67" i="1"/>
  <c r="J105" i="1"/>
  <c r="S105" i="1"/>
  <c r="G88" i="1"/>
  <c r="T88" i="1"/>
  <c r="S88" i="1" s="1"/>
  <c r="R104" i="1"/>
  <c r="K104" i="1"/>
  <c r="K83" i="1"/>
  <c r="R83" i="1"/>
  <c r="S29" i="1"/>
  <c r="I29" i="1"/>
  <c r="J90" i="1"/>
  <c r="R90" i="1"/>
  <c r="I23" i="1"/>
  <c r="R23" i="1"/>
  <c r="S51" i="1"/>
  <c r="I51" i="1"/>
  <c r="S34" i="1"/>
  <c r="I34" i="1"/>
  <c r="R50" i="1"/>
  <c r="I50" i="1"/>
  <c r="I44" i="1"/>
  <c r="R44" i="1"/>
  <c r="R26" i="1"/>
  <c r="I26" i="1"/>
  <c r="R98" i="1"/>
  <c r="J98" i="1"/>
  <c r="K85" i="1"/>
  <c r="S85" i="1"/>
  <c r="S72" i="1"/>
  <c r="K72" i="1"/>
  <c r="I31" i="1"/>
  <c r="S31" i="1"/>
  <c r="J110" i="1"/>
  <c r="S110" i="1"/>
  <c r="I39" i="1"/>
  <c r="R39" i="1"/>
  <c r="R101" i="1"/>
  <c r="K101" i="1"/>
  <c r="S63" i="1"/>
  <c r="I63" i="1"/>
  <c r="S32" i="1"/>
  <c r="I32" i="1"/>
  <c r="I58" i="1"/>
  <c r="R58" i="1"/>
  <c r="R43" i="1"/>
  <c r="I43" i="1"/>
  <c r="R36" i="1"/>
  <c r="I36" i="1"/>
  <c r="K106" i="1"/>
  <c r="R106" i="1"/>
  <c r="R97" i="1"/>
  <c r="K97" i="1"/>
  <c r="R86" i="1"/>
  <c r="K86" i="1"/>
  <c r="R80" i="1"/>
  <c r="K80" i="1"/>
  <c r="R71" i="1"/>
  <c r="K71" i="1"/>
  <c r="R66" i="1"/>
  <c r="J66" i="1"/>
  <c r="K102" i="1"/>
  <c r="S102" i="1"/>
  <c r="S84" i="1"/>
  <c r="I84" i="1"/>
  <c r="T70" i="1"/>
  <c r="S70" i="1" s="1"/>
  <c r="G70" i="1"/>
  <c r="I70" i="1" s="1"/>
  <c r="R47" i="1"/>
  <c r="I47" i="1"/>
  <c r="I24" i="1"/>
  <c r="R24" i="1"/>
  <c r="I79" i="1"/>
  <c r="R79" i="1"/>
  <c r="S60" i="1"/>
  <c r="I60" i="1"/>
  <c r="R30" i="1"/>
  <c r="I30" i="1"/>
  <c r="R89" i="1"/>
  <c r="I89" i="1"/>
  <c r="I61" i="1"/>
  <c r="S61" i="1"/>
  <c r="I48" i="1"/>
  <c r="S48" i="1"/>
  <c r="R56" i="1"/>
  <c r="I56" i="1"/>
  <c r="I49" i="1"/>
  <c r="R49" i="1"/>
  <c r="R33" i="1"/>
  <c r="I33" i="1"/>
  <c r="R25" i="1"/>
  <c r="I25" i="1"/>
  <c r="J100" i="1"/>
  <c r="S100" i="1"/>
  <c r="E90" i="2"/>
  <c r="E55" i="2"/>
  <c r="E42" i="2"/>
  <c r="E69" i="2"/>
  <c r="E81" i="2"/>
  <c r="E24" i="2"/>
  <c r="E86" i="2"/>
  <c r="E67" i="2"/>
  <c r="E22" i="2"/>
  <c r="F13" i="1"/>
  <c r="J113" i="1"/>
  <c r="R113" i="1"/>
  <c r="D11" i="1"/>
  <c r="D12" i="1"/>
  <c r="P114" i="1" l="1"/>
  <c r="S42" i="1"/>
  <c r="T69" i="1"/>
  <c r="R69" i="1" s="1"/>
  <c r="D16" i="1"/>
  <c r="D19" i="1" s="1"/>
  <c r="P69" i="1"/>
  <c r="P54" i="1"/>
  <c r="P81" i="1"/>
  <c r="P57" i="1"/>
  <c r="P110" i="1"/>
  <c r="P62" i="1"/>
  <c r="P61" i="1"/>
  <c r="P99" i="1"/>
  <c r="P30" i="1"/>
  <c r="P65" i="1"/>
  <c r="P78" i="1"/>
  <c r="P55" i="1"/>
  <c r="P58" i="1"/>
  <c r="P72" i="1"/>
  <c r="P31" i="1"/>
  <c r="P28" i="1"/>
  <c r="P34" i="1"/>
  <c r="P66" i="1"/>
  <c r="P91" i="1"/>
  <c r="P101" i="1"/>
  <c r="P113" i="1"/>
  <c r="D15" i="1"/>
  <c r="C19" i="1" s="1"/>
  <c r="P24" i="1"/>
  <c r="P80" i="1"/>
  <c r="P74" i="1"/>
  <c r="P59" i="1"/>
  <c r="P93" i="1"/>
  <c r="P64" i="1"/>
  <c r="P46" i="1"/>
  <c r="P76" i="1"/>
  <c r="P27" i="1"/>
  <c r="P63" i="1"/>
  <c r="P108" i="1"/>
  <c r="P87" i="1"/>
  <c r="P47" i="1"/>
  <c r="P29" i="1"/>
  <c r="P79" i="1"/>
  <c r="P36" i="1"/>
  <c r="P83" i="1"/>
  <c r="P26" i="1"/>
  <c r="P85" i="1"/>
  <c r="P100" i="1"/>
  <c r="P77" i="1"/>
  <c r="P96" i="1"/>
  <c r="P86" i="1"/>
  <c r="P109" i="1"/>
  <c r="P32" i="1"/>
  <c r="P95" i="1"/>
  <c r="P37" i="1"/>
  <c r="P73" i="1"/>
  <c r="P41" i="1"/>
  <c r="P25" i="1"/>
  <c r="P38" i="1"/>
  <c r="P49" i="1"/>
  <c r="P106" i="1"/>
  <c r="P45" i="1"/>
  <c r="P105" i="1"/>
  <c r="P97" i="1"/>
  <c r="P35" i="1"/>
  <c r="P42" i="1"/>
  <c r="P111" i="1"/>
  <c r="P71" i="1"/>
  <c r="P102" i="1"/>
  <c r="P92" i="1"/>
  <c r="P75" i="1"/>
  <c r="P94" i="1"/>
  <c r="P48" i="1"/>
  <c r="P112" i="1"/>
  <c r="P70" i="1"/>
  <c r="P98" i="1"/>
  <c r="P107" i="1"/>
  <c r="P104" i="1"/>
  <c r="P40" i="1"/>
  <c r="P89" i="1"/>
  <c r="P21" i="1"/>
  <c r="P43" i="1"/>
  <c r="P90" i="1"/>
  <c r="P22" i="1"/>
  <c r="P44" i="1"/>
  <c r="P56" i="1"/>
  <c r="P103" i="1"/>
  <c r="P88" i="1"/>
  <c r="P82" i="1"/>
  <c r="P52" i="1"/>
  <c r="P53" i="1"/>
  <c r="P50" i="1"/>
  <c r="P84" i="1"/>
  <c r="P68" i="1"/>
  <c r="P51" i="1"/>
  <c r="P33" i="1"/>
  <c r="P23" i="1"/>
  <c r="P67" i="1"/>
  <c r="P60" i="1"/>
  <c r="P39" i="1"/>
  <c r="S18" i="1"/>
  <c r="E19" i="1" s="1"/>
  <c r="R18" i="1"/>
  <c r="E18" i="1" s="1"/>
  <c r="C12" i="1"/>
  <c r="C11" i="1"/>
  <c r="O114" i="1" l="1"/>
  <c r="O108" i="1"/>
  <c r="O62" i="1"/>
  <c r="O48" i="1"/>
  <c r="O69" i="1"/>
  <c r="O111" i="1"/>
  <c r="O73" i="1"/>
  <c r="O51" i="1"/>
  <c r="O22" i="1"/>
  <c r="O98" i="1"/>
  <c r="O24" i="1"/>
  <c r="O100" i="1"/>
  <c r="O77" i="1"/>
  <c r="O61" i="1"/>
  <c r="O53" i="1"/>
  <c r="O106" i="1"/>
  <c r="O34" i="1"/>
  <c r="O57" i="1"/>
  <c r="O107" i="1"/>
  <c r="O90" i="1"/>
  <c r="O30" i="1"/>
  <c r="O33" i="1"/>
  <c r="O31" i="1"/>
  <c r="C15" i="1"/>
  <c r="C18" i="1" s="1"/>
  <c r="O79" i="1"/>
  <c r="O42" i="1"/>
  <c r="O86" i="1"/>
  <c r="O96" i="1"/>
  <c r="O67" i="1"/>
  <c r="O37" i="1"/>
  <c r="O72" i="1"/>
  <c r="O47" i="1"/>
  <c r="O76" i="1"/>
  <c r="O87" i="1"/>
  <c r="O109" i="1"/>
  <c r="O93" i="1"/>
  <c r="O83" i="1"/>
  <c r="O70" i="1"/>
  <c r="O110" i="1"/>
  <c r="O84" i="1"/>
  <c r="O97" i="1"/>
  <c r="O85" i="1"/>
  <c r="O74" i="1"/>
  <c r="O32" i="1"/>
  <c r="O44" i="1"/>
  <c r="O26" i="1"/>
  <c r="O25" i="1"/>
  <c r="O88" i="1"/>
  <c r="O65" i="1"/>
  <c r="O60" i="1"/>
  <c r="O78" i="1"/>
  <c r="O43" i="1"/>
  <c r="O101" i="1"/>
  <c r="O45" i="1"/>
  <c r="O95" i="1"/>
  <c r="O54" i="1"/>
  <c r="O68" i="1"/>
  <c r="O102" i="1"/>
  <c r="O75" i="1"/>
  <c r="O52" i="1"/>
  <c r="O104" i="1"/>
  <c r="O113" i="1"/>
  <c r="O36" i="1"/>
  <c r="O27" i="1"/>
  <c r="O39" i="1"/>
  <c r="O105" i="1"/>
  <c r="O59" i="1"/>
  <c r="O63" i="1"/>
  <c r="O40" i="1"/>
  <c r="O29" i="1"/>
  <c r="O103" i="1"/>
  <c r="O82" i="1"/>
  <c r="O112" i="1"/>
  <c r="O81" i="1"/>
  <c r="O35" i="1"/>
  <c r="O94" i="1"/>
  <c r="O80" i="1"/>
  <c r="O64" i="1"/>
  <c r="O66" i="1"/>
  <c r="O41" i="1"/>
  <c r="O49" i="1"/>
  <c r="O91" i="1"/>
  <c r="O92" i="1"/>
  <c r="O21" i="1"/>
  <c r="O99" i="1"/>
  <c r="O50" i="1"/>
  <c r="O89" i="1"/>
  <c r="O46" i="1"/>
  <c r="O58" i="1"/>
  <c r="O71" i="1"/>
  <c r="O28" i="1"/>
  <c r="O38" i="1"/>
  <c r="O23" i="1"/>
  <c r="O55" i="1"/>
  <c r="O56" i="1"/>
  <c r="C16" i="1"/>
  <c r="D18" i="1" s="1"/>
  <c r="P18" i="1"/>
  <c r="O18" i="1" l="1"/>
  <c r="F14" i="1"/>
  <c r="F16" i="1" s="1"/>
  <c r="F15" i="1" l="1"/>
</calcChain>
</file>

<file path=xl/sharedStrings.xml><?xml version="1.0" encoding="utf-8"?>
<sst xmlns="http://schemas.openxmlformats.org/spreadsheetml/2006/main" count="912" uniqueCount="395">
  <si>
    <t>IBVS 6244</t>
  </si>
  <si>
    <t>GCVS 4</t>
  </si>
  <si>
    <t>Epoch =</t>
  </si>
  <si>
    <t>Period =</t>
  </si>
  <si>
    <t>New Period =</t>
  </si>
  <si>
    <t>Source</t>
  </si>
  <si>
    <t>Type</t>
  </si>
  <si>
    <t>ToM</t>
  </si>
  <si>
    <t>Error</t>
  </si>
  <si>
    <t>n'</t>
  </si>
  <si>
    <t>n</t>
  </si>
  <si>
    <t>O-C</t>
  </si>
  <si>
    <t>IBVS 3900</t>
  </si>
  <si>
    <t>IBVS 5067</t>
  </si>
  <si>
    <t>IBVS 4597</t>
  </si>
  <si>
    <t>IBVS 4737</t>
  </si>
  <si>
    <t>System Type:</t>
  </si>
  <si>
    <t>GCVS 4 Eph.</t>
  </si>
  <si>
    <t>--- Working ----</t>
  </si>
  <si>
    <t>LS Intercept =</t>
  </si>
  <si>
    <t>LS Slope =</t>
  </si>
  <si>
    <t>New epoch =</t>
  </si>
  <si>
    <t>Date</t>
  </si>
  <si>
    <t>EA</t>
  </si>
  <si>
    <t>Sp:  B9</t>
  </si>
  <si>
    <t>Locher K</t>
  </si>
  <si>
    <t>BBSAG Bull.35</t>
  </si>
  <si>
    <t>B</t>
  </si>
  <si>
    <t>Misc</t>
  </si>
  <si>
    <t>Prim. Linear</t>
  </si>
  <si>
    <t>Sec. Linear</t>
  </si>
  <si>
    <t>IBVS 5487</t>
  </si>
  <si>
    <t>I</t>
  </si>
  <si>
    <t>II</t>
  </si>
  <si>
    <t>IBVS 5371</t>
  </si>
  <si>
    <t>IBVS 5251</t>
  </si>
  <si>
    <t>IBVS 5357</t>
  </si>
  <si>
    <t>IBVS 5577</t>
  </si>
  <si>
    <t>S5</t>
  </si>
  <si>
    <t>S6</t>
  </si>
  <si>
    <t>Prim</t>
  </si>
  <si>
    <t>Sec</t>
  </si>
  <si>
    <t>Prim. Fit</t>
  </si>
  <si>
    <t>Sec. fit</t>
  </si>
  <si>
    <t>Elliptical orbit</t>
  </si>
  <si>
    <t>IBVS 5643</t>
  </si>
  <si>
    <t>Count</t>
  </si>
  <si>
    <t>Prim. Ephemeris =</t>
  </si>
  <si>
    <t>Sec. Ephemeris =</t>
  </si>
  <si>
    <t>IBVS 5653</t>
  </si>
  <si>
    <t>IBVS 5761</t>
  </si>
  <si>
    <t>IBVS 5809</t>
  </si>
  <si>
    <t>OEJV 0074</t>
  </si>
  <si>
    <t>IBVS 5898</t>
  </si>
  <si>
    <t>IBVS 6011</t>
  </si>
  <si>
    <t>IBVS 6042</t>
  </si>
  <si>
    <t>OEJV 0160</t>
  </si>
  <si>
    <t>IBVS 6070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</si>
  <si>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</si>
  <si>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</si>
  <si>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</si>
  <si>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</si>
  <si>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</si>
  <si>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</si>
  <si>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</si>
  <si>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</si>
  <si>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</si>
  <si>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</si>
  <si>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</si>
  <si>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</si>
  <si>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</si>
  <si>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</si>
  <si>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</si>
  <si>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2425321.599 </t>
  </si>
  <si>
    <t> 16.03.1928 02:22 </t>
  </si>
  <si>
    <t> -0.001 </t>
  </si>
  <si>
    <t>P </t>
  </si>
  <si>
    <t> Meinunger &amp; Wenzel </t>
  </si>
  <si>
    <t> MVS 4.141 </t>
  </si>
  <si>
    <t>2429880.568 </t>
  </si>
  <si>
    <t> 08.09.1940 01:37 </t>
  </si>
  <si>
    <t> -0.052 </t>
  </si>
  <si>
    <t>2431022.515 </t>
  </si>
  <si>
    <t> 25.10.1943 00:21 </t>
  </si>
  <si>
    <t> 0.025 </t>
  </si>
  <si>
    <t>2431462.321 </t>
  </si>
  <si>
    <t> 06.01.1945 19:42 </t>
  </si>
  <si>
    <t> -0.000 </t>
  </si>
  <si>
    <t>2434253.489 </t>
  </si>
  <si>
    <t> 28.08.1952 23:44 </t>
  </si>
  <si>
    <t> -0.069 </t>
  </si>
  <si>
    <t>2434304.372 </t>
  </si>
  <si>
    <t> 18.10.1952 20:55 </t>
  </si>
  <si>
    <t> 0.064 </t>
  </si>
  <si>
    <t>2434710.268 </t>
  </si>
  <si>
    <t> 28.11.1953 18:25 </t>
  </si>
  <si>
    <t> -0.038 </t>
  </si>
  <si>
    <t>2434714.447 </t>
  </si>
  <si>
    <t> 02.12.1953 22:43 </t>
  </si>
  <si>
    <t> -0.023 </t>
  </si>
  <si>
    <t>2435691.510 </t>
  </si>
  <si>
    <t> 06.08.1956 00:14 </t>
  </si>
  <si>
    <t> 0.042 </t>
  </si>
  <si>
    <t>2435856.253 </t>
  </si>
  <si>
    <t> 17.01.1957 18:04 </t>
  </si>
  <si>
    <t> -0.086 </t>
  </si>
  <si>
    <t>2436245.275 </t>
  </si>
  <si>
    <t> 10.02.1958 18:36 </t>
  </si>
  <si>
    <t> -0.146 </t>
  </si>
  <si>
    <t>2436486.560 </t>
  </si>
  <si>
    <t> 10.10.1958 01:26 </t>
  </si>
  <si>
    <t> 0.012 </t>
  </si>
  <si>
    <t>2436541.370 </t>
  </si>
  <si>
    <t> 03.12.1958 20:52 </t>
  </si>
  <si>
    <t> -0.091 </t>
  </si>
  <si>
    <t>2436820.533 </t>
  </si>
  <si>
    <t> 09.09.1959 00:47 </t>
  </si>
  <si>
    <t>2437205.517 </t>
  </si>
  <si>
    <t> 28.09.1960 00:24 </t>
  </si>
  <si>
    <t> 0.014 </t>
  </si>
  <si>
    <t>2437222.377 </t>
  </si>
  <si>
    <t> 14.10.1960 21:02 </t>
  </si>
  <si>
    <t> -0.043 </t>
  </si>
  <si>
    <t> H.Busch </t>
  </si>
  <si>
    <t> MHAR 10.3 </t>
  </si>
  <si>
    <t>2437222.417 </t>
  </si>
  <si>
    <t> 14.10.1960 22:00 </t>
  </si>
  <si>
    <t>2437907.509 </t>
  </si>
  <si>
    <t> 31.08.1962 00:12 </t>
  </si>
  <si>
    <t> -0.032 </t>
  </si>
  <si>
    <t>2437907.550 </t>
  </si>
  <si>
    <t> 31.08.1962 01:12 </t>
  </si>
  <si>
    <t> 0.009 </t>
  </si>
  <si>
    <t>2437945.472 </t>
  </si>
  <si>
    <t> 07.10.1962 23:19 </t>
  </si>
  <si>
    <t> -0.066 </t>
  </si>
  <si>
    <t>2437945.504 </t>
  </si>
  <si>
    <t> 08.10.1962 00:05 </t>
  </si>
  <si>
    <t> -0.034 </t>
  </si>
  <si>
    <t> MHAR 10.4 </t>
  </si>
  <si>
    <t>2438144.395 </t>
  </si>
  <si>
    <t> 24.04.1963 21:28 </t>
  </si>
  <si>
    <t> 0.021 </t>
  </si>
  <si>
    <t>2438440.302 </t>
  </si>
  <si>
    <t> 14.02.1964 19:14 </t>
  </si>
  <si>
    <t> -0.112 </t>
  </si>
  <si>
    <t>2438440.348 </t>
  </si>
  <si>
    <t> 14.02.1964 20:21 </t>
  </si>
  <si>
    <t>2438753.273 </t>
  </si>
  <si>
    <t> 23.12.1964 18:33 </t>
  </si>
  <si>
    <t> -0.098 </t>
  </si>
  <si>
    <t>2438753.300 </t>
  </si>
  <si>
    <t> 23.12.1964 19:12 </t>
  </si>
  <si>
    <t> -0.071 </t>
  </si>
  <si>
    <t>2439070.443 </t>
  </si>
  <si>
    <t> 05.11.1965 22:37 </t>
  </si>
  <si>
    <t> -0.048 </t>
  </si>
  <si>
    <t>E </t>
  </si>
  <si>
    <t>?</t>
  </si>
  <si>
    <t>2439142.337 </t>
  </si>
  <si>
    <t> 16.01.1966 20:05 </t>
  </si>
  <si>
    <t> -0.115 </t>
  </si>
  <si>
    <t>2439878.266 </t>
  </si>
  <si>
    <t> 22.01.1968 18:23 </t>
  </si>
  <si>
    <t> -0.058 </t>
  </si>
  <si>
    <t>2440068.542 </t>
  </si>
  <si>
    <t> 31.07.1968 01:00 </t>
  </si>
  <si>
    <t> -0.028 </t>
  </si>
  <si>
    <t>2440825.506 </t>
  </si>
  <si>
    <t> 27.08.1970 00:08 </t>
  </si>
  <si>
    <t> -0.147 </t>
  </si>
  <si>
    <t>2440859.511 </t>
  </si>
  <si>
    <t> 30.09.1970 00:15 </t>
  </si>
  <si>
    <t>2440914.331 </t>
  </si>
  <si>
    <t> 23.11.1970 19:56 </t>
  </si>
  <si>
    <t> -0.068 </t>
  </si>
  <si>
    <t>2441155.504 </t>
  </si>
  <si>
    <t> 23.07.1971 00:05 </t>
  </si>
  <si>
    <t> -0.022 </t>
  </si>
  <si>
    <t>2441189.341 </t>
  </si>
  <si>
    <t> 25.08.1971 20:11 </t>
  </si>
  <si>
    <t> -0.019 </t>
  </si>
  <si>
    <t>2441210.459 </t>
  </si>
  <si>
    <t> 15.09.1971 23:00 </t>
  </si>
  <si>
    <t> 0.020 </t>
  </si>
  <si>
    <t>2441248.482 </t>
  </si>
  <si>
    <t> 23.10.1971 23:34 </t>
  </si>
  <si>
    <t>2441595.314 </t>
  </si>
  <si>
    <t> 04.10.1972 19:32 </t>
  </si>
  <si>
    <t> -0.044 </t>
  </si>
  <si>
    <t>2441599.428 </t>
  </si>
  <si>
    <t> 08.10.1972 22:16 </t>
  </si>
  <si>
    <t> -0.093 </t>
  </si>
  <si>
    <t>2441599.453 </t>
  </si>
  <si>
    <t> 08.10.1972 22:52 </t>
  </si>
  <si>
    <t>2441984.446 </t>
  </si>
  <si>
    <t> 28.10.1973 22:42 </t>
  </si>
  <si>
    <t> 0.007 </t>
  </si>
  <si>
    <t>2441988.428 </t>
  </si>
  <si>
    <t> 01.11.1973 22:16 </t>
  </si>
  <si>
    <t> -0.174 </t>
  </si>
  <si>
    <t>2442741.339 </t>
  </si>
  <si>
    <t> 24.11.1975 20:08 </t>
  </si>
  <si>
    <t>2443392.609 </t>
  </si>
  <si>
    <t> 06.09.1977 02:36 </t>
  </si>
  <si>
    <t> -0.070 </t>
  </si>
  <si>
    <t>V </t>
  </si>
  <si>
    <t> K.Locher </t>
  </si>
  <si>
    <t> BBS 35 </t>
  </si>
  <si>
    <t>2448209.6711 </t>
  </si>
  <si>
    <t> 14.11.1990 04:06 </t>
  </si>
  <si>
    <t> -0.0725 </t>
  </si>
  <si>
    <t> Caton &amp; Burns </t>
  </si>
  <si>
    <t>IBVS 3900 </t>
  </si>
  <si>
    <t>2450307.3162 </t>
  </si>
  <si>
    <t> 11.08.1996 19:35 </t>
  </si>
  <si>
    <t> -0.0843 </t>
  </si>
  <si>
    <t> Sandberg Lacy et a </t>
  </si>
  <si>
    <t>IBVS 4597 </t>
  </si>
  <si>
    <t>2451144.6845 </t>
  </si>
  <si>
    <t> 27.11.1998 04:25 </t>
  </si>
  <si>
    <t> -0.0871 </t>
  </si>
  <si>
    <t>IBVS 4737 </t>
  </si>
  <si>
    <t>2451398.397 </t>
  </si>
  <si>
    <t> 07.08.1999 21:31 </t>
  </si>
  <si>
    <t> -0.123 </t>
  </si>
  <si>
    <t> R.Meyer </t>
  </si>
  <si>
    <t>BAVM 131 </t>
  </si>
  <si>
    <t>2451436.390 </t>
  </si>
  <si>
    <t> 14.09.1999 21:21 </t>
  </si>
  <si>
    <t> -0.127 </t>
  </si>
  <si>
    <t>2451863.6357 </t>
  </si>
  <si>
    <t> 15.11.2000 03:15 </t>
  </si>
  <si>
    <t> -0.0909 </t>
  </si>
  <si>
    <t>IBVS 5067 </t>
  </si>
  <si>
    <t>2451867.7992 </t>
  </si>
  <si>
    <t> 19.11.2000 07:10 </t>
  </si>
  <si>
    <t> -0.0905 </t>
  </si>
  <si>
    <t>2451918.5502 </t>
  </si>
  <si>
    <t> 09.01.2001 01:12 </t>
  </si>
  <si>
    <t> -0.0893 </t>
  </si>
  <si>
    <t>2452159.6745 </t>
  </si>
  <si>
    <t> 07.09.2001 04:11 </t>
  </si>
  <si>
    <t> -0.0924 </t>
  </si>
  <si>
    <t>G</t>
  </si>
  <si>
    <t> C.Lacy et al. </t>
  </si>
  <si>
    <t>IBVS 5251 </t>
  </si>
  <si>
    <t>2452176.5911 </t>
  </si>
  <si>
    <t> 24.09.2001 02:11 </t>
  </si>
  <si>
    <t>2452252.7163 </t>
  </si>
  <si>
    <t> 09.12.2001 05:11 </t>
  </si>
  <si>
    <t> -0.0918 </t>
  </si>
  <si>
    <t> C.Lacy </t>
  </si>
  <si>
    <t>IBVS 5357 </t>
  </si>
  <si>
    <t>2452269.6326 </t>
  </si>
  <si>
    <t> 26.12.2001 03:10 </t>
  </si>
  <si>
    <t> -0.0921 </t>
  </si>
  <si>
    <t>2452286.5500 </t>
  </si>
  <si>
    <t> 12.01.2002 01:12 </t>
  </si>
  <si>
    <t> -0.0913 </t>
  </si>
  <si>
    <t>2452565.6717 </t>
  </si>
  <si>
    <t> 18.10.2002 04:07 </t>
  </si>
  <si>
    <t> -0.0933 </t>
  </si>
  <si>
    <t> R.Nelson </t>
  </si>
  <si>
    <t>IBVS 5371 </t>
  </si>
  <si>
    <t>2452586.7519 </t>
  </si>
  <si>
    <t> 08.11.2002 06:02 </t>
  </si>
  <si>
    <t> -0.0928 </t>
  </si>
  <si>
    <t>2452874.35 </t>
  </si>
  <si>
    <t> 22.08.2003 20:24 </t>
  </si>
  <si>
    <t> -0.08 </t>
  </si>
  <si>
    <t>BAVM 171 </t>
  </si>
  <si>
    <t>2452878.63 </t>
  </si>
  <si>
    <t> 27.08.2003 03:07 </t>
  </si>
  <si>
    <t> -0.09 </t>
  </si>
  <si>
    <t>2452929.3766 </t>
  </si>
  <si>
    <t> 16.10.2003 21:02 </t>
  </si>
  <si>
    <t> -0.0950 </t>
  </si>
  <si>
    <t>o</t>
  </si>
  <si>
    <t> H.Jungbluth </t>
  </si>
  <si>
    <t>BAVM 172 </t>
  </si>
  <si>
    <t>2452988.58525 </t>
  </si>
  <si>
    <t> 15.12.2003 02:02 </t>
  </si>
  <si>
    <t> -0.09442 </t>
  </si>
  <si>
    <t>IBVS 5577 </t>
  </si>
  <si>
    <t>2452992.74846 </t>
  </si>
  <si>
    <t> 19.12.2003 05:57 </t>
  </si>
  <si>
    <t> -0.09439 </t>
  </si>
  <si>
    <t>2453026.58164 </t>
  </si>
  <si>
    <t> 22.01.2004 01:57 </t>
  </si>
  <si>
    <t> -0.09438 </t>
  </si>
  <si>
    <t>2453559.452 </t>
  </si>
  <si>
    <t> 07.07.2005 22:50 </t>
  </si>
  <si>
    <t> -0.097 </t>
  </si>
  <si>
    <t>C </t>
  </si>
  <si>
    <t> P.Sobotka (ESA INTEGRAL) </t>
  </si>
  <si>
    <t>IBVS 5809 </t>
  </si>
  <si>
    <t>2453614.49789 </t>
  </si>
  <si>
    <t> 31.08.2005 23:56 </t>
  </si>
  <si>
    <t> -0.09554 </t>
  </si>
  <si>
    <t>R</t>
  </si>
  <si>
    <t> L.Brát </t>
  </si>
  <si>
    <t>OEJV 0074 </t>
  </si>
  <si>
    <t>2454020.4937 </t>
  </si>
  <si>
    <t> 11.10.2006 23:50 </t>
  </si>
  <si>
    <t> -0.0978 </t>
  </si>
  <si>
    <t>-I</t>
  </si>
  <si>
    <t> F. Agerer </t>
  </si>
  <si>
    <t>BAVM 183 </t>
  </si>
  <si>
    <t>2454071.2432 </t>
  </si>
  <si>
    <t> 01.12.2006 17:50 </t>
  </si>
  <si>
    <t>3399</t>
  </si>
  <si>
    <t> -0.0981 </t>
  </si>
  <si>
    <t> G.Monninger </t>
  </si>
  <si>
    <t>BAVM 203 </t>
  </si>
  <si>
    <t>2454092.3224 </t>
  </si>
  <si>
    <t> 22.12.2006 19:44 </t>
  </si>
  <si>
    <t>3401.5</t>
  </si>
  <si>
    <t> -0.0987 </t>
  </si>
  <si>
    <t>2454367.2818 </t>
  </si>
  <si>
    <t> 23.09.2007 18:45 </t>
  </si>
  <si>
    <t>3434</t>
  </si>
  <si>
    <t> -0.0998 </t>
  </si>
  <si>
    <t> F.Agerer </t>
  </si>
  <si>
    <t>BAVM 193 </t>
  </si>
  <si>
    <t>2454388.3609 </t>
  </si>
  <si>
    <t> 14.10.2007 20:39 </t>
  </si>
  <si>
    <t>3436.5</t>
  </si>
  <si>
    <t> -0.1005 </t>
  </si>
  <si>
    <t>2454773.2794 </t>
  </si>
  <si>
    <t> 02.11.2008 18:42 </t>
  </si>
  <si>
    <t>3482</t>
  </si>
  <si>
    <t> -0.1003 </t>
  </si>
  <si>
    <t> S.Parimucha et al. </t>
  </si>
  <si>
    <t>IBVS 5898 </t>
  </si>
  <si>
    <t>2454807.1086 </t>
  </si>
  <si>
    <t> 06.12.2008 14:36 </t>
  </si>
  <si>
    <t>3486</t>
  </si>
  <si>
    <t> -0.1043 </t>
  </si>
  <si>
    <t> H.Ito </t>
  </si>
  <si>
    <t>VSB 48 </t>
  </si>
  <si>
    <t>2455479.4780 </t>
  </si>
  <si>
    <t> 09.10.2010 23:28 </t>
  </si>
  <si>
    <t>3565.5</t>
  </si>
  <si>
    <t> -0.1033 </t>
  </si>
  <si>
    <t>BAVM 215 </t>
  </si>
  <si>
    <t>2455855.9340 </t>
  </si>
  <si>
    <t> 21.10.2011 10:24 </t>
  </si>
  <si>
    <t>3610</t>
  </si>
  <si>
    <t> -0.1073 </t>
  </si>
  <si>
    <t> R.Diethelm </t>
  </si>
  <si>
    <t>IBVS 6011 </t>
  </si>
  <si>
    <t>2456177.35038 </t>
  </si>
  <si>
    <t> 06.09.2012 20:24 </t>
  </si>
  <si>
    <t>3648</t>
  </si>
  <si>
    <t> -0.10613 </t>
  </si>
  <si>
    <t> H.Ku?akova </t>
  </si>
  <si>
    <t>OEJV 0160 </t>
  </si>
  <si>
    <t>2456219.6407 </t>
  </si>
  <si>
    <t> 19.10.2012 03:22 </t>
  </si>
  <si>
    <t>3653</t>
  </si>
  <si>
    <t>BAVM 231 </t>
  </si>
  <si>
    <t>2456257.639 </t>
  </si>
  <si>
    <t> 26.11.2012 03:20 </t>
  </si>
  <si>
    <t>3657.5</t>
  </si>
  <si>
    <t> -0.105 </t>
  </si>
  <si>
    <t>IBVS 6042 </t>
  </si>
  <si>
    <t>2456934.2993 </t>
  </si>
  <si>
    <t> 03.10.2014 19:10 </t>
  </si>
  <si>
    <t>3737.5</t>
  </si>
  <si>
    <t> -0.1086 </t>
  </si>
  <si>
    <t>BAVM 239 </t>
  </si>
  <si>
    <t>2456955.5087 </t>
  </si>
  <si>
    <t> 25.10.2014 00:12 </t>
  </si>
  <si>
    <t>3740</t>
  </si>
  <si>
    <t> -0.1109 </t>
  </si>
  <si>
    <t>My time zone &gt;&gt;&gt;&gt;&gt;</t>
  </si>
  <si>
    <t>(PST=8, PDT=MDT=7, MDT=CST=6, etc.)</t>
  </si>
  <si>
    <t>Start of Lin fit (row)</t>
  </si>
  <si>
    <t>BAD?</t>
  </si>
  <si>
    <t>Start cell (x)</t>
  </si>
  <si>
    <t>Start cell (y)</t>
  </si>
  <si>
    <t>Add cycle</t>
  </si>
  <si>
    <t>JD today</t>
  </si>
  <si>
    <t>Old Cycle</t>
  </si>
  <si>
    <t>New Cycle</t>
  </si>
  <si>
    <t>JBAV, 60</t>
  </si>
  <si>
    <t>V0459 Cas / GSC 04030-01001</t>
  </si>
  <si>
    <t>JBAV 96</t>
  </si>
  <si>
    <t>Next ToM-P</t>
  </si>
  <si>
    <t>Next ToM-S</t>
  </si>
  <si>
    <t>10.90-11.60</t>
  </si>
  <si>
    <t>Mag p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</si>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</sst>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5"/>
        <bgColor indexed="2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5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25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 style="medium">
        <color indexed="64"/>
      </bottom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/>
      <top style="thin">
        <color indexed="31"/>
      </top>
      <bottom style="medium">
        <color indexed="64"/>
      </bottom>
      <diagonal/>
    </border>
    <border>
      <left style="thin">
        <color auto="1"/>
      </left>
      <right style="thin">
        <color indexed="31"/>
      </right>
      <top style="thin">
        <color auto="1"/>
      </top>
      <bottom style="thin">
        <color indexed="31"/>
      </bottom>
      <diagonal/>
    </border>
    <border>
      <left style="thin">
        <color indexed="31"/>
      </left>
      <right style="thin">
        <color auto="1"/>
      </right>
      <top style="thin">
        <color auto="1"/>
      </top>
      <bottom style="thin">
        <color indexed="3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indexed="31"/>
      </top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0" borderId="0" applyNumberFormat="0" applyBorder="0" applyAlignment="0" applyProtection="0"/>
    <xf numFmtId="0" fontId="21" fillId="4" borderId="0" applyNumberFormat="0" applyBorder="0" applyAlignment="0" applyProtection="0"/>
    <xf numFmtId="0" fontId="22" fillId="21" borderId="1" applyNumberFormat="0" applyAlignment="0" applyProtection="0"/>
    <xf numFmtId="0" fontId="23" fillId="22" borderId="2" applyNumberFormat="0" applyAlignment="0" applyProtection="0"/>
    <xf numFmtId="3" fontId="35" fillId="2" borderId="0" applyFont="0" applyFill="0" applyBorder="0" applyAlignment="0" applyProtection="0"/>
    <xf numFmtId="164" fontId="35" fillId="2" borderId="0" applyFont="0" applyFill="0" applyBorder="0" applyAlignment="0" applyProtection="0"/>
    <xf numFmtId="0" fontId="35" fillId="2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2" borderId="0" applyFont="0" applyFill="0" applyBorder="0" applyAlignment="0" applyProtection="0"/>
    <xf numFmtId="0" fontId="26" fillId="5" borderId="0" applyNumberFormat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4" applyNumberFormat="0" applyFill="0" applyAlignment="0" applyProtection="0"/>
    <xf numFmtId="0" fontId="30" fillId="23" borderId="0" applyNumberFormat="0" applyBorder="0" applyAlignment="0" applyProtection="0"/>
    <xf numFmtId="0" fontId="24" fillId="0" borderId="0"/>
    <xf numFmtId="0" fontId="24" fillId="24" borderId="5" applyNumberFormat="0" applyFont="0" applyAlignment="0" applyProtection="0"/>
    <xf numFmtId="0" fontId="31" fillId="21" borderId="6" applyNumberFormat="0" applyAlignment="0" applyProtection="0"/>
    <xf numFmtId="0" fontId="32" fillId="0" borderId="0" applyNumberFormat="0" applyFill="0" applyBorder="0" applyAlignment="0" applyProtection="0"/>
    <xf numFmtId="0" fontId="35" fillId="2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116">
    <xf numFmtId="0" fontId="0" fillId="2" borderId="0" xfId="0" applyFill="1" applyAlignment="1"/>
    <xf numFmtId="0" fontId="0" fillId="25" borderId="8" xfId="0" applyFill="1" applyBorder="1" applyAlignment="1"/>
    <xf numFmtId="0" fontId="0" fillId="25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2" fillId="0" borderId="0" xfId="0" applyFont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25" xfId="0" applyBorder="1" applyAlignment="1">
      <alignment horizontal="center"/>
    </xf>
    <xf numFmtId="0" fontId="0" fillId="0" borderId="26" xfId="0" applyBorder="1">
      <alignment vertical="top"/>
    </xf>
    <xf numFmtId="0" fontId="13" fillId="0" borderId="0" xfId="38" applyAlignment="1" applyProtection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>
      <alignment vertical="top"/>
    </xf>
    <xf numFmtId="0" fontId="0" fillId="0" borderId="0" xfId="0" quotePrefix="1">
      <alignment vertical="top"/>
    </xf>
    <xf numFmtId="0" fontId="7" fillId="26" borderId="29" xfId="0" applyFont="1" applyFill="1" applyBorder="1" applyAlignment="1">
      <alignment horizontal="left" vertical="top" wrapText="1" indent="1"/>
    </xf>
    <xf numFmtId="0" fontId="7" fillId="26" borderId="29" xfId="0" applyFont="1" applyFill="1" applyBorder="1" applyAlignment="1">
      <alignment horizontal="center" vertical="top" wrapText="1"/>
    </xf>
    <xf numFmtId="0" fontId="7" fillId="26" borderId="29" xfId="0" applyFont="1" applyFill="1" applyBorder="1" applyAlignment="1">
      <alignment horizontal="right" vertical="top" wrapText="1"/>
    </xf>
    <xf numFmtId="0" fontId="13" fillId="26" borderId="29" xfId="38" applyFill="1" applyBorder="1" applyAlignment="1" applyProtection="1">
      <alignment horizontal="right" vertical="top" wrapText="1"/>
    </xf>
    <xf numFmtId="0" fontId="9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7" fillId="25" borderId="8" xfId="0" applyFont="1" applyFill="1" applyBorder="1" applyAlignment="1"/>
    <xf numFmtId="0" fontId="0" fillId="25" borderId="8" xfId="0" applyFill="1" applyBorder="1" applyAlignment="1">
      <alignment horizontal="center" vertical="center"/>
    </xf>
    <xf numFmtId="0" fontId="4" fillId="25" borderId="8" xfId="0" applyFont="1" applyFill="1" applyBorder="1" applyAlignment="1">
      <alignment vertical="center"/>
    </xf>
    <xf numFmtId="0" fontId="0" fillId="25" borderId="8" xfId="0" applyFill="1" applyBorder="1" applyAlignment="1">
      <alignment vertical="center"/>
    </xf>
    <xf numFmtId="0" fontId="0" fillId="25" borderId="12" xfId="0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3" xfId="0" applyFill="1" applyBorder="1" applyAlignment="1">
      <alignment horizontal="right" vertical="center"/>
    </xf>
    <xf numFmtId="0" fontId="0" fillId="25" borderId="14" xfId="0" applyFill="1" applyBorder="1" applyAlignment="1">
      <alignment horizontal="right" vertical="center"/>
    </xf>
    <xf numFmtId="0" fontId="0" fillId="25" borderId="11" xfId="0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25" borderId="8" xfId="0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0" fillId="25" borderId="21" xfId="0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25" borderId="22" xfId="0" applyFont="1" applyFill="1" applyBorder="1" applyAlignment="1">
      <alignment horizontal="left" vertical="center"/>
    </xf>
    <xf numFmtId="0" fontId="0" fillId="25" borderId="10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5" fillId="25" borderId="10" xfId="0" applyFont="1" applyFill="1" applyBorder="1" applyAlignment="1">
      <alignment horizontal="center" vertical="center"/>
    </xf>
    <xf numFmtId="0" fontId="18" fillId="25" borderId="10" xfId="0" applyFont="1" applyFill="1" applyBorder="1" applyAlignment="1">
      <alignment horizontal="center" vertical="center"/>
    </xf>
    <xf numFmtId="0" fontId="14" fillId="25" borderId="9" xfId="0" applyFont="1" applyFill="1" applyBorder="1" applyAlignment="1">
      <alignment horizontal="left" vertical="center"/>
    </xf>
    <xf numFmtId="0" fontId="14" fillId="25" borderId="9" xfId="0" applyFont="1" applyFill="1" applyBorder="1" applyAlignment="1">
      <alignment horizontal="center" vertical="center"/>
    </xf>
    <xf numFmtId="0" fontId="0" fillId="25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14" fontId="0" fillId="25" borderId="8" xfId="0" applyNumberFormat="1" applyFill="1" applyBorder="1" applyAlignment="1">
      <alignment vertical="center"/>
    </xf>
    <xf numFmtId="0" fontId="0" fillId="25" borderId="8" xfId="0" applyFill="1" applyBorder="1" applyAlignment="1">
      <alignment horizontal="left" vertical="center"/>
    </xf>
    <xf numFmtId="0" fontId="14" fillId="25" borderId="8" xfId="0" applyFont="1" applyFill="1" applyBorder="1" applyAlignment="1">
      <alignment horizontal="left" vertical="center"/>
    </xf>
    <xf numFmtId="0" fontId="14" fillId="25" borderId="8" xfId="0" applyFont="1" applyFill="1" applyBorder="1" applyAlignment="1">
      <alignment horizontal="center" vertical="center"/>
    </xf>
    <xf numFmtId="0" fontId="14" fillId="25" borderId="0" xfId="0" applyFont="1" applyFill="1" applyAlignment="1">
      <alignment horizontal="left" vertical="center"/>
    </xf>
    <xf numFmtId="0" fontId="14" fillId="25" borderId="0" xfId="0" applyFont="1" applyFill="1" applyAlignment="1">
      <alignment horizontal="center" vertical="center"/>
    </xf>
    <xf numFmtId="0" fontId="0" fillId="25" borderId="10" xfId="0" applyFill="1" applyBorder="1" applyAlignment="1">
      <alignment vertical="center"/>
    </xf>
    <xf numFmtId="0" fontId="6" fillId="25" borderId="10" xfId="0" applyFont="1" applyFill="1" applyBorder="1" applyAlignment="1">
      <alignment horizontal="left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8" fillId="25" borderId="10" xfId="0" applyFont="1" applyFill="1" applyBorder="1" applyAlignment="1">
      <alignment vertical="center"/>
    </xf>
    <xf numFmtId="0" fontId="0" fillId="25" borderId="9" xfId="0" applyFill="1" applyBorder="1" applyAlignment="1">
      <alignment horizontal="center" vertical="center"/>
    </xf>
    <xf numFmtId="0" fontId="0" fillId="25" borderId="9" xfId="0" applyFill="1" applyBorder="1" applyAlignment="1">
      <alignment horizontal="left" vertical="center"/>
    </xf>
    <xf numFmtId="0" fontId="6" fillId="25" borderId="9" xfId="0" applyFont="1" applyFill="1" applyBorder="1" applyAlignment="1">
      <alignment vertical="center"/>
    </xf>
    <xf numFmtId="0" fontId="6" fillId="25" borderId="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5" fillId="25" borderId="8" xfId="0" applyFont="1" applyFill="1" applyBorder="1" applyAlignment="1">
      <alignment vertical="center"/>
    </xf>
    <xf numFmtId="0" fontId="0" fillId="25" borderId="8" xfId="0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8" fillId="25" borderId="8" xfId="0" applyFont="1" applyFill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center" vertical="center" wrapText="1"/>
    </xf>
    <xf numFmtId="0" fontId="34" fillId="0" borderId="0" xfId="42" applyFont="1" applyAlignment="1">
      <alignment horizontal="left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0" fillId="0" borderId="30" xfId="0" applyBorder="1" applyAlignment="1">
      <alignment horizontal="center" vertical="center"/>
    </xf>
    <xf numFmtId="0" fontId="6" fillId="0" borderId="34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22" fontId="8" fillId="0" borderId="34" xfId="0" applyNumberFormat="1" applyFont="1" applyBorder="1" applyAlignment="1">
      <alignment horizontal="right" vertical="center"/>
    </xf>
    <xf numFmtId="0" fontId="38" fillId="0" borderId="33" xfId="0" applyFont="1" applyBorder="1" applyAlignment="1">
      <alignment horizontal="right" vertical="center"/>
    </xf>
    <xf numFmtId="0" fontId="38" fillId="0" borderId="35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22" fontId="8" fillId="0" borderId="36" xfId="0" applyNumberFormat="1" applyFont="1" applyBorder="1" applyAlignment="1">
      <alignment horizontal="right" vertical="center"/>
    </xf>
    <xf numFmtId="0" fontId="24" fillId="27" borderId="32" xfId="0" applyFont="1" applyFill="1" applyBorder="1" applyAlignment="1">
      <alignment horizontal="right" vertical="center"/>
    </xf>
    <xf numFmtId="0" fontId="24" fillId="27" borderId="31" xfId="0" applyFont="1" applyFill="1" applyBorder="1" applyAlignment="1">
      <alignment horizontal="right" vertical="center"/>
    </xf>
    <xf numFmtId="0" fontId="0" fillId="25" borderId="15" xfId="0" applyFill="1" applyBorder="1" applyAlignment="1">
      <alignment vertical="center"/>
    </xf>
    <xf numFmtId="0" fontId="24" fillId="25" borderId="15" xfId="0" applyFont="1" applyFill="1" applyBorder="1" applyAlignment="1">
      <alignment vertical="center"/>
    </xf>
    <xf numFmtId="0" fontId="0" fillId="25" borderId="37" xfId="0" applyFill="1" applyBorder="1" applyAlignment="1">
      <alignment vertical="center"/>
    </xf>
    <xf numFmtId="0" fontId="24" fillId="25" borderId="38" xfId="0" applyFont="1" applyFill="1" applyBorder="1" applyAlignment="1">
      <alignment horizontal="center" vertical="center"/>
    </xf>
    <xf numFmtId="0" fontId="0" fillId="25" borderId="39" xfId="0" applyFill="1" applyBorder="1" applyAlignment="1">
      <alignment horizontal="center" vertical="center"/>
    </xf>
    <xf numFmtId="0" fontId="0" fillId="25" borderId="40" xfId="0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V0459 Cas -- O-C Diagr.</a:t>
            </a:r>
          </a:p>
        </c:rich>
      </c:tx>
      <c:layout>
        <c:manualLayout>
          <c:xMode val="edge"/>
          <c:yMode val="edge"/>
          <c:x val="0.3479789103690685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1019332161686"/>
          <c:y val="0.13513553143631357"/>
          <c:w val="0.82952548330404219"/>
          <c:h val="0.642644527274913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72-443A-981F-6D9D482EA2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-1.0000000002037268E-3</c:v>
                </c:pt>
                <c:pt idx="2">
                  <c:v>-3.1445000000530854E-2</c:v>
                </c:pt>
                <c:pt idx="3">
                  <c:v>5.1129999999830034E-2</c:v>
                </c:pt>
                <c:pt idx="4">
                  <c:v>2.7870000001712469E-2</c:v>
                </c:pt>
                <c:pt idx="5">
                  <c:v>-2.8279999998630956E-2</c:v>
                </c:pt>
                <c:pt idx="6">
                  <c:v>0.1051900000020396</c:v>
                </c:pt>
                <c:pt idx="7">
                  <c:v>4.9500000022817403E-3</c:v>
                </c:pt>
                <c:pt idx="8">
                  <c:v>-4.5177499996498227E-2</c:v>
                </c:pt>
                <c:pt idx="9">
                  <c:v>8.9370000001508743E-2</c:v>
                </c:pt>
                <c:pt idx="10">
                  <c:v>-0.10360249999939697</c:v>
                </c:pt>
                <c:pt idx="11">
                  <c:v>-0.161332499999844</c:v>
                </c:pt>
                <c:pt idx="12">
                  <c:v>6.339999999909196E-2</c:v>
                </c:pt>
                <c:pt idx="13">
                  <c:v>-0.10525749999942491</c:v>
                </c:pt>
                <c:pt idx="14">
                  <c:v>-6.4672499996959232E-2</c:v>
                </c:pt>
                <c:pt idx="15">
                  <c:v>6.872500000463333E-2</c:v>
                </c:pt>
                <c:pt idx="16">
                  <c:v>1.2215000002470333E-2</c:v>
                </c:pt>
                <c:pt idx="17">
                  <c:v>5.2215000003343448E-2</c:v>
                </c:pt>
                <c:pt idx="18">
                  <c:v>2.5560000001860317E-2</c:v>
                </c:pt>
                <c:pt idx="19">
                  <c:v>6.6560000006575137E-2</c:v>
                </c:pt>
                <c:pt idx="20">
                  <c:v>-7.3587499995483086E-2</c:v>
                </c:pt>
                <c:pt idx="21">
                  <c:v>-4.1587499996239785E-2</c:v>
                </c:pt>
                <c:pt idx="22">
                  <c:v>8.0419999998412095E-2</c:v>
                </c:pt>
                <c:pt idx="23">
                  <c:v>-5.1504999995813705E-2</c:v>
                </c:pt>
                <c:pt idx="24">
                  <c:v>-5.5050000009941868E-3</c:v>
                </c:pt>
                <c:pt idx="25">
                  <c:v>-3.5939999994297978E-2</c:v>
                </c:pt>
                <c:pt idx="26">
                  <c:v>-8.9399999924353324E-3</c:v>
                </c:pt>
                <c:pt idx="27">
                  <c:v>-5.0502500002039596E-2</c:v>
                </c:pt>
                <c:pt idx="28">
                  <c:v>-5.1670000000740401E-2</c:v>
                </c:pt>
                <c:pt idx="29">
                  <c:v>9.1450000036275014E-3</c:v>
                </c:pt>
                <c:pt idx="30">
                  <c:v>-2.5592499994672835E-2</c:v>
                </c:pt>
                <c:pt idx="31">
                  <c:v>-7.5414999992062803E-2</c:v>
                </c:pt>
                <c:pt idx="32">
                  <c:v>9.6564999999827705E-2</c:v>
                </c:pt>
                <c:pt idx="33">
                  <c:v>-6.2092499996651895E-2</c:v>
                </c:pt>
                <c:pt idx="34">
                  <c:v>5.0640000001294538E-2</c:v>
                </c:pt>
                <c:pt idx="35">
                  <c:v>5.4620000002614688E-2</c:v>
                </c:pt>
                <c:pt idx="36">
                  <c:v>2.6982500006852206E-2</c:v>
                </c:pt>
                <c:pt idx="37">
                  <c:v>-1.2164999992819503E-2</c:v>
                </c:pt>
                <c:pt idx="38">
                  <c:v>3.1380000000353903E-2</c:v>
                </c:pt>
                <c:pt idx="39">
                  <c:v>-8.3747500000754371E-2</c:v>
                </c:pt>
                <c:pt idx="40">
                  <c:v>-5.874749999929918E-2</c:v>
                </c:pt>
                <c:pt idx="41">
                  <c:v>8.3650000007764902E-2</c:v>
                </c:pt>
                <c:pt idx="42">
                  <c:v>-0.16347749999840744</c:v>
                </c:pt>
                <c:pt idx="43">
                  <c:v>-3.7172499993175734E-2</c:v>
                </c:pt>
                <c:pt idx="44">
                  <c:v>-5.2807500003837049E-2</c:v>
                </c:pt>
                <c:pt idx="48">
                  <c:v>-3.1650000018998981E-3</c:v>
                </c:pt>
                <c:pt idx="49">
                  <c:v>-7.2312499993131496E-2</c:v>
                </c:pt>
                <c:pt idx="56">
                  <c:v>3.1385000002046581E-2</c:v>
                </c:pt>
                <c:pt idx="58">
                  <c:v>3.2380000004195608E-2</c:v>
                </c:pt>
                <c:pt idx="63">
                  <c:v>-3.3092499994381797E-2</c:v>
                </c:pt>
                <c:pt idx="68">
                  <c:v>3.5210000001825392E-2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72-443A-981F-6D9D482EA2C1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45">
                  <c:v>3.3069999997678678E-2</c:v>
                </c:pt>
                <c:pt idx="69">
                  <c:v>3.2280000006721821E-2</c:v>
                </c:pt>
                <c:pt idx="77">
                  <c:v>3.4485000003769528E-2</c:v>
                </c:pt>
                <c:pt idx="79">
                  <c:v>-3.1982499996956903E-2</c:v>
                </c:pt>
                <c:pt idx="82">
                  <c:v>3.5490000002027955E-2</c:v>
                </c:pt>
                <c:pt idx="84">
                  <c:v>-3.020249999826774E-2</c:v>
                </c:pt>
                <c:pt idx="86">
                  <c:v>3.6140000011073425E-2</c:v>
                </c:pt>
                <c:pt idx="87">
                  <c:v>3.5185000007913914E-2</c:v>
                </c:pt>
                <c:pt idx="89">
                  <c:v>-2.8762499998265412E-2</c:v>
                </c:pt>
                <c:pt idx="90">
                  <c:v>3.500000000349246E-2</c:v>
                </c:pt>
                <c:pt idx="91">
                  <c:v>3.6390000008395873E-2</c:v>
                </c:pt>
                <c:pt idx="92">
                  <c:v>3.5065000003669411E-2</c:v>
                </c:pt>
                <c:pt idx="93">
                  <c:v>3.9695000072242692E-2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72-443A-981F-6D9D482EA2C1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46">
                  <c:v>3.093000000808388E-2</c:v>
                </c:pt>
                <c:pt idx="47">
                  <c:v>3.1985000008717179E-2</c:v>
                </c:pt>
                <c:pt idx="50">
                  <c:v>3.1510000000707805E-2</c:v>
                </c:pt>
                <c:pt idx="51">
                  <c:v>-3.4117499999410938E-2</c:v>
                </c:pt>
                <c:pt idx="52">
                  <c:v>-3.4117499999410938E-2</c:v>
                </c:pt>
                <c:pt idx="53">
                  <c:v>-3.2647500003804453E-2</c:v>
                </c:pt>
                <c:pt idx="54">
                  <c:v>-3.2647500003804453E-2</c:v>
                </c:pt>
                <c:pt idx="55">
                  <c:v>3.1365000002551824E-2</c:v>
                </c:pt>
                <c:pt idx="57">
                  <c:v>3.1475000003410969E-2</c:v>
                </c:pt>
                <c:pt idx="59">
                  <c:v>3.2390000007580966E-2</c:v>
                </c:pt>
                <c:pt idx="60">
                  <c:v>3.2170000005862676E-2</c:v>
                </c:pt>
                <c:pt idx="61">
                  <c:v>3.3060000001569279E-2</c:v>
                </c:pt>
                <c:pt idx="62">
                  <c:v>3.2315000011294615E-2</c:v>
                </c:pt>
                <c:pt idx="64">
                  <c:v>-3.3062499998777639E-2</c:v>
                </c:pt>
                <c:pt idx="65">
                  <c:v>3.2240000000456348E-2</c:v>
                </c:pt>
                <c:pt idx="66">
                  <c:v>3.2240000000456348E-2</c:v>
                </c:pt>
                <c:pt idx="70">
                  <c:v>3.3145000001240987E-2</c:v>
                </c:pt>
                <c:pt idx="71">
                  <c:v>-3.2772499995189719E-2</c:v>
                </c:pt>
                <c:pt idx="72">
                  <c:v>-3.2612499999231659E-2</c:v>
                </c:pt>
                <c:pt idx="74">
                  <c:v>-3.2317500001227017E-2</c:v>
                </c:pt>
                <c:pt idx="75">
                  <c:v>-3.2317500001227017E-2</c:v>
                </c:pt>
                <c:pt idx="76">
                  <c:v>3.4915000003820751E-2</c:v>
                </c:pt>
                <c:pt idx="78">
                  <c:v>3.4455000000889413E-2</c:v>
                </c:pt>
                <c:pt idx="80">
                  <c:v>3.4130000000004657E-2</c:v>
                </c:pt>
                <c:pt idx="81">
                  <c:v>-3.2407499995315447E-2</c:v>
                </c:pt>
                <c:pt idx="83">
                  <c:v>3.1670000003941823E-2</c:v>
                </c:pt>
                <c:pt idx="85">
                  <c:v>3.3450000009906944E-2</c:v>
                </c:pt>
                <c:pt idx="88">
                  <c:v>-2.8662499993515667E-2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72-443A-981F-6D9D482EA2C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72-443A-981F-6D9D482EA2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72-443A-981F-6D9D482EA2C1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72-443A-981F-6D9D482EA2C1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4.1981032866658038E-3</c:v>
                </c:pt>
                <c:pt idx="1">
                  <c:v>4.1981032866658038E-3</c:v>
                </c:pt>
                <c:pt idx="2">
                  <c:v>8.7206605429567957E-3</c:v>
                </c:pt>
                <c:pt idx="3">
                  <c:v>9.8533975180946139E-3</c:v>
                </c:pt>
                <c:pt idx="4">
                  <c:v>1.028971101962918E-2</c:v>
                </c:pt>
                <c:pt idx="5">
                  <c:v>1.3058623625521626E-2</c:v>
                </c:pt>
                <c:pt idx="6">
                  <c:v>1.3108967491083307E-2</c:v>
                </c:pt>
                <c:pt idx="7">
                  <c:v>1.3511718415576753E-2</c:v>
                </c:pt>
                <c:pt idx="8">
                  <c:v>1.3515913737706893E-2</c:v>
                </c:pt>
                <c:pt idx="9">
                  <c:v>1.4485033149769249E-2</c:v>
                </c:pt>
                <c:pt idx="10">
                  <c:v>1.4648650712844711E-2</c:v>
                </c:pt>
                <c:pt idx="11">
                  <c:v>1.5034620348817597E-2</c:v>
                </c:pt>
                <c:pt idx="12">
                  <c:v>1.5273753710235581E-2</c:v>
                </c:pt>
                <c:pt idx="13">
                  <c:v>1.5328292897927401E-2</c:v>
                </c:pt>
                <c:pt idx="14">
                  <c:v>1.5605184158516645E-2</c:v>
                </c:pt>
                <c:pt idx="15">
                  <c:v>1.598695847235939E-2</c:v>
                </c:pt>
                <c:pt idx="16">
                  <c:v>1.6003739760879952E-2</c:v>
                </c:pt>
                <c:pt idx="17">
                  <c:v>1.6003739760879952E-2</c:v>
                </c:pt>
                <c:pt idx="18">
                  <c:v>1.6683381945962646E-2</c:v>
                </c:pt>
                <c:pt idx="19">
                  <c:v>1.6683381945962646E-2</c:v>
                </c:pt>
                <c:pt idx="20">
                  <c:v>1.6721139845133903E-2</c:v>
                </c:pt>
                <c:pt idx="21">
                  <c:v>1.6721139845133903E-2</c:v>
                </c:pt>
                <c:pt idx="22">
                  <c:v>1.6918319985250486E-2</c:v>
                </c:pt>
                <c:pt idx="23">
                  <c:v>1.7211992534360291E-2</c:v>
                </c:pt>
                <c:pt idx="24">
                  <c:v>1.7211992534360291E-2</c:v>
                </c:pt>
                <c:pt idx="25">
                  <c:v>1.7522446371990658E-2</c:v>
                </c:pt>
                <c:pt idx="26">
                  <c:v>1.7522446371990658E-2</c:v>
                </c:pt>
                <c:pt idx="27">
                  <c:v>1.7837095531751161E-2</c:v>
                </c:pt>
                <c:pt idx="28">
                  <c:v>1.7908416007963543E-2</c:v>
                </c:pt>
                <c:pt idx="29">
                  <c:v>1.8638402058607915E-2</c:v>
                </c:pt>
                <c:pt idx="30">
                  <c:v>1.8827191554464218E-2</c:v>
                </c:pt>
                <c:pt idx="31">
                  <c:v>1.9578154215759289E-2</c:v>
                </c:pt>
                <c:pt idx="32">
                  <c:v>1.961171679280041E-2</c:v>
                </c:pt>
                <c:pt idx="33">
                  <c:v>1.966625598049223E-2</c:v>
                </c:pt>
                <c:pt idx="34">
                  <c:v>1.9905389341910214E-2</c:v>
                </c:pt>
                <c:pt idx="35">
                  <c:v>1.9938951918951335E-2</c:v>
                </c:pt>
                <c:pt idx="36">
                  <c:v>1.9959928529602034E-2</c:v>
                </c:pt>
                <c:pt idx="37">
                  <c:v>1.9997686428773295E-2</c:v>
                </c:pt>
                <c:pt idx="38">
                  <c:v>2.0341702843444782E-2</c:v>
                </c:pt>
                <c:pt idx="39">
                  <c:v>2.0345898165574923E-2</c:v>
                </c:pt>
                <c:pt idx="40">
                  <c:v>2.0345898165574923E-2</c:v>
                </c:pt>
                <c:pt idx="41">
                  <c:v>2.0727672479417668E-2</c:v>
                </c:pt>
                <c:pt idx="42">
                  <c:v>2.0731867801547808E-2</c:v>
                </c:pt>
                <c:pt idx="43">
                  <c:v>2.1478635140712739E-2</c:v>
                </c:pt>
                <c:pt idx="44">
                  <c:v>2.2124714748754309E-2</c:v>
                </c:pt>
                <c:pt idx="45">
                  <c:v>2.6903186654983847E-2</c:v>
                </c:pt>
                <c:pt idx="46">
                  <c:v>2.8984066431533319E-2</c:v>
                </c:pt>
                <c:pt idx="47">
                  <c:v>2.9814740213301053E-2</c:v>
                </c:pt>
                <c:pt idx="48">
                  <c:v>3.0066459541109456E-2</c:v>
                </c:pt>
                <c:pt idx="49">
                  <c:v>3.0104217440280717E-2</c:v>
                </c:pt>
                <c:pt idx="50">
                  <c:v>3.0527944975424864E-2</c:v>
                </c:pt>
                <c:pt idx="51">
                  <c:v>3.0532140297555004E-2</c:v>
                </c:pt>
                <c:pt idx="52">
                  <c:v>3.0532140297555004E-2</c:v>
                </c:pt>
                <c:pt idx="53">
                  <c:v>3.0582484163116683E-2</c:v>
                </c:pt>
                <c:pt idx="54">
                  <c:v>3.0582484163116683E-2</c:v>
                </c:pt>
                <c:pt idx="55">
                  <c:v>3.0821617524534668E-2</c:v>
                </c:pt>
                <c:pt idx="56">
                  <c:v>3.0821617524534668E-2</c:v>
                </c:pt>
                <c:pt idx="57">
                  <c:v>3.083839881305523E-2</c:v>
                </c:pt>
                <c:pt idx="58">
                  <c:v>3.0913914611397749E-2</c:v>
                </c:pt>
                <c:pt idx="59">
                  <c:v>3.0913914611397749E-2</c:v>
                </c:pt>
                <c:pt idx="60">
                  <c:v>3.0930695899918311E-2</c:v>
                </c:pt>
                <c:pt idx="61">
                  <c:v>3.094747718843887E-2</c:v>
                </c:pt>
                <c:pt idx="62">
                  <c:v>3.1224368449028116E-2</c:v>
                </c:pt>
                <c:pt idx="63">
                  <c:v>3.1245345059678815E-2</c:v>
                </c:pt>
                <c:pt idx="64">
                  <c:v>3.1245345059678815E-2</c:v>
                </c:pt>
                <c:pt idx="65">
                  <c:v>3.14844784210968E-2</c:v>
                </c:pt>
                <c:pt idx="66">
                  <c:v>3.14844784210968E-2</c:v>
                </c:pt>
                <c:pt idx="67">
                  <c:v>3.1530626964528338E-2</c:v>
                </c:pt>
                <c:pt idx="68">
                  <c:v>3.1534822286658479E-2</c:v>
                </c:pt>
                <c:pt idx="69">
                  <c:v>3.1585166152220165E-2</c:v>
                </c:pt>
                <c:pt idx="70">
                  <c:v>3.1643900662042118E-2</c:v>
                </c:pt>
                <c:pt idx="71">
                  <c:v>3.1648095984172259E-2</c:v>
                </c:pt>
                <c:pt idx="72">
                  <c:v>3.1681658561213383E-2</c:v>
                </c:pt>
                <c:pt idx="73">
                  <c:v>3.1937573211151926E-2</c:v>
                </c:pt>
                <c:pt idx="74">
                  <c:v>3.2210269149611032E-2</c:v>
                </c:pt>
                <c:pt idx="75">
                  <c:v>3.2210269149611032E-2</c:v>
                </c:pt>
                <c:pt idx="76">
                  <c:v>3.2264808337302851E-2</c:v>
                </c:pt>
                <c:pt idx="77">
                  <c:v>3.2667559261796299E-2</c:v>
                </c:pt>
                <c:pt idx="78">
                  <c:v>3.2717903127357978E-2</c:v>
                </c:pt>
                <c:pt idx="79">
                  <c:v>3.273887973800868E-2</c:v>
                </c:pt>
                <c:pt idx="80">
                  <c:v>3.3011575676467786E-2</c:v>
                </c:pt>
                <c:pt idx="81">
                  <c:v>3.3032552287118488E-2</c:v>
                </c:pt>
                <c:pt idx="82">
                  <c:v>3.3414326600961233E-2</c:v>
                </c:pt>
                <c:pt idx="83">
                  <c:v>3.344788917800235E-2</c:v>
                </c:pt>
                <c:pt idx="84">
                  <c:v>3.4114945396694622E-2</c:v>
                </c:pt>
                <c:pt idx="85">
                  <c:v>3.4488329066277086E-2</c:v>
                </c:pt>
                <c:pt idx="86">
                  <c:v>3.480717354816773E-2</c:v>
                </c:pt>
                <c:pt idx="87">
                  <c:v>3.4849126769469135E-2</c:v>
                </c:pt>
                <c:pt idx="88">
                  <c:v>3.4886884668640393E-2</c:v>
                </c:pt>
                <c:pt idx="89">
                  <c:v>3.5558136209462805E-2</c:v>
                </c:pt>
                <c:pt idx="90">
                  <c:v>3.5579112820113508E-2</c:v>
                </c:pt>
                <c:pt idx="91">
                  <c:v>3.6602771419867682E-2</c:v>
                </c:pt>
                <c:pt idx="92">
                  <c:v>3.8071134165416708E-2</c:v>
                </c:pt>
                <c:pt idx="93">
                  <c:v>3.8692041840677434E-2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72-443A-981F-6D9D482EA2C1}"/>
            </c:ext>
          </c:extLst>
        </c:ser>
        <c:ser>
          <c:idx val="9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Active!$P$21:$P$995</c:f>
              <c:numCache>
                <c:formatCode>General</c:formatCode>
                <c:ptCount val="975"/>
                <c:pt idx="0">
                  <c:v>-4.7029085269174042E-2</c:v>
                </c:pt>
                <c:pt idx="1">
                  <c:v>-4.7029085269174042E-2</c:v>
                </c:pt>
                <c:pt idx="2">
                  <c:v>-4.442654767212037E-2</c:v>
                </c:pt>
                <c:pt idx="3">
                  <c:v>-4.377470615894366E-2</c:v>
                </c:pt>
                <c:pt idx="4">
                  <c:v>-4.3523626464979301E-2</c:v>
                </c:pt>
                <c:pt idx="5">
                  <c:v>-4.1930236099436233E-2</c:v>
                </c:pt>
                <c:pt idx="6">
                  <c:v>-4.1901265365517269E-2</c:v>
                </c:pt>
                <c:pt idx="7">
                  <c:v>-4.1669499494165547E-2</c:v>
                </c:pt>
                <c:pt idx="8">
                  <c:v>-4.1667085266338971E-2</c:v>
                </c:pt>
                <c:pt idx="9">
                  <c:v>-4.1109398638398895E-2</c:v>
                </c:pt>
                <c:pt idx="10">
                  <c:v>-4.1015243753162262E-2</c:v>
                </c:pt>
                <c:pt idx="11">
                  <c:v>-4.0793134793116859E-2</c:v>
                </c:pt>
                <c:pt idx="12">
                  <c:v>-4.0655523807001777E-2</c:v>
                </c:pt>
                <c:pt idx="13">
                  <c:v>-4.062413884525623E-2</c:v>
                </c:pt>
                <c:pt idx="14">
                  <c:v>-4.0464799808701928E-2</c:v>
                </c:pt>
                <c:pt idx="15">
                  <c:v>-4.0245105076483115E-2</c:v>
                </c:pt>
                <c:pt idx="16">
                  <c:v>-4.0235448165176789E-2</c:v>
                </c:pt>
                <c:pt idx="17">
                  <c:v>-4.0235448165176789E-2</c:v>
                </c:pt>
                <c:pt idx="18">
                  <c:v>-3.9844343257270765E-2</c:v>
                </c:pt>
                <c:pt idx="19">
                  <c:v>-3.9844343257270765E-2</c:v>
                </c:pt>
                <c:pt idx="20">
                  <c:v>-3.9822615206831544E-2</c:v>
                </c:pt>
                <c:pt idx="21">
                  <c:v>-3.9822615206831544E-2</c:v>
                </c:pt>
                <c:pt idx="22">
                  <c:v>-3.9709146498982259E-2</c:v>
                </c:pt>
                <c:pt idx="23">
                  <c:v>-3.9540150551121631E-2</c:v>
                </c:pt>
                <c:pt idx="24">
                  <c:v>-3.9540150551121631E-2</c:v>
                </c:pt>
                <c:pt idx="25">
                  <c:v>-3.9361497691954683E-2</c:v>
                </c:pt>
                <c:pt idx="26">
                  <c:v>-3.9361497691954683E-2</c:v>
                </c:pt>
                <c:pt idx="27">
                  <c:v>-3.9180430604961153E-2</c:v>
                </c:pt>
                <c:pt idx="28">
                  <c:v>-3.9139388731909287E-2</c:v>
                </c:pt>
                <c:pt idx="29">
                  <c:v>-3.8719313090084292E-2</c:v>
                </c:pt>
                <c:pt idx="30">
                  <c:v>-3.8610672837888174E-2</c:v>
                </c:pt>
                <c:pt idx="31">
                  <c:v>-3.8178526056930284E-2</c:v>
                </c:pt>
                <c:pt idx="32">
                  <c:v>-3.8159212234317647E-2</c:v>
                </c:pt>
                <c:pt idx="33">
                  <c:v>-3.81278272725721E-2</c:v>
                </c:pt>
                <c:pt idx="34">
                  <c:v>-3.7990216286457018E-2</c:v>
                </c:pt>
                <c:pt idx="35">
                  <c:v>-3.7970902463844373E-2</c:v>
                </c:pt>
                <c:pt idx="36">
                  <c:v>-3.7958831324711471E-2</c:v>
                </c:pt>
                <c:pt idx="37">
                  <c:v>-3.7937103274272244E-2</c:v>
                </c:pt>
                <c:pt idx="38">
                  <c:v>-3.7739136592492652E-2</c:v>
                </c:pt>
                <c:pt idx="39">
                  <c:v>-3.7736722364666075E-2</c:v>
                </c:pt>
                <c:pt idx="40">
                  <c:v>-3.7736722364666075E-2</c:v>
                </c:pt>
                <c:pt idx="41">
                  <c:v>-3.7517027632447256E-2</c:v>
                </c:pt>
                <c:pt idx="42">
                  <c:v>-3.7514613404620673E-2</c:v>
                </c:pt>
                <c:pt idx="43">
                  <c:v>-3.7084880851489366E-2</c:v>
                </c:pt>
                <c:pt idx="44">
                  <c:v>-3.6713089766195986E-2</c:v>
                </c:pt>
                <c:pt idx="45">
                  <c:v>-3.3963284271720906E-2</c:v>
                </c:pt>
                <c:pt idx="46">
                  <c:v>-3.2765827269737022E-2</c:v>
                </c:pt>
                <c:pt idx="47">
                  <c:v>-3.2287810160074107E-2</c:v>
                </c:pt>
                <c:pt idx="48">
                  <c:v>-3.2142956490479282E-2</c:v>
                </c:pt>
                <c:pt idx="49">
                  <c:v>-3.2121228440040055E-2</c:v>
                </c:pt>
                <c:pt idx="50">
                  <c:v>-3.1877391429555438E-2</c:v>
                </c:pt>
                <c:pt idx="51">
                  <c:v>-3.1874977201728855E-2</c:v>
                </c:pt>
                <c:pt idx="52">
                  <c:v>-3.1874977201728855E-2</c:v>
                </c:pt>
                <c:pt idx="53">
                  <c:v>-3.1846006467809891E-2</c:v>
                </c:pt>
                <c:pt idx="54">
                  <c:v>-3.1846006467809891E-2</c:v>
                </c:pt>
                <c:pt idx="55">
                  <c:v>-3.1708395481694809E-2</c:v>
                </c:pt>
                <c:pt idx="56">
                  <c:v>-3.1708395481694809E-2</c:v>
                </c:pt>
                <c:pt idx="57">
                  <c:v>-3.1698738570388484E-2</c:v>
                </c:pt>
                <c:pt idx="58">
                  <c:v>-3.1655282469510035E-2</c:v>
                </c:pt>
                <c:pt idx="59">
                  <c:v>-3.1655282469510035E-2</c:v>
                </c:pt>
                <c:pt idx="60">
                  <c:v>-3.1645625558203716E-2</c:v>
                </c:pt>
                <c:pt idx="61">
                  <c:v>-3.1635968646897397E-2</c:v>
                </c:pt>
                <c:pt idx="62">
                  <c:v>-3.1476629610343088E-2</c:v>
                </c:pt>
                <c:pt idx="63">
                  <c:v>-3.1464558471210186E-2</c:v>
                </c:pt>
                <c:pt idx="64">
                  <c:v>-3.1464558471210186E-2</c:v>
                </c:pt>
                <c:pt idx="65">
                  <c:v>-3.1326947485095104E-2</c:v>
                </c:pt>
                <c:pt idx="66">
                  <c:v>-3.1326947485095104E-2</c:v>
                </c:pt>
                <c:pt idx="67">
                  <c:v>-3.1300390979002723E-2</c:v>
                </c:pt>
                <c:pt idx="68">
                  <c:v>-3.129797675117614E-2</c:v>
                </c:pt>
                <c:pt idx="69">
                  <c:v>-3.126900601725717E-2</c:v>
                </c:pt>
                <c:pt idx="70">
                  <c:v>-3.1235206827685047E-2</c:v>
                </c:pt>
                <c:pt idx="71">
                  <c:v>-3.1232792599858467E-2</c:v>
                </c:pt>
                <c:pt idx="72">
                  <c:v>-3.1213478777245826E-2</c:v>
                </c:pt>
                <c:pt idx="73">
                  <c:v>-3.1066210879824419E-2</c:v>
                </c:pt>
                <c:pt idx="74">
                  <c:v>-3.0909286071096692E-2</c:v>
                </c:pt>
                <c:pt idx="75">
                  <c:v>-3.0909286071096692E-2</c:v>
                </c:pt>
                <c:pt idx="76">
                  <c:v>-3.0877901109351149E-2</c:v>
                </c:pt>
                <c:pt idx="77">
                  <c:v>-3.0646135237999431E-2</c:v>
                </c:pt>
                <c:pt idx="78">
                  <c:v>-3.0617164504080464E-2</c:v>
                </c:pt>
                <c:pt idx="79">
                  <c:v>-3.0605093364947562E-2</c:v>
                </c:pt>
                <c:pt idx="80">
                  <c:v>-3.0448168556219835E-2</c:v>
                </c:pt>
                <c:pt idx="81">
                  <c:v>-3.0436097417086933E-2</c:v>
                </c:pt>
                <c:pt idx="82">
                  <c:v>-3.0216402684868117E-2</c:v>
                </c:pt>
                <c:pt idx="83">
                  <c:v>-3.0197088862255476E-2</c:v>
                </c:pt>
                <c:pt idx="84">
                  <c:v>-2.981322663782919E-2</c:v>
                </c:pt>
                <c:pt idx="85">
                  <c:v>-2.9598360361263534E-2</c:v>
                </c:pt>
                <c:pt idx="86">
                  <c:v>-2.9414879046443423E-2</c:v>
                </c:pt>
                <c:pt idx="87">
                  <c:v>-2.9390736768177619E-2</c:v>
                </c:pt>
                <c:pt idx="88">
                  <c:v>-2.9369008717738398E-2</c:v>
                </c:pt>
                <c:pt idx="89">
                  <c:v>-2.8982732265485533E-2</c:v>
                </c:pt>
                <c:pt idx="90">
                  <c:v>-2.8970661126352631E-2</c:v>
                </c:pt>
                <c:pt idx="91">
                  <c:v>-2.8381589536667012E-2</c:v>
                </c:pt>
                <c:pt idx="92">
                  <c:v>-2.7536609797363869E-2</c:v>
                </c:pt>
                <c:pt idx="93">
                  <c:v>-2.7179304079029971E-2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72-443A-981F-6D9D482EA2C1}"/>
            </c:ext>
          </c:extLst>
        </c:ser>
        <c:ser>
          <c:idx val="10"/>
          <c:order val="9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Active!$T$21:$T$995</c:f>
              <c:numCache>
                <c:formatCode>General</c:formatCode>
                <c:ptCount val="975"/>
                <c:pt idx="48">
                  <c:v>-3.1650000018998981E-3</c:v>
                </c:pt>
                <c:pt idx="49">
                  <c:v>-7.2312499993131496E-2</c:v>
                </c:pt>
                <c:pt idx="67">
                  <c:v>-1.5662500001781154E-2</c:v>
                </c:pt>
                <c:pt idx="73">
                  <c:v>-1.0834299999987707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972-443A-981F-6D9D482EA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22968"/>
        <c:axId val="1"/>
      </c:scatterChart>
      <c:valAx>
        <c:axId val="853522968"/>
        <c:scaling>
          <c:orientation val="minMax"/>
          <c:min val="-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1089630931461"/>
              <c:y val="0.858861381066105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391915641476276E-2"/>
              <c:y val="0.366367312194083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2296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873462214411256E-3"/>
          <c:y val="0.92192475940507435"/>
          <c:w val="0.98242530755711777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V0459 Cas -- O-C Diagr.</a:t>
            </a:r>
          </a:p>
        </c:rich>
      </c:tx>
      <c:layout>
        <c:manualLayout>
          <c:xMode val="edge"/>
          <c:yMode val="edge"/>
          <c:x val="0.3473689736151401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7917279874726"/>
          <c:y val="0.13473073588770099"/>
          <c:w val="0.82456281620548277"/>
          <c:h val="0.643713515907904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8A-4A23-A4A5-13896798CF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-1.0000000002037268E-3</c:v>
                </c:pt>
                <c:pt idx="2">
                  <c:v>-3.1445000000530854E-2</c:v>
                </c:pt>
                <c:pt idx="3">
                  <c:v>5.1129999999830034E-2</c:v>
                </c:pt>
                <c:pt idx="4">
                  <c:v>2.7870000001712469E-2</c:v>
                </c:pt>
                <c:pt idx="5">
                  <c:v>-2.8279999998630956E-2</c:v>
                </c:pt>
                <c:pt idx="6">
                  <c:v>0.1051900000020396</c:v>
                </c:pt>
                <c:pt idx="7">
                  <c:v>4.9500000022817403E-3</c:v>
                </c:pt>
                <c:pt idx="8">
                  <c:v>-4.5177499996498227E-2</c:v>
                </c:pt>
                <c:pt idx="9">
                  <c:v>8.9370000001508743E-2</c:v>
                </c:pt>
                <c:pt idx="10">
                  <c:v>-0.10360249999939697</c:v>
                </c:pt>
                <c:pt idx="11">
                  <c:v>-0.161332499999844</c:v>
                </c:pt>
                <c:pt idx="12">
                  <c:v>6.339999999909196E-2</c:v>
                </c:pt>
                <c:pt idx="13">
                  <c:v>-0.10525749999942491</c:v>
                </c:pt>
                <c:pt idx="14">
                  <c:v>-6.4672499996959232E-2</c:v>
                </c:pt>
                <c:pt idx="15">
                  <c:v>6.872500000463333E-2</c:v>
                </c:pt>
                <c:pt idx="16">
                  <c:v>1.2215000002470333E-2</c:v>
                </c:pt>
                <c:pt idx="17">
                  <c:v>5.2215000003343448E-2</c:v>
                </c:pt>
                <c:pt idx="18">
                  <c:v>2.5560000001860317E-2</c:v>
                </c:pt>
                <c:pt idx="19">
                  <c:v>6.6560000006575137E-2</c:v>
                </c:pt>
                <c:pt idx="20">
                  <c:v>-7.3587499995483086E-2</c:v>
                </c:pt>
                <c:pt idx="21">
                  <c:v>-4.1587499996239785E-2</c:v>
                </c:pt>
                <c:pt idx="22">
                  <c:v>8.0419999998412095E-2</c:v>
                </c:pt>
                <c:pt idx="23">
                  <c:v>-5.1504999995813705E-2</c:v>
                </c:pt>
                <c:pt idx="24">
                  <c:v>-5.5050000009941868E-3</c:v>
                </c:pt>
                <c:pt idx="25">
                  <c:v>-3.5939999994297978E-2</c:v>
                </c:pt>
                <c:pt idx="26">
                  <c:v>-8.9399999924353324E-3</c:v>
                </c:pt>
                <c:pt idx="27">
                  <c:v>-5.0502500002039596E-2</c:v>
                </c:pt>
                <c:pt idx="28">
                  <c:v>-5.1670000000740401E-2</c:v>
                </c:pt>
                <c:pt idx="29">
                  <c:v>9.1450000036275014E-3</c:v>
                </c:pt>
                <c:pt idx="30">
                  <c:v>-2.5592499994672835E-2</c:v>
                </c:pt>
                <c:pt idx="31">
                  <c:v>-7.5414999992062803E-2</c:v>
                </c:pt>
                <c:pt idx="32">
                  <c:v>9.6564999999827705E-2</c:v>
                </c:pt>
                <c:pt idx="33">
                  <c:v>-6.2092499996651895E-2</c:v>
                </c:pt>
                <c:pt idx="34">
                  <c:v>5.0640000001294538E-2</c:v>
                </c:pt>
                <c:pt idx="35">
                  <c:v>5.4620000002614688E-2</c:v>
                </c:pt>
                <c:pt idx="36">
                  <c:v>2.6982500006852206E-2</c:v>
                </c:pt>
                <c:pt idx="37">
                  <c:v>-1.2164999992819503E-2</c:v>
                </c:pt>
                <c:pt idx="38">
                  <c:v>3.1380000000353903E-2</c:v>
                </c:pt>
                <c:pt idx="39">
                  <c:v>-8.3747500000754371E-2</c:v>
                </c:pt>
                <c:pt idx="40">
                  <c:v>-5.874749999929918E-2</c:v>
                </c:pt>
                <c:pt idx="41">
                  <c:v>8.3650000007764902E-2</c:v>
                </c:pt>
                <c:pt idx="42">
                  <c:v>-0.16347749999840744</c:v>
                </c:pt>
                <c:pt idx="43">
                  <c:v>-3.7172499993175734E-2</c:v>
                </c:pt>
                <c:pt idx="44">
                  <c:v>-5.2807500003837049E-2</c:v>
                </c:pt>
                <c:pt idx="48">
                  <c:v>-3.1650000018998981E-3</c:v>
                </c:pt>
                <c:pt idx="49">
                  <c:v>-7.2312499993131496E-2</c:v>
                </c:pt>
                <c:pt idx="56">
                  <c:v>3.1385000002046581E-2</c:v>
                </c:pt>
                <c:pt idx="58">
                  <c:v>3.2380000004195608E-2</c:v>
                </c:pt>
                <c:pt idx="63">
                  <c:v>-3.3092499994381797E-2</c:v>
                </c:pt>
                <c:pt idx="68">
                  <c:v>3.5210000001825392E-2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8A-4A23-A4A5-13896798CF6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45">
                  <c:v>3.3069999997678678E-2</c:v>
                </c:pt>
                <c:pt idx="69">
                  <c:v>3.2280000006721821E-2</c:v>
                </c:pt>
                <c:pt idx="77">
                  <c:v>3.4485000003769528E-2</c:v>
                </c:pt>
                <c:pt idx="79">
                  <c:v>-3.1982499996956903E-2</c:v>
                </c:pt>
                <c:pt idx="82">
                  <c:v>3.5490000002027955E-2</c:v>
                </c:pt>
                <c:pt idx="84">
                  <c:v>-3.020249999826774E-2</c:v>
                </c:pt>
                <c:pt idx="86">
                  <c:v>3.6140000011073425E-2</c:v>
                </c:pt>
                <c:pt idx="87">
                  <c:v>3.5185000007913914E-2</c:v>
                </c:pt>
                <c:pt idx="89">
                  <c:v>-2.8762499998265412E-2</c:v>
                </c:pt>
                <c:pt idx="90">
                  <c:v>3.500000000349246E-2</c:v>
                </c:pt>
                <c:pt idx="91">
                  <c:v>3.6390000008395873E-2</c:v>
                </c:pt>
                <c:pt idx="92">
                  <c:v>3.5065000003669411E-2</c:v>
                </c:pt>
                <c:pt idx="93">
                  <c:v>3.9695000072242692E-2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8A-4A23-A4A5-13896798CF6B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46">
                  <c:v>3.093000000808388E-2</c:v>
                </c:pt>
                <c:pt idx="47">
                  <c:v>3.1985000008717179E-2</c:v>
                </c:pt>
                <c:pt idx="50">
                  <c:v>3.1510000000707805E-2</c:v>
                </c:pt>
                <c:pt idx="51">
                  <c:v>-3.4117499999410938E-2</c:v>
                </c:pt>
                <c:pt idx="52">
                  <c:v>-3.4117499999410938E-2</c:v>
                </c:pt>
                <c:pt idx="53">
                  <c:v>-3.2647500003804453E-2</c:v>
                </c:pt>
                <c:pt idx="54">
                  <c:v>-3.2647500003804453E-2</c:v>
                </c:pt>
                <c:pt idx="55">
                  <c:v>3.1365000002551824E-2</c:v>
                </c:pt>
                <c:pt idx="57">
                  <c:v>3.1475000003410969E-2</c:v>
                </c:pt>
                <c:pt idx="59">
                  <c:v>3.2390000007580966E-2</c:v>
                </c:pt>
                <c:pt idx="60">
                  <c:v>3.2170000005862676E-2</c:v>
                </c:pt>
                <c:pt idx="61">
                  <c:v>3.3060000001569279E-2</c:v>
                </c:pt>
                <c:pt idx="62">
                  <c:v>3.2315000011294615E-2</c:v>
                </c:pt>
                <c:pt idx="64">
                  <c:v>-3.3062499998777639E-2</c:v>
                </c:pt>
                <c:pt idx="65">
                  <c:v>3.2240000000456348E-2</c:v>
                </c:pt>
                <c:pt idx="66">
                  <c:v>3.2240000000456348E-2</c:v>
                </c:pt>
                <c:pt idx="70">
                  <c:v>3.3145000001240987E-2</c:v>
                </c:pt>
                <c:pt idx="71">
                  <c:v>-3.2772499995189719E-2</c:v>
                </c:pt>
                <c:pt idx="72">
                  <c:v>-3.2612499999231659E-2</c:v>
                </c:pt>
                <c:pt idx="74">
                  <c:v>-3.2317500001227017E-2</c:v>
                </c:pt>
                <c:pt idx="75">
                  <c:v>-3.2317500001227017E-2</c:v>
                </c:pt>
                <c:pt idx="76">
                  <c:v>3.4915000003820751E-2</c:v>
                </c:pt>
                <c:pt idx="78">
                  <c:v>3.4455000000889413E-2</c:v>
                </c:pt>
                <c:pt idx="80">
                  <c:v>3.4130000000004657E-2</c:v>
                </c:pt>
                <c:pt idx="81">
                  <c:v>-3.2407499995315447E-2</c:v>
                </c:pt>
                <c:pt idx="83">
                  <c:v>3.1670000003941823E-2</c:v>
                </c:pt>
                <c:pt idx="85">
                  <c:v>3.3450000009906944E-2</c:v>
                </c:pt>
                <c:pt idx="88">
                  <c:v>-2.8662499993515667E-2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8A-4A23-A4A5-13896798CF6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8A-4A23-A4A5-13896798CF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8A-4A23-A4A5-13896798CF6B}"/>
            </c:ext>
          </c:extLst>
        </c:ser>
        <c:ser>
          <c:idx val="7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8A-4A23-A4A5-13896798CF6B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4.1981032866658038E-3</c:v>
                </c:pt>
                <c:pt idx="1">
                  <c:v>4.1981032866658038E-3</c:v>
                </c:pt>
                <c:pt idx="2">
                  <c:v>8.7206605429567957E-3</c:v>
                </c:pt>
                <c:pt idx="3">
                  <c:v>9.8533975180946139E-3</c:v>
                </c:pt>
                <c:pt idx="4">
                  <c:v>1.028971101962918E-2</c:v>
                </c:pt>
                <c:pt idx="5">
                  <c:v>1.3058623625521626E-2</c:v>
                </c:pt>
                <c:pt idx="6">
                  <c:v>1.3108967491083307E-2</c:v>
                </c:pt>
                <c:pt idx="7">
                  <c:v>1.3511718415576753E-2</c:v>
                </c:pt>
                <c:pt idx="8">
                  <c:v>1.3515913737706893E-2</c:v>
                </c:pt>
                <c:pt idx="9">
                  <c:v>1.4485033149769249E-2</c:v>
                </c:pt>
                <c:pt idx="10">
                  <c:v>1.4648650712844711E-2</c:v>
                </c:pt>
                <c:pt idx="11">
                  <c:v>1.5034620348817597E-2</c:v>
                </c:pt>
                <c:pt idx="12">
                  <c:v>1.5273753710235581E-2</c:v>
                </c:pt>
                <c:pt idx="13">
                  <c:v>1.5328292897927401E-2</c:v>
                </c:pt>
                <c:pt idx="14">
                  <c:v>1.5605184158516645E-2</c:v>
                </c:pt>
                <c:pt idx="15">
                  <c:v>1.598695847235939E-2</c:v>
                </c:pt>
                <c:pt idx="16">
                  <c:v>1.6003739760879952E-2</c:v>
                </c:pt>
                <c:pt idx="17">
                  <c:v>1.6003739760879952E-2</c:v>
                </c:pt>
                <c:pt idx="18">
                  <c:v>1.6683381945962646E-2</c:v>
                </c:pt>
                <c:pt idx="19">
                  <c:v>1.6683381945962646E-2</c:v>
                </c:pt>
                <c:pt idx="20">
                  <c:v>1.6721139845133903E-2</c:v>
                </c:pt>
                <c:pt idx="21">
                  <c:v>1.6721139845133903E-2</c:v>
                </c:pt>
                <c:pt idx="22">
                  <c:v>1.6918319985250486E-2</c:v>
                </c:pt>
                <c:pt idx="23">
                  <c:v>1.7211992534360291E-2</c:v>
                </c:pt>
                <c:pt idx="24">
                  <c:v>1.7211992534360291E-2</c:v>
                </c:pt>
                <c:pt idx="25">
                  <c:v>1.7522446371990658E-2</c:v>
                </c:pt>
                <c:pt idx="26">
                  <c:v>1.7522446371990658E-2</c:v>
                </c:pt>
                <c:pt idx="27">
                  <c:v>1.7837095531751161E-2</c:v>
                </c:pt>
                <c:pt idx="28">
                  <c:v>1.7908416007963543E-2</c:v>
                </c:pt>
                <c:pt idx="29">
                  <c:v>1.8638402058607915E-2</c:v>
                </c:pt>
                <c:pt idx="30">
                  <c:v>1.8827191554464218E-2</c:v>
                </c:pt>
                <c:pt idx="31">
                  <c:v>1.9578154215759289E-2</c:v>
                </c:pt>
                <c:pt idx="32">
                  <c:v>1.961171679280041E-2</c:v>
                </c:pt>
                <c:pt idx="33">
                  <c:v>1.966625598049223E-2</c:v>
                </c:pt>
                <c:pt idx="34">
                  <c:v>1.9905389341910214E-2</c:v>
                </c:pt>
                <c:pt idx="35">
                  <c:v>1.9938951918951335E-2</c:v>
                </c:pt>
                <c:pt idx="36">
                  <c:v>1.9959928529602034E-2</c:v>
                </c:pt>
                <c:pt idx="37">
                  <c:v>1.9997686428773295E-2</c:v>
                </c:pt>
                <c:pt idx="38">
                  <c:v>2.0341702843444782E-2</c:v>
                </c:pt>
                <c:pt idx="39">
                  <c:v>2.0345898165574923E-2</c:v>
                </c:pt>
                <c:pt idx="40">
                  <c:v>2.0345898165574923E-2</c:v>
                </c:pt>
                <c:pt idx="41">
                  <c:v>2.0727672479417668E-2</c:v>
                </c:pt>
                <c:pt idx="42">
                  <c:v>2.0731867801547808E-2</c:v>
                </c:pt>
                <c:pt idx="43">
                  <c:v>2.1478635140712739E-2</c:v>
                </c:pt>
                <c:pt idx="44">
                  <c:v>2.2124714748754309E-2</c:v>
                </c:pt>
                <c:pt idx="45">
                  <c:v>2.6903186654983847E-2</c:v>
                </c:pt>
                <c:pt idx="46">
                  <c:v>2.8984066431533319E-2</c:v>
                </c:pt>
                <c:pt idx="47">
                  <c:v>2.9814740213301053E-2</c:v>
                </c:pt>
                <c:pt idx="48">
                  <c:v>3.0066459541109456E-2</c:v>
                </c:pt>
                <c:pt idx="49">
                  <c:v>3.0104217440280717E-2</c:v>
                </c:pt>
                <c:pt idx="50">
                  <c:v>3.0527944975424864E-2</c:v>
                </c:pt>
                <c:pt idx="51">
                  <c:v>3.0532140297555004E-2</c:v>
                </c:pt>
                <c:pt idx="52">
                  <c:v>3.0532140297555004E-2</c:v>
                </c:pt>
                <c:pt idx="53">
                  <c:v>3.0582484163116683E-2</c:v>
                </c:pt>
                <c:pt idx="54">
                  <c:v>3.0582484163116683E-2</c:v>
                </c:pt>
                <c:pt idx="55">
                  <c:v>3.0821617524534668E-2</c:v>
                </c:pt>
                <c:pt idx="56">
                  <c:v>3.0821617524534668E-2</c:v>
                </c:pt>
                <c:pt idx="57">
                  <c:v>3.083839881305523E-2</c:v>
                </c:pt>
                <c:pt idx="58">
                  <c:v>3.0913914611397749E-2</c:v>
                </c:pt>
                <c:pt idx="59">
                  <c:v>3.0913914611397749E-2</c:v>
                </c:pt>
                <c:pt idx="60">
                  <c:v>3.0930695899918311E-2</c:v>
                </c:pt>
                <c:pt idx="61">
                  <c:v>3.094747718843887E-2</c:v>
                </c:pt>
                <c:pt idx="62">
                  <c:v>3.1224368449028116E-2</c:v>
                </c:pt>
                <c:pt idx="63">
                  <c:v>3.1245345059678815E-2</c:v>
                </c:pt>
                <c:pt idx="64">
                  <c:v>3.1245345059678815E-2</c:v>
                </c:pt>
                <c:pt idx="65">
                  <c:v>3.14844784210968E-2</c:v>
                </c:pt>
                <c:pt idx="66">
                  <c:v>3.14844784210968E-2</c:v>
                </c:pt>
                <c:pt idx="67">
                  <c:v>3.1530626964528338E-2</c:v>
                </c:pt>
                <c:pt idx="68">
                  <c:v>3.1534822286658479E-2</c:v>
                </c:pt>
                <c:pt idx="69">
                  <c:v>3.1585166152220165E-2</c:v>
                </c:pt>
                <c:pt idx="70">
                  <c:v>3.1643900662042118E-2</c:v>
                </c:pt>
                <c:pt idx="71">
                  <c:v>3.1648095984172259E-2</c:v>
                </c:pt>
                <c:pt idx="72">
                  <c:v>3.1681658561213383E-2</c:v>
                </c:pt>
                <c:pt idx="73">
                  <c:v>3.1937573211151926E-2</c:v>
                </c:pt>
                <c:pt idx="74">
                  <c:v>3.2210269149611032E-2</c:v>
                </c:pt>
                <c:pt idx="75">
                  <c:v>3.2210269149611032E-2</c:v>
                </c:pt>
                <c:pt idx="76">
                  <c:v>3.2264808337302851E-2</c:v>
                </c:pt>
                <c:pt idx="77">
                  <c:v>3.2667559261796299E-2</c:v>
                </c:pt>
                <c:pt idx="78">
                  <c:v>3.2717903127357978E-2</c:v>
                </c:pt>
                <c:pt idx="79">
                  <c:v>3.273887973800868E-2</c:v>
                </c:pt>
                <c:pt idx="80">
                  <c:v>3.3011575676467786E-2</c:v>
                </c:pt>
                <c:pt idx="81">
                  <c:v>3.3032552287118488E-2</c:v>
                </c:pt>
                <c:pt idx="82">
                  <c:v>3.3414326600961233E-2</c:v>
                </c:pt>
                <c:pt idx="83">
                  <c:v>3.344788917800235E-2</c:v>
                </c:pt>
                <c:pt idx="84">
                  <c:v>3.4114945396694622E-2</c:v>
                </c:pt>
                <c:pt idx="85">
                  <c:v>3.4488329066277086E-2</c:v>
                </c:pt>
                <c:pt idx="86">
                  <c:v>3.480717354816773E-2</c:v>
                </c:pt>
                <c:pt idx="87">
                  <c:v>3.4849126769469135E-2</c:v>
                </c:pt>
                <c:pt idx="88">
                  <c:v>3.4886884668640393E-2</c:v>
                </c:pt>
                <c:pt idx="89">
                  <c:v>3.5558136209462805E-2</c:v>
                </c:pt>
                <c:pt idx="90">
                  <c:v>3.5579112820113508E-2</c:v>
                </c:pt>
                <c:pt idx="91">
                  <c:v>3.6602771419867682E-2</c:v>
                </c:pt>
                <c:pt idx="92">
                  <c:v>3.8071134165416708E-2</c:v>
                </c:pt>
                <c:pt idx="93">
                  <c:v>3.8692041840677434E-2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8A-4A23-A4A5-13896798CF6B}"/>
            </c:ext>
          </c:extLst>
        </c:ser>
        <c:ser>
          <c:idx val="9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Active!$P$21:$P$995</c:f>
              <c:numCache>
                <c:formatCode>General</c:formatCode>
                <c:ptCount val="975"/>
                <c:pt idx="0">
                  <c:v>-4.7029085269174042E-2</c:v>
                </c:pt>
                <c:pt idx="1">
                  <c:v>-4.7029085269174042E-2</c:v>
                </c:pt>
                <c:pt idx="2">
                  <c:v>-4.442654767212037E-2</c:v>
                </c:pt>
                <c:pt idx="3">
                  <c:v>-4.377470615894366E-2</c:v>
                </c:pt>
                <c:pt idx="4">
                  <c:v>-4.3523626464979301E-2</c:v>
                </c:pt>
                <c:pt idx="5">
                  <c:v>-4.1930236099436233E-2</c:v>
                </c:pt>
                <c:pt idx="6">
                  <c:v>-4.1901265365517269E-2</c:v>
                </c:pt>
                <c:pt idx="7">
                  <c:v>-4.1669499494165547E-2</c:v>
                </c:pt>
                <c:pt idx="8">
                  <c:v>-4.1667085266338971E-2</c:v>
                </c:pt>
                <c:pt idx="9">
                  <c:v>-4.1109398638398895E-2</c:v>
                </c:pt>
                <c:pt idx="10">
                  <c:v>-4.1015243753162262E-2</c:v>
                </c:pt>
                <c:pt idx="11">
                  <c:v>-4.0793134793116859E-2</c:v>
                </c:pt>
                <c:pt idx="12">
                  <c:v>-4.0655523807001777E-2</c:v>
                </c:pt>
                <c:pt idx="13">
                  <c:v>-4.062413884525623E-2</c:v>
                </c:pt>
                <c:pt idx="14">
                  <c:v>-4.0464799808701928E-2</c:v>
                </c:pt>
                <c:pt idx="15">
                  <c:v>-4.0245105076483115E-2</c:v>
                </c:pt>
                <c:pt idx="16">
                  <c:v>-4.0235448165176789E-2</c:v>
                </c:pt>
                <c:pt idx="17">
                  <c:v>-4.0235448165176789E-2</c:v>
                </c:pt>
                <c:pt idx="18">
                  <c:v>-3.9844343257270765E-2</c:v>
                </c:pt>
                <c:pt idx="19">
                  <c:v>-3.9844343257270765E-2</c:v>
                </c:pt>
                <c:pt idx="20">
                  <c:v>-3.9822615206831544E-2</c:v>
                </c:pt>
                <c:pt idx="21">
                  <c:v>-3.9822615206831544E-2</c:v>
                </c:pt>
                <c:pt idx="22">
                  <c:v>-3.9709146498982259E-2</c:v>
                </c:pt>
                <c:pt idx="23">
                  <c:v>-3.9540150551121631E-2</c:v>
                </c:pt>
                <c:pt idx="24">
                  <c:v>-3.9540150551121631E-2</c:v>
                </c:pt>
                <c:pt idx="25">
                  <c:v>-3.9361497691954683E-2</c:v>
                </c:pt>
                <c:pt idx="26">
                  <c:v>-3.9361497691954683E-2</c:v>
                </c:pt>
                <c:pt idx="27">
                  <c:v>-3.9180430604961153E-2</c:v>
                </c:pt>
                <c:pt idx="28">
                  <c:v>-3.9139388731909287E-2</c:v>
                </c:pt>
                <c:pt idx="29">
                  <c:v>-3.8719313090084292E-2</c:v>
                </c:pt>
                <c:pt idx="30">
                  <c:v>-3.8610672837888174E-2</c:v>
                </c:pt>
                <c:pt idx="31">
                  <c:v>-3.8178526056930284E-2</c:v>
                </c:pt>
                <c:pt idx="32">
                  <c:v>-3.8159212234317647E-2</c:v>
                </c:pt>
                <c:pt idx="33">
                  <c:v>-3.81278272725721E-2</c:v>
                </c:pt>
                <c:pt idx="34">
                  <c:v>-3.7990216286457018E-2</c:v>
                </c:pt>
                <c:pt idx="35">
                  <c:v>-3.7970902463844373E-2</c:v>
                </c:pt>
                <c:pt idx="36">
                  <c:v>-3.7958831324711471E-2</c:v>
                </c:pt>
                <c:pt idx="37">
                  <c:v>-3.7937103274272244E-2</c:v>
                </c:pt>
                <c:pt idx="38">
                  <c:v>-3.7739136592492652E-2</c:v>
                </c:pt>
                <c:pt idx="39">
                  <c:v>-3.7736722364666075E-2</c:v>
                </c:pt>
                <c:pt idx="40">
                  <c:v>-3.7736722364666075E-2</c:v>
                </c:pt>
                <c:pt idx="41">
                  <c:v>-3.7517027632447256E-2</c:v>
                </c:pt>
                <c:pt idx="42">
                  <c:v>-3.7514613404620673E-2</c:v>
                </c:pt>
                <c:pt idx="43">
                  <c:v>-3.7084880851489366E-2</c:v>
                </c:pt>
                <c:pt idx="44">
                  <c:v>-3.6713089766195986E-2</c:v>
                </c:pt>
                <c:pt idx="45">
                  <c:v>-3.3963284271720906E-2</c:v>
                </c:pt>
                <c:pt idx="46">
                  <c:v>-3.2765827269737022E-2</c:v>
                </c:pt>
                <c:pt idx="47">
                  <c:v>-3.2287810160074107E-2</c:v>
                </c:pt>
                <c:pt idx="48">
                  <c:v>-3.2142956490479282E-2</c:v>
                </c:pt>
                <c:pt idx="49">
                  <c:v>-3.2121228440040055E-2</c:v>
                </c:pt>
                <c:pt idx="50">
                  <c:v>-3.1877391429555438E-2</c:v>
                </c:pt>
                <c:pt idx="51">
                  <c:v>-3.1874977201728855E-2</c:v>
                </c:pt>
                <c:pt idx="52">
                  <c:v>-3.1874977201728855E-2</c:v>
                </c:pt>
                <c:pt idx="53">
                  <c:v>-3.1846006467809891E-2</c:v>
                </c:pt>
                <c:pt idx="54">
                  <c:v>-3.1846006467809891E-2</c:v>
                </c:pt>
                <c:pt idx="55">
                  <c:v>-3.1708395481694809E-2</c:v>
                </c:pt>
                <c:pt idx="56">
                  <c:v>-3.1708395481694809E-2</c:v>
                </c:pt>
                <c:pt idx="57">
                  <c:v>-3.1698738570388484E-2</c:v>
                </c:pt>
                <c:pt idx="58">
                  <c:v>-3.1655282469510035E-2</c:v>
                </c:pt>
                <c:pt idx="59">
                  <c:v>-3.1655282469510035E-2</c:v>
                </c:pt>
                <c:pt idx="60">
                  <c:v>-3.1645625558203716E-2</c:v>
                </c:pt>
                <c:pt idx="61">
                  <c:v>-3.1635968646897397E-2</c:v>
                </c:pt>
                <c:pt idx="62">
                  <c:v>-3.1476629610343088E-2</c:v>
                </c:pt>
                <c:pt idx="63">
                  <c:v>-3.1464558471210186E-2</c:v>
                </c:pt>
                <c:pt idx="64">
                  <c:v>-3.1464558471210186E-2</c:v>
                </c:pt>
                <c:pt idx="65">
                  <c:v>-3.1326947485095104E-2</c:v>
                </c:pt>
                <c:pt idx="66">
                  <c:v>-3.1326947485095104E-2</c:v>
                </c:pt>
                <c:pt idx="67">
                  <c:v>-3.1300390979002723E-2</c:v>
                </c:pt>
                <c:pt idx="68">
                  <c:v>-3.129797675117614E-2</c:v>
                </c:pt>
                <c:pt idx="69">
                  <c:v>-3.126900601725717E-2</c:v>
                </c:pt>
                <c:pt idx="70">
                  <c:v>-3.1235206827685047E-2</c:v>
                </c:pt>
                <c:pt idx="71">
                  <c:v>-3.1232792599858467E-2</c:v>
                </c:pt>
                <c:pt idx="72">
                  <c:v>-3.1213478777245826E-2</c:v>
                </c:pt>
                <c:pt idx="73">
                  <c:v>-3.1066210879824419E-2</c:v>
                </c:pt>
                <c:pt idx="74">
                  <c:v>-3.0909286071096692E-2</c:v>
                </c:pt>
                <c:pt idx="75">
                  <c:v>-3.0909286071096692E-2</c:v>
                </c:pt>
                <c:pt idx="76">
                  <c:v>-3.0877901109351149E-2</c:v>
                </c:pt>
                <c:pt idx="77">
                  <c:v>-3.0646135237999431E-2</c:v>
                </c:pt>
                <c:pt idx="78">
                  <c:v>-3.0617164504080464E-2</c:v>
                </c:pt>
                <c:pt idx="79">
                  <c:v>-3.0605093364947562E-2</c:v>
                </c:pt>
                <c:pt idx="80">
                  <c:v>-3.0448168556219835E-2</c:v>
                </c:pt>
                <c:pt idx="81">
                  <c:v>-3.0436097417086933E-2</c:v>
                </c:pt>
                <c:pt idx="82">
                  <c:v>-3.0216402684868117E-2</c:v>
                </c:pt>
                <c:pt idx="83">
                  <c:v>-3.0197088862255476E-2</c:v>
                </c:pt>
                <c:pt idx="84">
                  <c:v>-2.981322663782919E-2</c:v>
                </c:pt>
                <c:pt idx="85">
                  <c:v>-2.9598360361263534E-2</c:v>
                </c:pt>
                <c:pt idx="86">
                  <c:v>-2.9414879046443423E-2</c:v>
                </c:pt>
                <c:pt idx="87">
                  <c:v>-2.9390736768177619E-2</c:v>
                </c:pt>
                <c:pt idx="88">
                  <c:v>-2.9369008717738398E-2</c:v>
                </c:pt>
                <c:pt idx="89">
                  <c:v>-2.8982732265485533E-2</c:v>
                </c:pt>
                <c:pt idx="90">
                  <c:v>-2.8970661126352631E-2</c:v>
                </c:pt>
                <c:pt idx="91">
                  <c:v>-2.8381589536667012E-2</c:v>
                </c:pt>
                <c:pt idx="92">
                  <c:v>-2.7536609797363869E-2</c:v>
                </c:pt>
                <c:pt idx="93">
                  <c:v>-2.7179304079029971E-2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8A-4A23-A4A5-13896798CF6B}"/>
            </c:ext>
          </c:extLst>
        </c:ser>
        <c:ser>
          <c:idx val="10"/>
          <c:order val="9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0</c:v>
                </c:pt>
                <c:pt idx="2">
                  <c:v>539</c:v>
                </c:pt>
                <c:pt idx="3">
                  <c:v>674</c:v>
                </c:pt>
                <c:pt idx="4">
                  <c:v>726</c:v>
                </c:pt>
                <c:pt idx="5">
                  <c:v>1056</c:v>
                </c:pt>
                <c:pt idx="6">
                  <c:v>1062</c:v>
                </c:pt>
                <c:pt idx="7">
                  <c:v>1110</c:v>
                </c:pt>
                <c:pt idx="8">
                  <c:v>1110.5</c:v>
                </c:pt>
                <c:pt idx="9">
                  <c:v>1226</c:v>
                </c:pt>
                <c:pt idx="10">
                  <c:v>1245.5</c:v>
                </c:pt>
                <c:pt idx="11">
                  <c:v>1291.5</c:v>
                </c:pt>
                <c:pt idx="12">
                  <c:v>1320</c:v>
                </c:pt>
                <c:pt idx="13">
                  <c:v>1326.5</c:v>
                </c:pt>
                <c:pt idx="14">
                  <c:v>1359.5</c:v>
                </c:pt>
                <c:pt idx="15">
                  <c:v>1405</c:v>
                </c:pt>
                <c:pt idx="16">
                  <c:v>1407</c:v>
                </c:pt>
                <c:pt idx="17">
                  <c:v>1407</c:v>
                </c:pt>
                <c:pt idx="18">
                  <c:v>1488</c:v>
                </c:pt>
                <c:pt idx="19">
                  <c:v>1488</c:v>
                </c:pt>
                <c:pt idx="20">
                  <c:v>1492.5</c:v>
                </c:pt>
                <c:pt idx="21">
                  <c:v>1492.5</c:v>
                </c:pt>
                <c:pt idx="22">
                  <c:v>1516</c:v>
                </c:pt>
                <c:pt idx="23">
                  <c:v>1551</c:v>
                </c:pt>
                <c:pt idx="24">
                  <c:v>1551</c:v>
                </c:pt>
                <c:pt idx="25">
                  <c:v>1588</c:v>
                </c:pt>
                <c:pt idx="26">
                  <c:v>1588</c:v>
                </c:pt>
                <c:pt idx="27">
                  <c:v>1625.5</c:v>
                </c:pt>
                <c:pt idx="28">
                  <c:v>1634</c:v>
                </c:pt>
                <c:pt idx="29">
                  <c:v>1721</c:v>
                </c:pt>
                <c:pt idx="30">
                  <c:v>1743.5</c:v>
                </c:pt>
                <c:pt idx="31">
                  <c:v>1833</c:v>
                </c:pt>
                <c:pt idx="32">
                  <c:v>1837</c:v>
                </c:pt>
                <c:pt idx="33">
                  <c:v>1843.5</c:v>
                </c:pt>
                <c:pt idx="34">
                  <c:v>1872</c:v>
                </c:pt>
                <c:pt idx="35">
                  <c:v>1876</c:v>
                </c:pt>
                <c:pt idx="36">
                  <c:v>1878.5</c:v>
                </c:pt>
                <c:pt idx="37">
                  <c:v>1883</c:v>
                </c:pt>
                <c:pt idx="38">
                  <c:v>1924</c:v>
                </c:pt>
                <c:pt idx="39">
                  <c:v>1924.5</c:v>
                </c:pt>
                <c:pt idx="40">
                  <c:v>1924.5</c:v>
                </c:pt>
                <c:pt idx="41">
                  <c:v>1970</c:v>
                </c:pt>
                <c:pt idx="42">
                  <c:v>1970.5</c:v>
                </c:pt>
                <c:pt idx="43">
                  <c:v>2059.5</c:v>
                </c:pt>
                <c:pt idx="44">
                  <c:v>2136.5</c:v>
                </c:pt>
                <c:pt idx="45">
                  <c:v>2706</c:v>
                </c:pt>
                <c:pt idx="46">
                  <c:v>2954</c:v>
                </c:pt>
                <c:pt idx="47">
                  <c:v>3053</c:v>
                </c:pt>
                <c:pt idx="48">
                  <c:v>3083</c:v>
                </c:pt>
                <c:pt idx="49">
                  <c:v>3087.5</c:v>
                </c:pt>
                <c:pt idx="50">
                  <c:v>3138</c:v>
                </c:pt>
                <c:pt idx="51">
                  <c:v>3138.5</c:v>
                </c:pt>
                <c:pt idx="52">
                  <c:v>3138.5</c:v>
                </c:pt>
                <c:pt idx="53">
                  <c:v>3144.5</c:v>
                </c:pt>
                <c:pt idx="54">
                  <c:v>3144.5</c:v>
                </c:pt>
                <c:pt idx="55">
                  <c:v>3173</c:v>
                </c:pt>
                <c:pt idx="56">
                  <c:v>3173</c:v>
                </c:pt>
                <c:pt idx="57">
                  <c:v>3175</c:v>
                </c:pt>
                <c:pt idx="58">
                  <c:v>3184</c:v>
                </c:pt>
                <c:pt idx="59">
                  <c:v>3184</c:v>
                </c:pt>
                <c:pt idx="60">
                  <c:v>3186</c:v>
                </c:pt>
                <c:pt idx="61">
                  <c:v>3188</c:v>
                </c:pt>
                <c:pt idx="62">
                  <c:v>3221</c:v>
                </c:pt>
                <c:pt idx="63">
                  <c:v>3223.5</c:v>
                </c:pt>
                <c:pt idx="64">
                  <c:v>3223.5</c:v>
                </c:pt>
                <c:pt idx="65">
                  <c:v>3252</c:v>
                </c:pt>
                <c:pt idx="66">
                  <c:v>3252</c:v>
                </c:pt>
                <c:pt idx="67">
                  <c:v>3257.5</c:v>
                </c:pt>
                <c:pt idx="68">
                  <c:v>3258</c:v>
                </c:pt>
                <c:pt idx="69">
                  <c:v>3264</c:v>
                </c:pt>
                <c:pt idx="70">
                  <c:v>3271</c:v>
                </c:pt>
                <c:pt idx="71">
                  <c:v>3271.5</c:v>
                </c:pt>
                <c:pt idx="72">
                  <c:v>3275.5</c:v>
                </c:pt>
                <c:pt idx="73">
                  <c:v>3306</c:v>
                </c:pt>
                <c:pt idx="74">
                  <c:v>3338.5</c:v>
                </c:pt>
                <c:pt idx="75">
                  <c:v>3338.5</c:v>
                </c:pt>
                <c:pt idx="76">
                  <c:v>3345</c:v>
                </c:pt>
                <c:pt idx="77">
                  <c:v>3393</c:v>
                </c:pt>
                <c:pt idx="78">
                  <c:v>3399</c:v>
                </c:pt>
                <c:pt idx="79">
                  <c:v>3401.5</c:v>
                </c:pt>
                <c:pt idx="80">
                  <c:v>3434</c:v>
                </c:pt>
                <c:pt idx="81">
                  <c:v>3436.5</c:v>
                </c:pt>
                <c:pt idx="82">
                  <c:v>3482</c:v>
                </c:pt>
                <c:pt idx="83">
                  <c:v>3486</c:v>
                </c:pt>
                <c:pt idx="84">
                  <c:v>3565.5</c:v>
                </c:pt>
                <c:pt idx="85">
                  <c:v>3610</c:v>
                </c:pt>
                <c:pt idx="86">
                  <c:v>3648</c:v>
                </c:pt>
                <c:pt idx="87">
                  <c:v>3653</c:v>
                </c:pt>
                <c:pt idx="88">
                  <c:v>3657.5</c:v>
                </c:pt>
                <c:pt idx="89">
                  <c:v>3737.5</c:v>
                </c:pt>
                <c:pt idx="90">
                  <c:v>3740</c:v>
                </c:pt>
                <c:pt idx="91">
                  <c:v>3862</c:v>
                </c:pt>
                <c:pt idx="92">
                  <c:v>4037</c:v>
                </c:pt>
                <c:pt idx="93">
                  <c:v>4111</c:v>
                </c:pt>
              </c:numCache>
            </c:numRef>
          </c:xVal>
          <c:yVal>
            <c:numRef>
              <c:f>Active!$T$21:$T$995</c:f>
              <c:numCache>
                <c:formatCode>General</c:formatCode>
                <c:ptCount val="975"/>
                <c:pt idx="48">
                  <c:v>-3.1650000018998981E-3</c:v>
                </c:pt>
                <c:pt idx="49">
                  <c:v>-7.2312499993131496E-2</c:v>
                </c:pt>
                <c:pt idx="67">
                  <c:v>-1.5662500001781154E-2</c:v>
                </c:pt>
                <c:pt idx="73">
                  <c:v>-1.0834299999987707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A8A-4A23-A4A5-13896798C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23296"/>
        <c:axId val="1"/>
      </c:scatterChart>
      <c:valAx>
        <c:axId val="85352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4478058663722"/>
              <c:y val="0.85928269445361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36527008974177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232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71929824561403E-3"/>
          <c:y val="0.92215694595061837"/>
          <c:w val="0.98070341207349077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742950</xdr:colOff>
      <xdr:row>18</xdr:row>
      <xdr:rowOff>104775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EAB0924-BC57-C731-DB17-61249BA56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</xdr:colOff>
      <xdr:row>0</xdr:row>
      <xdr:rowOff>57150</xdr:rowOff>
    </xdr:from>
    <xdr:to>
      <xdr:col>25</xdr:col>
      <xdr:colOff>419100</xdr:colOff>
      <xdr:row>18</xdr:row>
      <xdr:rowOff>123825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9CD80FA-F1D4-4D1A-0FEC-C0DDF4A8A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067" TargetMode="External"/><Relationship Id="rId13" Type="http://schemas.openxmlformats.org/officeDocument/2006/relationships/hyperlink" Target="http://www.konkoly.hu/cgi-bin/IBVS?5357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bav-astro.de/sfs/BAVM_link.php?BAVMnr=183" TargetMode="External"/><Relationship Id="rId3" Type="http://schemas.openxmlformats.org/officeDocument/2006/relationships/hyperlink" Target="http://www.konkoly.hu/cgi-bin/IBVS?4737" TargetMode="External"/><Relationship Id="rId21" Type="http://schemas.openxmlformats.org/officeDocument/2006/relationships/hyperlink" Target="http://www.konkoly.hu/cgi-bin/IBVS?5577" TargetMode="External"/><Relationship Id="rId34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067" TargetMode="External"/><Relationship Id="rId12" Type="http://schemas.openxmlformats.org/officeDocument/2006/relationships/hyperlink" Target="http://www.konkoly.hu/cgi-bin/IBVS?5357" TargetMode="External"/><Relationship Id="rId17" Type="http://schemas.openxmlformats.org/officeDocument/2006/relationships/hyperlink" Target="http://www.bav-astro.de/sfs/BAVM_link.php?BAVMnr=171" TargetMode="External"/><Relationship Id="rId25" Type="http://schemas.openxmlformats.org/officeDocument/2006/relationships/hyperlink" Target="http://www.bav-astro.de/sfs/BAVM_link.php?BAVMnr=203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597" TargetMode="External"/><Relationship Id="rId16" Type="http://schemas.openxmlformats.org/officeDocument/2006/relationships/hyperlink" Target="http://www.bav-astro.de/sfs/BAVM_link.php?BAVMnr=171" TargetMode="External"/><Relationship Id="rId20" Type="http://schemas.openxmlformats.org/officeDocument/2006/relationships/hyperlink" Target="http://www.konkoly.hu/cgi-bin/IBVS?5577" TargetMode="External"/><Relationship Id="rId29" Type="http://schemas.openxmlformats.org/officeDocument/2006/relationships/hyperlink" Target="http://www.konkoly.hu/cgi-bin/IBVS?5898" TargetMode="External"/><Relationship Id="rId1" Type="http://schemas.openxmlformats.org/officeDocument/2006/relationships/hyperlink" Target="http://www.konkoly.hu/cgi-bin/IBVS?3900" TargetMode="External"/><Relationship Id="rId6" Type="http://schemas.openxmlformats.org/officeDocument/2006/relationships/hyperlink" Target="http://www.konkoly.hu/cgi-bin/IBVS?5067" TargetMode="External"/><Relationship Id="rId11" Type="http://schemas.openxmlformats.org/officeDocument/2006/relationships/hyperlink" Target="http://www.konkoly.hu/cgi-bin/IBVS?5357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www.konkoly.hu/cgi-bin/IBVS?6011" TargetMode="External"/><Relationship Id="rId3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131" TargetMode="External"/><Relationship Id="rId15" Type="http://schemas.openxmlformats.org/officeDocument/2006/relationships/hyperlink" Target="http://www.konkoly.hu/cgi-bin/IBVS?5357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bav-astro.de/sfs/BAVM_link.php?BAVMnr=193" TargetMode="External"/><Relationship Id="rId36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konkoly.hu/cgi-bin/IBVS?5251" TargetMode="External"/><Relationship Id="rId19" Type="http://schemas.openxmlformats.org/officeDocument/2006/relationships/hyperlink" Target="http://www.konkoly.hu/cgi-bin/IBVS?5577" TargetMode="External"/><Relationship Id="rId31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31" TargetMode="External"/><Relationship Id="rId9" Type="http://schemas.openxmlformats.org/officeDocument/2006/relationships/hyperlink" Target="http://www.konkoly.hu/cgi-bin/IBVS?5251" TargetMode="External"/><Relationship Id="rId14" Type="http://schemas.openxmlformats.org/officeDocument/2006/relationships/hyperlink" Target="http://www.konkoly.hu/cgi-bin/IBVS?5371" TargetMode="External"/><Relationship Id="rId22" Type="http://schemas.openxmlformats.org/officeDocument/2006/relationships/hyperlink" Target="http://www.konkoly.hu/cgi-bin/IBVS?5809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vsolj.cetus-net.org/no48.pdf" TargetMode="External"/><Relationship Id="rId35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63"/>
  <sheetViews>
    <sheetView tabSelected="1" workbookViewId="0">
      <pane xSplit="13" ySplit="22" topLeftCell="N98" activePane="bottomRight" state="frozen"/>
      <selection pane="topRight" activeCell="N1" sqref="N1"/>
      <selection pane="bottomLeft" activeCell="A23" sqref="A23"/>
      <selection pane="bottomRight" activeCell="F2" sqref="F2"/>
    </sheetView>
  </sheetViews>
  <sheetFormatPr defaultColWidth="10.28515625" defaultRowHeight="12.75" x14ac:dyDescent="0.2"/>
  <cols>
    <col min="1" max="1" width="14" style="1" customWidth="1"/>
    <col min="2" max="2" width="5.5703125" style="2" customWidth="1"/>
    <col min="3" max="3" width="13.85546875" style="1" customWidth="1"/>
    <col min="4" max="4" width="10.28515625" style="1" customWidth="1"/>
    <col min="5" max="5" width="12.140625" style="1" customWidth="1"/>
    <col min="6" max="6" width="15.5703125" style="1" customWidth="1"/>
    <col min="7" max="7" width="10.28515625" style="1" customWidth="1"/>
    <col min="8" max="14" width="9" style="1" customWidth="1"/>
    <col min="15" max="16" width="10.28515625" style="1" customWidth="1"/>
    <col min="17" max="17" width="12.42578125" style="1" customWidth="1"/>
    <col min="18" max="16384" width="10.28515625" style="1"/>
  </cols>
  <sheetData>
    <row r="1" spans="1:7" ht="20.25" x14ac:dyDescent="0.3">
      <c r="A1" s="26" t="s">
        <v>387</v>
      </c>
    </row>
    <row r="2" spans="1:7" s="29" customFormat="1" ht="12.95" customHeight="1" x14ac:dyDescent="0.2">
      <c r="A2" s="20" t="s">
        <v>16</v>
      </c>
      <c r="B2" s="27" t="s">
        <v>23</v>
      </c>
      <c r="C2" s="28" t="s">
        <v>44</v>
      </c>
    </row>
    <row r="3" spans="1:7" s="29" customFormat="1" ht="12.95" customHeight="1" thickBot="1" x14ac:dyDescent="0.25">
      <c r="A3" s="29" t="s">
        <v>24</v>
      </c>
      <c r="B3" s="27"/>
      <c r="C3" s="30"/>
      <c r="D3" s="30"/>
    </row>
    <row r="4" spans="1:7" s="29" customFormat="1" ht="12.95" customHeight="1" thickBot="1" x14ac:dyDescent="0.25">
      <c r="A4" s="31" t="s">
        <v>17</v>
      </c>
      <c r="B4" s="32"/>
      <c r="C4" s="33">
        <v>25321.599999999999</v>
      </c>
      <c r="D4" s="34">
        <v>8.4582940000000004</v>
      </c>
      <c r="E4" s="35"/>
    </row>
    <row r="5" spans="1:7" s="29" customFormat="1" ht="12.95" customHeight="1" x14ac:dyDescent="0.2">
      <c r="A5" s="36" t="s">
        <v>376</v>
      </c>
      <c r="B5" s="37"/>
      <c r="C5" s="38">
        <v>-9.5</v>
      </c>
      <c r="D5" s="37" t="s">
        <v>377</v>
      </c>
      <c r="E5" s="30"/>
    </row>
    <row r="6" spans="1:7" s="29" customFormat="1" ht="12.95" customHeight="1" x14ac:dyDescent="0.2">
      <c r="A6" s="31" t="s">
        <v>18</v>
      </c>
      <c r="B6" s="27"/>
      <c r="D6" s="110"/>
      <c r="E6" s="113" t="s">
        <v>394</v>
      </c>
      <c r="F6" s="35"/>
    </row>
    <row r="7" spans="1:7" s="29" customFormat="1" ht="12.95" customHeight="1" x14ac:dyDescent="0.2">
      <c r="A7" s="20" t="s">
        <v>2</v>
      </c>
      <c r="B7" s="27"/>
      <c r="C7" s="29">
        <v>25321.599999999999</v>
      </c>
      <c r="D7" s="111" t="s">
        <v>393</v>
      </c>
      <c r="E7" s="114">
        <v>51863.635699999999</v>
      </c>
      <c r="F7" s="35"/>
    </row>
    <row r="8" spans="1:7" s="29" customFormat="1" ht="12.95" customHeight="1" x14ac:dyDescent="0.2">
      <c r="A8" s="20" t="s">
        <v>3</v>
      </c>
      <c r="B8" s="27"/>
      <c r="C8" s="39">
        <v>8.4582549999999994</v>
      </c>
      <c r="D8" s="111" t="s">
        <v>393</v>
      </c>
      <c r="E8" s="115">
        <v>8.4582940000000004</v>
      </c>
      <c r="F8" s="35"/>
    </row>
    <row r="9" spans="1:7" s="29" customFormat="1" ht="12.95" customHeight="1" x14ac:dyDescent="0.2">
      <c r="A9" s="40" t="s">
        <v>378</v>
      </c>
      <c r="B9" s="40"/>
      <c r="C9" s="41">
        <v>66</v>
      </c>
      <c r="D9" s="41">
        <v>73</v>
      </c>
      <c r="E9" s="112"/>
      <c r="F9" s="30"/>
    </row>
    <row r="10" spans="1:7" s="29" customFormat="1" ht="12.95" customHeight="1" thickBot="1" x14ac:dyDescent="0.25">
      <c r="A10" s="20"/>
      <c r="B10" s="27"/>
      <c r="C10" s="42" t="s">
        <v>29</v>
      </c>
      <c r="D10" s="100" t="s">
        <v>30</v>
      </c>
      <c r="E10" s="109" t="s">
        <v>392</v>
      </c>
      <c r="F10" s="108" t="s">
        <v>391</v>
      </c>
      <c r="G10" s="35"/>
    </row>
    <row r="11" spans="1:7" s="29" customFormat="1" ht="12.95" customHeight="1" x14ac:dyDescent="0.2">
      <c r="A11" s="20" t="s">
        <v>19</v>
      </c>
      <c r="B11" s="27"/>
      <c r="C11" s="43">
        <f ca="1">INTERCEPT(INDIRECT(C14):R$934,INDIRECT(C13):$F$934)</f>
        <v>4.1981032866658038E-3</v>
      </c>
      <c r="D11" s="43">
        <f ca="1">INTERCEPT(INDIRECT(D14):S$934,INDIRECT(D13):$F$934)</f>
        <v>-4.7029085269174042E-2</v>
      </c>
      <c r="E11" s="104" t="s">
        <v>382</v>
      </c>
      <c r="F11" s="106">
        <v>1</v>
      </c>
      <c r="G11" s="35"/>
    </row>
    <row r="12" spans="1:7" s="29" customFormat="1" ht="12.95" customHeight="1" x14ac:dyDescent="0.2">
      <c r="A12" s="20" t="s">
        <v>20</v>
      </c>
      <c r="B12" s="27"/>
      <c r="C12" s="43">
        <f ca="1">SLOPE(INDIRECT(C14):R$934,INDIRECT(C13):$F$934)</f>
        <v>8.3906442602801339E-6</v>
      </c>
      <c r="D12" s="43">
        <f ca="1">SLOPE(INDIRECT(D14):S$934,INDIRECT(D13):$F$934)</f>
        <v>4.8284556531608054E-6</v>
      </c>
      <c r="E12" s="104" t="s">
        <v>383</v>
      </c>
      <c r="F12" s="101">
        <f ca="1">NOW()+15018.5+$C$5/24</f>
        <v>60678.828799421295</v>
      </c>
      <c r="G12" s="35"/>
    </row>
    <row r="13" spans="1:7" s="29" customFormat="1" ht="12.95" customHeight="1" x14ac:dyDescent="0.2">
      <c r="A13" s="40" t="s">
        <v>380</v>
      </c>
      <c r="B13" s="40"/>
      <c r="C13" s="41" t="str">
        <f>"F"&amp;C9</f>
        <v>F66</v>
      </c>
      <c r="D13" s="41" t="str">
        <f>"F"&amp;D9</f>
        <v>F73</v>
      </c>
      <c r="E13" s="104" t="s">
        <v>384</v>
      </c>
      <c r="F13" s="101">
        <f ca="1">ROUND(2*($F$12-$C$7)/$C$8,0)/2+$F$11</f>
        <v>4181</v>
      </c>
      <c r="G13" s="35"/>
    </row>
    <row r="14" spans="1:7" s="29" customFormat="1" ht="12.95" customHeight="1" x14ac:dyDescent="0.2">
      <c r="A14" s="40" t="s">
        <v>381</v>
      </c>
      <c r="B14" s="40"/>
      <c r="C14" s="41" t="str">
        <f>"R"&amp;C9</f>
        <v>R66</v>
      </c>
      <c r="D14" s="41" t="str">
        <f>"S"&amp;D9</f>
        <v>S73</v>
      </c>
      <c r="E14" s="104" t="s">
        <v>385</v>
      </c>
      <c r="F14" s="102">
        <f ca="1">ROUND(2*($F$12-$C$15)/$C$16,0)/2+$F$11</f>
        <v>70</v>
      </c>
      <c r="G14" s="35"/>
    </row>
    <row r="15" spans="1:7" s="29" customFormat="1" ht="12.95" customHeight="1" x14ac:dyDescent="0.2">
      <c r="A15" s="44" t="s">
        <v>21</v>
      </c>
      <c r="B15" s="37"/>
      <c r="C15" s="45">
        <f ca="1">($C7+C11)+($C8+C12)*INT(MAX($F21:$F3456))</f>
        <v>60093.524997041837</v>
      </c>
      <c r="D15" s="45">
        <f ca="1">($C7+D11)+($C8+D12)*(INT(MAX($F21:$F3456))+0.5)</f>
        <v>60097.688255610148</v>
      </c>
      <c r="E15" s="104" t="s">
        <v>389</v>
      </c>
      <c r="F15" s="103">
        <f ca="1">+$C$15+$C$16*$F$14-15018.5-$C$5/24</f>
        <v>45667.499267720268</v>
      </c>
      <c r="G15" s="35"/>
    </row>
    <row r="16" spans="1:7" s="29" customFormat="1" ht="12.95" customHeight="1" x14ac:dyDescent="0.2">
      <c r="A16" s="46" t="s">
        <v>4</v>
      </c>
      <c r="B16" s="37"/>
      <c r="C16" s="47">
        <f ca="1">+$C8+C12</f>
        <v>8.4582633906442588</v>
      </c>
      <c r="D16" s="47">
        <f ca="1">+$C8+D12</f>
        <v>8.4582598284556525</v>
      </c>
      <c r="E16" s="105" t="s">
        <v>390</v>
      </c>
      <c r="F16" s="107">
        <f ca="1">+($D$15+$D$16*$F$14)-($D$16/2)-15018.5-$C$5/24</f>
        <v>45667.433147021147</v>
      </c>
      <c r="G16" s="35"/>
    </row>
    <row r="17" spans="1:20" s="29" customFormat="1" ht="12.95" customHeight="1" thickBot="1" x14ac:dyDescent="0.25">
      <c r="A17" s="37" t="s">
        <v>46</v>
      </c>
      <c r="B17" s="37"/>
      <c r="C17" s="37">
        <f>COUNT(C21:C9922)</f>
        <v>94</v>
      </c>
      <c r="D17" s="37"/>
      <c r="E17" s="60"/>
      <c r="F17" s="60"/>
    </row>
    <row r="18" spans="1:20" s="29" customFormat="1" ht="12.95" customHeight="1" thickTop="1" thickBot="1" x14ac:dyDescent="0.25">
      <c r="A18" s="46" t="s">
        <v>47</v>
      </c>
      <c r="B18" s="37"/>
      <c r="C18" s="48">
        <f ca="1">+C15</f>
        <v>60093.524997041837</v>
      </c>
      <c r="D18" s="49">
        <f ca="1">+C16</f>
        <v>8.4582633906442588</v>
      </c>
      <c r="E18" s="50">
        <f>R18</f>
        <v>60</v>
      </c>
      <c r="G18" s="27"/>
      <c r="O18" s="29">
        <f ca="1">COUNT(O21:O1615)</f>
        <v>94</v>
      </c>
      <c r="P18" s="29">
        <f ca="1">COUNT(P21:P1615)</f>
        <v>94</v>
      </c>
      <c r="R18" s="29">
        <f>COUNT(R21:R944)</f>
        <v>60</v>
      </c>
      <c r="S18" s="29">
        <f>COUNT(S21:S944)</f>
        <v>33</v>
      </c>
    </row>
    <row r="19" spans="1:20" s="29" customFormat="1" ht="12.95" customHeight="1" thickBot="1" x14ac:dyDescent="0.25">
      <c r="A19" s="46" t="s">
        <v>48</v>
      </c>
      <c r="B19" s="37"/>
      <c r="C19" s="51">
        <f ca="1">D15</f>
        <v>60097.688255610148</v>
      </c>
      <c r="D19" s="52">
        <f ca="1">D16</f>
        <v>8.4582598284556525</v>
      </c>
      <c r="E19" s="53">
        <f>S18</f>
        <v>33</v>
      </c>
      <c r="F19" s="35"/>
      <c r="G19" s="27"/>
      <c r="O19" s="27"/>
    </row>
    <row r="20" spans="1:20" s="29" customFormat="1" ht="12.95" customHeight="1" thickBot="1" x14ac:dyDescent="0.25">
      <c r="A20" s="54" t="s">
        <v>5</v>
      </c>
      <c r="B20" s="54" t="s">
        <v>6</v>
      </c>
      <c r="C20" s="54" t="s">
        <v>7</v>
      </c>
      <c r="D20" s="54" t="s">
        <v>8</v>
      </c>
      <c r="E20" s="55" t="s">
        <v>9</v>
      </c>
      <c r="F20" s="54" t="s">
        <v>10</v>
      </c>
      <c r="G20" s="54" t="s">
        <v>11</v>
      </c>
      <c r="H20" s="56" t="s">
        <v>67</v>
      </c>
      <c r="I20" s="56" t="s">
        <v>70</v>
      </c>
      <c r="J20" s="56" t="s">
        <v>64</v>
      </c>
      <c r="K20" s="56" t="s">
        <v>62</v>
      </c>
      <c r="L20" s="56" t="s">
        <v>38</v>
      </c>
      <c r="M20" s="56" t="s">
        <v>39</v>
      </c>
      <c r="N20" s="56" t="s">
        <v>28</v>
      </c>
      <c r="O20" s="54" t="s">
        <v>42</v>
      </c>
      <c r="P20" s="54" t="s">
        <v>43</v>
      </c>
      <c r="Q20" s="54" t="s">
        <v>22</v>
      </c>
      <c r="R20" s="54" t="s">
        <v>40</v>
      </c>
      <c r="S20" s="54" t="s">
        <v>41</v>
      </c>
      <c r="T20" s="57" t="s">
        <v>379</v>
      </c>
    </row>
    <row r="21" spans="1:20" s="29" customFormat="1" ht="12.95" customHeight="1" x14ac:dyDescent="0.2">
      <c r="A21" s="58" t="s">
        <v>78</v>
      </c>
      <c r="B21" s="59" t="s">
        <v>32</v>
      </c>
      <c r="C21" s="58">
        <v>25321.598999999998</v>
      </c>
      <c r="D21" s="58" t="s">
        <v>70</v>
      </c>
      <c r="E21" s="60">
        <f t="shared" ref="E21:E52" si="0">(C21-C$7)/C$8</f>
        <v>-1.1822769592590042E-4</v>
      </c>
      <c r="F21" s="61">
        <f t="shared" ref="F21:F52" si="1">+ROUND(2*E21,0)/2</f>
        <v>0</v>
      </c>
      <c r="G21" s="60">
        <f t="shared" ref="G21:G68" si="2">C21-(C$7+F21*C$8)</f>
        <v>-1.0000000002037268E-3</v>
      </c>
      <c r="H21" s="60"/>
      <c r="I21" s="60">
        <f>G21</f>
        <v>-1.0000000002037268E-3</v>
      </c>
      <c r="K21" s="60"/>
      <c r="L21" s="60"/>
      <c r="M21" s="60"/>
      <c r="N21" s="60"/>
      <c r="O21" s="60">
        <f t="shared" ref="O21:O52" ca="1" si="3">+C$11+C$12*F21</f>
        <v>4.1981032866658038E-3</v>
      </c>
      <c r="P21" s="60">
        <f t="shared" ref="P21:P52" ca="1" si="4">+D$11+D$12*F21</f>
        <v>-4.7029085269174042E-2</v>
      </c>
      <c r="Q21" s="62">
        <f t="shared" ref="Q21:Q52" si="5">C21-15018.5</f>
        <v>10303.098999999998</v>
      </c>
      <c r="R21" s="29">
        <f t="shared" ref="R21:R28" si="6">G21</f>
        <v>-1.0000000002037268E-3</v>
      </c>
      <c r="S21" s="60"/>
      <c r="T21" s="60"/>
    </row>
    <row r="22" spans="1:20" s="29" customFormat="1" ht="12.95" customHeight="1" x14ac:dyDescent="0.2">
      <c r="A22" s="29" t="s">
        <v>1</v>
      </c>
      <c r="B22" s="27"/>
      <c r="C22" s="63">
        <v>25321.599999999999</v>
      </c>
      <c r="D22" s="63"/>
      <c r="E22" s="29">
        <f t="shared" si="0"/>
        <v>0</v>
      </c>
      <c r="F22" s="61">
        <f t="shared" si="1"/>
        <v>0</v>
      </c>
      <c r="G22" s="60">
        <f t="shared" si="2"/>
        <v>0</v>
      </c>
      <c r="H22" s="29">
        <f>G22</f>
        <v>0</v>
      </c>
      <c r="L22" s="60"/>
      <c r="M22" s="60"/>
      <c r="N22" s="60"/>
      <c r="O22" s="60">
        <f t="shared" ca="1" si="3"/>
        <v>4.1981032866658038E-3</v>
      </c>
      <c r="P22" s="60">
        <f t="shared" ca="1" si="4"/>
        <v>-4.7029085269174042E-2</v>
      </c>
      <c r="Q22" s="62">
        <f t="shared" si="5"/>
        <v>10303.099999999999</v>
      </c>
      <c r="R22" s="29">
        <f t="shared" si="6"/>
        <v>0</v>
      </c>
    </row>
    <row r="23" spans="1:20" s="29" customFormat="1" ht="12.95" customHeight="1" x14ac:dyDescent="0.2">
      <c r="A23" s="64" t="s">
        <v>78</v>
      </c>
      <c r="B23" s="65" t="s">
        <v>32</v>
      </c>
      <c r="C23" s="64">
        <v>29880.567999999999</v>
      </c>
      <c r="D23" s="64" t="s">
        <v>70</v>
      </c>
      <c r="E23" s="29">
        <f t="shared" si="0"/>
        <v>538.99628233010253</v>
      </c>
      <c r="F23" s="61">
        <f t="shared" si="1"/>
        <v>539</v>
      </c>
      <c r="G23" s="29">
        <f t="shared" si="2"/>
        <v>-3.1445000000530854E-2</v>
      </c>
      <c r="I23" s="29">
        <f t="shared" ref="I23:I65" si="7">G23</f>
        <v>-3.1445000000530854E-2</v>
      </c>
      <c r="L23" s="60"/>
      <c r="M23" s="60"/>
      <c r="N23" s="60"/>
      <c r="O23" s="60">
        <f t="shared" ca="1" si="3"/>
        <v>8.7206605429567957E-3</v>
      </c>
      <c r="P23" s="60">
        <f t="shared" ca="1" si="4"/>
        <v>-4.442654767212037E-2</v>
      </c>
      <c r="Q23" s="62">
        <f t="shared" si="5"/>
        <v>14862.067999999999</v>
      </c>
      <c r="R23" s="29">
        <f t="shared" si="6"/>
        <v>-3.1445000000530854E-2</v>
      </c>
    </row>
    <row r="24" spans="1:20" s="29" customFormat="1" ht="12.95" customHeight="1" x14ac:dyDescent="0.2">
      <c r="A24" s="64" t="s">
        <v>78</v>
      </c>
      <c r="B24" s="65" t="s">
        <v>32</v>
      </c>
      <c r="C24" s="64">
        <v>31022.514999999999</v>
      </c>
      <c r="D24" s="64" t="s">
        <v>70</v>
      </c>
      <c r="E24" s="29">
        <f t="shared" si="0"/>
        <v>674.00604498209157</v>
      </c>
      <c r="F24" s="61">
        <f t="shared" si="1"/>
        <v>674</v>
      </c>
      <c r="G24" s="29">
        <f t="shared" si="2"/>
        <v>5.1129999999830034E-2</v>
      </c>
      <c r="I24" s="29">
        <f t="shared" si="7"/>
        <v>5.1129999999830034E-2</v>
      </c>
      <c r="L24" s="60"/>
      <c r="M24" s="60"/>
      <c r="N24" s="60"/>
      <c r="O24" s="60">
        <f t="shared" ca="1" si="3"/>
        <v>9.8533975180946139E-3</v>
      </c>
      <c r="P24" s="60">
        <f t="shared" ca="1" si="4"/>
        <v>-4.377470615894366E-2</v>
      </c>
      <c r="Q24" s="62">
        <f t="shared" si="5"/>
        <v>16004.014999999999</v>
      </c>
      <c r="R24" s="29">
        <f t="shared" si="6"/>
        <v>5.1129999999830034E-2</v>
      </c>
    </row>
    <row r="25" spans="1:20" s="29" customFormat="1" ht="12.95" customHeight="1" x14ac:dyDescent="0.2">
      <c r="A25" s="64" t="s">
        <v>78</v>
      </c>
      <c r="B25" s="65" t="s">
        <v>32</v>
      </c>
      <c r="C25" s="64">
        <v>31462.321</v>
      </c>
      <c r="D25" s="64" t="s">
        <v>70</v>
      </c>
      <c r="E25" s="29">
        <f t="shared" si="0"/>
        <v>726.00329500588498</v>
      </c>
      <c r="F25" s="61">
        <f t="shared" si="1"/>
        <v>726</v>
      </c>
      <c r="G25" s="29">
        <f t="shared" si="2"/>
        <v>2.7870000001712469E-2</v>
      </c>
      <c r="I25" s="29">
        <f t="shared" si="7"/>
        <v>2.7870000001712469E-2</v>
      </c>
      <c r="L25" s="60"/>
      <c r="M25" s="60"/>
      <c r="N25" s="60"/>
      <c r="O25" s="60">
        <f t="shared" ca="1" si="3"/>
        <v>1.028971101962918E-2</v>
      </c>
      <c r="P25" s="60">
        <f t="shared" ca="1" si="4"/>
        <v>-4.3523626464979301E-2</v>
      </c>
      <c r="Q25" s="62">
        <f t="shared" si="5"/>
        <v>16443.821</v>
      </c>
      <c r="R25" s="29">
        <f t="shared" si="6"/>
        <v>2.7870000001712469E-2</v>
      </c>
    </row>
    <row r="26" spans="1:20" s="29" customFormat="1" ht="12.95" customHeight="1" x14ac:dyDescent="0.2">
      <c r="A26" s="64" t="s">
        <v>78</v>
      </c>
      <c r="B26" s="65" t="s">
        <v>32</v>
      </c>
      <c r="C26" s="64">
        <v>34253.489000000001</v>
      </c>
      <c r="D26" s="64" t="s">
        <v>70</v>
      </c>
      <c r="E26" s="29">
        <f t="shared" si="0"/>
        <v>1055.9966565207603</v>
      </c>
      <c r="F26" s="61">
        <f t="shared" si="1"/>
        <v>1056</v>
      </c>
      <c r="G26" s="29">
        <f t="shared" si="2"/>
        <v>-2.8279999998630956E-2</v>
      </c>
      <c r="I26" s="29">
        <f t="shared" si="7"/>
        <v>-2.8279999998630956E-2</v>
      </c>
      <c r="N26" s="60"/>
      <c r="O26" s="60">
        <f t="shared" ca="1" si="3"/>
        <v>1.3058623625521626E-2</v>
      </c>
      <c r="P26" s="60">
        <f t="shared" ca="1" si="4"/>
        <v>-4.1930236099436233E-2</v>
      </c>
      <c r="Q26" s="62">
        <f t="shared" si="5"/>
        <v>19234.989000000001</v>
      </c>
      <c r="R26" s="29">
        <f t="shared" si="6"/>
        <v>-2.8279999998630956E-2</v>
      </c>
    </row>
    <row r="27" spans="1:20" s="29" customFormat="1" ht="12.95" customHeight="1" x14ac:dyDescent="0.2">
      <c r="A27" s="64" t="s">
        <v>78</v>
      </c>
      <c r="B27" s="65" t="s">
        <v>32</v>
      </c>
      <c r="C27" s="64">
        <v>34304.372000000003</v>
      </c>
      <c r="D27" s="64" t="s">
        <v>70</v>
      </c>
      <c r="E27" s="29">
        <f t="shared" si="0"/>
        <v>1062.0124363713326</v>
      </c>
      <c r="F27" s="61">
        <f t="shared" si="1"/>
        <v>1062</v>
      </c>
      <c r="G27" s="29">
        <f t="shared" si="2"/>
        <v>0.1051900000020396</v>
      </c>
      <c r="I27" s="29">
        <f t="shared" si="7"/>
        <v>0.1051900000020396</v>
      </c>
      <c r="N27" s="60"/>
      <c r="O27" s="60">
        <f t="shared" ca="1" si="3"/>
        <v>1.3108967491083307E-2</v>
      </c>
      <c r="P27" s="60">
        <f t="shared" ca="1" si="4"/>
        <v>-4.1901265365517269E-2</v>
      </c>
      <c r="Q27" s="62">
        <f t="shared" si="5"/>
        <v>19285.872000000003</v>
      </c>
      <c r="R27" s="29">
        <f t="shared" si="6"/>
        <v>0.1051900000020396</v>
      </c>
    </row>
    <row r="28" spans="1:20" s="29" customFormat="1" ht="12.95" customHeight="1" x14ac:dyDescent="0.2">
      <c r="A28" s="64" t="s">
        <v>78</v>
      </c>
      <c r="B28" s="65" t="s">
        <v>32</v>
      </c>
      <c r="C28" s="64">
        <v>34710.267999999996</v>
      </c>
      <c r="D28" s="64" t="s">
        <v>70</v>
      </c>
      <c r="E28" s="29">
        <f t="shared" si="0"/>
        <v>1110.0005852270945</v>
      </c>
      <c r="F28" s="61">
        <f t="shared" si="1"/>
        <v>1110</v>
      </c>
      <c r="G28" s="29">
        <f t="shared" si="2"/>
        <v>4.9500000022817403E-3</v>
      </c>
      <c r="I28" s="29">
        <f t="shared" si="7"/>
        <v>4.9500000022817403E-3</v>
      </c>
      <c r="N28" s="60"/>
      <c r="O28" s="60">
        <f t="shared" ca="1" si="3"/>
        <v>1.3511718415576753E-2</v>
      </c>
      <c r="P28" s="60">
        <f t="shared" ca="1" si="4"/>
        <v>-4.1669499494165547E-2</v>
      </c>
      <c r="Q28" s="62">
        <f t="shared" si="5"/>
        <v>19691.767999999996</v>
      </c>
      <c r="R28" s="29">
        <f t="shared" si="6"/>
        <v>4.9500000022817403E-3</v>
      </c>
    </row>
    <row r="29" spans="1:20" s="29" customFormat="1" ht="12.95" customHeight="1" x14ac:dyDescent="0.2">
      <c r="A29" s="64" t="s">
        <v>78</v>
      </c>
      <c r="B29" s="65" t="s">
        <v>33</v>
      </c>
      <c r="C29" s="64">
        <v>34714.447</v>
      </c>
      <c r="D29" s="64" t="s">
        <v>70</v>
      </c>
      <c r="E29" s="29">
        <f t="shared" si="0"/>
        <v>1110.4946587682687</v>
      </c>
      <c r="F29" s="61">
        <f t="shared" si="1"/>
        <v>1110.5</v>
      </c>
      <c r="G29" s="29">
        <f t="shared" si="2"/>
        <v>-4.5177499996498227E-2</v>
      </c>
      <c r="I29" s="29">
        <f t="shared" si="7"/>
        <v>-4.5177499996498227E-2</v>
      </c>
      <c r="O29" s="60">
        <f t="shared" ca="1" si="3"/>
        <v>1.3515913737706893E-2</v>
      </c>
      <c r="P29" s="60">
        <f t="shared" ca="1" si="4"/>
        <v>-4.1667085266338971E-2</v>
      </c>
      <c r="Q29" s="62">
        <f t="shared" si="5"/>
        <v>19695.947</v>
      </c>
      <c r="S29" s="29">
        <f>G29</f>
        <v>-4.5177499996498227E-2</v>
      </c>
    </row>
    <row r="30" spans="1:20" s="29" customFormat="1" ht="12.95" customHeight="1" x14ac:dyDescent="0.2">
      <c r="A30" s="64" t="s">
        <v>78</v>
      </c>
      <c r="B30" s="65" t="s">
        <v>32</v>
      </c>
      <c r="C30" s="66">
        <v>35691.51</v>
      </c>
      <c r="D30" s="66" t="s">
        <v>70</v>
      </c>
      <c r="E30" s="29">
        <f t="shared" si="0"/>
        <v>1226.0105660091833</v>
      </c>
      <c r="F30" s="61">
        <f t="shared" si="1"/>
        <v>1226</v>
      </c>
      <c r="G30" s="29">
        <f t="shared" si="2"/>
        <v>8.9370000001508743E-2</v>
      </c>
      <c r="I30" s="29">
        <f t="shared" si="7"/>
        <v>8.9370000001508743E-2</v>
      </c>
      <c r="O30" s="60">
        <f t="shared" ca="1" si="3"/>
        <v>1.4485033149769249E-2</v>
      </c>
      <c r="P30" s="60">
        <f t="shared" ca="1" si="4"/>
        <v>-4.1109398638398895E-2</v>
      </c>
      <c r="Q30" s="62">
        <f t="shared" si="5"/>
        <v>20673.010000000002</v>
      </c>
      <c r="R30" s="29">
        <f>G30</f>
        <v>8.9370000001508743E-2</v>
      </c>
    </row>
    <row r="31" spans="1:20" s="29" customFormat="1" ht="12.95" customHeight="1" x14ac:dyDescent="0.2">
      <c r="A31" s="66" t="s">
        <v>78</v>
      </c>
      <c r="B31" s="67" t="s">
        <v>33</v>
      </c>
      <c r="C31" s="66">
        <v>35856.252999999997</v>
      </c>
      <c r="D31" s="66" t="s">
        <v>70</v>
      </c>
      <c r="E31" s="29">
        <f t="shared" si="0"/>
        <v>1245.4877513151353</v>
      </c>
      <c r="F31" s="61">
        <f t="shared" si="1"/>
        <v>1245.5</v>
      </c>
      <c r="G31" s="29">
        <f t="shared" si="2"/>
        <v>-0.10360249999939697</v>
      </c>
      <c r="I31" s="29">
        <f t="shared" si="7"/>
        <v>-0.10360249999939697</v>
      </c>
      <c r="O31" s="60">
        <f t="shared" ca="1" si="3"/>
        <v>1.4648650712844711E-2</v>
      </c>
      <c r="P31" s="60">
        <f t="shared" ca="1" si="4"/>
        <v>-4.1015243753162262E-2</v>
      </c>
      <c r="Q31" s="62">
        <f t="shared" si="5"/>
        <v>20837.752999999997</v>
      </c>
      <c r="S31" s="29">
        <f>G31</f>
        <v>-0.10360249999939697</v>
      </c>
    </row>
    <row r="32" spans="1:20" s="29" customFormat="1" ht="12.95" customHeight="1" x14ac:dyDescent="0.2">
      <c r="A32" s="66" t="s">
        <v>78</v>
      </c>
      <c r="B32" s="67" t="s">
        <v>33</v>
      </c>
      <c r="C32" s="66">
        <v>36245.275000000001</v>
      </c>
      <c r="D32" s="66" t="s">
        <v>70</v>
      </c>
      <c r="E32" s="29">
        <f t="shared" si="0"/>
        <v>1291.4809260302513</v>
      </c>
      <c r="F32" s="61">
        <f t="shared" si="1"/>
        <v>1291.5</v>
      </c>
      <c r="G32" s="29">
        <f t="shared" si="2"/>
        <v>-0.161332499999844</v>
      </c>
      <c r="I32" s="29">
        <f t="shared" si="7"/>
        <v>-0.161332499999844</v>
      </c>
      <c r="O32" s="60">
        <f t="shared" ca="1" si="3"/>
        <v>1.5034620348817597E-2</v>
      </c>
      <c r="P32" s="60">
        <f t="shared" ca="1" si="4"/>
        <v>-4.0793134793116859E-2</v>
      </c>
      <c r="Q32" s="62">
        <f t="shared" si="5"/>
        <v>21226.775000000001</v>
      </c>
      <c r="S32" s="29">
        <f>G32</f>
        <v>-0.161332499999844</v>
      </c>
    </row>
    <row r="33" spans="1:19" s="29" customFormat="1" ht="12.95" customHeight="1" x14ac:dyDescent="0.2">
      <c r="A33" s="66" t="s">
        <v>78</v>
      </c>
      <c r="B33" s="67" t="s">
        <v>32</v>
      </c>
      <c r="C33" s="66">
        <v>36486.559999999998</v>
      </c>
      <c r="D33" s="66" t="s">
        <v>70</v>
      </c>
      <c r="E33" s="29">
        <f t="shared" si="0"/>
        <v>1320.0074956359201</v>
      </c>
      <c r="F33" s="61">
        <f t="shared" si="1"/>
        <v>1320</v>
      </c>
      <c r="G33" s="29">
        <f t="shared" si="2"/>
        <v>6.339999999909196E-2</v>
      </c>
      <c r="I33" s="29">
        <f t="shared" si="7"/>
        <v>6.339999999909196E-2</v>
      </c>
      <c r="O33" s="60">
        <f t="shared" ca="1" si="3"/>
        <v>1.5273753710235581E-2</v>
      </c>
      <c r="P33" s="60">
        <f t="shared" ca="1" si="4"/>
        <v>-4.0655523807001777E-2</v>
      </c>
      <c r="Q33" s="62">
        <f t="shared" si="5"/>
        <v>21468.059999999998</v>
      </c>
      <c r="R33" s="29">
        <f>G33</f>
        <v>6.339999999909196E-2</v>
      </c>
    </row>
    <row r="34" spans="1:19" s="29" customFormat="1" ht="12.95" customHeight="1" x14ac:dyDescent="0.2">
      <c r="A34" s="66" t="s">
        <v>78</v>
      </c>
      <c r="B34" s="67" t="s">
        <v>33</v>
      </c>
      <c r="C34" s="66">
        <v>36541.370000000003</v>
      </c>
      <c r="D34" s="66" t="s">
        <v>70</v>
      </c>
      <c r="E34" s="29">
        <f t="shared" si="0"/>
        <v>1326.4875556482991</v>
      </c>
      <c r="F34" s="61">
        <f t="shared" si="1"/>
        <v>1326.5</v>
      </c>
      <c r="G34" s="29">
        <f t="shared" si="2"/>
        <v>-0.10525749999942491</v>
      </c>
      <c r="I34" s="29">
        <f t="shared" si="7"/>
        <v>-0.10525749999942491</v>
      </c>
      <c r="O34" s="60">
        <f t="shared" ca="1" si="3"/>
        <v>1.5328292897927401E-2</v>
      </c>
      <c r="P34" s="60">
        <f t="shared" ca="1" si="4"/>
        <v>-4.062413884525623E-2</v>
      </c>
      <c r="Q34" s="62">
        <f t="shared" si="5"/>
        <v>21522.870000000003</v>
      </c>
      <c r="S34" s="29">
        <f>G34</f>
        <v>-0.10525749999942491</v>
      </c>
    </row>
    <row r="35" spans="1:19" s="29" customFormat="1" ht="12.95" customHeight="1" x14ac:dyDescent="0.2">
      <c r="A35" s="66" t="s">
        <v>78</v>
      </c>
      <c r="B35" s="67" t="s">
        <v>33</v>
      </c>
      <c r="C35" s="66">
        <v>36820.533000000003</v>
      </c>
      <c r="D35" s="66" t="s">
        <v>70</v>
      </c>
      <c r="E35" s="29">
        <f t="shared" si="0"/>
        <v>1359.4923539193373</v>
      </c>
      <c r="F35" s="61">
        <f t="shared" si="1"/>
        <v>1359.5</v>
      </c>
      <c r="G35" s="29">
        <f t="shared" si="2"/>
        <v>-6.4672499996959232E-2</v>
      </c>
      <c r="I35" s="29">
        <f t="shared" si="7"/>
        <v>-6.4672499996959232E-2</v>
      </c>
      <c r="O35" s="60">
        <f t="shared" ca="1" si="3"/>
        <v>1.5605184158516645E-2</v>
      </c>
      <c r="P35" s="60">
        <f t="shared" ca="1" si="4"/>
        <v>-4.0464799808701928E-2</v>
      </c>
      <c r="Q35" s="62">
        <f t="shared" si="5"/>
        <v>21802.033000000003</v>
      </c>
      <c r="S35" s="29">
        <f>G35</f>
        <v>-6.4672499996959232E-2</v>
      </c>
    </row>
    <row r="36" spans="1:19" s="29" customFormat="1" ht="12.95" customHeight="1" x14ac:dyDescent="0.2">
      <c r="A36" s="66" t="s">
        <v>78</v>
      </c>
      <c r="B36" s="67" t="s">
        <v>32</v>
      </c>
      <c r="C36" s="66">
        <v>37205.517</v>
      </c>
      <c r="D36" s="66" t="s">
        <v>70</v>
      </c>
      <c r="E36" s="29">
        <f t="shared" si="0"/>
        <v>1405.0081251984011</v>
      </c>
      <c r="F36" s="61">
        <f t="shared" si="1"/>
        <v>1405</v>
      </c>
      <c r="G36" s="29">
        <f t="shared" si="2"/>
        <v>6.872500000463333E-2</v>
      </c>
      <c r="I36" s="29">
        <f t="shared" si="7"/>
        <v>6.872500000463333E-2</v>
      </c>
      <c r="O36" s="60">
        <f t="shared" ca="1" si="3"/>
        <v>1.598695847235939E-2</v>
      </c>
      <c r="P36" s="60">
        <f t="shared" ca="1" si="4"/>
        <v>-4.0245105076483115E-2</v>
      </c>
      <c r="Q36" s="62">
        <f t="shared" si="5"/>
        <v>22187.017</v>
      </c>
      <c r="R36" s="29">
        <f>G36</f>
        <v>6.872500000463333E-2</v>
      </c>
    </row>
    <row r="37" spans="1:19" s="29" customFormat="1" ht="12.95" customHeight="1" x14ac:dyDescent="0.2">
      <c r="A37" s="66" t="s">
        <v>124</v>
      </c>
      <c r="B37" s="67" t="s">
        <v>32</v>
      </c>
      <c r="C37" s="66">
        <v>37222.377</v>
      </c>
      <c r="D37" s="66" t="s">
        <v>70</v>
      </c>
      <c r="E37" s="29">
        <f t="shared" si="0"/>
        <v>1407.0014441513058</v>
      </c>
      <c r="F37" s="61">
        <f t="shared" si="1"/>
        <v>1407</v>
      </c>
      <c r="G37" s="29">
        <f t="shared" si="2"/>
        <v>1.2215000002470333E-2</v>
      </c>
      <c r="I37" s="29">
        <f t="shared" si="7"/>
        <v>1.2215000002470333E-2</v>
      </c>
      <c r="O37" s="60">
        <f t="shared" ca="1" si="3"/>
        <v>1.6003739760879952E-2</v>
      </c>
      <c r="P37" s="60">
        <f t="shared" ca="1" si="4"/>
        <v>-4.0235448165176789E-2</v>
      </c>
      <c r="Q37" s="62">
        <f t="shared" si="5"/>
        <v>22203.877</v>
      </c>
      <c r="R37" s="29">
        <f>G37</f>
        <v>1.2215000002470333E-2</v>
      </c>
    </row>
    <row r="38" spans="1:19" s="29" customFormat="1" ht="12.95" customHeight="1" x14ac:dyDescent="0.2">
      <c r="A38" s="66" t="s">
        <v>78</v>
      </c>
      <c r="B38" s="67" t="s">
        <v>32</v>
      </c>
      <c r="C38" s="66">
        <v>37222.417000000001</v>
      </c>
      <c r="D38" s="66" t="s">
        <v>70</v>
      </c>
      <c r="E38" s="29">
        <f t="shared" si="0"/>
        <v>1407.0061732591419</v>
      </c>
      <c r="F38" s="61">
        <f t="shared" si="1"/>
        <v>1407</v>
      </c>
      <c r="G38" s="29">
        <f t="shared" si="2"/>
        <v>5.2215000003343448E-2</v>
      </c>
      <c r="I38" s="29">
        <f t="shared" si="7"/>
        <v>5.2215000003343448E-2</v>
      </c>
      <c r="O38" s="60">
        <f t="shared" ca="1" si="3"/>
        <v>1.6003739760879952E-2</v>
      </c>
      <c r="P38" s="60">
        <f t="shared" ca="1" si="4"/>
        <v>-4.0235448165176789E-2</v>
      </c>
      <c r="Q38" s="62">
        <f t="shared" si="5"/>
        <v>22203.917000000001</v>
      </c>
      <c r="R38" s="29">
        <f>G38</f>
        <v>5.2215000003343448E-2</v>
      </c>
    </row>
    <row r="39" spans="1:19" s="29" customFormat="1" ht="12.95" customHeight="1" x14ac:dyDescent="0.2">
      <c r="A39" s="66" t="s">
        <v>124</v>
      </c>
      <c r="B39" s="67" t="s">
        <v>32</v>
      </c>
      <c r="C39" s="66">
        <v>37907.508999999998</v>
      </c>
      <c r="D39" s="66" t="s">
        <v>70</v>
      </c>
      <c r="E39" s="29">
        <f t="shared" si="0"/>
        <v>1488.0030218999073</v>
      </c>
      <c r="F39" s="61">
        <f t="shared" si="1"/>
        <v>1488</v>
      </c>
      <c r="G39" s="29">
        <f t="shared" si="2"/>
        <v>2.5560000001860317E-2</v>
      </c>
      <c r="I39" s="29">
        <f t="shared" si="7"/>
        <v>2.5560000001860317E-2</v>
      </c>
      <c r="O39" s="60">
        <f t="shared" ca="1" si="3"/>
        <v>1.6683381945962646E-2</v>
      </c>
      <c r="P39" s="60">
        <f t="shared" ca="1" si="4"/>
        <v>-3.9844343257270765E-2</v>
      </c>
      <c r="Q39" s="62">
        <f t="shared" si="5"/>
        <v>22889.008999999998</v>
      </c>
      <c r="R39" s="29">
        <f>G39</f>
        <v>2.5560000001860317E-2</v>
      </c>
    </row>
    <row r="40" spans="1:19" s="29" customFormat="1" ht="12.95" customHeight="1" x14ac:dyDescent="0.2">
      <c r="A40" s="66" t="s">
        <v>78</v>
      </c>
      <c r="B40" s="67" t="s">
        <v>32</v>
      </c>
      <c r="C40" s="66">
        <v>37907.550000000003</v>
      </c>
      <c r="D40" s="66" t="s">
        <v>70</v>
      </c>
      <c r="E40" s="29">
        <f t="shared" si="0"/>
        <v>1488.0078692354398</v>
      </c>
      <c r="F40" s="61">
        <f t="shared" si="1"/>
        <v>1488</v>
      </c>
      <c r="G40" s="29">
        <f t="shared" si="2"/>
        <v>6.6560000006575137E-2</v>
      </c>
      <c r="I40" s="29">
        <f t="shared" si="7"/>
        <v>6.6560000006575137E-2</v>
      </c>
      <c r="O40" s="60">
        <f t="shared" ca="1" si="3"/>
        <v>1.6683381945962646E-2</v>
      </c>
      <c r="P40" s="60">
        <f t="shared" ca="1" si="4"/>
        <v>-3.9844343257270765E-2</v>
      </c>
      <c r="Q40" s="62">
        <f t="shared" si="5"/>
        <v>22889.050000000003</v>
      </c>
      <c r="R40" s="29">
        <f>G40</f>
        <v>6.6560000006575137E-2</v>
      </c>
    </row>
    <row r="41" spans="1:19" s="29" customFormat="1" ht="12.95" customHeight="1" x14ac:dyDescent="0.2">
      <c r="A41" s="66" t="s">
        <v>78</v>
      </c>
      <c r="B41" s="67" t="s">
        <v>33</v>
      </c>
      <c r="C41" s="66">
        <v>37945.472000000002</v>
      </c>
      <c r="D41" s="66" t="s">
        <v>70</v>
      </c>
      <c r="E41" s="29">
        <f t="shared" si="0"/>
        <v>1492.4912999194282</v>
      </c>
      <c r="F41" s="61">
        <f t="shared" si="1"/>
        <v>1492.5</v>
      </c>
      <c r="G41" s="29">
        <f t="shared" si="2"/>
        <v>-7.3587499995483086E-2</v>
      </c>
      <c r="I41" s="29">
        <f t="shared" si="7"/>
        <v>-7.3587499995483086E-2</v>
      </c>
      <c r="O41" s="60">
        <f t="shared" ca="1" si="3"/>
        <v>1.6721139845133903E-2</v>
      </c>
      <c r="P41" s="60">
        <f t="shared" ca="1" si="4"/>
        <v>-3.9822615206831544E-2</v>
      </c>
      <c r="Q41" s="62">
        <f t="shared" si="5"/>
        <v>22926.972000000002</v>
      </c>
      <c r="S41" s="29">
        <f>G41</f>
        <v>-7.3587499995483086E-2</v>
      </c>
    </row>
    <row r="42" spans="1:19" s="29" customFormat="1" ht="12.95" customHeight="1" x14ac:dyDescent="0.2">
      <c r="A42" s="66" t="s">
        <v>139</v>
      </c>
      <c r="B42" s="67" t="s">
        <v>33</v>
      </c>
      <c r="C42" s="66">
        <v>37945.504000000001</v>
      </c>
      <c r="D42" s="66" t="s">
        <v>70</v>
      </c>
      <c r="E42" s="29">
        <f t="shared" si="0"/>
        <v>1492.495083205697</v>
      </c>
      <c r="F42" s="61">
        <f t="shared" si="1"/>
        <v>1492.5</v>
      </c>
      <c r="G42" s="29">
        <f t="shared" si="2"/>
        <v>-4.1587499996239785E-2</v>
      </c>
      <c r="I42" s="29">
        <f t="shared" si="7"/>
        <v>-4.1587499996239785E-2</v>
      </c>
      <c r="O42" s="60">
        <f t="shared" ca="1" si="3"/>
        <v>1.6721139845133903E-2</v>
      </c>
      <c r="P42" s="60">
        <f t="shared" ca="1" si="4"/>
        <v>-3.9822615206831544E-2</v>
      </c>
      <c r="Q42" s="62">
        <f t="shared" si="5"/>
        <v>22927.004000000001</v>
      </c>
      <c r="S42" s="29">
        <f>G42</f>
        <v>-4.1587499996239785E-2</v>
      </c>
    </row>
    <row r="43" spans="1:19" s="29" customFormat="1" ht="12.95" customHeight="1" x14ac:dyDescent="0.2">
      <c r="A43" s="66" t="s">
        <v>124</v>
      </c>
      <c r="B43" s="67" t="s">
        <v>32</v>
      </c>
      <c r="C43" s="66">
        <v>38144.394999999997</v>
      </c>
      <c r="D43" s="66" t="s">
        <v>70</v>
      </c>
      <c r="E43" s="29">
        <f t="shared" si="0"/>
        <v>1516.0095078713043</v>
      </c>
      <c r="F43" s="61">
        <f t="shared" si="1"/>
        <v>1516</v>
      </c>
      <c r="G43" s="29">
        <f t="shared" si="2"/>
        <v>8.0419999998412095E-2</v>
      </c>
      <c r="I43" s="29">
        <f t="shared" si="7"/>
        <v>8.0419999998412095E-2</v>
      </c>
      <c r="O43" s="60">
        <f t="shared" ca="1" si="3"/>
        <v>1.6918319985250486E-2</v>
      </c>
      <c r="P43" s="60">
        <f t="shared" ca="1" si="4"/>
        <v>-3.9709146498982259E-2</v>
      </c>
      <c r="Q43" s="62">
        <f t="shared" si="5"/>
        <v>23125.894999999997</v>
      </c>
      <c r="R43" s="29">
        <f>G43</f>
        <v>8.0419999998412095E-2</v>
      </c>
    </row>
    <row r="44" spans="1:19" s="29" customFormat="1" ht="12.95" customHeight="1" x14ac:dyDescent="0.2">
      <c r="A44" s="66" t="s">
        <v>124</v>
      </c>
      <c r="B44" s="67" t="s">
        <v>32</v>
      </c>
      <c r="C44" s="66">
        <v>38440.302000000003</v>
      </c>
      <c r="D44" s="66" t="s">
        <v>70</v>
      </c>
      <c r="E44" s="29">
        <f t="shared" si="0"/>
        <v>1550.9939106825232</v>
      </c>
      <c r="F44" s="61">
        <f t="shared" si="1"/>
        <v>1551</v>
      </c>
      <c r="G44" s="29">
        <f t="shared" si="2"/>
        <v>-5.1504999995813705E-2</v>
      </c>
      <c r="I44" s="29">
        <f t="shared" si="7"/>
        <v>-5.1504999995813705E-2</v>
      </c>
      <c r="O44" s="60">
        <f t="shared" ca="1" si="3"/>
        <v>1.7211992534360291E-2</v>
      </c>
      <c r="P44" s="60">
        <f t="shared" ca="1" si="4"/>
        <v>-3.9540150551121631E-2</v>
      </c>
      <c r="Q44" s="62">
        <f t="shared" si="5"/>
        <v>23421.802000000003</v>
      </c>
      <c r="R44" s="29">
        <f>G44</f>
        <v>-5.1504999995813705E-2</v>
      </c>
    </row>
    <row r="45" spans="1:19" s="29" customFormat="1" ht="12.95" customHeight="1" x14ac:dyDescent="0.2">
      <c r="A45" s="66" t="s">
        <v>78</v>
      </c>
      <c r="B45" s="67" t="s">
        <v>32</v>
      </c>
      <c r="C45" s="66">
        <v>38440.347999999998</v>
      </c>
      <c r="D45" s="66" t="s">
        <v>70</v>
      </c>
      <c r="E45" s="29">
        <f t="shared" si="0"/>
        <v>1550.9993491565342</v>
      </c>
      <c r="F45" s="61">
        <f t="shared" si="1"/>
        <v>1551</v>
      </c>
      <c r="G45" s="29">
        <f t="shared" si="2"/>
        <v>-5.5050000009941868E-3</v>
      </c>
      <c r="I45" s="29">
        <f t="shared" si="7"/>
        <v>-5.5050000009941868E-3</v>
      </c>
      <c r="O45" s="60">
        <f t="shared" ca="1" si="3"/>
        <v>1.7211992534360291E-2</v>
      </c>
      <c r="P45" s="60">
        <f t="shared" ca="1" si="4"/>
        <v>-3.9540150551121631E-2</v>
      </c>
      <c r="Q45" s="62">
        <f t="shared" si="5"/>
        <v>23421.847999999998</v>
      </c>
      <c r="R45" s="29">
        <f>G45</f>
        <v>-5.5050000009941868E-3</v>
      </c>
    </row>
    <row r="46" spans="1:19" s="29" customFormat="1" ht="12.95" customHeight="1" x14ac:dyDescent="0.2">
      <c r="A46" s="66" t="s">
        <v>124</v>
      </c>
      <c r="B46" s="67" t="s">
        <v>32</v>
      </c>
      <c r="C46" s="66">
        <v>38753.273000000001</v>
      </c>
      <c r="D46" s="66" t="s">
        <v>70</v>
      </c>
      <c r="E46" s="29">
        <f t="shared" si="0"/>
        <v>1587.9957508966097</v>
      </c>
      <c r="F46" s="61">
        <f t="shared" si="1"/>
        <v>1588</v>
      </c>
      <c r="G46" s="29">
        <f t="shared" si="2"/>
        <v>-3.5939999994297978E-2</v>
      </c>
      <c r="I46" s="29">
        <f t="shared" si="7"/>
        <v>-3.5939999994297978E-2</v>
      </c>
      <c r="O46" s="60">
        <f t="shared" ca="1" si="3"/>
        <v>1.7522446371990658E-2</v>
      </c>
      <c r="P46" s="60">
        <f t="shared" ca="1" si="4"/>
        <v>-3.9361497691954683E-2</v>
      </c>
      <c r="Q46" s="62">
        <f t="shared" si="5"/>
        <v>23734.773000000001</v>
      </c>
      <c r="R46" s="29">
        <f>G46</f>
        <v>-3.5939999994297978E-2</v>
      </c>
    </row>
    <row r="47" spans="1:19" s="29" customFormat="1" ht="12.95" customHeight="1" x14ac:dyDescent="0.2">
      <c r="A47" s="66" t="s">
        <v>78</v>
      </c>
      <c r="B47" s="67" t="s">
        <v>32</v>
      </c>
      <c r="C47" s="66">
        <v>38753.300000000003</v>
      </c>
      <c r="D47" s="66" t="s">
        <v>70</v>
      </c>
      <c r="E47" s="29">
        <f t="shared" si="0"/>
        <v>1587.9989430443993</v>
      </c>
      <c r="F47" s="61">
        <f t="shared" si="1"/>
        <v>1588</v>
      </c>
      <c r="G47" s="29">
        <f t="shared" si="2"/>
        <v>-8.9399999924353324E-3</v>
      </c>
      <c r="I47" s="29">
        <f t="shared" si="7"/>
        <v>-8.9399999924353324E-3</v>
      </c>
      <c r="O47" s="60">
        <f t="shared" ca="1" si="3"/>
        <v>1.7522446371990658E-2</v>
      </c>
      <c r="P47" s="60">
        <f t="shared" ca="1" si="4"/>
        <v>-3.9361497691954683E-2</v>
      </c>
      <c r="Q47" s="62">
        <f t="shared" si="5"/>
        <v>23734.800000000003</v>
      </c>
      <c r="R47" s="29">
        <f>G47</f>
        <v>-8.9399999924353324E-3</v>
      </c>
    </row>
    <row r="48" spans="1:19" s="29" customFormat="1" ht="12.95" customHeight="1" x14ac:dyDescent="0.2">
      <c r="A48" s="66" t="s">
        <v>78</v>
      </c>
      <c r="B48" s="67" t="s">
        <v>33</v>
      </c>
      <c r="C48" s="66">
        <v>39070.442999999999</v>
      </c>
      <c r="D48" s="66" t="s">
        <v>70</v>
      </c>
      <c r="E48" s="29">
        <f t="shared" si="0"/>
        <v>1625.4940292057879</v>
      </c>
      <c r="F48" s="61">
        <f t="shared" si="1"/>
        <v>1625.5</v>
      </c>
      <c r="G48" s="29">
        <f t="shared" si="2"/>
        <v>-5.0502500002039596E-2</v>
      </c>
      <c r="I48" s="29">
        <f t="shared" si="7"/>
        <v>-5.0502500002039596E-2</v>
      </c>
      <c r="O48" s="60">
        <f t="shared" ca="1" si="3"/>
        <v>1.7837095531751161E-2</v>
      </c>
      <c r="P48" s="60">
        <f t="shared" ca="1" si="4"/>
        <v>-3.9180430604961153E-2</v>
      </c>
      <c r="Q48" s="62">
        <f t="shared" si="5"/>
        <v>24051.942999999999</v>
      </c>
      <c r="S48" s="29">
        <f>G48</f>
        <v>-5.0502500002039596E-2</v>
      </c>
    </row>
    <row r="49" spans="1:19" s="29" customFormat="1" ht="12.95" customHeight="1" x14ac:dyDescent="0.2">
      <c r="A49" s="66" t="s">
        <v>124</v>
      </c>
      <c r="B49" s="67" t="s">
        <v>32</v>
      </c>
      <c r="C49" s="66">
        <v>39142.337</v>
      </c>
      <c r="D49" s="66" t="s">
        <v>70</v>
      </c>
      <c r="E49" s="29">
        <f t="shared" si="0"/>
        <v>1633.993891174953</v>
      </c>
      <c r="F49" s="61">
        <f t="shared" si="1"/>
        <v>1634</v>
      </c>
      <c r="G49" s="29">
        <f t="shared" si="2"/>
        <v>-5.1670000000740401E-2</v>
      </c>
      <c r="I49" s="29">
        <f t="shared" si="7"/>
        <v>-5.1670000000740401E-2</v>
      </c>
      <c r="O49" s="60">
        <f t="shared" ca="1" si="3"/>
        <v>1.7908416007963543E-2</v>
      </c>
      <c r="P49" s="60">
        <f t="shared" ca="1" si="4"/>
        <v>-3.9139388731909287E-2</v>
      </c>
      <c r="Q49" s="62">
        <f t="shared" si="5"/>
        <v>24123.837</v>
      </c>
      <c r="R49" s="29">
        <f>G49</f>
        <v>-5.1670000000740401E-2</v>
      </c>
    </row>
    <row r="50" spans="1:19" s="29" customFormat="1" ht="12.95" customHeight="1" x14ac:dyDescent="0.2">
      <c r="A50" s="66" t="s">
        <v>124</v>
      </c>
      <c r="B50" s="67" t="s">
        <v>32</v>
      </c>
      <c r="C50" s="66">
        <v>39878.266000000003</v>
      </c>
      <c r="D50" s="66" t="s">
        <v>70</v>
      </c>
      <c r="E50" s="29">
        <f t="shared" si="0"/>
        <v>1721.0010811922798</v>
      </c>
      <c r="F50" s="61">
        <f t="shared" si="1"/>
        <v>1721</v>
      </c>
      <c r="G50" s="29">
        <f t="shared" si="2"/>
        <v>9.1450000036275014E-3</v>
      </c>
      <c r="I50" s="29">
        <f t="shared" si="7"/>
        <v>9.1450000036275014E-3</v>
      </c>
      <c r="O50" s="60">
        <f t="shared" ca="1" si="3"/>
        <v>1.8638402058607915E-2</v>
      </c>
      <c r="P50" s="60">
        <f t="shared" ca="1" si="4"/>
        <v>-3.8719313090084292E-2</v>
      </c>
      <c r="Q50" s="62">
        <f t="shared" si="5"/>
        <v>24859.766000000003</v>
      </c>
      <c r="R50" s="29">
        <f>G50</f>
        <v>9.1450000036275014E-3</v>
      </c>
    </row>
    <row r="51" spans="1:19" s="29" customFormat="1" ht="12.95" customHeight="1" x14ac:dyDescent="0.2">
      <c r="A51" s="66" t="s">
        <v>139</v>
      </c>
      <c r="B51" s="67" t="s">
        <v>33</v>
      </c>
      <c r="C51" s="66">
        <v>40068.542000000001</v>
      </c>
      <c r="D51" s="66" t="s">
        <v>70</v>
      </c>
      <c r="E51" s="29">
        <f t="shared" si="0"/>
        <v>1743.4969742576932</v>
      </c>
      <c r="F51" s="61">
        <f t="shared" si="1"/>
        <v>1743.5</v>
      </c>
      <c r="G51" s="29">
        <f t="shared" si="2"/>
        <v>-2.5592499994672835E-2</v>
      </c>
      <c r="I51" s="29">
        <f t="shared" si="7"/>
        <v>-2.5592499994672835E-2</v>
      </c>
      <c r="O51" s="60">
        <f t="shared" ca="1" si="3"/>
        <v>1.8827191554464218E-2</v>
      </c>
      <c r="P51" s="60">
        <f t="shared" ca="1" si="4"/>
        <v>-3.8610672837888174E-2</v>
      </c>
      <c r="Q51" s="62">
        <f t="shared" si="5"/>
        <v>25050.042000000001</v>
      </c>
      <c r="S51" s="29">
        <f>G51</f>
        <v>-2.5592499994672835E-2</v>
      </c>
    </row>
    <row r="52" spans="1:19" s="29" customFormat="1" ht="12.95" customHeight="1" x14ac:dyDescent="0.2">
      <c r="A52" s="66" t="s">
        <v>124</v>
      </c>
      <c r="B52" s="67" t="s">
        <v>32</v>
      </c>
      <c r="C52" s="66">
        <v>40825.506000000001</v>
      </c>
      <c r="D52" s="66" t="s">
        <v>70</v>
      </c>
      <c r="E52" s="29">
        <f t="shared" si="0"/>
        <v>1832.9910838583139</v>
      </c>
      <c r="F52" s="61">
        <f t="shared" si="1"/>
        <v>1833</v>
      </c>
      <c r="G52" s="29">
        <f t="shared" si="2"/>
        <v>-7.5414999992062803E-2</v>
      </c>
      <c r="I52" s="29">
        <f t="shared" si="7"/>
        <v>-7.5414999992062803E-2</v>
      </c>
      <c r="O52" s="60">
        <f t="shared" ca="1" si="3"/>
        <v>1.9578154215759289E-2</v>
      </c>
      <c r="P52" s="60">
        <f t="shared" ca="1" si="4"/>
        <v>-3.8178526056930284E-2</v>
      </c>
      <c r="Q52" s="62">
        <f t="shared" si="5"/>
        <v>25807.006000000001</v>
      </c>
      <c r="R52" s="29">
        <f>G52</f>
        <v>-7.5414999992062803E-2</v>
      </c>
    </row>
    <row r="53" spans="1:19" s="29" customFormat="1" ht="12.95" customHeight="1" x14ac:dyDescent="0.2">
      <c r="A53" s="66" t="s">
        <v>124</v>
      </c>
      <c r="B53" s="67" t="s">
        <v>32</v>
      </c>
      <c r="C53" s="66">
        <v>40859.510999999999</v>
      </c>
      <c r="D53" s="66" t="s">
        <v>70</v>
      </c>
      <c r="E53" s="29">
        <f t="shared" ref="E53:E84" si="8">(C53-C$7)/C$8</f>
        <v>1837.0114166574549</v>
      </c>
      <c r="F53" s="61">
        <f t="shared" ref="F53:F84" si="9">+ROUND(2*E53,0)/2</f>
        <v>1837</v>
      </c>
      <c r="G53" s="29">
        <f t="shared" si="2"/>
        <v>9.6564999999827705E-2</v>
      </c>
      <c r="I53" s="29">
        <f t="shared" si="7"/>
        <v>9.6564999999827705E-2</v>
      </c>
      <c r="O53" s="60">
        <f t="shared" ref="O53:O84" ca="1" si="10">+C$11+C$12*F53</f>
        <v>1.961171679280041E-2</v>
      </c>
      <c r="P53" s="60">
        <f t="shared" ref="P53:P84" ca="1" si="11">+D$11+D$12*F53</f>
        <v>-3.8159212234317647E-2</v>
      </c>
      <c r="Q53" s="62">
        <f t="shared" ref="Q53:Q84" si="12">C53-15018.5</f>
        <v>25841.010999999999</v>
      </c>
      <c r="R53" s="29">
        <f>G53</f>
        <v>9.6564999999827705E-2</v>
      </c>
    </row>
    <row r="54" spans="1:19" s="29" customFormat="1" ht="12.95" customHeight="1" x14ac:dyDescent="0.2">
      <c r="A54" s="66" t="s">
        <v>139</v>
      </c>
      <c r="B54" s="67" t="s">
        <v>33</v>
      </c>
      <c r="C54" s="66">
        <v>40914.330999999998</v>
      </c>
      <c r="D54" s="66" t="s">
        <v>70</v>
      </c>
      <c r="E54" s="29">
        <f t="shared" si="8"/>
        <v>1843.4926589467923</v>
      </c>
      <c r="F54" s="61">
        <f t="shared" si="9"/>
        <v>1843.5</v>
      </c>
      <c r="G54" s="29">
        <f t="shared" si="2"/>
        <v>-6.2092499996651895E-2</v>
      </c>
      <c r="I54" s="29">
        <f t="shared" si="7"/>
        <v>-6.2092499996651895E-2</v>
      </c>
      <c r="O54" s="60">
        <f t="shared" ca="1" si="10"/>
        <v>1.966625598049223E-2</v>
      </c>
      <c r="P54" s="60">
        <f t="shared" ca="1" si="11"/>
        <v>-3.81278272725721E-2</v>
      </c>
      <c r="Q54" s="62">
        <f t="shared" si="12"/>
        <v>25895.830999999998</v>
      </c>
      <c r="S54" s="29">
        <f>G54</f>
        <v>-6.2092499996651895E-2</v>
      </c>
    </row>
    <row r="55" spans="1:19" s="29" customFormat="1" ht="12.95" customHeight="1" x14ac:dyDescent="0.2">
      <c r="A55" s="66" t="s">
        <v>124</v>
      </c>
      <c r="B55" s="67" t="s">
        <v>32</v>
      </c>
      <c r="C55" s="66">
        <v>41155.504000000001</v>
      </c>
      <c r="D55" s="66" t="s">
        <v>70</v>
      </c>
      <c r="E55" s="29">
        <f t="shared" si="8"/>
        <v>1872.0059870505208</v>
      </c>
      <c r="F55" s="61">
        <f t="shared" si="9"/>
        <v>1872</v>
      </c>
      <c r="G55" s="29">
        <f t="shared" si="2"/>
        <v>5.0640000001294538E-2</v>
      </c>
      <c r="I55" s="29">
        <f t="shared" si="7"/>
        <v>5.0640000001294538E-2</v>
      </c>
      <c r="O55" s="60">
        <f t="shared" ca="1" si="10"/>
        <v>1.9905389341910214E-2</v>
      </c>
      <c r="P55" s="60">
        <f t="shared" ca="1" si="11"/>
        <v>-3.7990216286457018E-2</v>
      </c>
      <c r="Q55" s="62">
        <f t="shared" si="12"/>
        <v>26137.004000000001</v>
      </c>
      <c r="R55" s="29">
        <f>G55</f>
        <v>5.0640000001294538E-2</v>
      </c>
    </row>
    <row r="56" spans="1:19" s="29" customFormat="1" ht="12.95" customHeight="1" x14ac:dyDescent="0.2">
      <c r="A56" s="66" t="s">
        <v>124</v>
      </c>
      <c r="B56" s="67" t="s">
        <v>32</v>
      </c>
      <c r="C56" s="66">
        <v>41189.341</v>
      </c>
      <c r="D56" s="66" t="s">
        <v>70</v>
      </c>
      <c r="E56" s="29">
        <f t="shared" si="8"/>
        <v>1876.0064575967506</v>
      </c>
      <c r="F56" s="61">
        <f t="shared" si="9"/>
        <v>1876</v>
      </c>
      <c r="G56" s="29">
        <f t="shared" si="2"/>
        <v>5.4620000002614688E-2</v>
      </c>
      <c r="I56" s="29">
        <f t="shared" si="7"/>
        <v>5.4620000002614688E-2</v>
      </c>
      <c r="O56" s="60">
        <f t="shared" ca="1" si="10"/>
        <v>1.9938951918951335E-2</v>
      </c>
      <c r="P56" s="60">
        <f t="shared" ca="1" si="11"/>
        <v>-3.7970902463844373E-2</v>
      </c>
      <c r="Q56" s="62">
        <f t="shared" si="12"/>
        <v>26170.841</v>
      </c>
      <c r="R56" s="29">
        <f>G56</f>
        <v>5.4620000002614688E-2</v>
      </c>
    </row>
    <row r="57" spans="1:19" s="29" customFormat="1" ht="12.95" customHeight="1" x14ac:dyDescent="0.2">
      <c r="A57" s="66" t="s">
        <v>139</v>
      </c>
      <c r="B57" s="67" t="s">
        <v>33</v>
      </c>
      <c r="C57" s="66">
        <v>41210.459000000003</v>
      </c>
      <c r="D57" s="66" t="s">
        <v>70</v>
      </c>
      <c r="E57" s="29">
        <f t="shared" si="8"/>
        <v>1878.5031900788053</v>
      </c>
      <c r="F57" s="61">
        <f t="shared" si="9"/>
        <v>1878.5</v>
      </c>
      <c r="G57" s="29">
        <f t="shared" si="2"/>
        <v>2.6982500006852206E-2</v>
      </c>
      <c r="I57" s="29">
        <f t="shared" si="7"/>
        <v>2.6982500006852206E-2</v>
      </c>
      <c r="O57" s="60">
        <f t="shared" ca="1" si="10"/>
        <v>1.9959928529602034E-2</v>
      </c>
      <c r="P57" s="60">
        <f t="shared" ca="1" si="11"/>
        <v>-3.7958831324711471E-2</v>
      </c>
      <c r="Q57" s="62">
        <f t="shared" si="12"/>
        <v>26191.959000000003</v>
      </c>
      <c r="S57" s="29">
        <f>G57</f>
        <v>2.6982500006852206E-2</v>
      </c>
    </row>
    <row r="58" spans="1:19" s="29" customFormat="1" ht="12.95" customHeight="1" x14ac:dyDescent="0.2">
      <c r="A58" s="66" t="s">
        <v>124</v>
      </c>
      <c r="B58" s="67" t="s">
        <v>32</v>
      </c>
      <c r="C58" s="66">
        <v>41248.482000000004</v>
      </c>
      <c r="D58" s="66" t="s">
        <v>70</v>
      </c>
      <c r="E58" s="29">
        <f t="shared" si="8"/>
        <v>1882.9985617600801</v>
      </c>
      <c r="F58" s="61">
        <f t="shared" si="9"/>
        <v>1883</v>
      </c>
      <c r="G58" s="29">
        <f t="shared" si="2"/>
        <v>-1.2164999992819503E-2</v>
      </c>
      <c r="I58" s="29">
        <f t="shared" si="7"/>
        <v>-1.2164999992819503E-2</v>
      </c>
      <c r="O58" s="60">
        <f t="shared" ca="1" si="10"/>
        <v>1.9997686428773295E-2</v>
      </c>
      <c r="P58" s="60">
        <f t="shared" ca="1" si="11"/>
        <v>-3.7937103274272244E-2</v>
      </c>
      <c r="Q58" s="62">
        <f t="shared" si="12"/>
        <v>26229.982000000004</v>
      </c>
      <c r="R58" s="29">
        <f>G58</f>
        <v>-1.2164999992819503E-2</v>
      </c>
    </row>
    <row r="59" spans="1:19" s="29" customFormat="1" ht="12.95" customHeight="1" x14ac:dyDescent="0.2">
      <c r="A59" s="64" t="s">
        <v>124</v>
      </c>
      <c r="B59" s="65" t="s">
        <v>32</v>
      </c>
      <c r="C59" s="64">
        <v>41595.313999999998</v>
      </c>
      <c r="D59" s="64" t="s">
        <v>70</v>
      </c>
      <c r="E59" s="29">
        <f t="shared" si="8"/>
        <v>1924.0037099850974</v>
      </c>
      <c r="F59" s="61">
        <f t="shared" si="9"/>
        <v>1924</v>
      </c>
      <c r="G59" s="29">
        <f t="shared" si="2"/>
        <v>3.1380000000353903E-2</v>
      </c>
      <c r="I59" s="29">
        <f t="shared" si="7"/>
        <v>3.1380000000353903E-2</v>
      </c>
      <c r="O59" s="60">
        <f t="shared" ca="1" si="10"/>
        <v>2.0341702843444782E-2</v>
      </c>
      <c r="P59" s="60">
        <f t="shared" ca="1" si="11"/>
        <v>-3.7739136592492652E-2</v>
      </c>
      <c r="Q59" s="62">
        <f t="shared" si="12"/>
        <v>26576.813999999998</v>
      </c>
      <c r="R59" s="29">
        <f>G59</f>
        <v>3.1380000000353903E-2</v>
      </c>
    </row>
    <row r="60" spans="1:19" s="29" customFormat="1" ht="12.95" customHeight="1" x14ac:dyDescent="0.2">
      <c r="A60" s="64" t="s">
        <v>139</v>
      </c>
      <c r="B60" s="65" t="s">
        <v>33</v>
      </c>
      <c r="C60" s="64">
        <v>41599.428</v>
      </c>
      <c r="D60" s="64" t="s">
        <v>70</v>
      </c>
      <c r="E60" s="29">
        <f t="shared" si="8"/>
        <v>1924.4900987260378</v>
      </c>
      <c r="F60" s="61">
        <f t="shared" si="9"/>
        <v>1924.5</v>
      </c>
      <c r="G60" s="29">
        <f t="shared" si="2"/>
        <v>-8.3747500000754371E-2</v>
      </c>
      <c r="I60" s="29">
        <f t="shared" si="7"/>
        <v>-8.3747500000754371E-2</v>
      </c>
      <c r="O60" s="60">
        <f t="shared" ca="1" si="10"/>
        <v>2.0345898165574923E-2</v>
      </c>
      <c r="P60" s="60">
        <f t="shared" ca="1" si="11"/>
        <v>-3.7736722364666075E-2</v>
      </c>
      <c r="Q60" s="62">
        <f t="shared" si="12"/>
        <v>26580.928</v>
      </c>
      <c r="S60" s="29">
        <f>G60</f>
        <v>-8.3747500000754371E-2</v>
      </c>
    </row>
    <row r="61" spans="1:19" s="29" customFormat="1" ht="12.95" customHeight="1" x14ac:dyDescent="0.2">
      <c r="A61" s="64" t="s">
        <v>139</v>
      </c>
      <c r="B61" s="65" t="s">
        <v>33</v>
      </c>
      <c r="C61" s="64">
        <v>41599.453000000001</v>
      </c>
      <c r="D61" s="64" t="s">
        <v>70</v>
      </c>
      <c r="E61" s="29">
        <f t="shared" si="8"/>
        <v>1924.4930544184356</v>
      </c>
      <c r="F61" s="61">
        <f t="shared" si="9"/>
        <v>1924.5</v>
      </c>
      <c r="G61" s="29">
        <f t="shared" si="2"/>
        <v>-5.874749999929918E-2</v>
      </c>
      <c r="I61" s="29">
        <f t="shared" si="7"/>
        <v>-5.874749999929918E-2</v>
      </c>
      <c r="O61" s="60">
        <f t="shared" ca="1" si="10"/>
        <v>2.0345898165574923E-2</v>
      </c>
      <c r="P61" s="60">
        <f t="shared" ca="1" si="11"/>
        <v>-3.7736722364666075E-2</v>
      </c>
      <c r="Q61" s="62">
        <f t="shared" si="12"/>
        <v>26580.953000000001</v>
      </c>
      <c r="S61" s="29">
        <f>G61</f>
        <v>-5.874749999929918E-2</v>
      </c>
    </row>
    <row r="62" spans="1:19" s="29" customFormat="1" ht="12.95" customHeight="1" x14ac:dyDescent="0.2">
      <c r="A62" s="64" t="s">
        <v>124</v>
      </c>
      <c r="B62" s="65" t="s">
        <v>32</v>
      </c>
      <c r="C62" s="64">
        <v>41984.446000000004</v>
      </c>
      <c r="D62" s="64" t="s">
        <v>70</v>
      </c>
      <c r="E62" s="29">
        <f t="shared" si="8"/>
        <v>1970.0098897467628</v>
      </c>
      <c r="F62" s="61">
        <f t="shared" si="9"/>
        <v>1970</v>
      </c>
      <c r="G62" s="29">
        <f t="shared" si="2"/>
        <v>8.3650000007764902E-2</v>
      </c>
      <c r="I62" s="29">
        <f t="shared" si="7"/>
        <v>8.3650000007764902E-2</v>
      </c>
      <c r="O62" s="60">
        <f t="shared" ca="1" si="10"/>
        <v>2.0727672479417668E-2</v>
      </c>
      <c r="P62" s="60">
        <f t="shared" ca="1" si="11"/>
        <v>-3.7517027632447256E-2</v>
      </c>
      <c r="Q62" s="62">
        <f t="shared" si="12"/>
        <v>26965.946000000004</v>
      </c>
      <c r="R62" s="29">
        <f>G62</f>
        <v>8.3650000007764902E-2</v>
      </c>
    </row>
    <row r="63" spans="1:19" s="29" customFormat="1" ht="12.95" customHeight="1" x14ac:dyDescent="0.2">
      <c r="A63" s="64" t="s">
        <v>139</v>
      </c>
      <c r="B63" s="65" t="s">
        <v>33</v>
      </c>
      <c r="C63" s="64">
        <v>41988.428</v>
      </c>
      <c r="D63" s="64" t="s">
        <v>70</v>
      </c>
      <c r="E63" s="29">
        <f t="shared" si="8"/>
        <v>1970.4806724318435</v>
      </c>
      <c r="F63" s="61">
        <f t="shared" si="9"/>
        <v>1970.5</v>
      </c>
      <c r="G63" s="29">
        <f t="shared" si="2"/>
        <v>-0.16347749999840744</v>
      </c>
      <c r="I63" s="29">
        <f t="shared" si="7"/>
        <v>-0.16347749999840744</v>
      </c>
      <c r="O63" s="60">
        <f t="shared" ca="1" si="10"/>
        <v>2.0731867801547808E-2</v>
      </c>
      <c r="P63" s="60">
        <f t="shared" ca="1" si="11"/>
        <v>-3.7514613404620673E-2</v>
      </c>
      <c r="Q63" s="62">
        <f t="shared" si="12"/>
        <v>26969.928</v>
      </c>
      <c r="S63" s="29">
        <f>G63</f>
        <v>-0.16347749999840744</v>
      </c>
    </row>
    <row r="64" spans="1:19" s="29" customFormat="1" ht="12.95" customHeight="1" x14ac:dyDescent="0.2">
      <c r="A64" s="64" t="s">
        <v>139</v>
      </c>
      <c r="B64" s="65" t="s">
        <v>33</v>
      </c>
      <c r="C64" s="64">
        <v>42741.339</v>
      </c>
      <c r="D64" s="64" t="s">
        <v>70</v>
      </c>
      <c r="E64" s="29">
        <f t="shared" si="8"/>
        <v>2059.4956051809745</v>
      </c>
      <c r="F64" s="61">
        <f t="shared" si="9"/>
        <v>2059.5</v>
      </c>
      <c r="G64" s="29">
        <f t="shared" si="2"/>
        <v>-3.7172499993175734E-2</v>
      </c>
      <c r="I64" s="29">
        <f t="shared" si="7"/>
        <v>-3.7172499993175734E-2</v>
      </c>
      <c r="O64" s="60">
        <f t="shared" ca="1" si="10"/>
        <v>2.1478635140712739E-2</v>
      </c>
      <c r="P64" s="60">
        <f t="shared" ca="1" si="11"/>
        <v>-3.7084880851489366E-2</v>
      </c>
      <c r="Q64" s="62">
        <f t="shared" si="12"/>
        <v>27722.839</v>
      </c>
      <c r="S64" s="29">
        <f>G64</f>
        <v>-3.7172499993175734E-2</v>
      </c>
    </row>
    <row r="65" spans="1:31" s="29" customFormat="1" ht="12.95" customHeight="1" thickBot="1" x14ac:dyDescent="0.25">
      <c r="A65" s="68" t="s">
        <v>26</v>
      </c>
      <c r="B65" s="54"/>
      <c r="C65" s="69">
        <v>43392.608999999997</v>
      </c>
      <c r="D65" s="70"/>
      <c r="E65" s="68">
        <f t="shared" si="8"/>
        <v>2136.4937566909484</v>
      </c>
      <c r="F65" s="71">
        <f t="shared" si="9"/>
        <v>2136.5</v>
      </c>
      <c r="G65" s="68">
        <f t="shared" si="2"/>
        <v>-5.2807500003837049E-2</v>
      </c>
      <c r="H65" s="68"/>
      <c r="I65" s="72">
        <f t="shared" si="7"/>
        <v>-5.2807500003837049E-2</v>
      </c>
      <c r="O65" s="60">
        <f t="shared" ca="1" si="10"/>
        <v>2.2124714748754309E-2</v>
      </c>
      <c r="P65" s="60">
        <f t="shared" ca="1" si="11"/>
        <v>-3.6713089766195986E-2</v>
      </c>
      <c r="Q65" s="62">
        <f t="shared" si="12"/>
        <v>28374.108999999997</v>
      </c>
      <c r="S65" s="29">
        <f>G65</f>
        <v>-5.2807500003837049E-2</v>
      </c>
      <c r="AB65" s="29">
        <v>7</v>
      </c>
      <c r="AC65" s="29" t="s">
        <v>25</v>
      </c>
      <c r="AE65" s="29" t="s">
        <v>27</v>
      </c>
    </row>
    <row r="66" spans="1:31" s="29" customFormat="1" ht="12.95" customHeight="1" x14ac:dyDescent="0.2">
      <c r="A66" s="60" t="s">
        <v>12</v>
      </c>
      <c r="B66" s="73" t="s">
        <v>32</v>
      </c>
      <c r="C66" s="74">
        <v>48209.6711</v>
      </c>
      <c r="D66" s="74">
        <v>9.0000000000000006E-5</v>
      </c>
      <c r="E66" s="60">
        <f t="shared" si="8"/>
        <v>2706.0039097899039</v>
      </c>
      <c r="F66" s="61">
        <f t="shared" si="9"/>
        <v>2706</v>
      </c>
      <c r="G66" s="60">
        <f t="shared" si="2"/>
        <v>3.3069999997678678E-2</v>
      </c>
      <c r="H66" s="60"/>
      <c r="I66" s="75"/>
      <c r="J66" s="29">
        <f>G66</f>
        <v>3.3069999997678678E-2</v>
      </c>
      <c r="O66" s="60">
        <f t="shared" ca="1" si="10"/>
        <v>2.6903186654983847E-2</v>
      </c>
      <c r="P66" s="60">
        <f t="shared" ca="1" si="11"/>
        <v>-3.3963284271720906E-2</v>
      </c>
      <c r="Q66" s="62">
        <f t="shared" si="12"/>
        <v>33191.1711</v>
      </c>
      <c r="R66" s="29">
        <f>G66</f>
        <v>3.3069999997678678E-2</v>
      </c>
    </row>
    <row r="67" spans="1:31" s="29" customFormat="1" ht="12.95" customHeight="1" x14ac:dyDescent="0.2">
      <c r="A67" s="29" t="s">
        <v>14</v>
      </c>
      <c r="B67" s="27" t="s">
        <v>32</v>
      </c>
      <c r="C67" s="63">
        <v>50307.316200000001</v>
      </c>
      <c r="D67" s="63"/>
      <c r="E67" s="29">
        <f t="shared" si="8"/>
        <v>2954.0036567826346</v>
      </c>
      <c r="F67" s="61">
        <f t="shared" si="9"/>
        <v>2954</v>
      </c>
      <c r="G67" s="29">
        <f t="shared" si="2"/>
        <v>3.093000000808388E-2</v>
      </c>
      <c r="K67" s="29">
        <f>G67</f>
        <v>3.093000000808388E-2</v>
      </c>
      <c r="O67" s="60">
        <f t="shared" ca="1" si="10"/>
        <v>2.8984066431533319E-2</v>
      </c>
      <c r="P67" s="60">
        <f t="shared" ca="1" si="11"/>
        <v>-3.2765827269737022E-2</v>
      </c>
      <c r="Q67" s="62">
        <f t="shared" si="12"/>
        <v>35288.816200000001</v>
      </c>
      <c r="R67" s="29">
        <f>G67</f>
        <v>3.093000000808388E-2</v>
      </c>
    </row>
    <row r="68" spans="1:31" s="29" customFormat="1" ht="12.95" customHeight="1" x14ac:dyDescent="0.2">
      <c r="A68" s="29" t="s">
        <v>15</v>
      </c>
      <c r="B68" s="27" t="s">
        <v>32</v>
      </c>
      <c r="C68" s="63">
        <v>51144.684500000003</v>
      </c>
      <c r="D68" s="63"/>
      <c r="E68" s="29">
        <f t="shared" si="8"/>
        <v>3053.0037815128539</v>
      </c>
      <c r="F68" s="61">
        <f t="shared" si="9"/>
        <v>3053</v>
      </c>
      <c r="G68" s="29">
        <f t="shared" si="2"/>
        <v>3.1985000008717179E-2</v>
      </c>
      <c r="K68" s="29">
        <f>G68</f>
        <v>3.1985000008717179E-2</v>
      </c>
      <c r="O68" s="60">
        <f t="shared" ca="1" si="10"/>
        <v>2.9814740213301053E-2</v>
      </c>
      <c r="P68" s="60">
        <f t="shared" ca="1" si="11"/>
        <v>-3.2287810160074107E-2</v>
      </c>
      <c r="Q68" s="62">
        <f t="shared" si="12"/>
        <v>36126.184500000003</v>
      </c>
      <c r="R68" s="29">
        <f>G68</f>
        <v>3.1985000008717179E-2</v>
      </c>
    </row>
    <row r="69" spans="1:31" s="29" customFormat="1" ht="12.95" customHeight="1" x14ac:dyDescent="0.2">
      <c r="A69" s="64" t="s">
        <v>227</v>
      </c>
      <c r="B69" s="65" t="s">
        <v>32</v>
      </c>
      <c r="C69" s="64">
        <v>51398.396999999997</v>
      </c>
      <c r="D69" s="64" t="s">
        <v>70</v>
      </c>
      <c r="E69" s="29">
        <f t="shared" si="8"/>
        <v>3082.9996258093424</v>
      </c>
      <c r="F69" s="61">
        <f t="shared" si="9"/>
        <v>3083</v>
      </c>
      <c r="G69" s="29">
        <f t="shared" ref="G69:G70" si="13">C69-(C$7+F69*C$8)</f>
        <v>-3.1650000018998981E-3</v>
      </c>
      <c r="I69" s="29">
        <f>G69</f>
        <v>-3.1650000018998981E-3</v>
      </c>
      <c r="O69" s="60">
        <f t="shared" ref="O69:O70" ca="1" si="14">+C$11+C$12*F69</f>
        <v>3.0066459541109456E-2</v>
      </c>
      <c r="P69" s="60">
        <f t="shared" ref="P69:P70" ca="1" si="15">+D$11+D$12*F69</f>
        <v>-3.2142956490479282E-2</v>
      </c>
      <c r="Q69" s="62">
        <f t="shared" ref="Q69:Q70" si="16">C69-15018.5</f>
        <v>36379.896999999997</v>
      </c>
      <c r="R69" s="29">
        <f>T69</f>
        <v>-3.1650000018998981E-3</v>
      </c>
      <c r="T69" s="29">
        <f>C69-(C$7+F69*C$8)</f>
        <v>-3.1650000018998981E-3</v>
      </c>
    </row>
    <row r="70" spans="1:31" s="29" customFormat="1" ht="12.95" customHeight="1" x14ac:dyDescent="0.2">
      <c r="A70" s="64" t="s">
        <v>227</v>
      </c>
      <c r="B70" s="65" t="s">
        <v>33</v>
      </c>
      <c r="C70" s="64">
        <v>51436.39</v>
      </c>
      <c r="D70" s="64" t="s">
        <v>70</v>
      </c>
      <c r="E70" s="29">
        <f t="shared" si="8"/>
        <v>3087.4914506597406</v>
      </c>
      <c r="F70" s="61">
        <f t="shared" si="9"/>
        <v>3087.5</v>
      </c>
      <c r="G70" s="29">
        <f t="shared" si="13"/>
        <v>-7.2312499993131496E-2</v>
      </c>
      <c r="I70" s="29">
        <f>G70</f>
        <v>-7.2312499993131496E-2</v>
      </c>
      <c r="O70" s="60">
        <f t="shared" ca="1" si="14"/>
        <v>3.0104217440280717E-2</v>
      </c>
      <c r="P70" s="60">
        <f t="shared" ca="1" si="15"/>
        <v>-3.2121228440040055E-2</v>
      </c>
      <c r="Q70" s="62">
        <f t="shared" si="16"/>
        <v>36417.89</v>
      </c>
      <c r="S70" s="29">
        <f>T70</f>
        <v>-7.2312499993131496E-2</v>
      </c>
      <c r="T70" s="29">
        <f>C70-(C$7+F70*C$8)</f>
        <v>-7.2312499993131496E-2</v>
      </c>
    </row>
    <row r="71" spans="1:31" s="29" customFormat="1" ht="12.95" customHeight="1" x14ac:dyDescent="0.2">
      <c r="A71" s="29" t="s">
        <v>13</v>
      </c>
      <c r="B71" s="27" t="s">
        <v>32</v>
      </c>
      <c r="C71" s="63">
        <v>51863.635699999999</v>
      </c>
      <c r="D71" s="63">
        <v>1.3999999999999999E-4</v>
      </c>
      <c r="E71" s="29">
        <f t="shared" si="8"/>
        <v>3138.003725354698</v>
      </c>
      <c r="F71" s="61">
        <f t="shared" si="9"/>
        <v>3138</v>
      </c>
      <c r="G71" s="29">
        <f t="shared" ref="G71:G88" si="17">C71-(C$7+F71*C$8)</f>
        <v>3.1510000000707805E-2</v>
      </c>
      <c r="K71" s="29">
        <f t="shared" ref="K71:K86" si="18">G71</f>
        <v>3.1510000000707805E-2</v>
      </c>
      <c r="O71" s="60">
        <f t="shared" ca="1" si="10"/>
        <v>3.0527944975424864E-2</v>
      </c>
      <c r="P71" s="60">
        <f t="shared" ca="1" si="11"/>
        <v>-3.1877391429555438E-2</v>
      </c>
      <c r="Q71" s="62">
        <f t="shared" si="12"/>
        <v>36845.135699999999</v>
      </c>
      <c r="R71" s="29">
        <f>G71</f>
        <v>3.1510000000707805E-2</v>
      </c>
    </row>
    <row r="72" spans="1:31" s="29" customFormat="1" ht="12.95" customHeight="1" x14ac:dyDescent="0.2">
      <c r="A72" s="29" t="s">
        <v>13</v>
      </c>
      <c r="B72" s="27" t="s">
        <v>33</v>
      </c>
      <c r="C72" s="76">
        <v>51867.799200000001</v>
      </c>
      <c r="D72" s="63">
        <v>5.0000000000000001E-4</v>
      </c>
      <c r="E72" s="29">
        <f t="shared" si="8"/>
        <v>3138.4959663665854</v>
      </c>
      <c r="F72" s="61">
        <f t="shared" si="9"/>
        <v>3138.5</v>
      </c>
      <c r="G72" s="29">
        <f t="shared" si="17"/>
        <v>-3.4117499999410938E-2</v>
      </c>
      <c r="K72" s="29">
        <f t="shared" si="18"/>
        <v>-3.4117499999410938E-2</v>
      </c>
      <c r="O72" s="60">
        <f t="shared" ca="1" si="10"/>
        <v>3.0532140297555004E-2</v>
      </c>
      <c r="P72" s="60">
        <f t="shared" ca="1" si="11"/>
        <v>-3.1874977201728855E-2</v>
      </c>
      <c r="Q72" s="62">
        <f t="shared" si="12"/>
        <v>36849.299200000001</v>
      </c>
      <c r="S72" s="29">
        <f>G72</f>
        <v>-3.4117499999410938E-2</v>
      </c>
    </row>
    <row r="73" spans="1:31" s="29" customFormat="1" ht="12.95" customHeight="1" x14ac:dyDescent="0.2">
      <c r="A73" s="77" t="s">
        <v>13</v>
      </c>
      <c r="B73" s="78" t="s">
        <v>33</v>
      </c>
      <c r="C73" s="79">
        <v>51867.799200000001</v>
      </c>
      <c r="D73" s="79">
        <v>5.0000000000000001E-4</v>
      </c>
      <c r="E73" s="29">
        <f t="shared" si="8"/>
        <v>3138.4959663665854</v>
      </c>
      <c r="F73" s="61">
        <f t="shared" si="9"/>
        <v>3138.5</v>
      </c>
      <c r="G73" s="29">
        <f t="shared" si="17"/>
        <v>-3.4117499999410938E-2</v>
      </c>
      <c r="K73" s="29">
        <f t="shared" si="18"/>
        <v>-3.4117499999410938E-2</v>
      </c>
      <c r="O73" s="60">
        <f t="shared" ca="1" si="10"/>
        <v>3.0532140297555004E-2</v>
      </c>
      <c r="P73" s="60">
        <f t="shared" ca="1" si="11"/>
        <v>-3.1874977201728855E-2</v>
      </c>
      <c r="Q73" s="62">
        <f t="shared" si="12"/>
        <v>36849.299200000001</v>
      </c>
      <c r="S73" s="29">
        <f>G73</f>
        <v>-3.4117499999410938E-2</v>
      </c>
    </row>
    <row r="74" spans="1:31" s="29" customFormat="1" ht="12.95" customHeight="1" x14ac:dyDescent="0.2">
      <c r="A74" s="29" t="s">
        <v>13</v>
      </c>
      <c r="B74" s="27" t="s">
        <v>33</v>
      </c>
      <c r="C74" s="76">
        <v>51918.550199999998</v>
      </c>
      <c r="D74" s="63">
        <v>4.0000000000000002E-4</v>
      </c>
      <c r="E74" s="29">
        <f t="shared" si="8"/>
        <v>3144.4961401612982</v>
      </c>
      <c r="F74" s="61">
        <f t="shared" si="9"/>
        <v>3144.5</v>
      </c>
      <c r="G74" s="29">
        <f t="shared" si="17"/>
        <v>-3.2647500003804453E-2</v>
      </c>
      <c r="K74" s="29">
        <f t="shared" si="18"/>
        <v>-3.2647500003804453E-2</v>
      </c>
      <c r="O74" s="60">
        <f t="shared" ca="1" si="10"/>
        <v>3.0582484163116683E-2</v>
      </c>
      <c r="P74" s="60">
        <f t="shared" ca="1" si="11"/>
        <v>-3.1846006467809891E-2</v>
      </c>
      <c r="Q74" s="62">
        <f t="shared" si="12"/>
        <v>36900.050199999998</v>
      </c>
      <c r="S74" s="29">
        <f>G74</f>
        <v>-3.2647500003804453E-2</v>
      </c>
    </row>
    <row r="75" spans="1:31" s="29" customFormat="1" ht="12.95" customHeight="1" x14ac:dyDescent="0.2">
      <c r="A75" s="77" t="s">
        <v>13</v>
      </c>
      <c r="B75" s="78" t="s">
        <v>33</v>
      </c>
      <c r="C75" s="79">
        <v>51918.550199999998</v>
      </c>
      <c r="D75" s="79">
        <v>4.0000000000000002E-4</v>
      </c>
      <c r="E75" s="29">
        <f t="shared" si="8"/>
        <v>3144.4961401612982</v>
      </c>
      <c r="F75" s="61">
        <f t="shared" si="9"/>
        <v>3144.5</v>
      </c>
      <c r="G75" s="29">
        <f t="shared" si="17"/>
        <v>-3.2647500003804453E-2</v>
      </c>
      <c r="K75" s="29">
        <f t="shared" si="18"/>
        <v>-3.2647500003804453E-2</v>
      </c>
      <c r="O75" s="60">
        <f t="shared" ca="1" si="10"/>
        <v>3.0582484163116683E-2</v>
      </c>
      <c r="P75" s="60">
        <f t="shared" ca="1" si="11"/>
        <v>-3.1846006467809891E-2</v>
      </c>
      <c r="Q75" s="62">
        <f t="shared" si="12"/>
        <v>36900.050199999998</v>
      </c>
      <c r="S75" s="29">
        <f>G75</f>
        <v>-3.2647500003804453E-2</v>
      </c>
    </row>
    <row r="76" spans="1:31" s="29" customFormat="1" ht="12.95" customHeight="1" x14ac:dyDescent="0.2">
      <c r="A76" s="77" t="s">
        <v>35</v>
      </c>
      <c r="B76" s="80" t="s">
        <v>32</v>
      </c>
      <c r="C76" s="81">
        <v>52159.674480000001</v>
      </c>
      <c r="D76" s="81">
        <v>2.2000000000000001E-4</v>
      </c>
      <c r="E76" s="29">
        <f t="shared" si="8"/>
        <v>3173.0037082116824</v>
      </c>
      <c r="F76" s="61">
        <f t="shared" si="9"/>
        <v>3173</v>
      </c>
      <c r="G76" s="29">
        <f t="shared" si="17"/>
        <v>3.1365000002551824E-2</v>
      </c>
      <c r="K76" s="29">
        <f t="shared" si="18"/>
        <v>3.1365000002551824E-2</v>
      </c>
      <c r="O76" s="60">
        <f t="shared" ca="1" si="10"/>
        <v>3.0821617524534668E-2</v>
      </c>
      <c r="P76" s="60">
        <f t="shared" ca="1" si="11"/>
        <v>-3.1708395481694809E-2</v>
      </c>
      <c r="Q76" s="62">
        <f t="shared" si="12"/>
        <v>37141.174480000001</v>
      </c>
      <c r="R76" s="29">
        <f t="shared" ref="R76:R83" si="19">G76</f>
        <v>3.1365000002551824E-2</v>
      </c>
    </row>
    <row r="77" spans="1:31" s="29" customFormat="1" ht="12.95" customHeight="1" x14ac:dyDescent="0.2">
      <c r="A77" s="64" t="s">
        <v>35</v>
      </c>
      <c r="B77" s="65" t="s">
        <v>32</v>
      </c>
      <c r="C77" s="64">
        <v>52159.674500000001</v>
      </c>
      <c r="D77" s="64" t="s">
        <v>70</v>
      </c>
      <c r="E77" s="29">
        <f t="shared" si="8"/>
        <v>3173.0037105762362</v>
      </c>
      <c r="F77" s="61">
        <f t="shared" si="9"/>
        <v>3173</v>
      </c>
      <c r="G77" s="29">
        <f t="shared" si="17"/>
        <v>3.1385000002046581E-2</v>
      </c>
      <c r="I77" s="29">
        <f>G77</f>
        <v>3.1385000002046581E-2</v>
      </c>
      <c r="O77" s="60">
        <f t="shared" ca="1" si="10"/>
        <v>3.0821617524534668E-2</v>
      </c>
      <c r="P77" s="60">
        <f t="shared" ca="1" si="11"/>
        <v>-3.1708395481694809E-2</v>
      </c>
      <c r="Q77" s="62">
        <f t="shared" si="12"/>
        <v>37141.174500000001</v>
      </c>
      <c r="R77" s="29">
        <f t="shared" si="19"/>
        <v>3.1385000002046581E-2</v>
      </c>
    </row>
    <row r="78" spans="1:31" s="29" customFormat="1" ht="12.95" customHeight="1" x14ac:dyDescent="0.2">
      <c r="A78" s="77" t="s">
        <v>35</v>
      </c>
      <c r="B78" s="80" t="s">
        <v>32</v>
      </c>
      <c r="C78" s="81">
        <v>52176.591099999998</v>
      </c>
      <c r="D78" s="81">
        <v>5.9999999999999995E-4</v>
      </c>
      <c r="E78" s="29">
        <f t="shared" si="8"/>
        <v>3175.0037212167285</v>
      </c>
      <c r="F78" s="61">
        <f t="shared" si="9"/>
        <v>3175</v>
      </c>
      <c r="G78" s="29">
        <f t="shared" si="17"/>
        <v>3.1475000003410969E-2</v>
      </c>
      <c r="K78" s="29">
        <f t="shared" si="18"/>
        <v>3.1475000003410969E-2</v>
      </c>
      <c r="O78" s="60">
        <f t="shared" ca="1" si="10"/>
        <v>3.083839881305523E-2</v>
      </c>
      <c r="P78" s="60">
        <f t="shared" ca="1" si="11"/>
        <v>-3.1698738570388484E-2</v>
      </c>
      <c r="Q78" s="62">
        <f t="shared" si="12"/>
        <v>37158.091099999998</v>
      </c>
      <c r="R78" s="29">
        <f t="shared" si="19"/>
        <v>3.1475000003410969E-2</v>
      </c>
    </row>
    <row r="79" spans="1:31" s="29" customFormat="1" ht="12.95" customHeight="1" x14ac:dyDescent="0.2">
      <c r="A79" s="64" t="s">
        <v>36</v>
      </c>
      <c r="B79" s="65" t="s">
        <v>32</v>
      </c>
      <c r="C79" s="64">
        <v>52252.7163</v>
      </c>
      <c r="D79" s="64" t="s">
        <v>70</v>
      </c>
      <c r="E79" s="29">
        <f t="shared" si="8"/>
        <v>3184.0038282127939</v>
      </c>
      <c r="F79" s="61">
        <f t="shared" si="9"/>
        <v>3184</v>
      </c>
      <c r="G79" s="29">
        <f t="shared" si="17"/>
        <v>3.2380000004195608E-2</v>
      </c>
      <c r="I79" s="29">
        <f>G79</f>
        <v>3.2380000004195608E-2</v>
      </c>
      <c r="O79" s="60">
        <f t="shared" ca="1" si="10"/>
        <v>3.0913914611397749E-2</v>
      </c>
      <c r="P79" s="60">
        <f t="shared" ca="1" si="11"/>
        <v>-3.1655282469510035E-2</v>
      </c>
      <c r="Q79" s="62">
        <f t="shared" si="12"/>
        <v>37234.2163</v>
      </c>
      <c r="R79" s="29">
        <f t="shared" si="19"/>
        <v>3.2380000004195608E-2</v>
      </c>
    </row>
    <row r="80" spans="1:31" s="29" customFormat="1" ht="12.95" customHeight="1" x14ac:dyDescent="0.2">
      <c r="A80" s="77" t="s">
        <v>36</v>
      </c>
      <c r="B80" s="80" t="s">
        <v>32</v>
      </c>
      <c r="C80" s="81">
        <v>52252.716310000003</v>
      </c>
      <c r="D80" s="81">
        <v>1.6000000000000001E-4</v>
      </c>
      <c r="E80" s="29">
        <f t="shared" si="8"/>
        <v>3184.0038293950711</v>
      </c>
      <c r="F80" s="61">
        <f t="shared" si="9"/>
        <v>3184</v>
      </c>
      <c r="G80" s="29">
        <f t="shared" si="17"/>
        <v>3.2390000007580966E-2</v>
      </c>
      <c r="K80" s="29">
        <f t="shared" si="18"/>
        <v>3.2390000007580966E-2</v>
      </c>
      <c r="O80" s="60">
        <f t="shared" ca="1" si="10"/>
        <v>3.0913914611397749E-2</v>
      </c>
      <c r="P80" s="60">
        <f t="shared" ca="1" si="11"/>
        <v>-3.1655282469510035E-2</v>
      </c>
      <c r="Q80" s="62">
        <f t="shared" si="12"/>
        <v>37234.216310000003</v>
      </c>
      <c r="R80" s="29">
        <f t="shared" si="19"/>
        <v>3.2390000007580966E-2</v>
      </c>
    </row>
    <row r="81" spans="1:20" s="29" customFormat="1" ht="12.95" customHeight="1" x14ac:dyDescent="0.2">
      <c r="A81" s="77" t="s">
        <v>36</v>
      </c>
      <c r="B81" s="80" t="s">
        <v>32</v>
      </c>
      <c r="C81" s="81">
        <v>52269.632599999997</v>
      </c>
      <c r="D81" s="81">
        <v>5.9999999999999995E-4</v>
      </c>
      <c r="E81" s="29">
        <f t="shared" si="8"/>
        <v>3186.0038033849773</v>
      </c>
      <c r="F81" s="61">
        <f t="shared" si="9"/>
        <v>3186</v>
      </c>
      <c r="G81" s="29">
        <f t="shared" si="17"/>
        <v>3.2170000005862676E-2</v>
      </c>
      <c r="K81" s="29">
        <f t="shared" si="18"/>
        <v>3.2170000005862676E-2</v>
      </c>
      <c r="O81" s="60">
        <f t="shared" ca="1" si="10"/>
        <v>3.0930695899918311E-2</v>
      </c>
      <c r="P81" s="60">
        <f t="shared" ca="1" si="11"/>
        <v>-3.1645625558203716E-2</v>
      </c>
      <c r="Q81" s="62">
        <f t="shared" si="12"/>
        <v>37251.132599999997</v>
      </c>
      <c r="R81" s="29">
        <f t="shared" si="19"/>
        <v>3.2170000005862676E-2</v>
      </c>
    </row>
    <row r="82" spans="1:20" s="29" customFormat="1" ht="12.95" customHeight="1" x14ac:dyDescent="0.2">
      <c r="A82" s="77" t="s">
        <v>36</v>
      </c>
      <c r="B82" s="80" t="s">
        <v>32</v>
      </c>
      <c r="C82" s="81">
        <v>52286.55</v>
      </c>
      <c r="D82" s="81">
        <v>2.0000000000000001E-4</v>
      </c>
      <c r="E82" s="29">
        <f t="shared" si="8"/>
        <v>3188.0039086076272</v>
      </c>
      <c r="F82" s="61">
        <f t="shared" si="9"/>
        <v>3188</v>
      </c>
      <c r="G82" s="29">
        <f t="shared" si="17"/>
        <v>3.3060000001569279E-2</v>
      </c>
      <c r="K82" s="29">
        <f t="shared" si="18"/>
        <v>3.3060000001569279E-2</v>
      </c>
      <c r="O82" s="60">
        <f t="shared" ca="1" si="10"/>
        <v>3.094747718843887E-2</v>
      </c>
      <c r="P82" s="60">
        <f t="shared" ca="1" si="11"/>
        <v>-3.1635968646897397E-2</v>
      </c>
      <c r="Q82" s="62">
        <f t="shared" si="12"/>
        <v>37268.050000000003</v>
      </c>
      <c r="R82" s="29">
        <f t="shared" si="19"/>
        <v>3.3060000001569279E-2</v>
      </c>
    </row>
    <row r="83" spans="1:20" s="29" customFormat="1" ht="12.95" customHeight="1" x14ac:dyDescent="0.2">
      <c r="A83" s="82" t="s">
        <v>34</v>
      </c>
      <c r="B83" s="27"/>
      <c r="C83" s="63">
        <v>52565.671670000003</v>
      </c>
      <c r="D83" s="63">
        <v>5.0000000000000002E-5</v>
      </c>
      <c r="E83" s="29">
        <f t="shared" si="8"/>
        <v>3221.0038205279939</v>
      </c>
      <c r="F83" s="61">
        <f t="shared" si="9"/>
        <v>3221</v>
      </c>
      <c r="G83" s="29">
        <f t="shared" si="17"/>
        <v>3.2315000011294615E-2</v>
      </c>
      <c r="K83" s="29">
        <f t="shared" si="18"/>
        <v>3.2315000011294615E-2</v>
      </c>
      <c r="O83" s="60">
        <f t="shared" ca="1" si="10"/>
        <v>3.1224368449028116E-2</v>
      </c>
      <c r="P83" s="60">
        <f t="shared" ca="1" si="11"/>
        <v>-3.1476629610343088E-2</v>
      </c>
      <c r="Q83" s="62">
        <f t="shared" si="12"/>
        <v>37547.171670000003</v>
      </c>
      <c r="R83" s="29">
        <f t="shared" si="19"/>
        <v>3.2315000011294615E-2</v>
      </c>
    </row>
    <row r="84" spans="1:20" s="29" customFormat="1" ht="12.95" customHeight="1" x14ac:dyDescent="0.2">
      <c r="A84" s="64" t="s">
        <v>36</v>
      </c>
      <c r="B84" s="65" t="s">
        <v>33</v>
      </c>
      <c r="C84" s="64">
        <v>52586.751900000003</v>
      </c>
      <c r="D84" s="64" t="s">
        <v>70</v>
      </c>
      <c r="E84" s="29">
        <f t="shared" si="8"/>
        <v>3223.4960875499742</v>
      </c>
      <c r="F84" s="61">
        <f t="shared" si="9"/>
        <v>3223.5</v>
      </c>
      <c r="G84" s="29">
        <f t="shared" si="17"/>
        <v>-3.3092499994381797E-2</v>
      </c>
      <c r="I84" s="29">
        <f>G84</f>
        <v>-3.3092499994381797E-2</v>
      </c>
      <c r="O84" s="60">
        <f t="shared" ca="1" si="10"/>
        <v>3.1245345059678815E-2</v>
      </c>
      <c r="P84" s="60">
        <f t="shared" ca="1" si="11"/>
        <v>-3.1464558471210186E-2</v>
      </c>
      <c r="Q84" s="62">
        <f t="shared" si="12"/>
        <v>37568.251900000003</v>
      </c>
      <c r="S84" s="29">
        <f>G84</f>
        <v>-3.3092499994381797E-2</v>
      </c>
    </row>
    <row r="85" spans="1:20" s="29" customFormat="1" ht="12.95" customHeight="1" x14ac:dyDescent="0.2">
      <c r="A85" s="77" t="s">
        <v>36</v>
      </c>
      <c r="B85" s="80" t="s">
        <v>33</v>
      </c>
      <c r="C85" s="81">
        <v>52586.751929999999</v>
      </c>
      <c r="D85" s="81">
        <v>1.2999999999999999E-4</v>
      </c>
      <c r="E85" s="29">
        <f t="shared" ref="E85:E111" si="20">(C85-C$7)/C$8</f>
        <v>3223.4960910968043</v>
      </c>
      <c r="F85" s="61">
        <f t="shared" ref="F85:F112" si="21">+ROUND(2*E85,0)/2</f>
        <v>3223.5</v>
      </c>
      <c r="G85" s="29">
        <f t="shared" si="17"/>
        <v>-3.3062499998777639E-2</v>
      </c>
      <c r="K85" s="29">
        <f t="shared" si="18"/>
        <v>-3.3062499998777639E-2</v>
      </c>
      <c r="O85" s="60">
        <f t="shared" ref="O85:O111" ca="1" si="22">+C$11+C$12*F85</f>
        <v>3.1245345059678815E-2</v>
      </c>
      <c r="P85" s="60">
        <f t="shared" ref="P85:P111" ca="1" si="23">+D$11+D$12*F85</f>
        <v>-3.1464558471210186E-2</v>
      </c>
      <c r="Q85" s="62">
        <f t="shared" ref="Q85:Q111" si="24">C85-15018.5</f>
        <v>37568.251929999999</v>
      </c>
      <c r="S85" s="29">
        <f>G85</f>
        <v>-3.3062499998777639E-2</v>
      </c>
    </row>
    <row r="86" spans="1:20" s="29" customFormat="1" ht="12.95" customHeight="1" x14ac:dyDescent="0.2">
      <c r="A86" s="29" t="s">
        <v>31</v>
      </c>
      <c r="B86" s="27" t="s">
        <v>32</v>
      </c>
      <c r="C86" s="83">
        <v>52827.877500000002</v>
      </c>
      <c r="D86" s="83">
        <v>4.0000000000000002E-4</v>
      </c>
      <c r="E86" s="29">
        <f t="shared" si="20"/>
        <v>3252.0038116609167</v>
      </c>
      <c r="F86" s="61">
        <f t="shared" si="21"/>
        <v>3252</v>
      </c>
      <c r="G86" s="29">
        <f t="shared" si="17"/>
        <v>3.2240000000456348E-2</v>
      </c>
      <c r="K86" s="29">
        <f t="shared" si="18"/>
        <v>3.2240000000456348E-2</v>
      </c>
      <c r="O86" s="60">
        <f t="shared" ca="1" si="22"/>
        <v>3.14844784210968E-2</v>
      </c>
      <c r="P86" s="60">
        <f t="shared" ca="1" si="23"/>
        <v>-3.1326947485095104E-2</v>
      </c>
      <c r="Q86" s="62">
        <f t="shared" si="24"/>
        <v>37809.377500000002</v>
      </c>
      <c r="R86" s="29">
        <f>G86</f>
        <v>3.2240000000456348E-2</v>
      </c>
    </row>
    <row r="87" spans="1:20" s="29" customFormat="1" ht="12.95" customHeight="1" x14ac:dyDescent="0.2">
      <c r="A87" s="79" t="s">
        <v>31</v>
      </c>
      <c r="B87" s="80" t="s">
        <v>32</v>
      </c>
      <c r="C87" s="81">
        <v>52827.877500000002</v>
      </c>
      <c r="D87" s="81">
        <v>4.0000000000000002E-4</v>
      </c>
      <c r="E87" s="29">
        <f t="shared" si="20"/>
        <v>3252.0038116609167</v>
      </c>
      <c r="F87" s="61">
        <f t="shared" si="21"/>
        <v>3252</v>
      </c>
      <c r="G87" s="29">
        <f t="shared" si="17"/>
        <v>3.2240000000456348E-2</v>
      </c>
      <c r="K87" s="29">
        <f>G87</f>
        <v>3.2240000000456348E-2</v>
      </c>
      <c r="O87" s="60">
        <f t="shared" ca="1" si="22"/>
        <v>3.14844784210968E-2</v>
      </c>
      <c r="P87" s="60">
        <f t="shared" ca="1" si="23"/>
        <v>-3.1326947485095104E-2</v>
      </c>
      <c r="Q87" s="62">
        <f t="shared" si="24"/>
        <v>37809.377500000002</v>
      </c>
      <c r="R87" s="29">
        <f>G87</f>
        <v>3.2240000000456348E-2</v>
      </c>
    </row>
    <row r="88" spans="1:20" s="29" customFormat="1" ht="12.95" customHeight="1" x14ac:dyDescent="0.2">
      <c r="A88" s="64" t="s">
        <v>271</v>
      </c>
      <c r="B88" s="65" t="s">
        <v>33</v>
      </c>
      <c r="C88" s="64">
        <v>52874.35</v>
      </c>
      <c r="D88" s="64" t="s">
        <v>70</v>
      </c>
      <c r="E88" s="29">
        <f t="shared" si="20"/>
        <v>3257.4981482587132</v>
      </c>
      <c r="F88" s="61">
        <f t="shared" si="21"/>
        <v>3257.5</v>
      </c>
      <c r="G88" s="29">
        <f t="shared" si="17"/>
        <v>-1.5662500001781154E-2</v>
      </c>
      <c r="O88" s="60">
        <f t="shared" ca="1" si="22"/>
        <v>3.1530626964528338E-2</v>
      </c>
      <c r="P88" s="60">
        <f t="shared" ca="1" si="23"/>
        <v>-3.1300390979002723E-2</v>
      </c>
      <c r="Q88" s="62">
        <f t="shared" si="24"/>
        <v>37855.85</v>
      </c>
      <c r="S88" s="29">
        <f>T88</f>
        <v>-1.5662500001781154E-2</v>
      </c>
      <c r="T88" s="29">
        <f>C88-(C$7+F88*C$8)</f>
        <v>-1.5662500001781154E-2</v>
      </c>
    </row>
    <row r="89" spans="1:20" s="29" customFormat="1" ht="12.95" customHeight="1" x14ac:dyDescent="0.2">
      <c r="A89" s="64" t="s">
        <v>271</v>
      </c>
      <c r="B89" s="65" t="s">
        <v>32</v>
      </c>
      <c r="C89" s="64">
        <v>52878.63</v>
      </c>
      <c r="D89" s="64" t="s">
        <v>70</v>
      </c>
      <c r="E89" s="29">
        <f t="shared" si="20"/>
        <v>3258.0041627971727</v>
      </c>
      <c r="F89" s="61">
        <f t="shared" si="21"/>
        <v>3258</v>
      </c>
      <c r="G89" s="29">
        <f>C89-(C$7+F89*C$8)</f>
        <v>3.5210000001825392E-2</v>
      </c>
      <c r="I89" s="29">
        <f>G89</f>
        <v>3.5210000001825392E-2</v>
      </c>
      <c r="O89" s="60">
        <f t="shared" ca="1" si="22"/>
        <v>3.1534822286658479E-2</v>
      </c>
      <c r="P89" s="60">
        <f t="shared" ca="1" si="23"/>
        <v>-3.129797675117614E-2</v>
      </c>
      <c r="Q89" s="62">
        <f t="shared" si="24"/>
        <v>37860.129999999997</v>
      </c>
      <c r="R89" s="29">
        <f>G89</f>
        <v>3.5210000001825392E-2</v>
      </c>
    </row>
    <row r="90" spans="1:20" s="29" customFormat="1" ht="12.95" customHeight="1" x14ac:dyDescent="0.2">
      <c r="A90" s="20" t="s">
        <v>45</v>
      </c>
      <c r="B90" s="84"/>
      <c r="C90" s="79">
        <v>52929.376600000003</v>
      </c>
      <c r="D90" s="79">
        <v>1.2999999999999999E-3</v>
      </c>
      <c r="E90" s="29">
        <f t="shared" si="20"/>
        <v>3264.0038163900244</v>
      </c>
      <c r="F90" s="61">
        <f t="shared" si="21"/>
        <v>3264</v>
      </c>
      <c r="G90" s="29">
        <f>C90-(C$7+F90*C$8)</f>
        <v>3.2280000006721821E-2</v>
      </c>
      <c r="J90" s="29">
        <f>G90</f>
        <v>3.2280000006721821E-2</v>
      </c>
      <c r="O90" s="60">
        <f t="shared" ca="1" si="22"/>
        <v>3.1585166152220165E-2</v>
      </c>
      <c r="P90" s="60">
        <f t="shared" ca="1" si="23"/>
        <v>-3.126900601725717E-2</v>
      </c>
      <c r="Q90" s="62">
        <f t="shared" si="24"/>
        <v>37910.876600000003</v>
      </c>
      <c r="R90" s="29">
        <f>G90</f>
        <v>3.2280000006721821E-2</v>
      </c>
    </row>
    <row r="91" spans="1:20" s="29" customFormat="1" ht="12.95" customHeight="1" x14ac:dyDescent="0.2">
      <c r="A91" s="20" t="s">
        <v>37</v>
      </c>
      <c r="B91" s="80" t="s">
        <v>32</v>
      </c>
      <c r="C91" s="81">
        <v>52988.585249999996</v>
      </c>
      <c r="D91" s="81">
        <v>1.3999999999999999E-4</v>
      </c>
      <c r="E91" s="29">
        <f t="shared" si="20"/>
        <v>3271.0039186569807</v>
      </c>
      <c r="F91" s="61">
        <f t="shared" si="21"/>
        <v>3271</v>
      </c>
      <c r="G91" s="29">
        <f>C91-(C$7+F91*C$8)</f>
        <v>3.3145000001240987E-2</v>
      </c>
      <c r="K91" s="29">
        <f>G91</f>
        <v>3.3145000001240987E-2</v>
      </c>
      <c r="O91" s="60">
        <f t="shared" ca="1" si="22"/>
        <v>3.1643900662042118E-2</v>
      </c>
      <c r="P91" s="60">
        <f t="shared" ca="1" si="23"/>
        <v>-3.1235206827685047E-2</v>
      </c>
      <c r="Q91" s="62">
        <f t="shared" si="24"/>
        <v>37970.085249999996</v>
      </c>
      <c r="R91" s="29">
        <f>G91</f>
        <v>3.3145000001240987E-2</v>
      </c>
    </row>
    <row r="92" spans="1:20" s="29" customFormat="1" ht="12.95" customHeight="1" x14ac:dyDescent="0.2">
      <c r="A92" s="20" t="s">
        <v>37</v>
      </c>
      <c r="B92" s="80" t="s">
        <v>33</v>
      </c>
      <c r="C92" s="81">
        <v>52992.748460000003</v>
      </c>
      <c r="D92" s="81">
        <v>1.9000000000000001E-4</v>
      </c>
      <c r="E92" s="29">
        <f t="shared" si="20"/>
        <v>3271.4961253828369</v>
      </c>
      <c r="F92" s="61">
        <f t="shared" si="21"/>
        <v>3271.5</v>
      </c>
      <c r="G92" s="29">
        <f>C92-(C$7+F92*C$8)</f>
        <v>-3.2772499995189719E-2</v>
      </c>
      <c r="K92" s="29">
        <f>G92</f>
        <v>-3.2772499995189719E-2</v>
      </c>
      <c r="O92" s="60">
        <f t="shared" ca="1" si="22"/>
        <v>3.1648095984172259E-2</v>
      </c>
      <c r="P92" s="60">
        <f t="shared" ca="1" si="23"/>
        <v>-3.1232792599858467E-2</v>
      </c>
      <c r="Q92" s="62">
        <f t="shared" si="24"/>
        <v>37974.248460000003</v>
      </c>
      <c r="S92" s="29">
        <f>G92</f>
        <v>-3.2772499995189719E-2</v>
      </c>
    </row>
    <row r="93" spans="1:20" s="29" customFormat="1" ht="12.95" customHeight="1" x14ac:dyDescent="0.2">
      <c r="A93" s="85" t="s">
        <v>37</v>
      </c>
      <c r="B93" s="22" t="s">
        <v>33</v>
      </c>
      <c r="C93" s="23">
        <v>53026.581639999997</v>
      </c>
      <c r="D93" s="23">
        <v>1.3999999999999999E-4</v>
      </c>
      <c r="E93" s="29">
        <f t="shared" si="20"/>
        <v>3275.4961442992676</v>
      </c>
      <c r="F93" s="61">
        <f t="shared" si="21"/>
        <v>3275.5</v>
      </c>
      <c r="G93" s="29">
        <f>C93-(C$7+F93*C$8)</f>
        <v>-3.2612499999231659E-2</v>
      </c>
      <c r="K93" s="29">
        <f>G93</f>
        <v>-3.2612499999231659E-2</v>
      </c>
      <c r="O93" s="60">
        <f t="shared" ca="1" si="22"/>
        <v>3.1681658561213383E-2</v>
      </c>
      <c r="P93" s="60">
        <f t="shared" ca="1" si="23"/>
        <v>-3.1213478777245826E-2</v>
      </c>
      <c r="Q93" s="62">
        <f t="shared" si="24"/>
        <v>38008.081639999997</v>
      </c>
      <c r="S93" s="29">
        <f>G93</f>
        <v>-3.2612499999231659E-2</v>
      </c>
    </row>
    <row r="94" spans="1:20" s="29" customFormat="1" ht="12.95" customHeight="1" x14ac:dyDescent="0.2">
      <c r="A94" s="85" t="s">
        <v>49</v>
      </c>
      <c r="B94" s="21" t="s">
        <v>32</v>
      </c>
      <c r="C94" s="19">
        <v>53283.507599999997</v>
      </c>
      <c r="D94" s="19">
        <v>5.0000000000000001E-4</v>
      </c>
      <c r="E94" s="29">
        <f t="shared" si="20"/>
        <v>3305.8719085674293</v>
      </c>
      <c r="F94" s="61">
        <f t="shared" si="21"/>
        <v>3306</v>
      </c>
      <c r="K94" s="86"/>
      <c r="O94" s="60">
        <f t="shared" ca="1" si="22"/>
        <v>3.1937573211151926E-2</v>
      </c>
      <c r="P94" s="60">
        <f t="shared" ca="1" si="23"/>
        <v>-3.1066210879824419E-2</v>
      </c>
      <c r="Q94" s="62">
        <f t="shared" si="24"/>
        <v>38265.007599999997</v>
      </c>
      <c r="T94" s="29">
        <f>C94-(C$7+F94*C$8)</f>
        <v>-1.0834299999987707</v>
      </c>
    </row>
    <row r="95" spans="1:20" s="29" customFormat="1" ht="12.95" customHeight="1" x14ac:dyDescent="0.2">
      <c r="A95" s="87" t="s">
        <v>51</v>
      </c>
      <c r="B95" s="22" t="s">
        <v>33</v>
      </c>
      <c r="C95" s="23">
        <v>53559.451999999997</v>
      </c>
      <c r="D95" s="23">
        <v>1E-3</v>
      </c>
      <c r="E95" s="29">
        <f t="shared" si="20"/>
        <v>3338.4961791764376</v>
      </c>
      <c r="F95" s="61">
        <f t="shared" si="21"/>
        <v>3338.5</v>
      </c>
      <c r="G95" s="29">
        <f t="shared" ref="G95:G111" si="25">C95-(C$7+F95*C$8)</f>
        <v>-3.2317500001227017E-2</v>
      </c>
      <c r="K95" s="29">
        <f>G95</f>
        <v>-3.2317500001227017E-2</v>
      </c>
      <c r="O95" s="60">
        <f t="shared" ca="1" si="22"/>
        <v>3.2210269149611032E-2</v>
      </c>
      <c r="P95" s="60">
        <f t="shared" ca="1" si="23"/>
        <v>-3.0909286071096692E-2</v>
      </c>
      <c r="Q95" s="62">
        <f t="shared" si="24"/>
        <v>38540.951999999997</v>
      </c>
      <c r="S95" s="29">
        <f>G95</f>
        <v>-3.2317500001227017E-2</v>
      </c>
    </row>
    <row r="96" spans="1:20" s="29" customFormat="1" ht="12.95" customHeight="1" x14ac:dyDescent="0.2">
      <c r="A96" s="19" t="s">
        <v>51</v>
      </c>
      <c r="B96" s="22" t="s">
        <v>33</v>
      </c>
      <c r="C96" s="23">
        <v>53559.451999999997</v>
      </c>
      <c r="D96" s="23">
        <v>1E-3</v>
      </c>
      <c r="E96" s="29">
        <f t="shared" si="20"/>
        <v>3338.4961791764376</v>
      </c>
      <c r="F96" s="61">
        <f t="shared" si="21"/>
        <v>3338.5</v>
      </c>
      <c r="G96" s="29">
        <f t="shared" si="25"/>
        <v>-3.2317500001227017E-2</v>
      </c>
      <c r="K96" s="29">
        <f>G96</f>
        <v>-3.2317500001227017E-2</v>
      </c>
      <c r="O96" s="60">
        <f t="shared" ca="1" si="22"/>
        <v>3.2210269149611032E-2</v>
      </c>
      <c r="P96" s="60">
        <f t="shared" ca="1" si="23"/>
        <v>-3.0909286071096692E-2</v>
      </c>
      <c r="Q96" s="62">
        <f t="shared" si="24"/>
        <v>38540.951999999997</v>
      </c>
      <c r="S96" s="29">
        <f>G96</f>
        <v>-3.2317500001227017E-2</v>
      </c>
    </row>
    <row r="97" spans="1:19" s="29" customFormat="1" ht="12.95" customHeight="1" x14ac:dyDescent="0.2">
      <c r="A97" s="19" t="s">
        <v>52</v>
      </c>
      <c r="B97" s="21" t="s">
        <v>32</v>
      </c>
      <c r="C97" s="19">
        <v>53614.497889999999</v>
      </c>
      <c r="D97" s="19">
        <v>4.0000000000000002E-4</v>
      </c>
      <c r="E97" s="29">
        <f t="shared" si="20"/>
        <v>3345.0041279200027</v>
      </c>
      <c r="F97" s="61">
        <f t="shared" si="21"/>
        <v>3345</v>
      </c>
      <c r="G97" s="29">
        <f t="shared" si="25"/>
        <v>3.4915000003820751E-2</v>
      </c>
      <c r="K97" s="29">
        <f>G97</f>
        <v>3.4915000003820751E-2</v>
      </c>
      <c r="O97" s="60">
        <f t="shared" ca="1" si="22"/>
        <v>3.2264808337302851E-2</v>
      </c>
      <c r="P97" s="60">
        <f t="shared" ca="1" si="23"/>
        <v>-3.0877901109351149E-2</v>
      </c>
      <c r="Q97" s="62">
        <f t="shared" si="24"/>
        <v>38595.997889999999</v>
      </c>
      <c r="R97" s="29">
        <f>G97</f>
        <v>3.4915000003820751E-2</v>
      </c>
    </row>
    <row r="98" spans="1:19" s="29" customFormat="1" ht="12.95" customHeight="1" x14ac:dyDescent="0.2">
      <c r="A98" s="85" t="s">
        <v>50</v>
      </c>
      <c r="B98" s="22" t="s">
        <v>32</v>
      </c>
      <c r="C98" s="19">
        <v>54020.493699999999</v>
      </c>
      <c r="D98" s="19">
        <v>2.8999999999999998E-3</v>
      </c>
      <c r="E98" s="29">
        <f t="shared" si="20"/>
        <v>3393.0040770820933</v>
      </c>
      <c r="F98" s="61">
        <f t="shared" si="21"/>
        <v>3393</v>
      </c>
      <c r="G98" s="29">
        <f t="shared" si="25"/>
        <v>3.4485000003769528E-2</v>
      </c>
      <c r="J98" s="29">
        <f>G98</f>
        <v>3.4485000003769528E-2</v>
      </c>
      <c r="O98" s="60">
        <f t="shared" ca="1" si="22"/>
        <v>3.2667559261796299E-2</v>
      </c>
      <c r="P98" s="60">
        <f t="shared" ca="1" si="23"/>
        <v>-3.0646135237999431E-2</v>
      </c>
      <c r="Q98" s="62">
        <f t="shared" si="24"/>
        <v>39001.993699999999</v>
      </c>
      <c r="R98" s="29">
        <f>G98</f>
        <v>3.4485000003769528E-2</v>
      </c>
    </row>
    <row r="99" spans="1:19" s="29" customFormat="1" ht="12.95" customHeight="1" x14ac:dyDescent="0.2">
      <c r="A99" s="64" t="s">
        <v>314</v>
      </c>
      <c r="B99" s="65" t="s">
        <v>32</v>
      </c>
      <c r="C99" s="64">
        <v>54071.243199999997</v>
      </c>
      <c r="D99" s="64" t="s">
        <v>62</v>
      </c>
      <c r="E99" s="29">
        <f t="shared" si="20"/>
        <v>3399.0040735352623</v>
      </c>
      <c r="F99" s="61">
        <f t="shared" si="21"/>
        <v>3399</v>
      </c>
      <c r="G99" s="29">
        <f t="shared" si="25"/>
        <v>3.4455000000889413E-2</v>
      </c>
      <c r="K99" s="29">
        <f>G99</f>
        <v>3.4455000000889413E-2</v>
      </c>
      <c r="O99" s="60">
        <f t="shared" ca="1" si="22"/>
        <v>3.2717903127357978E-2</v>
      </c>
      <c r="P99" s="60">
        <f t="shared" ca="1" si="23"/>
        <v>-3.0617164504080464E-2</v>
      </c>
      <c r="Q99" s="62">
        <f t="shared" si="24"/>
        <v>39052.743199999997</v>
      </c>
      <c r="R99" s="29">
        <f>G99</f>
        <v>3.4455000000889413E-2</v>
      </c>
    </row>
    <row r="100" spans="1:19" s="29" customFormat="1" ht="12.95" customHeight="1" x14ac:dyDescent="0.2">
      <c r="A100" s="85" t="s">
        <v>50</v>
      </c>
      <c r="B100" s="21" t="s">
        <v>33</v>
      </c>
      <c r="C100" s="19">
        <v>54092.322399999997</v>
      </c>
      <c r="D100" s="19">
        <v>8.9999999999999998E-4</v>
      </c>
      <c r="E100" s="29">
        <f t="shared" si="20"/>
        <v>3401.4962187827159</v>
      </c>
      <c r="F100" s="61">
        <f t="shared" si="21"/>
        <v>3401.5</v>
      </c>
      <c r="G100" s="29">
        <f t="shared" si="25"/>
        <v>-3.1982499996956903E-2</v>
      </c>
      <c r="J100" s="29">
        <f>G100</f>
        <v>-3.1982499996956903E-2</v>
      </c>
      <c r="O100" s="60">
        <f t="shared" ca="1" si="22"/>
        <v>3.273887973800868E-2</v>
      </c>
      <c r="P100" s="60">
        <f t="shared" ca="1" si="23"/>
        <v>-3.0605093364947562E-2</v>
      </c>
      <c r="Q100" s="62">
        <f t="shared" si="24"/>
        <v>39073.822399999997</v>
      </c>
      <c r="S100" s="29">
        <f>G100</f>
        <v>-3.1982499996956903E-2</v>
      </c>
    </row>
    <row r="101" spans="1:19" s="29" customFormat="1" ht="12.95" customHeight="1" x14ac:dyDescent="0.2">
      <c r="A101" s="64" t="s">
        <v>324</v>
      </c>
      <c r="B101" s="65" t="s">
        <v>32</v>
      </c>
      <c r="C101" s="64">
        <v>54367.281799999997</v>
      </c>
      <c r="D101" s="64" t="s">
        <v>62</v>
      </c>
      <c r="E101" s="29">
        <f t="shared" si="20"/>
        <v>3434.0040351112611</v>
      </c>
      <c r="F101" s="61">
        <f t="shared" si="21"/>
        <v>3434</v>
      </c>
      <c r="G101" s="29">
        <f t="shared" si="25"/>
        <v>3.4130000000004657E-2</v>
      </c>
      <c r="K101" s="29">
        <f>G101</f>
        <v>3.4130000000004657E-2</v>
      </c>
      <c r="O101" s="60">
        <f t="shared" ca="1" si="22"/>
        <v>3.3011575676467786E-2</v>
      </c>
      <c r="P101" s="60">
        <f t="shared" ca="1" si="23"/>
        <v>-3.0448168556219835E-2</v>
      </c>
      <c r="Q101" s="62">
        <f t="shared" si="24"/>
        <v>39348.781799999997</v>
      </c>
      <c r="R101" s="29">
        <f>G101</f>
        <v>3.4130000000004657E-2</v>
      </c>
    </row>
    <row r="102" spans="1:19" s="29" customFormat="1" ht="12.95" customHeight="1" x14ac:dyDescent="0.2">
      <c r="A102" s="64" t="s">
        <v>324</v>
      </c>
      <c r="B102" s="65" t="s">
        <v>33</v>
      </c>
      <c r="C102" s="64">
        <v>54388.3609</v>
      </c>
      <c r="D102" s="64" t="s">
        <v>62</v>
      </c>
      <c r="E102" s="29">
        <f t="shared" si="20"/>
        <v>3436.4961685359453</v>
      </c>
      <c r="F102" s="61">
        <f t="shared" si="21"/>
        <v>3436.5</v>
      </c>
      <c r="G102" s="29">
        <f t="shared" si="25"/>
        <v>-3.2407499995315447E-2</v>
      </c>
      <c r="K102" s="29">
        <f>G102</f>
        <v>-3.2407499995315447E-2</v>
      </c>
      <c r="O102" s="60">
        <f t="shared" ca="1" si="22"/>
        <v>3.3032552287118488E-2</v>
      </c>
      <c r="P102" s="60">
        <f t="shared" ca="1" si="23"/>
        <v>-3.0436097417086933E-2</v>
      </c>
      <c r="Q102" s="62">
        <f t="shared" si="24"/>
        <v>39369.8609</v>
      </c>
      <c r="S102" s="29">
        <f>G102</f>
        <v>-3.2407499995315447E-2</v>
      </c>
    </row>
    <row r="103" spans="1:19" s="29" customFormat="1" ht="12.95" customHeight="1" x14ac:dyDescent="0.2">
      <c r="A103" s="19" t="s">
        <v>53</v>
      </c>
      <c r="B103" s="21" t="s">
        <v>32</v>
      </c>
      <c r="C103" s="19">
        <v>54773.279399999999</v>
      </c>
      <c r="D103" s="19">
        <v>4.0000000000000002E-4</v>
      </c>
      <c r="E103" s="29">
        <f t="shared" si="20"/>
        <v>3482.0041959009277</v>
      </c>
      <c r="F103" s="61">
        <f t="shared" si="21"/>
        <v>3482</v>
      </c>
      <c r="G103" s="29">
        <f t="shared" si="25"/>
        <v>3.5490000002027955E-2</v>
      </c>
      <c r="J103" s="29">
        <f>G103</f>
        <v>3.5490000002027955E-2</v>
      </c>
      <c r="O103" s="60">
        <f t="shared" ca="1" si="22"/>
        <v>3.3414326600961233E-2</v>
      </c>
      <c r="P103" s="60">
        <f t="shared" ca="1" si="23"/>
        <v>-3.0216402684868117E-2</v>
      </c>
      <c r="Q103" s="62">
        <f t="shared" si="24"/>
        <v>39754.779399999999</v>
      </c>
      <c r="R103" s="29">
        <f>G103</f>
        <v>3.5490000002027955E-2</v>
      </c>
    </row>
    <row r="104" spans="1:19" s="29" customFormat="1" ht="12.95" customHeight="1" x14ac:dyDescent="0.2">
      <c r="A104" s="64" t="s">
        <v>340</v>
      </c>
      <c r="B104" s="65" t="s">
        <v>32</v>
      </c>
      <c r="C104" s="64">
        <v>54807.1086</v>
      </c>
      <c r="D104" s="64" t="s">
        <v>70</v>
      </c>
      <c r="E104" s="29">
        <f t="shared" si="20"/>
        <v>3486.0037442711296</v>
      </c>
      <c r="F104" s="61">
        <f t="shared" si="21"/>
        <v>3486</v>
      </c>
      <c r="G104" s="29">
        <f t="shared" si="25"/>
        <v>3.1670000003941823E-2</v>
      </c>
      <c r="K104" s="29">
        <f>G104</f>
        <v>3.1670000003941823E-2</v>
      </c>
      <c r="O104" s="60">
        <f t="shared" ca="1" si="22"/>
        <v>3.344788917800235E-2</v>
      </c>
      <c r="P104" s="60">
        <f t="shared" ca="1" si="23"/>
        <v>-3.0197088862255476E-2</v>
      </c>
      <c r="Q104" s="62">
        <f t="shared" si="24"/>
        <v>39788.6086</v>
      </c>
      <c r="R104" s="29">
        <f>G104</f>
        <v>3.1670000003941823E-2</v>
      </c>
    </row>
    <row r="105" spans="1:19" s="29" customFormat="1" ht="12.95" customHeight="1" x14ac:dyDescent="0.2">
      <c r="A105" s="88" t="s">
        <v>58</v>
      </c>
      <c r="B105" s="88"/>
      <c r="C105" s="89">
        <v>55479.478000000003</v>
      </c>
      <c r="D105" s="89">
        <v>3.2000000000000002E-3</v>
      </c>
      <c r="E105" s="29">
        <f t="shared" si="20"/>
        <v>3565.4964292280151</v>
      </c>
      <c r="F105" s="61">
        <f t="shared" si="21"/>
        <v>3565.5</v>
      </c>
      <c r="G105" s="29">
        <f t="shared" si="25"/>
        <v>-3.020249999826774E-2</v>
      </c>
      <c r="J105" s="29">
        <f>G105</f>
        <v>-3.020249999826774E-2</v>
      </c>
      <c r="O105" s="60">
        <f t="shared" ca="1" si="22"/>
        <v>3.4114945396694622E-2</v>
      </c>
      <c r="P105" s="60">
        <f t="shared" ca="1" si="23"/>
        <v>-2.981322663782919E-2</v>
      </c>
      <c r="Q105" s="62">
        <f t="shared" si="24"/>
        <v>40460.978000000003</v>
      </c>
      <c r="S105" s="29">
        <f>G105</f>
        <v>-3.020249999826774E-2</v>
      </c>
    </row>
    <row r="106" spans="1:19" s="29" customFormat="1" ht="12.95" customHeight="1" x14ac:dyDescent="0.2">
      <c r="A106" s="19" t="s">
        <v>54</v>
      </c>
      <c r="B106" s="21" t="s">
        <v>32</v>
      </c>
      <c r="C106" s="19">
        <v>55855.934000000001</v>
      </c>
      <c r="D106" s="19">
        <v>5.0000000000000001E-4</v>
      </c>
      <c r="E106" s="29">
        <f t="shared" si="20"/>
        <v>3610.0039547164283</v>
      </c>
      <c r="F106" s="61">
        <f t="shared" si="21"/>
        <v>3610</v>
      </c>
      <c r="G106" s="29">
        <f t="shared" si="25"/>
        <v>3.3450000009906944E-2</v>
      </c>
      <c r="K106" s="29">
        <f>G106</f>
        <v>3.3450000009906944E-2</v>
      </c>
      <c r="O106" s="60">
        <f t="shared" ca="1" si="22"/>
        <v>3.4488329066277086E-2</v>
      </c>
      <c r="P106" s="60">
        <f t="shared" ca="1" si="23"/>
        <v>-2.9598360361263534E-2</v>
      </c>
      <c r="Q106" s="62">
        <f t="shared" si="24"/>
        <v>40837.434000000001</v>
      </c>
      <c r="R106" s="29">
        <f>G106</f>
        <v>3.3450000009906944E-2</v>
      </c>
    </row>
    <row r="107" spans="1:19" s="29" customFormat="1" ht="12.95" customHeight="1" x14ac:dyDescent="0.2">
      <c r="A107" s="85" t="s">
        <v>56</v>
      </c>
      <c r="B107" s="21" t="s">
        <v>32</v>
      </c>
      <c r="C107" s="19">
        <v>56177.350380000003</v>
      </c>
      <c r="D107" s="19">
        <v>2.0000000000000001E-4</v>
      </c>
      <c r="E107" s="29">
        <f t="shared" si="20"/>
        <v>3648.0042727489308</v>
      </c>
      <c r="F107" s="61">
        <f t="shared" si="21"/>
        <v>3648</v>
      </c>
      <c r="G107" s="29">
        <f t="shared" si="25"/>
        <v>3.6140000011073425E-2</v>
      </c>
      <c r="J107" s="29">
        <f>G107</f>
        <v>3.6140000011073425E-2</v>
      </c>
      <c r="O107" s="60">
        <f t="shared" ca="1" si="22"/>
        <v>3.480717354816773E-2</v>
      </c>
      <c r="P107" s="60">
        <f t="shared" ca="1" si="23"/>
        <v>-2.9414879046443423E-2</v>
      </c>
      <c r="Q107" s="62">
        <f t="shared" si="24"/>
        <v>41158.850380000003</v>
      </c>
      <c r="R107" s="29">
        <f>G107</f>
        <v>3.6140000011073425E-2</v>
      </c>
    </row>
    <row r="108" spans="1:19" s="29" customFormat="1" ht="12.95" customHeight="1" x14ac:dyDescent="0.2">
      <c r="A108" s="85" t="s">
        <v>57</v>
      </c>
      <c r="B108" s="21" t="s">
        <v>32</v>
      </c>
      <c r="C108" s="19">
        <v>56219.640700000004</v>
      </c>
      <c r="D108" s="19">
        <v>1E-4</v>
      </c>
      <c r="E108" s="29">
        <f t="shared" si="20"/>
        <v>3653.0041598414809</v>
      </c>
      <c r="F108" s="61">
        <f t="shared" si="21"/>
        <v>3653</v>
      </c>
      <c r="G108" s="29">
        <f t="shared" si="25"/>
        <v>3.5185000007913914E-2</v>
      </c>
      <c r="J108" s="29">
        <f>G108</f>
        <v>3.5185000007913914E-2</v>
      </c>
      <c r="O108" s="60">
        <f t="shared" ca="1" si="22"/>
        <v>3.4849126769469135E-2</v>
      </c>
      <c r="P108" s="60">
        <f t="shared" ca="1" si="23"/>
        <v>-2.9390736768177619E-2</v>
      </c>
      <c r="Q108" s="62">
        <f t="shared" si="24"/>
        <v>41201.140700000004</v>
      </c>
      <c r="R108" s="29">
        <f>G108</f>
        <v>3.5185000007913914E-2</v>
      </c>
    </row>
    <row r="109" spans="1:19" s="29" customFormat="1" ht="12.95" customHeight="1" x14ac:dyDescent="0.2">
      <c r="A109" s="85" t="s">
        <v>55</v>
      </c>
      <c r="B109" s="21" t="s">
        <v>33</v>
      </c>
      <c r="C109" s="19">
        <v>56257.639000000003</v>
      </c>
      <c r="D109" s="19">
        <v>2.0000000000000001E-4</v>
      </c>
      <c r="E109" s="29">
        <f t="shared" si="20"/>
        <v>3657.4966112986672</v>
      </c>
      <c r="F109" s="61">
        <f t="shared" si="21"/>
        <v>3657.5</v>
      </c>
      <c r="G109" s="29">
        <f t="shared" si="25"/>
        <v>-2.8662499993515667E-2</v>
      </c>
      <c r="K109" s="29">
        <f>G109</f>
        <v>-2.8662499993515667E-2</v>
      </c>
      <c r="O109" s="60">
        <f t="shared" ca="1" si="22"/>
        <v>3.4886884668640393E-2</v>
      </c>
      <c r="P109" s="60">
        <f t="shared" ca="1" si="23"/>
        <v>-2.9369008717738398E-2</v>
      </c>
      <c r="Q109" s="62">
        <f t="shared" si="24"/>
        <v>41239.139000000003</v>
      </c>
      <c r="S109" s="29">
        <f>G109</f>
        <v>-2.8662499993515667E-2</v>
      </c>
    </row>
    <row r="110" spans="1:19" s="29" customFormat="1" ht="12.95" customHeight="1" x14ac:dyDescent="0.2">
      <c r="A110" s="90" t="s">
        <v>59</v>
      </c>
      <c r="B110" s="91"/>
      <c r="C110" s="90">
        <v>56934.299299999999</v>
      </c>
      <c r="D110" s="90">
        <v>1.2999999999999999E-3</v>
      </c>
      <c r="E110" s="29">
        <f t="shared" si="20"/>
        <v>3737.4965994758968</v>
      </c>
      <c r="F110" s="61">
        <f t="shared" si="21"/>
        <v>3737.5</v>
      </c>
      <c r="G110" s="29">
        <f t="shared" si="25"/>
        <v>-2.8762499998265412E-2</v>
      </c>
      <c r="J110" s="29">
        <f>G110</f>
        <v>-2.8762499998265412E-2</v>
      </c>
      <c r="O110" s="60">
        <f t="shared" ca="1" si="22"/>
        <v>3.5558136209462805E-2</v>
      </c>
      <c r="P110" s="60">
        <f t="shared" ca="1" si="23"/>
        <v>-2.8982732265485533E-2</v>
      </c>
      <c r="Q110" s="62">
        <f t="shared" si="24"/>
        <v>41915.799299999999</v>
      </c>
      <c r="S110" s="29">
        <f>G110</f>
        <v>-2.8762499998265412E-2</v>
      </c>
    </row>
    <row r="111" spans="1:19" s="29" customFormat="1" ht="12.95" customHeight="1" x14ac:dyDescent="0.2">
      <c r="A111" s="90" t="s">
        <v>59</v>
      </c>
      <c r="B111" s="91"/>
      <c r="C111" s="90">
        <v>56955.508699999998</v>
      </c>
      <c r="D111" s="90">
        <v>1E-4</v>
      </c>
      <c r="E111" s="29">
        <f t="shared" si="20"/>
        <v>3740.0041379693566</v>
      </c>
      <c r="F111" s="61">
        <f t="shared" si="21"/>
        <v>3740</v>
      </c>
      <c r="G111" s="29">
        <f t="shared" si="25"/>
        <v>3.500000000349246E-2</v>
      </c>
      <c r="J111" s="29">
        <f>G111</f>
        <v>3.500000000349246E-2</v>
      </c>
      <c r="O111" s="60">
        <f t="shared" ca="1" si="22"/>
        <v>3.5579112820113508E-2</v>
      </c>
      <c r="P111" s="60">
        <f t="shared" ca="1" si="23"/>
        <v>-2.8970661126352631E-2</v>
      </c>
      <c r="Q111" s="62">
        <f t="shared" si="24"/>
        <v>41937.008699999998</v>
      </c>
      <c r="R111" s="29">
        <f>G111</f>
        <v>3.500000000349246E-2</v>
      </c>
    </row>
    <row r="112" spans="1:19" s="29" customFormat="1" ht="12.95" customHeight="1" x14ac:dyDescent="0.2">
      <c r="A112" s="92" t="s">
        <v>0</v>
      </c>
      <c r="B112" s="93" t="s">
        <v>32</v>
      </c>
      <c r="C112" s="94">
        <v>57987.417200000004</v>
      </c>
      <c r="D112" s="94">
        <v>5.9999999999999995E-4</v>
      </c>
      <c r="E112" s="29">
        <f>(C112-C$7)/C$8</f>
        <v>3862.0043023058547</v>
      </c>
      <c r="F112" s="61">
        <f t="shared" si="21"/>
        <v>3862</v>
      </c>
      <c r="G112" s="29">
        <f>C112-(C$7+F112*C$8)</f>
        <v>3.6390000008395873E-2</v>
      </c>
      <c r="J112" s="29">
        <f>G112</f>
        <v>3.6390000008395873E-2</v>
      </c>
      <c r="O112" s="60">
        <f ca="1">+C$11+C$12*F112</f>
        <v>3.6602771419867682E-2</v>
      </c>
      <c r="P112" s="60">
        <f ca="1">+D$11+D$12*F112</f>
        <v>-2.8381589536667012E-2</v>
      </c>
      <c r="Q112" s="62">
        <f>C112-15018.5</f>
        <v>42968.917200000004</v>
      </c>
      <c r="R112" s="29">
        <f>G112</f>
        <v>3.6390000008395873E-2</v>
      </c>
    </row>
    <row r="113" spans="1:18" s="29" customFormat="1" ht="12.95" customHeight="1" x14ac:dyDescent="0.2">
      <c r="A113" s="24" t="s">
        <v>386</v>
      </c>
      <c r="B113" s="25" t="s">
        <v>32</v>
      </c>
      <c r="C113" s="95">
        <v>59467.610500000003</v>
      </c>
      <c r="D113" s="96">
        <v>8.0000000000000004E-4</v>
      </c>
      <c r="E113" s="29">
        <f>(C113-C$7)/C$8</f>
        <v>4037.0041456541576</v>
      </c>
      <c r="F113" s="61">
        <f t="shared" ref="F113" si="26">+ROUND(2*E113,0)/2</f>
        <v>4037</v>
      </c>
      <c r="G113" s="29">
        <f>C113-(C$7+F113*C$8)</f>
        <v>3.5065000003669411E-2</v>
      </c>
      <c r="J113" s="29">
        <f>G113</f>
        <v>3.5065000003669411E-2</v>
      </c>
      <c r="O113" s="60">
        <f ca="1">+C$11+C$12*F113</f>
        <v>3.8071134165416708E-2</v>
      </c>
      <c r="P113" s="60">
        <f ca="1">+D$11+D$12*F113</f>
        <v>-2.7536609797363869E-2</v>
      </c>
      <c r="Q113" s="62">
        <f>C113-15018.5</f>
        <v>44449.110500000003</v>
      </c>
      <c r="R113" s="29">
        <f>G113</f>
        <v>3.5065000003669411E-2</v>
      </c>
    </row>
    <row r="114" spans="1:18" s="29" customFormat="1" ht="12.95" customHeight="1" x14ac:dyDescent="0.2">
      <c r="A114" s="97" t="s">
        <v>388</v>
      </c>
      <c r="B114" s="98" t="s">
        <v>32</v>
      </c>
      <c r="C114" s="99">
        <v>60093.526000000071</v>
      </c>
      <c r="D114" s="97">
        <v>4.0000000000000002E-4</v>
      </c>
      <c r="E114" s="29">
        <f>(C114-C$7)/C$8</f>
        <v>4111.0046930483977</v>
      </c>
      <c r="F114" s="61">
        <f t="shared" ref="F114" si="27">+ROUND(2*E114,0)/2</f>
        <v>4111</v>
      </c>
      <c r="G114" s="29">
        <f>C114-(C$7+F114*C$8)</f>
        <v>3.9695000072242692E-2</v>
      </c>
      <c r="J114" s="29">
        <f>G114</f>
        <v>3.9695000072242692E-2</v>
      </c>
      <c r="O114" s="60">
        <f ca="1">+C$11+C$12*F114</f>
        <v>3.8692041840677434E-2</v>
      </c>
      <c r="P114" s="60">
        <f ca="1">+D$11+D$12*F114</f>
        <v>-2.7179304079029971E-2</v>
      </c>
      <c r="Q114" s="62">
        <f>C114-15018.5</f>
        <v>45075.026000000071</v>
      </c>
      <c r="R114" s="29">
        <f>G114</f>
        <v>3.9695000072242692E-2</v>
      </c>
    </row>
    <row r="115" spans="1:18" s="29" customFormat="1" ht="12.95" customHeight="1" x14ac:dyDescent="0.2">
      <c r="B115" s="27"/>
      <c r="C115" s="63"/>
      <c r="D115" s="63"/>
    </row>
    <row r="116" spans="1:18" s="29" customFormat="1" ht="12.95" customHeight="1" x14ac:dyDescent="0.2">
      <c r="B116" s="27"/>
      <c r="C116" s="63"/>
      <c r="D116" s="63"/>
    </row>
    <row r="117" spans="1:18" s="29" customFormat="1" ht="12.95" customHeight="1" x14ac:dyDescent="0.2">
      <c r="B117" s="27"/>
      <c r="C117" s="63"/>
      <c r="D117" s="63"/>
    </row>
    <row r="118" spans="1:18" s="29" customFormat="1" ht="12.95" customHeight="1" x14ac:dyDescent="0.2">
      <c r="B118" s="27"/>
      <c r="C118" s="63"/>
      <c r="D118" s="63"/>
    </row>
    <row r="119" spans="1:18" s="29" customFormat="1" ht="12.95" customHeight="1" x14ac:dyDescent="0.2">
      <c r="B119" s="27"/>
      <c r="C119" s="63"/>
      <c r="D119" s="63"/>
    </row>
    <row r="120" spans="1:18" s="29" customFormat="1" ht="12.95" customHeight="1" x14ac:dyDescent="0.2">
      <c r="B120" s="27"/>
      <c r="C120" s="63"/>
      <c r="D120" s="63"/>
    </row>
    <row r="121" spans="1:18" s="29" customFormat="1" ht="12.95" customHeight="1" x14ac:dyDescent="0.2">
      <c r="B121" s="27"/>
      <c r="C121" s="63"/>
      <c r="D121" s="63"/>
    </row>
    <row r="122" spans="1:18" s="29" customFormat="1" ht="12.95" customHeight="1" x14ac:dyDescent="0.2">
      <c r="B122" s="27"/>
      <c r="C122" s="63"/>
      <c r="D122" s="63"/>
    </row>
    <row r="123" spans="1:18" s="29" customFormat="1" ht="12.95" customHeight="1" x14ac:dyDescent="0.2">
      <c r="B123" s="27"/>
      <c r="C123" s="63"/>
      <c r="D123" s="63"/>
    </row>
    <row r="124" spans="1:18" s="29" customFormat="1" ht="12.95" customHeight="1" x14ac:dyDescent="0.2">
      <c r="B124" s="27"/>
      <c r="C124" s="63"/>
      <c r="D124" s="63"/>
    </row>
    <row r="125" spans="1:18" s="29" customFormat="1" ht="12.95" customHeight="1" x14ac:dyDescent="0.2">
      <c r="B125" s="27"/>
      <c r="C125" s="63"/>
      <c r="D125" s="63"/>
    </row>
    <row r="126" spans="1:18" s="29" customFormat="1" ht="12.95" customHeight="1" x14ac:dyDescent="0.2">
      <c r="B126" s="27"/>
      <c r="C126" s="63"/>
      <c r="D126" s="63"/>
    </row>
    <row r="127" spans="1:18" s="29" customFormat="1" ht="12.95" customHeight="1" x14ac:dyDescent="0.2">
      <c r="B127" s="27"/>
      <c r="C127" s="63"/>
      <c r="D127" s="63"/>
    </row>
    <row r="128" spans="1:18" s="29" customFormat="1" ht="12.95" customHeight="1" x14ac:dyDescent="0.2">
      <c r="B128" s="27"/>
      <c r="C128" s="63"/>
      <c r="D128" s="63"/>
    </row>
    <row r="129" spans="2:4" s="29" customFormat="1" ht="12.95" customHeight="1" x14ac:dyDescent="0.2">
      <c r="B129" s="27"/>
      <c r="C129" s="63"/>
      <c r="D129" s="63"/>
    </row>
    <row r="130" spans="2:4" s="29" customFormat="1" ht="12.95" customHeight="1" x14ac:dyDescent="0.2">
      <c r="B130" s="27"/>
      <c r="C130" s="63"/>
      <c r="D130" s="63"/>
    </row>
    <row r="131" spans="2:4" s="29" customFormat="1" ht="12.95" customHeight="1" x14ac:dyDescent="0.2">
      <c r="B131" s="27"/>
      <c r="C131" s="63"/>
      <c r="D131" s="63"/>
    </row>
    <row r="132" spans="2:4" s="29" customFormat="1" ht="12.95" customHeight="1" x14ac:dyDescent="0.2">
      <c r="B132" s="27"/>
      <c r="C132" s="63"/>
      <c r="D132" s="63"/>
    </row>
    <row r="133" spans="2:4" s="29" customFormat="1" ht="12.95" customHeight="1" x14ac:dyDescent="0.2">
      <c r="B133" s="27"/>
      <c r="C133" s="63"/>
      <c r="D133" s="63"/>
    </row>
    <row r="134" spans="2:4" s="29" customFormat="1" ht="12.95" customHeight="1" x14ac:dyDescent="0.2">
      <c r="B134" s="27"/>
      <c r="C134" s="63"/>
      <c r="D134" s="63"/>
    </row>
    <row r="135" spans="2:4" s="29" customFormat="1" ht="12.95" customHeight="1" x14ac:dyDescent="0.2">
      <c r="B135" s="27"/>
      <c r="C135" s="63"/>
      <c r="D135" s="63"/>
    </row>
    <row r="136" spans="2:4" s="29" customFormat="1" ht="12.95" customHeight="1" x14ac:dyDescent="0.2">
      <c r="B136" s="27"/>
      <c r="C136" s="63"/>
      <c r="D136" s="63"/>
    </row>
    <row r="137" spans="2:4" s="29" customFormat="1" ht="12.95" customHeight="1" x14ac:dyDescent="0.2">
      <c r="B137" s="27"/>
      <c r="C137" s="63"/>
      <c r="D137" s="63"/>
    </row>
    <row r="138" spans="2:4" s="29" customFormat="1" ht="12.95" customHeight="1" x14ac:dyDescent="0.2">
      <c r="B138" s="27"/>
      <c r="C138" s="63"/>
      <c r="D138" s="63"/>
    </row>
    <row r="139" spans="2:4" s="29" customFormat="1" ht="12.95" customHeight="1" x14ac:dyDescent="0.2">
      <c r="B139" s="27"/>
      <c r="C139" s="63"/>
      <c r="D139" s="63"/>
    </row>
    <row r="140" spans="2:4" s="29" customFormat="1" ht="12.95" customHeight="1" x14ac:dyDescent="0.2">
      <c r="B140" s="27"/>
      <c r="C140" s="63"/>
      <c r="D140" s="63"/>
    </row>
    <row r="141" spans="2:4" s="29" customFormat="1" ht="12.95" customHeight="1" x14ac:dyDescent="0.2">
      <c r="B141" s="27"/>
      <c r="C141" s="63"/>
      <c r="D141" s="63"/>
    </row>
    <row r="142" spans="2:4" s="29" customFormat="1" ht="12.95" customHeight="1" x14ac:dyDescent="0.2">
      <c r="B142" s="27"/>
      <c r="C142" s="63"/>
      <c r="D142" s="63"/>
    </row>
    <row r="143" spans="2:4" s="29" customFormat="1" ht="12.95" customHeight="1" x14ac:dyDescent="0.2">
      <c r="B143" s="27"/>
      <c r="C143" s="63"/>
      <c r="D143" s="63"/>
    </row>
    <row r="144" spans="2:4" s="29" customFormat="1" ht="12.95" customHeight="1" x14ac:dyDescent="0.2">
      <c r="B144" s="27"/>
      <c r="C144" s="63"/>
      <c r="D144" s="63"/>
    </row>
    <row r="145" spans="2:4" s="29" customFormat="1" ht="12.95" customHeight="1" x14ac:dyDescent="0.2">
      <c r="B145" s="27"/>
      <c r="C145" s="63"/>
      <c r="D145" s="63"/>
    </row>
    <row r="146" spans="2:4" s="29" customFormat="1" ht="12.95" customHeight="1" x14ac:dyDescent="0.2">
      <c r="B146" s="27"/>
      <c r="C146" s="63"/>
      <c r="D146" s="63"/>
    </row>
    <row r="147" spans="2:4" s="29" customFormat="1" ht="12.95" customHeight="1" x14ac:dyDescent="0.2">
      <c r="B147" s="27"/>
      <c r="C147" s="63"/>
      <c r="D147" s="63"/>
    </row>
    <row r="148" spans="2:4" s="29" customFormat="1" ht="12.95" customHeight="1" x14ac:dyDescent="0.2">
      <c r="B148" s="27"/>
      <c r="C148" s="63"/>
      <c r="D148" s="63"/>
    </row>
    <row r="149" spans="2:4" s="29" customFormat="1" ht="12.95" customHeight="1" x14ac:dyDescent="0.2">
      <c r="B149" s="27"/>
      <c r="C149" s="63"/>
      <c r="D149" s="63"/>
    </row>
    <row r="150" spans="2:4" s="29" customFormat="1" ht="12.95" customHeight="1" x14ac:dyDescent="0.2">
      <c r="B150" s="27"/>
      <c r="C150" s="63"/>
      <c r="D150" s="63"/>
    </row>
    <row r="151" spans="2:4" s="29" customFormat="1" ht="12.95" customHeight="1" x14ac:dyDescent="0.2">
      <c r="B151" s="27"/>
      <c r="C151" s="63"/>
      <c r="D151" s="63"/>
    </row>
    <row r="152" spans="2:4" s="29" customFormat="1" ht="12.95" customHeight="1" x14ac:dyDescent="0.2">
      <c r="B152" s="27"/>
      <c r="C152" s="63"/>
      <c r="D152" s="63"/>
    </row>
    <row r="153" spans="2:4" s="29" customFormat="1" ht="12.95" customHeight="1" x14ac:dyDescent="0.2">
      <c r="B153" s="27"/>
      <c r="C153" s="63"/>
      <c r="D153" s="63"/>
    </row>
    <row r="154" spans="2:4" s="29" customFormat="1" ht="12.95" customHeight="1" x14ac:dyDescent="0.2">
      <c r="B154" s="27"/>
      <c r="C154" s="63"/>
      <c r="D154" s="63"/>
    </row>
    <row r="155" spans="2:4" s="29" customFormat="1" ht="12.95" customHeight="1" x14ac:dyDescent="0.2">
      <c r="B155" s="27"/>
      <c r="C155" s="63"/>
      <c r="D155" s="63"/>
    </row>
    <row r="156" spans="2:4" s="29" customFormat="1" ht="12.95" customHeight="1" x14ac:dyDescent="0.2">
      <c r="B156" s="27"/>
      <c r="C156" s="63"/>
      <c r="D156" s="63"/>
    </row>
    <row r="157" spans="2:4" s="29" customFormat="1" ht="12.95" customHeight="1" x14ac:dyDescent="0.2">
      <c r="B157" s="27"/>
      <c r="C157" s="63"/>
      <c r="D157" s="63"/>
    </row>
    <row r="158" spans="2:4" s="29" customFormat="1" ht="12.95" customHeight="1" x14ac:dyDescent="0.2">
      <c r="B158" s="27"/>
      <c r="C158" s="63"/>
      <c r="D158" s="63"/>
    </row>
    <row r="159" spans="2:4" s="29" customFormat="1" ht="12.95" customHeight="1" x14ac:dyDescent="0.2">
      <c r="B159" s="27"/>
      <c r="C159" s="63"/>
      <c r="D159" s="63"/>
    </row>
    <row r="160" spans="2:4" s="29" customFormat="1" ht="12.95" customHeight="1" x14ac:dyDescent="0.2">
      <c r="B160" s="27"/>
      <c r="C160" s="63"/>
      <c r="D160" s="63"/>
    </row>
    <row r="161" spans="2:4" s="29" customFormat="1" ht="12.95" customHeight="1" x14ac:dyDescent="0.2">
      <c r="B161" s="27"/>
      <c r="C161" s="63"/>
      <c r="D161" s="63"/>
    </row>
    <row r="162" spans="2:4" s="29" customFormat="1" ht="12.95" customHeight="1" x14ac:dyDescent="0.2">
      <c r="B162" s="27"/>
      <c r="C162" s="63"/>
      <c r="D162" s="63"/>
    </row>
    <row r="163" spans="2:4" s="29" customFormat="1" ht="12.95" customHeight="1" x14ac:dyDescent="0.2">
      <c r="B163" s="27"/>
      <c r="C163" s="63"/>
      <c r="D163" s="63"/>
    </row>
    <row r="164" spans="2:4" s="29" customFormat="1" ht="12.95" customHeight="1" x14ac:dyDescent="0.2">
      <c r="B164" s="27"/>
      <c r="C164" s="63"/>
      <c r="D164" s="63"/>
    </row>
    <row r="165" spans="2:4" s="29" customFormat="1" ht="12.95" customHeight="1" x14ac:dyDescent="0.2">
      <c r="B165" s="27"/>
      <c r="C165" s="63"/>
      <c r="D165" s="63"/>
    </row>
    <row r="166" spans="2:4" s="29" customFormat="1" ht="12.95" customHeight="1" x14ac:dyDescent="0.2">
      <c r="B166" s="27"/>
      <c r="C166" s="63"/>
      <c r="D166" s="63"/>
    </row>
    <row r="167" spans="2:4" s="29" customFormat="1" ht="12.95" customHeight="1" x14ac:dyDescent="0.2">
      <c r="B167" s="27"/>
      <c r="C167" s="63"/>
      <c r="D167" s="63"/>
    </row>
    <row r="168" spans="2:4" s="29" customFormat="1" ht="12.95" customHeight="1" x14ac:dyDescent="0.2">
      <c r="B168" s="27"/>
      <c r="C168" s="63"/>
      <c r="D168" s="63"/>
    </row>
    <row r="169" spans="2:4" s="29" customFormat="1" ht="12.95" customHeight="1" x14ac:dyDescent="0.2">
      <c r="B169" s="27"/>
      <c r="C169" s="63"/>
      <c r="D169" s="63"/>
    </row>
    <row r="170" spans="2:4" s="29" customFormat="1" ht="12.95" customHeight="1" x14ac:dyDescent="0.2">
      <c r="B170" s="27"/>
      <c r="C170" s="63"/>
      <c r="D170" s="63"/>
    </row>
    <row r="171" spans="2:4" s="29" customFormat="1" ht="12.95" customHeight="1" x14ac:dyDescent="0.2">
      <c r="B171" s="27"/>
      <c r="C171" s="63"/>
      <c r="D171" s="63"/>
    </row>
    <row r="172" spans="2:4" s="29" customFormat="1" ht="12.95" customHeight="1" x14ac:dyDescent="0.2">
      <c r="B172" s="27"/>
      <c r="C172" s="63"/>
      <c r="D172" s="63"/>
    </row>
    <row r="173" spans="2:4" s="29" customFormat="1" ht="12.95" customHeight="1" x14ac:dyDescent="0.2">
      <c r="B173" s="27"/>
      <c r="C173" s="63"/>
      <c r="D173" s="63"/>
    </row>
    <row r="174" spans="2:4" s="29" customFormat="1" ht="12.95" customHeight="1" x14ac:dyDescent="0.2">
      <c r="B174" s="27"/>
      <c r="C174" s="63"/>
      <c r="D174" s="63"/>
    </row>
    <row r="175" spans="2:4" s="29" customFormat="1" ht="12.95" customHeight="1" x14ac:dyDescent="0.2">
      <c r="B175" s="27"/>
      <c r="C175" s="63"/>
      <c r="D175" s="63"/>
    </row>
    <row r="176" spans="2:4" s="29" customFormat="1" ht="12.95" customHeight="1" x14ac:dyDescent="0.2">
      <c r="B176" s="27"/>
      <c r="C176" s="63"/>
      <c r="D176" s="63"/>
    </row>
    <row r="177" spans="2:4" s="29" customFormat="1" ht="12.95" customHeight="1" x14ac:dyDescent="0.2">
      <c r="B177" s="27"/>
      <c r="C177" s="63"/>
      <c r="D177" s="63"/>
    </row>
    <row r="178" spans="2:4" s="29" customFormat="1" ht="12.95" customHeight="1" x14ac:dyDescent="0.2">
      <c r="B178" s="27"/>
      <c r="C178" s="63"/>
      <c r="D178" s="63"/>
    </row>
    <row r="179" spans="2:4" s="29" customFormat="1" ht="12.95" customHeight="1" x14ac:dyDescent="0.2">
      <c r="B179" s="27"/>
      <c r="C179" s="63"/>
      <c r="D179" s="63"/>
    </row>
    <row r="180" spans="2:4" s="29" customFormat="1" ht="12.95" customHeight="1" x14ac:dyDescent="0.2">
      <c r="B180" s="27"/>
      <c r="C180" s="63"/>
      <c r="D180" s="63"/>
    </row>
    <row r="181" spans="2:4" s="29" customFormat="1" ht="12.95" customHeight="1" x14ac:dyDescent="0.2">
      <c r="B181" s="27"/>
      <c r="C181" s="63"/>
      <c r="D181" s="63"/>
    </row>
    <row r="182" spans="2:4" s="29" customFormat="1" ht="12.95" customHeight="1" x14ac:dyDescent="0.2">
      <c r="B182" s="27"/>
      <c r="C182" s="63"/>
      <c r="D182" s="63"/>
    </row>
    <row r="183" spans="2:4" s="29" customFormat="1" ht="12.95" customHeight="1" x14ac:dyDescent="0.2">
      <c r="B183" s="27"/>
      <c r="C183" s="63"/>
      <c r="D183" s="63"/>
    </row>
    <row r="184" spans="2:4" s="29" customFormat="1" ht="12.95" customHeight="1" x14ac:dyDescent="0.2">
      <c r="B184" s="27"/>
      <c r="C184" s="63"/>
      <c r="D184" s="63"/>
    </row>
    <row r="185" spans="2:4" s="29" customFormat="1" ht="12.95" customHeight="1" x14ac:dyDescent="0.2">
      <c r="B185" s="27"/>
      <c r="C185" s="63"/>
      <c r="D185" s="63"/>
    </row>
    <row r="186" spans="2:4" s="29" customFormat="1" ht="12.95" customHeight="1" x14ac:dyDescent="0.2">
      <c r="B186" s="27"/>
      <c r="C186" s="63"/>
      <c r="D186" s="63"/>
    </row>
    <row r="187" spans="2:4" s="29" customFormat="1" ht="12.95" customHeight="1" x14ac:dyDescent="0.2">
      <c r="B187" s="27"/>
      <c r="C187" s="63"/>
      <c r="D187" s="63"/>
    </row>
    <row r="188" spans="2:4" s="29" customFormat="1" ht="12.95" customHeight="1" x14ac:dyDescent="0.2">
      <c r="B188" s="27"/>
      <c r="C188" s="63"/>
      <c r="D188" s="63"/>
    </row>
    <row r="189" spans="2:4" s="29" customFormat="1" ht="12.95" customHeight="1" x14ac:dyDescent="0.2">
      <c r="B189" s="27"/>
      <c r="C189" s="63"/>
      <c r="D189" s="63"/>
    </row>
    <row r="190" spans="2:4" s="29" customFormat="1" ht="12.95" customHeight="1" x14ac:dyDescent="0.2">
      <c r="B190" s="27"/>
      <c r="C190" s="63"/>
      <c r="D190" s="63"/>
    </row>
    <row r="191" spans="2:4" s="29" customFormat="1" ht="12.95" customHeight="1" x14ac:dyDescent="0.2">
      <c r="B191" s="27"/>
      <c r="C191" s="63"/>
      <c r="D191" s="63"/>
    </row>
    <row r="192" spans="2:4" s="29" customFormat="1" ht="12.95" customHeight="1" x14ac:dyDescent="0.2">
      <c r="B192" s="27"/>
      <c r="C192" s="63"/>
      <c r="D192" s="63"/>
    </row>
    <row r="193" spans="2:4" s="29" customFormat="1" ht="12.95" customHeight="1" x14ac:dyDescent="0.2">
      <c r="B193" s="27"/>
      <c r="C193" s="63"/>
      <c r="D193" s="63"/>
    </row>
    <row r="194" spans="2:4" s="29" customFormat="1" ht="12.95" customHeight="1" x14ac:dyDescent="0.2">
      <c r="B194" s="27"/>
      <c r="C194" s="63"/>
      <c r="D194" s="63"/>
    </row>
    <row r="195" spans="2:4" s="29" customFormat="1" ht="12.95" customHeight="1" x14ac:dyDescent="0.2">
      <c r="B195" s="27"/>
      <c r="C195" s="63"/>
      <c r="D195" s="63"/>
    </row>
    <row r="196" spans="2:4" s="29" customFormat="1" ht="12.95" customHeight="1" x14ac:dyDescent="0.2">
      <c r="B196" s="27"/>
      <c r="C196" s="63"/>
      <c r="D196" s="63"/>
    </row>
    <row r="197" spans="2:4" s="29" customFormat="1" ht="12.95" customHeight="1" x14ac:dyDescent="0.2">
      <c r="B197" s="27"/>
      <c r="C197" s="63"/>
      <c r="D197" s="63"/>
    </row>
    <row r="198" spans="2:4" s="29" customFormat="1" ht="12.95" customHeight="1" x14ac:dyDescent="0.2">
      <c r="B198" s="27"/>
      <c r="C198" s="63"/>
      <c r="D198" s="63"/>
    </row>
    <row r="199" spans="2:4" s="29" customFormat="1" ht="12.95" customHeight="1" x14ac:dyDescent="0.2">
      <c r="B199" s="27"/>
      <c r="C199" s="63"/>
      <c r="D199" s="63"/>
    </row>
    <row r="200" spans="2:4" s="29" customFormat="1" ht="12.95" customHeight="1" x14ac:dyDescent="0.2">
      <c r="B200" s="27"/>
      <c r="C200" s="63"/>
      <c r="D200" s="63"/>
    </row>
    <row r="201" spans="2:4" s="29" customFormat="1" ht="12.95" customHeight="1" x14ac:dyDescent="0.2">
      <c r="B201" s="27"/>
      <c r="C201" s="63"/>
      <c r="D201" s="63"/>
    </row>
    <row r="202" spans="2:4" s="29" customFormat="1" ht="12.95" customHeight="1" x14ac:dyDescent="0.2">
      <c r="B202" s="27"/>
      <c r="C202" s="63"/>
      <c r="D202" s="63"/>
    </row>
    <row r="203" spans="2:4" s="29" customFormat="1" ht="12.95" customHeight="1" x14ac:dyDescent="0.2">
      <c r="B203" s="27"/>
      <c r="C203" s="63"/>
      <c r="D203" s="63"/>
    </row>
    <row r="204" spans="2:4" s="29" customFormat="1" ht="12.95" customHeight="1" x14ac:dyDescent="0.2">
      <c r="B204" s="27"/>
      <c r="C204" s="63"/>
      <c r="D204" s="63"/>
    </row>
    <row r="205" spans="2:4" s="29" customFormat="1" ht="12.95" customHeight="1" x14ac:dyDescent="0.2">
      <c r="B205" s="27"/>
      <c r="C205" s="63"/>
      <c r="D205" s="63"/>
    </row>
    <row r="206" spans="2:4" s="29" customFormat="1" ht="12.95" customHeight="1" x14ac:dyDescent="0.2">
      <c r="B206" s="27"/>
      <c r="C206" s="63"/>
      <c r="D206" s="63"/>
    </row>
    <row r="207" spans="2:4" s="29" customFormat="1" ht="12.95" customHeight="1" x14ac:dyDescent="0.2">
      <c r="B207" s="27"/>
      <c r="C207" s="63"/>
      <c r="D207" s="63"/>
    </row>
    <row r="208" spans="2:4" s="29" customFormat="1" ht="12.95" customHeight="1" x14ac:dyDescent="0.2">
      <c r="B208" s="27"/>
      <c r="C208" s="63"/>
      <c r="D208" s="63"/>
    </row>
    <row r="209" spans="2:4" s="29" customFormat="1" ht="12.95" customHeight="1" x14ac:dyDescent="0.2">
      <c r="B209" s="27"/>
      <c r="C209" s="63"/>
      <c r="D209" s="63"/>
    </row>
    <row r="210" spans="2:4" s="29" customFormat="1" ht="12.95" customHeight="1" x14ac:dyDescent="0.2">
      <c r="B210" s="27"/>
      <c r="C210" s="63"/>
      <c r="D210" s="63"/>
    </row>
    <row r="211" spans="2:4" s="29" customFormat="1" ht="12.95" customHeight="1" x14ac:dyDescent="0.2">
      <c r="B211" s="27"/>
      <c r="C211" s="63"/>
      <c r="D211" s="63"/>
    </row>
    <row r="212" spans="2:4" s="29" customFormat="1" ht="12.95" customHeight="1" x14ac:dyDescent="0.2">
      <c r="B212" s="27"/>
      <c r="C212" s="63"/>
      <c r="D212" s="63"/>
    </row>
    <row r="213" spans="2:4" s="29" customFormat="1" ht="12.95" customHeight="1" x14ac:dyDescent="0.2">
      <c r="B213" s="27"/>
      <c r="C213" s="63"/>
      <c r="D213" s="63"/>
    </row>
    <row r="214" spans="2:4" s="29" customFormat="1" ht="12.95" customHeight="1" x14ac:dyDescent="0.2">
      <c r="B214" s="27"/>
      <c r="C214" s="63"/>
      <c r="D214" s="63"/>
    </row>
    <row r="215" spans="2:4" s="29" customFormat="1" ht="12.95" customHeight="1" x14ac:dyDescent="0.2">
      <c r="B215" s="27"/>
      <c r="C215" s="63"/>
      <c r="D215" s="63"/>
    </row>
    <row r="216" spans="2:4" s="29" customFormat="1" ht="12.95" customHeight="1" x14ac:dyDescent="0.2">
      <c r="B216" s="27"/>
      <c r="C216" s="63"/>
      <c r="D216" s="63"/>
    </row>
    <row r="217" spans="2:4" s="29" customFormat="1" ht="12.95" customHeight="1" x14ac:dyDescent="0.2">
      <c r="B217" s="27"/>
      <c r="C217" s="63"/>
      <c r="D217" s="63"/>
    </row>
    <row r="218" spans="2:4" s="29" customFormat="1" ht="12.95" customHeight="1" x14ac:dyDescent="0.2">
      <c r="B218" s="27"/>
    </row>
    <row r="219" spans="2:4" s="29" customFormat="1" ht="12.95" customHeight="1" x14ac:dyDescent="0.2">
      <c r="B219" s="27"/>
    </row>
    <row r="220" spans="2:4" s="29" customFormat="1" ht="12.95" customHeight="1" x14ac:dyDescent="0.2">
      <c r="B220" s="27"/>
    </row>
    <row r="221" spans="2:4" s="29" customFormat="1" ht="12.95" customHeight="1" x14ac:dyDescent="0.2">
      <c r="B221" s="27"/>
    </row>
    <row r="222" spans="2:4" s="29" customFormat="1" ht="12.95" customHeight="1" x14ac:dyDescent="0.2">
      <c r="B222" s="27"/>
    </row>
    <row r="223" spans="2:4" s="29" customFormat="1" ht="12.95" customHeight="1" x14ac:dyDescent="0.2">
      <c r="B223" s="27"/>
    </row>
    <row r="224" spans="2:4" s="29" customFormat="1" ht="12.95" customHeight="1" x14ac:dyDescent="0.2">
      <c r="B224" s="27"/>
    </row>
    <row r="225" spans="2:2" s="29" customFormat="1" ht="12.95" customHeight="1" x14ac:dyDescent="0.2">
      <c r="B225" s="27"/>
    </row>
    <row r="226" spans="2:2" s="29" customFormat="1" ht="12.95" customHeight="1" x14ac:dyDescent="0.2">
      <c r="B226" s="27"/>
    </row>
    <row r="227" spans="2:2" s="29" customFormat="1" ht="12.95" customHeight="1" x14ac:dyDescent="0.2">
      <c r="B227" s="27"/>
    </row>
    <row r="228" spans="2:2" s="29" customFormat="1" ht="12.95" customHeight="1" x14ac:dyDescent="0.2">
      <c r="B228" s="27"/>
    </row>
    <row r="229" spans="2:2" s="29" customFormat="1" ht="12.95" customHeight="1" x14ac:dyDescent="0.2">
      <c r="B229" s="27"/>
    </row>
    <row r="230" spans="2:2" s="29" customFormat="1" ht="12.95" customHeight="1" x14ac:dyDescent="0.2">
      <c r="B230" s="27"/>
    </row>
    <row r="231" spans="2:2" s="29" customFormat="1" ht="12.95" customHeight="1" x14ac:dyDescent="0.2">
      <c r="B231" s="27"/>
    </row>
    <row r="232" spans="2:2" s="29" customFormat="1" ht="12.95" customHeight="1" x14ac:dyDescent="0.2">
      <c r="B232" s="27"/>
    </row>
    <row r="233" spans="2:2" s="29" customFormat="1" ht="12.95" customHeight="1" x14ac:dyDescent="0.2">
      <c r="B233" s="27"/>
    </row>
    <row r="234" spans="2:2" s="29" customFormat="1" ht="12.95" customHeight="1" x14ac:dyDescent="0.2">
      <c r="B234" s="27"/>
    </row>
    <row r="235" spans="2:2" s="29" customFormat="1" ht="12.95" customHeight="1" x14ac:dyDescent="0.2">
      <c r="B235" s="27"/>
    </row>
    <row r="236" spans="2:2" s="29" customFormat="1" ht="12.95" customHeight="1" x14ac:dyDescent="0.2">
      <c r="B236" s="27"/>
    </row>
    <row r="237" spans="2:2" s="29" customFormat="1" ht="12.95" customHeight="1" x14ac:dyDescent="0.2">
      <c r="B237" s="27"/>
    </row>
    <row r="238" spans="2:2" s="29" customFormat="1" ht="12.95" customHeight="1" x14ac:dyDescent="0.2">
      <c r="B238" s="27"/>
    </row>
    <row r="239" spans="2:2" s="29" customFormat="1" ht="12.95" customHeight="1" x14ac:dyDescent="0.2">
      <c r="B239" s="27"/>
    </row>
    <row r="240" spans="2:2" s="29" customFormat="1" ht="12.95" customHeight="1" x14ac:dyDescent="0.2">
      <c r="B240" s="27"/>
    </row>
    <row r="241" spans="2:2" s="29" customFormat="1" ht="12.95" customHeight="1" x14ac:dyDescent="0.2">
      <c r="B241" s="27"/>
    </row>
    <row r="242" spans="2:2" s="29" customFormat="1" ht="12.95" customHeight="1" x14ac:dyDescent="0.2">
      <c r="B242" s="27"/>
    </row>
    <row r="243" spans="2:2" s="29" customFormat="1" ht="12.95" customHeight="1" x14ac:dyDescent="0.2">
      <c r="B243" s="27"/>
    </row>
    <row r="244" spans="2:2" s="29" customFormat="1" ht="12.95" customHeight="1" x14ac:dyDescent="0.2">
      <c r="B244" s="27"/>
    </row>
    <row r="245" spans="2:2" s="29" customFormat="1" ht="12.95" customHeight="1" x14ac:dyDescent="0.2">
      <c r="B245" s="27"/>
    </row>
    <row r="246" spans="2:2" s="29" customFormat="1" ht="12.95" customHeight="1" x14ac:dyDescent="0.2">
      <c r="B246" s="27"/>
    </row>
    <row r="247" spans="2:2" s="29" customFormat="1" ht="12.95" customHeight="1" x14ac:dyDescent="0.2">
      <c r="B247" s="27"/>
    </row>
    <row r="248" spans="2:2" s="29" customFormat="1" ht="12.95" customHeight="1" x14ac:dyDescent="0.2">
      <c r="B248" s="27"/>
    </row>
    <row r="249" spans="2:2" s="29" customFormat="1" ht="12.95" customHeight="1" x14ac:dyDescent="0.2">
      <c r="B249" s="27"/>
    </row>
    <row r="250" spans="2:2" s="29" customFormat="1" ht="12.95" customHeight="1" x14ac:dyDescent="0.2">
      <c r="B250" s="27"/>
    </row>
    <row r="251" spans="2:2" s="29" customFormat="1" ht="12.95" customHeight="1" x14ac:dyDescent="0.2">
      <c r="B251" s="27"/>
    </row>
    <row r="252" spans="2:2" s="29" customFormat="1" ht="12.95" customHeight="1" x14ac:dyDescent="0.2">
      <c r="B252" s="27"/>
    </row>
    <row r="253" spans="2:2" s="29" customFormat="1" ht="12.95" customHeight="1" x14ac:dyDescent="0.2">
      <c r="B253" s="27"/>
    </row>
    <row r="254" spans="2:2" s="29" customFormat="1" ht="12.95" customHeight="1" x14ac:dyDescent="0.2">
      <c r="B254" s="27"/>
    </row>
    <row r="255" spans="2:2" s="29" customFormat="1" ht="12.95" customHeight="1" x14ac:dyDescent="0.2">
      <c r="B255" s="27"/>
    </row>
    <row r="256" spans="2:2" s="29" customFormat="1" ht="12.95" customHeight="1" x14ac:dyDescent="0.2">
      <c r="B256" s="27"/>
    </row>
    <row r="257" spans="2:2" s="29" customFormat="1" ht="12.95" customHeight="1" x14ac:dyDescent="0.2">
      <c r="B257" s="27"/>
    </row>
    <row r="258" spans="2:2" s="29" customFormat="1" ht="12.95" customHeight="1" x14ac:dyDescent="0.2">
      <c r="B258" s="27"/>
    </row>
    <row r="259" spans="2:2" s="29" customFormat="1" ht="12.95" customHeight="1" x14ac:dyDescent="0.2">
      <c r="B259" s="27"/>
    </row>
    <row r="260" spans="2:2" s="29" customFormat="1" ht="12.95" customHeight="1" x14ac:dyDescent="0.2">
      <c r="B260" s="27"/>
    </row>
    <row r="261" spans="2:2" s="29" customFormat="1" ht="12.95" customHeight="1" x14ac:dyDescent="0.2">
      <c r="B261" s="27"/>
    </row>
    <row r="262" spans="2:2" s="29" customFormat="1" ht="12.95" customHeight="1" x14ac:dyDescent="0.2">
      <c r="B262" s="27"/>
    </row>
    <row r="263" spans="2:2" s="29" customFormat="1" ht="12.95" customHeight="1" x14ac:dyDescent="0.2">
      <c r="B263" s="27"/>
    </row>
  </sheetData>
  <phoneticPr fontId="0" type="noConversion"/>
  <hyperlinks>
    <hyperlink ref="H64656" r:id="rId1" display="http://vsolj.cetus-net.org/bulletin.html" xr:uid="{00000000-0004-0000-0000-000000000000}"/>
    <hyperlink ref="H64649" r:id="rId2" display="https://www.aavso.org/ejaavso" xr:uid="{00000000-0004-0000-0000-000001000000}"/>
    <hyperlink ref="AP1507" r:id="rId3" display="http://cdsbib.u-strasbg.fr/cgi-bin/cdsbib?1990RMxAA..21..381G" xr:uid="{00000000-0004-0000-0000-000002000000}"/>
    <hyperlink ref="AP1504" r:id="rId4" display="http://cdsbib.u-strasbg.fr/cgi-bin/cdsbib?1990RMxAA..21..381G" xr:uid="{00000000-0004-0000-0000-000003000000}"/>
    <hyperlink ref="AP1506" r:id="rId5" display="http://cdsbib.u-strasbg.fr/cgi-bin/cdsbib?1990RMxAA..21..381G" xr:uid="{00000000-0004-0000-0000-000004000000}"/>
    <hyperlink ref="AP1482" r:id="rId6" display="http://cdsbib.u-strasbg.fr/cgi-bin/cdsbib?1990RMxAA..21..381G" xr:uid="{00000000-0004-0000-0000-000005000000}"/>
    <hyperlink ref="I64656" r:id="rId7" display="http://vsolj.cetus-net.org/bulletin.html" xr:uid="{00000000-0004-0000-0000-000006000000}"/>
    <hyperlink ref="AQ1643" r:id="rId8" display="http://cdsbib.u-strasbg.fr/cgi-bin/cdsbib?1990RMxAA..21..381G" xr:uid="{00000000-0004-0000-0000-000007000000}"/>
    <hyperlink ref="AQ3287" r:id="rId9" display="http://cdsbib.u-strasbg.fr/cgi-bin/cdsbib?1990RMxAA..21..381G" xr:uid="{00000000-0004-0000-0000-000008000000}"/>
    <hyperlink ref="AQ1644" r:id="rId10" display="http://cdsbib.u-strasbg.fr/cgi-bin/cdsbib?1990RMxAA..21..381G" xr:uid="{00000000-0004-0000-0000-000009000000}"/>
    <hyperlink ref="H64653" r:id="rId11" display="https://www.aavso.org/ejaavso" xr:uid="{00000000-0004-0000-0000-00000A000000}"/>
    <hyperlink ref="H2494" r:id="rId12" display="http://vsolj.cetus-net.org/bulletin.html" xr:uid="{00000000-0004-0000-0000-00000B000000}"/>
    <hyperlink ref="AP5732" r:id="rId13" display="http://cdsbib.u-strasbg.fr/cgi-bin/cdsbib?1990RMxAA..21..381G" xr:uid="{00000000-0004-0000-0000-00000C000000}"/>
    <hyperlink ref="AP5735" r:id="rId14" display="http://cdsbib.u-strasbg.fr/cgi-bin/cdsbib?1990RMxAA..21..381G" xr:uid="{00000000-0004-0000-0000-00000D000000}"/>
    <hyperlink ref="AP5733" r:id="rId15" display="http://cdsbib.u-strasbg.fr/cgi-bin/cdsbib?1990RMxAA..21..381G" xr:uid="{00000000-0004-0000-0000-00000E000000}"/>
    <hyperlink ref="AP5711" r:id="rId16" display="http://cdsbib.u-strasbg.fr/cgi-bin/cdsbib?1990RMxAA..21..381G" xr:uid="{00000000-0004-0000-0000-00000F000000}"/>
    <hyperlink ref="I2494" r:id="rId17" display="http://vsolj.cetus-net.org/bulletin.html" xr:uid="{00000000-0004-0000-0000-000010000000}"/>
    <hyperlink ref="AQ5845" r:id="rId18" display="http://cdsbib.u-strasbg.fr/cgi-bin/cdsbib?1990RMxAA..21..381G" xr:uid="{00000000-0004-0000-0000-000011000000}"/>
    <hyperlink ref="AQ397" r:id="rId19" display="http://cdsbib.u-strasbg.fr/cgi-bin/cdsbib?1990RMxAA..21..381G" xr:uid="{00000000-0004-0000-0000-000012000000}"/>
    <hyperlink ref="AQ584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70"/>
  <sheetViews>
    <sheetView topLeftCell="A52" workbookViewId="0">
      <selection activeCell="A37" sqref="A37:D91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6" t="s">
        <v>60</v>
      </c>
      <c r="I1" s="7" t="s">
        <v>61</v>
      </c>
      <c r="J1" s="8" t="s">
        <v>62</v>
      </c>
    </row>
    <row r="2" spans="1:16" x14ac:dyDescent="0.2">
      <c r="I2" s="9" t="s">
        <v>63</v>
      </c>
      <c r="J2" s="10" t="s">
        <v>64</v>
      </c>
    </row>
    <row r="3" spans="1:16" x14ac:dyDescent="0.2">
      <c r="A3" s="11" t="s">
        <v>65</v>
      </c>
      <c r="I3" s="9" t="s">
        <v>66</v>
      </c>
      <c r="J3" s="10" t="s">
        <v>67</v>
      </c>
    </row>
    <row r="4" spans="1:16" x14ac:dyDescent="0.2">
      <c r="I4" s="9" t="s">
        <v>68</v>
      </c>
      <c r="J4" s="10" t="s">
        <v>67</v>
      </c>
    </row>
    <row r="5" spans="1:16" ht="13.5" thickBot="1" x14ac:dyDescent="0.25">
      <c r="I5" s="12" t="s">
        <v>69</v>
      </c>
      <c r="J5" s="13" t="s">
        <v>70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 BBS 35 </v>
      </c>
      <c r="B11" s="3" t="str">
        <f t="shared" ref="B11:B42" si="1">IF(H11=INT(H11),"I","II")</f>
        <v>II</v>
      </c>
      <c r="C11" s="4">
        <f t="shared" ref="C11:C42" si="2">1*G11</f>
        <v>43392.608999999997</v>
      </c>
      <c r="D11" s="5" t="str">
        <f t="shared" ref="D11:D42" si="3">VLOOKUP(F11,I$1:J$5,2,FALSE)</f>
        <v>vis</v>
      </c>
      <c r="E11" s="14">
        <f>VLOOKUP(C11,Active!C$21:E$971,3,FALSE)</f>
        <v>2136.4937566909484</v>
      </c>
      <c r="F11" s="3" t="s">
        <v>69</v>
      </c>
      <c r="G11" s="5" t="str">
        <f t="shared" ref="G11:G42" si="4">MID(I11,3,LEN(I11)-3)</f>
        <v>43392.609</v>
      </c>
      <c r="H11" s="4">
        <f t="shared" ref="H11:H42" si="5">1*K11</f>
        <v>2136.5</v>
      </c>
      <c r="I11" s="15" t="s">
        <v>203</v>
      </c>
      <c r="J11" s="16" t="s">
        <v>204</v>
      </c>
      <c r="K11" s="15">
        <v>2136.5</v>
      </c>
      <c r="L11" s="15" t="s">
        <v>205</v>
      </c>
      <c r="M11" s="16" t="s">
        <v>206</v>
      </c>
      <c r="N11" s="16"/>
      <c r="O11" s="17" t="s">
        <v>207</v>
      </c>
      <c r="P11" s="17" t="s">
        <v>208</v>
      </c>
    </row>
    <row r="12" spans="1:16" ht="12.75" customHeight="1" thickBot="1" x14ac:dyDescent="0.25">
      <c r="A12" s="4" t="str">
        <f t="shared" si="0"/>
        <v>IBVS 3900 </v>
      </c>
      <c r="B12" s="3" t="str">
        <f t="shared" si="1"/>
        <v>I</v>
      </c>
      <c r="C12" s="4">
        <f t="shared" si="2"/>
        <v>48209.6711</v>
      </c>
      <c r="D12" s="5" t="str">
        <f t="shared" si="3"/>
        <v>vis</v>
      </c>
      <c r="E12" s="14">
        <f>VLOOKUP(C12,Active!C$21:E$971,3,FALSE)</f>
        <v>2706.0039097899039</v>
      </c>
      <c r="F12" s="3" t="s">
        <v>69</v>
      </c>
      <c r="G12" s="5" t="str">
        <f t="shared" si="4"/>
        <v>48209.6711</v>
      </c>
      <c r="H12" s="4">
        <f t="shared" si="5"/>
        <v>2706</v>
      </c>
      <c r="I12" s="15" t="s">
        <v>209</v>
      </c>
      <c r="J12" s="16" t="s">
        <v>210</v>
      </c>
      <c r="K12" s="15">
        <v>2706</v>
      </c>
      <c r="L12" s="15" t="s">
        <v>211</v>
      </c>
      <c r="M12" s="16" t="s">
        <v>157</v>
      </c>
      <c r="N12" s="16" t="s">
        <v>158</v>
      </c>
      <c r="O12" s="17" t="s">
        <v>212</v>
      </c>
      <c r="P12" s="18" t="s">
        <v>213</v>
      </c>
    </row>
    <row r="13" spans="1:16" ht="12.75" customHeight="1" thickBot="1" x14ac:dyDescent="0.25">
      <c r="A13" s="4" t="str">
        <f t="shared" si="0"/>
        <v>IBVS 4597 </v>
      </c>
      <c r="B13" s="3" t="str">
        <f t="shared" si="1"/>
        <v>I</v>
      </c>
      <c r="C13" s="4">
        <f t="shared" si="2"/>
        <v>50307.316200000001</v>
      </c>
      <c r="D13" s="5" t="str">
        <f t="shared" si="3"/>
        <v>vis</v>
      </c>
      <c r="E13" s="14">
        <f>VLOOKUP(C13,Active!C$21:E$971,3,FALSE)</f>
        <v>2954.0036567826346</v>
      </c>
      <c r="F13" s="3" t="s">
        <v>69</v>
      </c>
      <c r="G13" s="5" t="str">
        <f t="shared" si="4"/>
        <v>50307.3162</v>
      </c>
      <c r="H13" s="4">
        <f t="shared" si="5"/>
        <v>2954</v>
      </c>
      <c r="I13" s="15" t="s">
        <v>214</v>
      </c>
      <c r="J13" s="16" t="s">
        <v>215</v>
      </c>
      <c r="K13" s="15">
        <v>2954</v>
      </c>
      <c r="L13" s="15" t="s">
        <v>216</v>
      </c>
      <c r="M13" s="16" t="s">
        <v>157</v>
      </c>
      <c r="N13" s="16" t="s">
        <v>158</v>
      </c>
      <c r="O13" s="17" t="s">
        <v>217</v>
      </c>
      <c r="P13" s="18" t="s">
        <v>218</v>
      </c>
    </row>
    <row r="14" spans="1:16" ht="12.75" customHeight="1" thickBot="1" x14ac:dyDescent="0.25">
      <c r="A14" s="4" t="str">
        <f t="shared" si="0"/>
        <v>IBVS 4737 </v>
      </c>
      <c r="B14" s="3" t="str">
        <f t="shared" si="1"/>
        <v>I</v>
      </c>
      <c r="C14" s="4">
        <f t="shared" si="2"/>
        <v>51144.684500000003</v>
      </c>
      <c r="D14" s="5" t="str">
        <f t="shared" si="3"/>
        <v>vis</v>
      </c>
      <c r="E14" s="14">
        <f>VLOOKUP(C14,Active!C$21:E$971,3,FALSE)</f>
        <v>3053.0037815128539</v>
      </c>
      <c r="F14" s="3" t="s">
        <v>69</v>
      </c>
      <c r="G14" s="5" t="str">
        <f t="shared" si="4"/>
        <v>51144.6845</v>
      </c>
      <c r="H14" s="4">
        <f t="shared" si="5"/>
        <v>3053</v>
      </c>
      <c r="I14" s="15" t="s">
        <v>219</v>
      </c>
      <c r="J14" s="16" t="s">
        <v>220</v>
      </c>
      <c r="K14" s="15">
        <v>3053</v>
      </c>
      <c r="L14" s="15" t="s">
        <v>221</v>
      </c>
      <c r="M14" s="16" t="s">
        <v>157</v>
      </c>
      <c r="N14" s="16" t="s">
        <v>158</v>
      </c>
      <c r="O14" s="17" t="s">
        <v>217</v>
      </c>
      <c r="P14" s="18" t="s">
        <v>222</v>
      </c>
    </row>
    <row r="15" spans="1:16" ht="12.75" customHeight="1" thickBot="1" x14ac:dyDescent="0.25">
      <c r="A15" s="4" t="str">
        <f t="shared" si="0"/>
        <v>IBVS 5067 </v>
      </c>
      <c r="B15" s="3" t="str">
        <f t="shared" si="1"/>
        <v>I</v>
      </c>
      <c r="C15" s="4">
        <f t="shared" si="2"/>
        <v>51863.635699999999</v>
      </c>
      <c r="D15" s="5" t="str">
        <f t="shared" si="3"/>
        <v>vis</v>
      </c>
      <c r="E15" s="14">
        <f>VLOOKUP(C15,Active!C$21:E$971,3,FALSE)</f>
        <v>3138.003725354698</v>
      </c>
      <c r="F15" s="3" t="s">
        <v>69</v>
      </c>
      <c r="G15" s="5" t="str">
        <f t="shared" si="4"/>
        <v>51863.6357</v>
      </c>
      <c r="H15" s="4">
        <f t="shared" si="5"/>
        <v>3138</v>
      </c>
      <c r="I15" s="15" t="s">
        <v>231</v>
      </c>
      <c r="J15" s="16" t="s">
        <v>232</v>
      </c>
      <c r="K15" s="15">
        <v>3138</v>
      </c>
      <c r="L15" s="15" t="s">
        <v>233</v>
      </c>
      <c r="M15" s="16" t="s">
        <v>157</v>
      </c>
      <c r="N15" s="16" t="s">
        <v>158</v>
      </c>
      <c r="O15" s="17" t="s">
        <v>217</v>
      </c>
      <c r="P15" s="18" t="s">
        <v>234</v>
      </c>
    </row>
    <row r="16" spans="1:16" ht="12.75" customHeight="1" thickBot="1" x14ac:dyDescent="0.25">
      <c r="A16" s="4" t="str">
        <f t="shared" si="0"/>
        <v>IBVS 5067 </v>
      </c>
      <c r="B16" s="3" t="str">
        <f t="shared" si="1"/>
        <v>II</v>
      </c>
      <c r="C16" s="4">
        <f t="shared" si="2"/>
        <v>51867.799200000001</v>
      </c>
      <c r="D16" s="5" t="str">
        <f t="shared" si="3"/>
        <v>vis</v>
      </c>
      <c r="E16" s="14">
        <f>VLOOKUP(C16,Active!C$21:E$971,3,FALSE)</f>
        <v>3138.4959663665854</v>
      </c>
      <c r="F16" s="3" t="s">
        <v>69</v>
      </c>
      <c r="G16" s="5" t="str">
        <f t="shared" si="4"/>
        <v>51867.7992</v>
      </c>
      <c r="H16" s="4">
        <f t="shared" si="5"/>
        <v>3138.5</v>
      </c>
      <c r="I16" s="15" t="s">
        <v>235</v>
      </c>
      <c r="J16" s="16" t="s">
        <v>236</v>
      </c>
      <c r="K16" s="15">
        <v>3138.5</v>
      </c>
      <c r="L16" s="15" t="s">
        <v>237</v>
      </c>
      <c r="M16" s="16" t="s">
        <v>157</v>
      </c>
      <c r="N16" s="16" t="s">
        <v>158</v>
      </c>
      <c r="O16" s="17" t="s">
        <v>217</v>
      </c>
      <c r="P16" s="18" t="s">
        <v>234</v>
      </c>
    </row>
    <row r="17" spans="1:16" ht="12.75" customHeight="1" thickBot="1" x14ac:dyDescent="0.25">
      <c r="A17" s="4" t="str">
        <f t="shared" si="0"/>
        <v>IBVS 5067 </v>
      </c>
      <c r="B17" s="3" t="str">
        <f t="shared" si="1"/>
        <v>II</v>
      </c>
      <c r="C17" s="4">
        <f t="shared" si="2"/>
        <v>51918.550199999998</v>
      </c>
      <c r="D17" s="5" t="str">
        <f t="shared" si="3"/>
        <v>vis</v>
      </c>
      <c r="E17" s="14">
        <f>VLOOKUP(C17,Active!C$21:E$971,3,FALSE)</f>
        <v>3144.4961401612982</v>
      </c>
      <c r="F17" s="3" t="s">
        <v>69</v>
      </c>
      <c r="G17" s="5" t="str">
        <f t="shared" si="4"/>
        <v>51918.5502</v>
      </c>
      <c r="H17" s="4">
        <f t="shared" si="5"/>
        <v>3144.5</v>
      </c>
      <c r="I17" s="15" t="s">
        <v>238</v>
      </c>
      <c r="J17" s="16" t="s">
        <v>239</v>
      </c>
      <c r="K17" s="15">
        <v>3144.5</v>
      </c>
      <c r="L17" s="15" t="s">
        <v>240</v>
      </c>
      <c r="M17" s="16" t="s">
        <v>157</v>
      </c>
      <c r="N17" s="16" t="s">
        <v>158</v>
      </c>
      <c r="O17" s="17" t="s">
        <v>217</v>
      </c>
      <c r="P17" s="18" t="s">
        <v>234</v>
      </c>
    </row>
    <row r="18" spans="1:16" ht="12.75" customHeight="1" thickBot="1" x14ac:dyDescent="0.25">
      <c r="A18" s="4" t="str">
        <f t="shared" si="0"/>
        <v>IBVS 5251 </v>
      </c>
      <c r="B18" s="3" t="str">
        <f t="shared" si="1"/>
        <v>I</v>
      </c>
      <c r="C18" s="4">
        <f t="shared" si="2"/>
        <v>52176.591099999998</v>
      </c>
      <c r="D18" s="5" t="str">
        <f t="shared" si="3"/>
        <v>vis</v>
      </c>
      <c r="E18" s="14">
        <f>VLOOKUP(C18,Active!C$21:E$971,3,FALSE)</f>
        <v>3175.0037212167285</v>
      </c>
      <c r="F18" s="3" t="s">
        <v>69</v>
      </c>
      <c r="G18" s="5" t="str">
        <f t="shared" si="4"/>
        <v>52176.5911</v>
      </c>
      <c r="H18" s="4">
        <f t="shared" si="5"/>
        <v>3175</v>
      </c>
      <c r="I18" s="15" t="s">
        <v>247</v>
      </c>
      <c r="J18" s="16" t="s">
        <v>248</v>
      </c>
      <c r="K18" s="15">
        <v>3175</v>
      </c>
      <c r="L18" s="15" t="s">
        <v>243</v>
      </c>
      <c r="M18" s="16" t="s">
        <v>157</v>
      </c>
      <c r="N18" s="16" t="s">
        <v>244</v>
      </c>
      <c r="O18" s="17" t="s">
        <v>245</v>
      </c>
      <c r="P18" s="18" t="s">
        <v>246</v>
      </c>
    </row>
    <row r="19" spans="1:16" ht="12.75" customHeight="1" thickBot="1" x14ac:dyDescent="0.25">
      <c r="A19" s="4" t="str">
        <f t="shared" si="0"/>
        <v>IBVS 5357 </v>
      </c>
      <c r="B19" s="3" t="str">
        <f t="shared" si="1"/>
        <v>I</v>
      </c>
      <c r="C19" s="4">
        <f t="shared" si="2"/>
        <v>52269.632599999997</v>
      </c>
      <c r="D19" s="5" t="str">
        <f t="shared" si="3"/>
        <v>vis</v>
      </c>
      <c r="E19" s="14">
        <f>VLOOKUP(C19,Active!C$21:E$971,3,FALSE)</f>
        <v>3186.0038033849773</v>
      </c>
      <c r="F19" s="3" t="s">
        <v>69</v>
      </c>
      <c r="G19" s="5" t="str">
        <f t="shared" si="4"/>
        <v>52269.6326</v>
      </c>
      <c r="H19" s="4">
        <f t="shared" si="5"/>
        <v>3186</v>
      </c>
      <c r="I19" s="15" t="s">
        <v>254</v>
      </c>
      <c r="J19" s="16" t="s">
        <v>255</v>
      </c>
      <c r="K19" s="15">
        <v>3186</v>
      </c>
      <c r="L19" s="15" t="s">
        <v>256</v>
      </c>
      <c r="M19" s="16" t="s">
        <v>157</v>
      </c>
      <c r="N19" s="16" t="s">
        <v>244</v>
      </c>
      <c r="O19" s="17" t="s">
        <v>252</v>
      </c>
      <c r="P19" s="18" t="s">
        <v>253</v>
      </c>
    </row>
    <row r="20" spans="1:16" ht="12.75" customHeight="1" thickBot="1" x14ac:dyDescent="0.25">
      <c r="A20" s="4" t="str">
        <f t="shared" si="0"/>
        <v>IBVS 5357 </v>
      </c>
      <c r="B20" s="3" t="str">
        <f t="shared" si="1"/>
        <v>I</v>
      </c>
      <c r="C20" s="4">
        <f t="shared" si="2"/>
        <v>52286.55</v>
      </c>
      <c r="D20" s="5" t="str">
        <f t="shared" si="3"/>
        <v>vis</v>
      </c>
      <c r="E20" s="14">
        <f>VLOOKUP(C20,Active!C$21:E$971,3,FALSE)</f>
        <v>3188.0039086076272</v>
      </c>
      <c r="F20" s="3" t="s">
        <v>69</v>
      </c>
      <c r="G20" s="5" t="str">
        <f t="shared" si="4"/>
        <v>52286.5500</v>
      </c>
      <c r="H20" s="4">
        <f t="shared" si="5"/>
        <v>3188</v>
      </c>
      <c r="I20" s="15" t="s">
        <v>257</v>
      </c>
      <c r="J20" s="16" t="s">
        <v>258</v>
      </c>
      <c r="K20" s="15">
        <v>3188</v>
      </c>
      <c r="L20" s="15" t="s">
        <v>259</v>
      </c>
      <c r="M20" s="16" t="s">
        <v>157</v>
      </c>
      <c r="N20" s="16" t="s">
        <v>244</v>
      </c>
      <c r="O20" s="17" t="s">
        <v>252</v>
      </c>
      <c r="P20" s="18" t="s">
        <v>253</v>
      </c>
    </row>
    <row r="21" spans="1:16" ht="12.75" customHeight="1" thickBot="1" x14ac:dyDescent="0.25">
      <c r="A21" s="4" t="str">
        <f t="shared" si="0"/>
        <v>BAVM 172 </v>
      </c>
      <c r="B21" s="3" t="str">
        <f t="shared" si="1"/>
        <v>I</v>
      </c>
      <c r="C21" s="4">
        <f t="shared" si="2"/>
        <v>52929.376600000003</v>
      </c>
      <c r="D21" s="5" t="str">
        <f t="shared" si="3"/>
        <v>vis</v>
      </c>
      <c r="E21" s="14">
        <f>VLOOKUP(C21,Active!C$21:E$971,3,FALSE)</f>
        <v>3264.0038163900244</v>
      </c>
      <c r="F21" s="3" t="s">
        <v>69</v>
      </c>
      <c r="G21" s="5" t="str">
        <f t="shared" si="4"/>
        <v>52929.3766</v>
      </c>
      <c r="H21" s="4">
        <f t="shared" si="5"/>
        <v>3264</v>
      </c>
      <c r="I21" s="15" t="s">
        <v>275</v>
      </c>
      <c r="J21" s="16" t="s">
        <v>276</v>
      </c>
      <c r="K21" s="15">
        <v>3264</v>
      </c>
      <c r="L21" s="15" t="s">
        <v>277</v>
      </c>
      <c r="M21" s="16" t="s">
        <v>157</v>
      </c>
      <c r="N21" s="16" t="s">
        <v>278</v>
      </c>
      <c r="O21" s="17" t="s">
        <v>279</v>
      </c>
      <c r="P21" s="18" t="s">
        <v>280</v>
      </c>
    </row>
    <row r="22" spans="1:16" ht="12.75" customHeight="1" thickBot="1" x14ac:dyDescent="0.25">
      <c r="A22" s="4" t="str">
        <f t="shared" si="0"/>
        <v>IBVS 5577 </v>
      </c>
      <c r="B22" s="3" t="str">
        <f t="shared" si="1"/>
        <v>I</v>
      </c>
      <c r="C22" s="4">
        <f t="shared" si="2"/>
        <v>52988.585249999996</v>
      </c>
      <c r="D22" s="5" t="str">
        <f t="shared" si="3"/>
        <v>vis</v>
      </c>
      <c r="E22" s="14">
        <f>VLOOKUP(C22,Active!C$21:E$971,3,FALSE)</f>
        <v>3271.0039186569807</v>
      </c>
      <c r="F22" s="3" t="s">
        <v>69</v>
      </c>
      <c r="G22" s="5" t="str">
        <f t="shared" si="4"/>
        <v>52988.58525</v>
      </c>
      <c r="H22" s="4">
        <f t="shared" si="5"/>
        <v>3271</v>
      </c>
      <c r="I22" s="15" t="s">
        <v>281</v>
      </c>
      <c r="J22" s="16" t="s">
        <v>282</v>
      </c>
      <c r="K22" s="15">
        <v>3271</v>
      </c>
      <c r="L22" s="15" t="s">
        <v>283</v>
      </c>
      <c r="M22" s="16" t="s">
        <v>157</v>
      </c>
      <c r="N22" s="16" t="s">
        <v>158</v>
      </c>
      <c r="O22" s="17" t="s">
        <v>252</v>
      </c>
      <c r="P22" s="18" t="s">
        <v>284</v>
      </c>
    </row>
    <row r="23" spans="1:16" ht="12.75" customHeight="1" thickBot="1" x14ac:dyDescent="0.25">
      <c r="A23" s="4" t="str">
        <f t="shared" si="0"/>
        <v>IBVS 5577 </v>
      </c>
      <c r="B23" s="3" t="str">
        <f t="shared" si="1"/>
        <v>II</v>
      </c>
      <c r="C23" s="4">
        <f t="shared" si="2"/>
        <v>52992.748460000003</v>
      </c>
      <c r="D23" s="5" t="str">
        <f t="shared" si="3"/>
        <v>vis</v>
      </c>
      <c r="E23" s="14">
        <f>VLOOKUP(C23,Active!C$21:E$971,3,FALSE)</f>
        <v>3271.4961253828369</v>
      </c>
      <c r="F23" s="3" t="s">
        <v>69</v>
      </c>
      <c r="G23" s="5" t="str">
        <f t="shared" si="4"/>
        <v>52992.74846</v>
      </c>
      <c r="H23" s="4">
        <f t="shared" si="5"/>
        <v>3271.5</v>
      </c>
      <c r="I23" s="15" t="s">
        <v>285</v>
      </c>
      <c r="J23" s="16" t="s">
        <v>286</v>
      </c>
      <c r="K23" s="15">
        <v>3271.5</v>
      </c>
      <c r="L23" s="15" t="s">
        <v>287</v>
      </c>
      <c r="M23" s="16" t="s">
        <v>157</v>
      </c>
      <c r="N23" s="16" t="s">
        <v>158</v>
      </c>
      <c r="O23" s="17" t="s">
        <v>252</v>
      </c>
      <c r="P23" s="18" t="s">
        <v>284</v>
      </c>
    </row>
    <row r="24" spans="1:16" ht="12.75" customHeight="1" thickBot="1" x14ac:dyDescent="0.25">
      <c r="A24" s="4" t="str">
        <f t="shared" si="0"/>
        <v>IBVS 5577 </v>
      </c>
      <c r="B24" s="3" t="str">
        <f t="shared" si="1"/>
        <v>II</v>
      </c>
      <c r="C24" s="4">
        <f t="shared" si="2"/>
        <v>53026.581639999997</v>
      </c>
      <c r="D24" s="5" t="str">
        <f t="shared" si="3"/>
        <v>vis</v>
      </c>
      <c r="E24" s="14">
        <f>VLOOKUP(C24,Active!C$21:E$971,3,FALSE)</f>
        <v>3275.4961442992676</v>
      </c>
      <c r="F24" s="3" t="s">
        <v>69</v>
      </c>
      <c r="G24" s="5" t="str">
        <f t="shared" si="4"/>
        <v>53026.58164</v>
      </c>
      <c r="H24" s="4">
        <f t="shared" si="5"/>
        <v>3275.5</v>
      </c>
      <c r="I24" s="15" t="s">
        <v>288</v>
      </c>
      <c r="J24" s="16" t="s">
        <v>289</v>
      </c>
      <c r="K24" s="15">
        <v>3275.5</v>
      </c>
      <c r="L24" s="15" t="s">
        <v>290</v>
      </c>
      <c r="M24" s="16" t="s">
        <v>157</v>
      </c>
      <c r="N24" s="16" t="s">
        <v>158</v>
      </c>
      <c r="O24" s="17" t="s">
        <v>252</v>
      </c>
      <c r="P24" s="18" t="s">
        <v>284</v>
      </c>
    </row>
    <row r="25" spans="1:16" ht="12.75" customHeight="1" thickBot="1" x14ac:dyDescent="0.25">
      <c r="A25" s="4" t="str">
        <f t="shared" si="0"/>
        <v>IBVS 5809 </v>
      </c>
      <c r="B25" s="3" t="str">
        <f t="shared" si="1"/>
        <v>II</v>
      </c>
      <c r="C25" s="4">
        <f t="shared" si="2"/>
        <v>53559.451999999997</v>
      </c>
      <c r="D25" s="5" t="str">
        <f t="shared" si="3"/>
        <v>vis</v>
      </c>
      <c r="E25" s="14">
        <f>VLOOKUP(C25,Active!C$21:E$971,3,FALSE)</f>
        <v>3338.4961791764376</v>
      </c>
      <c r="F25" s="3" t="s">
        <v>69</v>
      </c>
      <c r="G25" s="5" t="str">
        <f t="shared" si="4"/>
        <v>53559.452</v>
      </c>
      <c r="H25" s="4">
        <f t="shared" si="5"/>
        <v>3338.5</v>
      </c>
      <c r="I25" s="15" t="s">
        <v>291</v>
      </c>
      <c r="J25" s="16" t="s">
        <v>292</v>
      </c>
      <c r="K25" s="15">
        <v>3338.5</v>
      </c>
      <c r="L25" s="15" t="s">
        <v>293</v>
      </c>
      <c r="M25" s="16" t="s">
        <v>294</v>
      </c>
      <c r="N25" s="16" t="s">
        <v>69</v>
      </c>
      <c r="O25" s="17" t="s">
        <v>295</v>
      </c>
      <c r="P25" s="18" t="s">
        <v>296</v>
      </c>
    </row>
    <row r="26" spans="1:16" ht="12.75" customHeight="1" thickBot="1" x14ac:dyDescent="0.25">
      <c r="A26" s="4" t="str">
        <f t="shared" si="0"/>
        <v>OEJV 0074 </v>
      </c>
      <c r="B26" s="3" t="str">
        <f t="shared" si="1"/>
        <v>I</v>
      </c>
      <c r="C26" s="4">
        <f t="shared" si="2"/>
        <v>53614.497889999999</v>
      </c>
      <c r="D26" s="5" t="str">
        <f t="shared" si="3"/>
        <v>vis</v>
      </c>
      <c r="E26" s="14">
        <f>VLOOKUP(C26,Active!C$21:E$971,3,FALSE)</f>
        <v>3345.0041279200027</v>
      </c>
      <c r="F26" s="3" t="s">
        <v>69</v>
      </c>
      <c r="G26" s="5" t="str">
        <f t="shared" si="4"/>
        <v>53614.49789</v>
      </c>
      <c r="H26" s="4">
        <f t="shared" si="5"/>
        <v>3345</v>
      </c>
      <c r="I26" s="15" t="s">
        <v>297</v>
      </c>
      <c r="J26" s="16" t="s">
        <v>298</v>
      </c>
      <c r="K26" s="15">
        <v>3345</v>
      </c>
      <c r="L26" s="15" t="s">
        <v>299</v>
      </c>
      <c r="M26" s="16" t="s">
        <v>294</v>
      </c>
      <c r="N26" s="16" t="s">
        <v>300</v>
      </c>
      <c r="O26" s="17" t="s">
        <v>301</v>
      </c>
      <c r="P26" s="18" t="s">
        <v>302</v>
      </c>
    </row>
    <row r="27" spans="1:16" ht="12.75" customHeight="1" thickBot="1" x14ac:dyDescent="0.25">
      <c r="A27" s="4" t="str">
        <f t="shared" si="0"/>
        <v>BAVM 183 </v>
      </c>
      <c r="B27" s="3" t="str">
        <f t="shared" si="1"/>
        <v>I</v>
      </c>
      <c r="C27" s="4">
        <f t="shared" si="2"/>
        <v>54020.493699999999</v>
      </c>
      <c r="D27" s="5" t="str">
        <f t="shared" si="3"/>
        <v>CCD</v>
      </c>
      <c r="E27" s="14">
        <f>VLOOKUP(C27,Active!C$21:E$971,3,FALSE)</f>
        <v>3393.0040770820933</v>
      </c>
      <c r="F27" s="3" t="str">
        <f>LEFT(M27,1)</f>
        <v>C</v>
      </c>
      <c r="G27" s="5" t="str">
        <f t="shared" si="4"/>
        <v>54020.4937</v>
      </c>
      <c r="H27" s="4">
        <f t="shared" si="5"/>
        <v>3393</v>
      </c>
      <c r="I27" s="15" t="s">
        <v>303</v>
      </c>
      <c r="J27" s="16" t="s">
        <v>304</v>
      </c>
      <c r="K27" s="15">
        <v>3393</v>
      </c>
      <c r="L27" s="15" t="s">
        <v>305</v>
      </c>
      <c r="M27" s="16" t="s">
        <v>294</v>
      </c>
      <c r="N27" s="16" t="s">
        <v>306</v>
      </c>
      <c r="O27" s="17" t="s">
        <v>307</v>
      </c>
      <c r="P27" s="18" t="s">
        <v>308</v>
      </c>
    </row>
    <row r="28" spans="1:16" ht="12.75" customHeight="1" thickBot="1" x14ac:dyDescent="0.25">
      <c r="A28" s="4" t="str">
        <f t="shared" si="0"/>
        <v>BAVM 183 </v>
      </c>
      <c r="B28" s="3" t="str">
        <f t="shared" si="1"/>
        <v>II</v>
      </c>
      <c r="C28" s="4">
        <f t="shared" si="2"/>
        <v>54092.322399999997</v>
      </c>
      <c r="D28" s="5" t="str">
        <f t="shared" si="3"/>
        <v>CCD</v>
      </c>
      <c r="E28" s="14">
        <f>VLOOKUP(C28,Active!C$21:E$971,3,FALSE)</f>
        <v>3401.4962187827159</v>
      </c>
      <c r="F28" s="3" t="str">
        <f>LEFT(M28,1)</f>
        <v>C</v>
      </c>
      <c r="G28" s="5" t="str">
        <f t="shared" si="4"/>
        <v>54092.3224</v>
      </c>
      <c r="H28" s="4">
        <f t="shared" si="5"/>
        <v>3401.5</v>
      </c>
      <c r="I28" s="15" t="s">
        <v>315</v>
      </c>
      <c r="J28" s="16" t="s">
        <v>316</v>
      </c>
      <c r="K28" s="15" t="s">
        <v>317</v>
      </c>
      <c r="L28" s="15" t="s">
        <v>318</v>
      </c>
      <c r="M28" s="16" t="s">
        <v>294</v>
      </c>
      <c r="N28" s="16" t="s">
        <v>306</v>
      </c>
      <c r="O28" s="17" t="s">
        <v>307</v>
      </c>
      <c r="P28" s="18" t="s">
        <v>308</v>
      </c>
    </row>
    <row r="29" spans="1:16" ht="12.75" customHeight="1" thickBot="1" x14ac:dyDescent="0.25">
      <c r="A29" s="4" t="str">
        <f t="shared" si="0"/>
        <v>IBVS 5898 </v>
      </c>
      <c r="B29" s="3" t="str">
        <f t="shared" si="1"/>
        <v>I</v>
      </c>
      <c r="C29" s="4">
        <f t="shared" si="2"/>
        <v>54773.279399999999</v>
      </c>
      <c r="D29" s="5" t="str">
        <f t="shared" si="3"/>
        <v>vis</v>
      </c>
      <c r="E29" s="14">
        <f>VLOOKUP(C29,Active!C$21:E$971,3,FALSE)</f>
        <v>3482.0041959009277</v>
      </c>
      <c r="F29" s="3" t="s">
        <v>69</v>
      </c>
      <c r="G29" s="5" t="str">
        <f t="shared" si="4"/>
        <v>54773.2794</v>
      </c>
      <c r="H29" s="4">
        <f t="shared" si="5"/>
        <v>3482</v>
      </c>
      <c r="I29" s="15" t="s">
        <v>329</v>
      </c>
      <c r="J29" s="16" t="s">
        <v>330</v>
      </c>
      <c r="K29" s="15" t="s">
        <v>331</v>
      </c>
      <c r="L29" s="15" t="s">
        <v>332</v>
      </c>
      <c r="M29" s="16" t="s">
        <v>294</v>
      </c>
      <c r="N29" s="16" t="s">
        <v>69</v>
      </c>
      <c r="O29" s="17" t="s">
        <v>333</v>
      </c>
      <c r="P29" s="18" t="s">
        <v>334</v>
      </c>
    </row>
    <row r="30" spans="1:16" ht="12.75" customHeight="1" thickBot="1" x14ac:dyDescent="0.25">
      <c r="A30" s="4" t="str">
        <f t="shared" si="0"/>
        <v>BAVM 215 </v>
      </c>
      <c r="B30" s="3" t="str">
        <f t="shared" si="1"/>
        <v>II</v>
      </c>
      <c r="C30" s="4">
        <f t="shared" si="2"/>
        <v>55479.478000000003</v>
      </c>
      <c r="D30" s="5" t="str">
        <f t="shared" si="3"/>
        <v>vis</v>
      </c>
      <c r="E30" s="14">
        <f>VLOOKUP(C30,Active!C$21:E$971,3,FALSE)</f>
        <v>3565.4964292280151</v>
      </c>
      <c r="F30" s="3" t="s">
        <v>69</v>
      </c>
      <c r="G30" s="5" t="str">
        <f t="shared" si="4"/>
        <v>55479.4780</v>
      </c>
      <c r="H30" s="4">
        <f t="shared" si="5"/>
        <v>3565.5</v>
      </c>
      <c r="I30" s="15" t="s">
        <v>341</v>
      </c>
      <c r="J30" s="16" t="s">
        <v>342</v>
      </c>
      <c r="K30" s="15" t="s">
        <v>343</v>
      </c>
      <c r="L30" s="15" t="s">
        <v>344</v>
      </c>
      <c r="M30" s="16" t="s">
        <v>294</v>
      </c>
      <c r="N30" s="16" t="s">
        <v>306</v>
      </c>
      <c r="O30" s="17" t="s">
        <v>323</v>
      </c>
      <c r="P30" s="18" t="s">
        <v>345</v>
      </c>
    </row>
    <row r="31" spans="1:16" ht="12.75" customHeight="1" thickBot="1" x14ac:dyDescent="0.25">
      <c r="A31" s="4" t="str">
        <f t="shared" si="0"/>
        <v>IBVS 6011 </v>
      </c>
      <c r="B31" s="3" t="str">
        <f t="shared" si="1"/>
        <v>I</v>
      </c>
      <c r="C31" s="4">
        <f t="shared" si="2"/>
        <v>55855.934000000001</v>
      </c>
      <c r="D31" s="5" t="str">
        <f t="shared" si="3"/>
        <v>vis</v>
      </c>
      <c r="E31" s="14">
        <f>VLOOKUP(C31,Active!C$21:E$971,3,FALSE)</f>
        <v>3610.0039547164283</v>
      </c>
      <c r="F31" s="3" t="s">
        <v>69</v>
      </c>
      <c r="G31" s="5" t="str">
        <f t="shared" si="4"/>
        <v>55855.9340</v>
      </c>
      <c r="H31" s="4">
        <f t="shared" si="5"/>
        <v>3610</v>
      </c>
      <c r="I31" s="15" t="s">
        <v>346</v>
      </c>
      <c r="J31" s="16" t="s">
        <v>347</v>
      </c>
      <c r="K31" s="15" t="s">
        <v>348</v>
      </c>
      <c r="L31" s="15" t="s">
        <v>349</v>
      </c>
      <c r="M31" s="16" t="s">
        <v>294</v>
      </c>
      <c r="N31" s="16" t="s">
        <v>69</v>
      </c>
      <c r="O31" s="17" t="s">
        <v>350</v>
      </c>
      <c r="P31" s="18" t="s">
        <v>351</v>
      </c>
    </row>
    <row r="32" spans="1:16" ht="12.75" customHeight="1" thickBot="1" x14ac:dyDescent="0.25">
      <c r="A32" s="4" t="str">
        <f t="shared" si="0"/>
        <v>OEJV 0160 </v>
      </c>
      <c r="B32" s="3" t="str">
        <f t="shared" si="1"/>
        <v>I</v>
      </c>
      <c r="C32" s="4">
        <f t="shared" si="2"/>
        <v>56177.350380000003</v>
      </c>
      <c r="D32" s="5" t="str">
        <f t="shared" si="3"/>
        <v>vis</v>
      </c>
      <c r="E32" s="14">
        <f>VLOOKUP(C32,Active!C$21:E$971,3,FALSE)</f>
        <v>3648.0042727489308</v>
      </c>
      <c r="F32" s="3" t="s">
        <v>69</v>
      </c>
      <c r="G32" s="5" t="str">
        <f t="shared" si="4"/>
        <v>56177.35038</v>
      </c>
      <c r="H32" s="4">
        <f t="shared" si="5"/>
        <v>3648</v>
      </c>
      <c r="I32" s="15" t="s">
        <v>352</v>
      </c>
      <c r="J32" s="16" t="s">
        <v>353</v>
      </c>
      <c r="K32" s="15" t="s">
        <v>354</v>
      </c>
      <c r="L32" s="15" t="s">
        <v>355</v>
      </c>
      <c r="M32" s="16" t="s">
        <v>294</v>
      </c>
      <c r="N32" s="16" t="s">
        <v>300</v>
      </c>
      <c r="O32" s="17" t="s">
        <v>356</v>
      </c>
      <c r="P32" s="18" t="s">
        <v>357</v>
      </c>
    </row>
    <row r="33" spans="1:16" ht="12.75" customHeight="1" thickBot="1" x14ac:dyDescent="0.25">
      <c r="A33" s="4" t="str">
        <f t="shared" si="0"/>
        <v>BAVM 231 </v>
      </c>
      <c r="B33" s="3" t="str">
        <f t="shared" si="1"/>
        <v>I</v>
      </c>
      <c r="C33" s="4">
        <f t="shared" si="2"/>
        <v>56219.640700000004</v>
      </c>
      <c r="D33" s="5" t="str">
        <f t="shared" si="3"/>
        <v>vis</v>
      </c>
      <c r="E33" s="14">
        <f>VLOOKUP(C33,Active!C$21:E$971,3,FALSE)</f>
        <v>3653.0041598414809</v>
      </c>
      <c r="F33" s="3" t="s">
        <v>69</v>
      </c>
      <c r="G33" s="5" t="str">
        <f t="shared" si="4"/>
        <v>56219.6407</v>
      </c>
      <c r="H33" s="4">
        <f t="shared" si="5"/>
        <v>3653</v>
      </c>
      <c r="I33" s="15" t="s">
        <v>358</v>
      </c>
      <c r="J33" s="16" t="s">
        <v>359</v>
      </c>
      <c r="K33" s="15" t="s">
        <v>360</v>
      </c>
      <c r="L33" s="15" t="s">
        <v>349</v>
      </c>
      <c r="M33" s="16" t="s">
        <v>294</v>
      </c>
      <c r="N33" s="16" t="s">
        <v>306</v>
      </c>
      <c r="O33" s="17" t="s">
        <v>323</v>
      </c>
      <c r="P33" s="18" t="s">
        <v>361</v>
      </c>
    </row>
    <row r="34" spans="1:16" ht="12.75" customHeight="1" thickBot="1" x14ac:dyDescent="0.25">
      <c r="A34" s="4" t="str">
        <f t="shared" si="0"/>
        <v>IBVS 6042 </v>
      </c>
      <c r="B34" s="3" t="str">
        <f t="shared" si="1"/>
        <v>II</v>
      </c>
      <c r="C34" s="4">
        <f t="shared" si="2"/>
        <v>56257.639000000003</v>
      </c>
      <c r="D34" s="5" t="str">
        <f t="shared" si="3"/>
        <v>vis</v>
      </c>
      <c r="E34" s="14">
        <f>VLOOKUP(C34,Active!C$21:E$971,3,FALSE)</f>
        <v>3657.4966112986672</v>
      </c>
      <c r="F34" s="3" t="s">
        <v>69</v>
      </c>
      <c r="G34" s="5" t="str">
        <f t="shared" si="4"/>
        <v>56257.639</v>
      </c>
      <c r="H34" s="4">
        <f t="shared" si="5"/>
        <v>3657.5</v>
      </c>
      <c r="I34" s="15" t="s">
        <v>362</v>
      </c>
      <c r="J34" s="16" t="s">
        <v>363</v>
      </c>
      <c r="K34" s="15" t="s">
        <v>364</v>
      </c>
      <c r="L34" s="15" t="s">
        <v>365</v>
      </c>
      <c r="M34" s="16" t="s">
        <v>294</v>
      </c>
      <c r="N34" s="16" t="s">
        <v>69</v>
      </c>
      <c r="O34" s="17" t="s">
        <v>350</v>
      </c>
      <c r="P34" s="18" t="s">
        <v>366</v>
      </c>
    </row>
    <row r="35" spans="1:16" ht="12.75" customHeight="1" thickBot="1" x14ac:dyDescent="0.25">
      <c r="A35" s="4" t="str">
        <f t="shared" si="0"/>
        <v>BAVM 239 </v>
      </c>
      <c r="B35" s="3" t="str">
        <f t="shared" si="1"/>
        <v>II</v>
      </c>
      <c r="C35" s="4">
        <f t="shared" si="2"/>
        <v>56934.299299999999</v>
      </c>
      <c r="D35" s="5" t="str">
        <f t="shared" si="3"/>
        <v>vis</v>
      </c>
      <c r="E35" s="14">
        <f>VLOOKUP(C35,Active!C$21:E$971,3,FALSE)</f>
        <v>3737.4965994758968</v>
      </c>
      <c r="F35" s="3" t="s">
        <v>69</v>
      </c>
      <c r="G35" s="5" t="str">
        <f t="shared" si="4"/>
        <v>56934.2993</v>
      </c>
      <c r="H35" s="4">
        <f t="shared" si="5"/>
        <v>3737.5</v>
      </c>
      <c r="I35" s="15" t="s">
        <v>367</v>
      </c>
      <c r="J35" s="16" t="s">
        <v>368</v>
      </c>
      <c r="K35" s="15" t="s">
        <v>369</v>
      </c>
      <c r="L35" s="15" t="s">
        <v>370</v>
      </c>
      <c r="M35" s="16" t="s">
        <v>294</v>
      </c>
      <c r="N35" s="16" t="s">
        <v>306</v>
      </c>
      <c r="O35" s="17" t="s">
        <v>323</v>
      </c>
      <c r="P35" s="18" t="s">
        <v>371</v>
      </c>
    </row>
    <row r="36" spans="1:16" ht="12.75" customHeight="1" thickBot="1" x14ac:dyDescent="0.25">
      <c r="A36" s="4" t="str">
        <f t="shared" si="0"/>
        <v>BAVM 239 </v>
      </c>
      <c r="B36" s="3" t="str">
        <f t="shared" si="1"/>
        <v>I</v>
      </c>
      <c r="C36" s="4">
        <f t="shared" si="2"/>
        <v>56955.508699999998</v>
      </c>
      <c r="D36" s="5" t="str">
        <f t="shared" si="3"/>
        <v>vis</v>
      </c>
      <c r="E36" s="14">
        <f>VLOOKUP(C36,Active!C$21:E$971,3,FALSE)</f>
        <v>3740.0041379693566</v>
      </c>
      <c r="F36" s="3" t="s">
        <v>69</v>
      </c>
      <c r="G36" s="5" t="str">
        <f t="shared" si="4"/>
        <v>56955.5087</v>
      </c>
      <c r="H36" s="4">
        <f t="shared" si="5"/>
        <v>3740</v>
      </c>
      <c r="I36" s="15" t="s">
        <v>372</v>
      </c>
      <c r="J36" s="16" t="s">
        <v>373</v>
      </c>
      <c r="K36" s="15" t="s">
        <v>374</v>
      </c>
      <c r="L36" s="15" t="s">
        <v>375</v>
      </c>
      <c r="M36" s="16" t="s">
        <v>294</v>
      </c>
      <c r="N36" s="16" t="s">
        <v>306</v>
      </c>
      <c r="O36" s="17" t="s">
        <v>323</v>
      </c>
      <c r="P36" s="18" t="s">
        <v>371</v>
      </c>
    </row>
    <row r="37" spans="1:16" ht="12.75" customHeight="1" thickBot="1" x14ac:dyDescent="0.25">
      <c r="A37" s="4" t="str">
        <f t="shared" si="0"/>
        <v> MVS 4.141 </v>
      </c>
      <c r="B37" s="3" t="str">
        <f t="shared" si="1"/>
        <v>I</v>
      </c>
      <c r="C37" s="4">
        <f t="shared" si="2"/>
        <v>25321.598999999998</v>
      </c>
      <c r="D37" s="5" t="str">
        <f t="shared" si="3"/>
        <v>vis</v>
      </c>
      <c r="E37" s="14">
        <f>VLOOKUP(C37,Active!C$21:E$971,3,FALSE)</f>
        <v>-1.1822769592590042E-4</v>
      </c>
      <c r="F37" s="3" t="s">
        <v>69</v>
      </c>
      <c r="G37" s="5" t="str">
        <f t="shared" si="4"/>
        <v>25321.599</v>
      </c>
      <c r="H37" s="4">
        <f t="shared" si="5"/>
        <v>0</v>
      </c>
      <c r="I37" s="15" t="s">
        <v>73</v>
      </c>
      <c r="J37" s="16" t="s">
        <v>74</v>
      </c>
      <c r="K37" s="15">
        <v>0</v>
      </c>
      <c r="L37" s="15" t="s">
        <v>75</v>
      </c>
      <c r="M37" s="16" t="s">
        <v>76</v>
      </c>
      <c r="N37" s="16"/>
      <c r="O37" s="17" t="s">
        <v>77</v>
      </c>
      <c r="P37" s="17" t="s">
        <v>78</v>
      </c>
    </row>
    <row r="38" spans="1:16" ht="12.75" customHeight="1" thickBot="1" x14ac:dyDescent="0.25">
      <c r="A38" s="4" t="str">
        <f t="shared" si="0"/>
        <v> MVS 4.141 </v>
      </c>
      <c r="B38" s="3" t="str">
        <f t="shared" si="1"/>
        <v>I</v>
      </c>
      <c r="C38" s="4">
        <f t="shared" si="2"/>
        <v>29880.567999999999</v>
      </c>
      <c r="D38" s="5" t="str">
        <f t="shared" si="3"/>
        <v>vis</v>
      </c>
      <c r="E38" s="14">
        <f>VLOOKUP(C38,Active!C$21:E$971,3,FALSE)</f>
        <v>538.99628233010253</v>
      </c>
      <c r="F38" s="3" t="s">
        <v>69</v>
      </c>
      <c r="G38" s="5" t="str">
        <f t="shared" si="4"/>
        <v>29880.568</v>
      </c>
      <c r="H38" s="4">
        <f t="shared" si="5"/>
        <v>539</v>
      </c>
      <c r="I38" s="15" t="s">
        <v>79</v>
      </c>
      <c r="J38" s="16" t="s">
        <v>80</v>
      </c>
      <c r="K38" s="15">
        <v>539</v>
      </c>
      <c r="L38" s="15" t="s">
        <v>81</v>
      </c>
      <c r="M38" s="16" t="s">
        <v>76</v>
      </c>
      <c r="N38" s="16"/>
      <c r="O38" s="17" t="s">
        <v>77</v>
      </c>
      <c r="P38" s="17" t="s">
        <v>78</v>
      </c>
    </row>
    <row r="39" spans="1:16" ht="12.75" customHeight="1" thickBot="1" x14ac:dyDescent="0.25">
      <c r="A39" s="4" t="str">
        <f t="shared" si="0"/>
        <v> MVS 4.141 </v>
      </c>
      <c r="B39" s="3" t="str">
        <f t="shared" si="1"/>
        <v>I</v>
      </c>
      <c r="C39" s="4">
        <f t="shared" si="2"/>
        <v>31022.514999999999</v>
      </c>
      <c r="D39" s="5" t="str">
        <f t="shared" si="3"/>
        <v>vis</v>
      </c>
      <c r="E39" s="14">
        <f>VLOOKUP(C39,Active!C$21:E$971,3,FALSE)</f>
        <v>674.00604498209157</v>
      </c>
      <c r="F39" s="3" t="s">
        <v>69</v>
      </c>
      <c r="G39" s="5" t="str">
        <f t="shared" si="4"/>
        <v>31022.515</v>
      </c>
      <c r="H39" s="4">
        <f t="shared" si="5"/>
        <v>674</v>
      </c>
      <c r="I39" s="15" t="s">
        <v>82</v>
      </c>
      <c r="J39" s="16" t="s">
        <v>83</v>
      </c>
      <c r="K39" s="15">
        <v>674</v>
      </c>
      <c r="L39" s="15" t="s">
        <v>84</v>
      </c>
      <c r="M39" s="16" t="s">
        <v>76</v>
      </c>
      <c r="N39" s="16"/>
      <c r="O39" s="17" t="s">
        <v>77</v>
      </c>
      <c r="P39" s="17" t="s">
        <v>78</v>
      </c>
    </row>
    <row r="40" spans="1:16" ht="12.75" customHeight="1" thickBot="1" x14ac:dyDescent="0.25">
      <c r="A40" s="4" t="str">
        <f t="shared" si="0"/>
        <v> MVS 4.141 </v>
      </c>
      <c r="B40" s="3" t="str">
        <f t="shared" si="1"/>
        <v>I</v>
      </c>
      <c r="C40" s="4">
        <f t="shared" si="2"/>
        <v>31462.321</v>
      </c>
      <c r="D40" s="5" t="str">
        <f t="shared" si="3"/>
        <v>vis</v>
      </c>
      <c r="E40" s="14">
        <f>VLOOKUP(C40,Active!C$21:E$971,3,FALSE)</f>
        <v>726.00329500588498</v>
      </c>
      <c r="F40" s="3" t="s">
        <v>69</v>
      </c>
      <c r="G40" s="5" t="str">
        <f t="shared" si="4"/>
        <v>31462.321</v>
      </c>
      <c r="H40" s="4">
        <f t="shared" si="5"/>
        <v>726</v>
      </c>
      <c r="I40" s="15" t="s">
        <v>85</v>
      </c>
      <c r="J40" s="16" t="s">
        <v>86</v>
      </c>
      <c r="K40" s="15">
        <v>726</v>
      </c>
      <c r="L40" s="15" t="s">
        <v>87</v>
      </c>
      <c r="M40" s="16" t="s">
        <v>76</v>
      </c>
      <c r="N40" s="16"/>
      <c r="O40" s="17" t="s">
        <v>77</v>
      </c>
      <c r="P40" s="17" t="s">
        <v>78</v>
      </c>
    </row>
    <row r="41" spans="1:16" ht="12.75" customHeight="1" thickBot="1" x14ac:dyDescent="0.25">
      <c r="A41" s="4" t="str">
        <f t="shared" si="0"/>
        <v> MVS 4.141 </v>
      </c>
      <c r="B41" s="3" t="str">
        <f t="shared" si="1"/>
        <v>I</v>
      </c>
      <c r="C41" s="4">
        <f t="shared" si="2"/>
        <v>34253.489000000001</v>
      </c>
      <c r="D41" s="5" t="str">
        <f t="shared" si="3"/>
        <v>vis</v>
      </c>
      <c r="E41" s="14">
        <f>VLOOKUP(C41,Active!C$21:E$971,3,FALSE)</f>
        <v>1055.9966565207603</v>
      </c>
      <c r="F41" s="3" t="s">
        <v>69</v>
      </c>
      <c r="G41" s="5" t="str">
        <f t="shared" si="4"/>
        <v>34253.489</v>
      </c>
      <c r="H41" s="4">
        <f t="shared" si="5"/>
        <v>1056</v>
      </c>
      <c r="I41" s="15" t="s">
        <v>88</v>
      </c>
      <c r="J41" s="16" t="s">
        <v>89</v>
      </c>
      <c r="K41" s="15">
        <v>1056</v>
      </c>
      <c r="L41" s="15" t="s">
        <v>90</v>
      </c>
      <c r="M41" s="16" t="s">
        <v>76</v>
      </c>
      <c r="N41" s="16"/>
      <c r="O41" s="17" t="s">
        <v>77</v>
      </c>
      <c r="P41" s="17" t="s">
        <v>78</v>
      </c>
    </row>
    <row r="42" spans="1:16" ht="12.75" customHeight="1" thickBot="1" x14ac:dyDescent="0.25">
      <c r="A42" s="4" t="str">
        <f t="shared" si="0"/>
        <v> MVS 4.141 </v>
      </c>
      <c r="B42" s="3" t="str">
        <f t="shared" si="1"/>
        <v>I</v>
      </c>
      <c r="C42" s="4">
        <f t="shared" si="2"/>
        <v>34304.372000000003</v>
      </c>
      <c r="D42" s="5" t="str">
        <f t="shared" si="3"/>
        <v>vis</v>
      </c>
      <c r="E42" s="14">
        <f>VLOOKUP(C42,Active!C$21:E$971,3,FALSE)</f>
        <v>1062.0124363713326</v>
      </c>
      <c r="F42" s="3" t="s">
        <v>69</v>
      </c>
      <c r="G42" s="5" t="str">
        <f t="shared" si="4"/>
        <v>34304.372</v>
      </c>
      <c r="H42" s="4">
        <f t="shared" si="5"/>
        <v>1062</v>
      </c>
      <c r="I42" s="15" t="s">
        <v>91</v>
      </c>
      <c r="J42" s="16" t="s">
        <v>92</v>
      </c>
      <c r="K42" s="15">
        <v>1062</v>
      </c>
      <c r="L42" s="15" t="s">
        <v>93</v>
      </c>
      <c r="M42" s="16" t="s">
        <v>76</v>
      </c>
      <c r="N42" s="16"/>
      <c r="O42" s="17" t="s">
        <v>77</v>
      </c>
      <c r="P42" s="17" t="s">
        <v>78</v>
      </c>
    </row>
    <row r="43" spans="1:16" ht="12.75" customHeight="1" thickBot="1" x14ac:dyDescent="0.25">
      <c r="A43" s="4" t="str">
        <f t="shared" ref="A43:A74" si="6">P43</f>
        <v> MVS 4.141 </v>
      </c>
      <c r="B43" s="3" t="str">
        <f t="shared" ref="B43:B74" si="7">IF(H43=INT(H43),"I","II")</f>
        <v>I</v>
      </c>
      <c r="C43" s="4">
        <f t="shared" ref="C43:C74" si="8">1*G43</f>
        <v>34710.267999999996</v>
      </c>
      <c r="D43" s="5" t="str">
        <f t="shared" ref="D43:D74" si="9">VLOOKUP(F43,I$1:J$5,2,FALSE)</f>
        <v>vis</v>
      </c>
      <c r="E43" s="14">
        <f>VLOOKUP(C43,Active!C$21:E$971,3,FALSE)</f>
        <v>1110.0005852270945</v>
      </c>
      <c r="F43" s="3" t="s">
        <v>69</v>
      </c>
      <c r="G43" s="5" t="str">
        <f t="shared" ref="G43:G74" si="10">MID(I43,3,LEN(I43)-3)</f>
        <v>34710.268</v>
      </c>
      <c r="H43" s="4">
        <f t="shared" ref="H43:H74" si="11">1*K43</f>
        <v>1110</v>
      </c>
      <c r="I43" s="15" t="s">
        <v>94</v>
      </c>
      <c r="J43" s="16" t="s">
        <v>95</v>
      </c>
      <c r="K43" s="15">
        <v>1110</v>
      </c>
      <c r="L43" s="15" t="s">
        <v>96</v>
      </c>
      <c r="M43" s="16" t="s">
        <v>76</v>
      </c>
      <c r="N43" s="16"/>
      <c r="O43" s="17" t="s">
        <v>77</v>
      </c>
      <c r="P43" s="17" t="s">
        <v>78</v>
      </c>
    </row>
    <row r="44" spans="1:16" ht="12.75" customHeight="1" thickBot="1" x14ac:dyDescent="0.25">
      <c r="A44" s="4" t="str">
        <f t="shared" si="6"/>
        <v> MVS 4.141 </v>
      </c>
      <c r="B44" s="3" t="str">
        <f t="shared" si="7"/>
        <v>II</v>
      </c>
      <c r="C44" s="4">
        <f t="shared" si="8"/>
        <v>34714.447</v>
      </c>
      <c r="D44" s="5" t="str">
        <f t="shared" si="9"/>
        <v>vis</v>
      </c>
      <c r="E44" s="14">
        <f>VLOOKUP(C44,Active!C$21:E$971,3,FALSE)</f>
        <v>1110.4946587682687</v>
      </c>
      <c r="F44" s="3" t="s">
        <v>69</v>
      </c>
      <c r="G44" s="5" t="str">
        <f t="shared" si="10"/>
        <v>34714.447</v>
      </c>
      <c r="H44" s="4">
        <f t="shared" si="11"/>
        <v>1110.5</v>
      </c>
      <c r="I44" s="15" t="s">
        <v>97</v>
      </c>
      <c r="J44" s="16" t="s">
        <v>98</v>
      </c>
      <c r="K44" s="15">
        <v>1110.5</v>
      </c>
      <c r="L44" s="15" t="s">
        <v>99</v>
      </c>
      <c r="M44" s="16" t="s">
        <v>76</v>
      </c>
      <c r="N44" s="16"/>
      <c r="O44" s="17" t="s">
        <v>77</v>
      </c>
      <c r="P44" s="17" t="s">
        <v>78</v>
      </c>
    </row>
    <row r="45" spans="1:16" ht="12.75" customHeight="1" thickBot="1" x14ac:dyDescent="0.25">
      <c r="A45" s="4" t="str">
        <f t="shared" si="6"/>
        <v> MVS 4.141 </v>
      </c>
      <c r="B45" s="3" t="str">
        <f t="shared" si="7"/>
        <v>I</v>
      </c>
      <c r="C45" s="4">
        <f t="shared" si="8"/>
        <v>35691.51</v>
      </c>
      <c r="D45" s="5" t="str">
        <f t="shared" si="9"/>
        <v>vis</v>
      </c>
      <c r="E45" s="14">
        <f>VLOOKUP(C45,Active!C$21:E$971,3,FALSE)</f>
        <v>1226.0105660091833</v>
      </c>
      <c r="F45" s="3" t="s">
        <v>69</v>
      </c>
      <c r="G45" s="5" t="str">
        <f t="shared" si="10"/>
        <v>35691.510</v>
      </c>
      <c r="H45" s="4">
        <f t="shared" si="11"/>
        <v>1226</v>
      </c>
      <c r="I45" s="15" t="s">
        <v>100</v>
      </c>
      <c r="J45" s="16" t="s">
        <v>101</v>
      </c>
      <c r="K45" s="15">
        <v>1226</v>
      </c>
      <c r="L45" s="15" t="s">
        <v>102</v>
      </c>
      <c r="M45" s="16" t="s">
        <v>76</v>
      </c>
      <c r="N45" s="16"/>
      <c r="O45" s="17" t="s">
        <v>77</v>
      </c>
      <c r="P45" s="17" t="s">
        <v>78</v>
      </c>
    </row>
    <row r="46" spans="1:16" ht="12.75" customHeight="1" thickBot="1" x14ac:dyDescent="0.25">
      <c r="A46" s="4" t="str">
        <f t="shared" si="6"/>
        <v> MVS 4.141 </v>
      </c>
      <c r="B46" s="3" t="str">
        <f t="shared" si="7"/>
        <v>II</v>
      </c>
      <c r="C46" s="4">
        <f t="shared" si="8"/>
        <v>35856.252999999997</v>
      </c>
      <c r="D46" s="5" t="str">
        <f t="shared" si="9"/>
        <v>vis</v>
      </c>
      <c r="E46" s="14">
        <f>VLOOKUP(C46,Active!C$21:E$971,3,FALSE)</f>
        <v>1245.4877513151353</v>
      </c>
      <c r="F46" s="3" t="s">
        <v>69</v>
      </c>
      <c r="G46" s="5" t="str">
        <f t="shared" si="10"/>
        <v>35856.253</v>
      </c>
      <c r="H46" s="4">
        <f t="shared" si="11"/>
        <v>1245.5</v>
      </c>
      <c r="I46" s="15" t="s">
        <v>103</v>
      </c>
      <c r="J46" s="16" t="s">
        <v>104</v>
      </c>
      <c r="K46" s="15">
        <v>1245.5</v>
      </c>
      <c r="L46" s="15" t="s">
        <v>105</v>
      </c>
      <c r="M46" s="16" t="s">
        <v>76</v>
      </c>
      <c r="N46" s="16"/>
      <c r="O46" s="17" t="s">
        <v>77</v>
      </c>
      <c r="P46" s="17" t="s">
        <v>78</v>
      </c>
    </row>
    <row r="47" spans="1:16" ht="12.75" customHeight="1" thickBot="1" x14ac:dyDescent="0.25">
      <c r="A47" s="4" t="str">
        <f t="shared" si="6"/>
        <v> MVS 4.141 </v>
      </c>
      <c r="B47" s="3" t="str">
        <f t="shared" si="7"/>
        <v>II</v>
      </c>
      <c r="C47" s="4">
        <f t="shared" si="8"/>
        <v>36245.275000000001</v>
      </c>
      <c r="D47" s="5" t="str">
        <f t="shared" si="9"/>
        <v>vis</v>
      </c>
      <c r="E47" s="14">
        <f>VLOOKUP(C47,Active!C$21:E$971,3,FALSE)</f>
        <v>1291.4809260302513</v>
      </c>
      <c r="F47" s="3" t="s">
        <v>69</v>
      </c>
      <c r="G47" s="5" t="str">
        <f t="shared" si="10"/>
        <v>36245.275</v>
      </c>
      <c r="H47" s="4">
        <f t="shared" si="11"/>
        <v>1291.5</v>
      </c>
      <c r="I47" s="15" t="s">
        <v>106</v>
      </c>
      <c r="J47" s="16" t="s">
        <v>107</v>
      </c>
      <c r="K47" s="15">
        <v>1291.5</v>
      </c>
      <c r="L47" s="15" t="s">
        <v>108</v>
      </c>
      <c r="M47" s="16" t="s">
        <v>76</v>
      </c>
      <c r="N47" s="16"/>
      <c r="O47" s="17" t="s">
        <v>77</v>
      </c>
      <c r="P47" s="17" t="s">
        <v>78</v>
      </c>
    </row>
    <row r="48" spans="1:16" ht="12.75" customHeight="1" thickBot="1" x14ac:dyDescent="0.25">
      <c r="A48" s="4" t="str">
        <f t="shared" si="6"/>
        <v> MVS 4.141 </v>
      </c>
      <c r="B48" s="3" t="str">
        <f t="shared" si="7"/>
        <v>I</v>
      </c>
      <c r="C48" s="4">
        <f t="shared" si="8"/>
        <v>36486.559999999998</v>
      </c>
      <c r="D48" s="5" t="str">
        <f t="shared" si="9"/>
        <v>vis</v>
      </c>
      <c r="E48" s="14">
        <f>VLOOKUP(C48,Active!C$21:E$971,3,FALSE)</f>
        <v>1320.0074956359201</v>
      </c>
      <c r="F48" s="3" t="s">
        <v>69</v>
      </c>
      <c r="G48" s="5" t="str">
        <f t="shared" si="10"/>
        <v>36486.560</v>
      </c>
      <c r="H48" s="4">
        <f t="shared" si="11"/>
        <v>1320</v>
      </c>
      <c r="I48" s="15" t="s">
        <v>109</v>
      </c>
      <c r="J48" s="16" t="s">
        <v>110</v>
      </c>
      <c r="K48" s="15">
        <v>1320</v>
      </c>
      <c r="L48" s="15" t="s">
        <v>111</v>
      </c>
      <c r="M48" s="16" t="s">
        <v>76</v>
      </c>
      <c r="N48" s="16"/>
      <c r="O48" s="17" t="s">
        <v>77</v>
      </c>
      <c r="P48" s="17" t="s">
        <v>78</v>
      </c>
    </row>
    <row r="49" spans="1:16" ht="12.75" customHeight="1" thickBot="1" x14ac:dyDescent="0.25">
      <c r="A49" s="4" t="str">
        <f t="shared" si="6"/>
        <v> MVS 4.141 </v>
      </c>
      <c r="B49" s="3" t="str">
        <f t="shared" si="7"/>
        <v>II</v>
      </c>
      <c r="C49" s="4">
        <f t="shared" si="8"/>
        <v>36541.370000000003</v>
      </c>
      <c r="D49" s="5" t="str">
        <f t="shared" si="9"/>
        <v>vis</v>
      </c>
      <c r="E49" s="14">
        <f>VLOOKUP(C49,Active!C$21:E$971,3,FALSE)</f>
        <v>1326.4875556482991</v>
      </c>
      <c r="F49" s="3" t="s">
        <v>69</v>
      </c>
      <c r="G49" s="5" t="str">
        <f t="shared" si="10"/>
        <v>36541.370</v>
      </c>
      <c r="H49" s="4">
        <f t="shared" si="11"/>
        <v>1326.5</v>
      </c>
      <c r="I49" s="15" t="s">
        <v>112</v>
      </c>
      <c r="J49" s="16" t="s">
        <v>113</v>
      </c>
      <c r="K49" s="15">
        <v>1326.5</v>
      </c>
      <c r="L49" s="15" t="s">
        <v>114</v>
      </c>
      <c r="M49" s="16" t="s">
        <v>76</v>
      </c>
      <c r="N49" s="16"/>
      <c r="O49" s="17" t="s">
        <v>77</v>
      </c>
      <c r="P49" s="17" t="s">
        <v>78</v>
      </c>
    </row>
    <row r="50" spans="1:16" ht="12.75" customHeight="1" thickBot="1" x14ac:dyDescent="0.25">
      <c r="A50" s="4" t="str">
        <f t="shared" si="6"/>
        <v> MVS 4.141 </v>
      </c>
      <c r="B50" s="3" t="str">
        <f t="shared" si="7"/>
        <v>II</v>
      </c>
      <c r="C50" s="4">
        <f t="shared" si="8"/>
        <v>36820.533000000003</v>
      </c>
      <c r="D50" s="5" t="str">
        <f t="shared" si="9"/>
        <v>vis</v>
      </c>
      <c r="E50" s="14">
        <f>VLOOKUP(C50,Active!C$21:E$971,3,FALSE)</f>
        <v>1359.4923539193373</v>
      </c>
      <c r="F50" s="3" t="s">
        <v>69</v>
      </c>
      <c r="G50" s="5" t="str">
        <f t="shared" si="10"/>
        <v>36820.533</v>
      </c>
      <c r="H50" s="4">
        <f t="shared" si="11"/>
        <v>1359.5</v>
      </c>
      <c r="I50" s="15" t="s">
        <v>115</v>
      </c>
      <c r="J50" s="16" t="s">
        <v>116</v>
      </c>
      <c r="K50" s="15">
        <v>1359.5</v>
      </c>
      <c r="L50" s="15" t="s">
        <v>81</v>
      </c>
      <c r="M50" s="16" t="s">
        <v>76</v>
      </c>
      <c r="N50" s="16"/>
      <c r="O50" s="17" t="s">
        <v>77</v>
      </c>
      <c r="P50" s="17" t="s">
        <v>78</v>
      </c>
    </row>
    <row r="51" spans="1:16" ht="12.75" customHeight="1" thickBot="1" x14ac:dyDescent="0.25">
      <c r="A51" s="4" t="str">
        <f t="shared" si="6"/>
        <v> MVS 4.141 </v>
      </c>
      <c r="B51" s="3" t="str">
        <f t="shared" si="7"/>
        <v>I</v>
      </c>
      <c r="C51" s="4">
        <f t="shared" si="8"/>
        <v>37205.517</v>
      </c>
      <c r="D51" s="5" t="str">
        <f t="shared" si="9"/>
        <v>vis</v>
      </c>
      <c r="E51" s="14">
        <f>VLOOKUP(C51,Active!C$21:E$971,3,FALSE)</f>
        <v>1405.0081251984011</v>
      </c>
      <c r="F51" s="3" t="s">
        <v>69</v>
      </c>
      <c r="G51" s="5" t="str">
        <f t="shared" si="10"/>
        <v>37205.517</v>
      </c>
      <c r="H51" s="4">
        <f t="shared" si="11"/>
        <v>1405</v>
      </c>
      <c r="I51" s="15" t="s">
        <v>117</v>
      </c>
      <c r="J51" s="16" t="s">
        <v>118</v>
      </c>
      <c r="K51" s="15">
        <v>1405</v>
      </c>
      <c r="L51" s="15" t="s">
        <v>119</v>
      </c>
      <c r="M51" s="16" t="s">
        <v>76</v>
      </c>
      <c r="N51" s="16"/>
      <c r="O51" s="17" t="s">
        <v>77</v>
      </c>
      <c r="P51" s="17" t="s">
        <v>78</v>
      </c>
    </row>
    <row r="52" spans="1:16" ht="12.75" customHeight="1" thickBot="1" x14ac:dyDescent="0.25">
      <c r="A52" s="4" t="str">
        <f t="shared" si="6"/>
        <v> MHAR 10.3 </v>
      </c>
      <c r="B52" s="3" t="str">
        <f t="shared" si="7"/>
        <v>I</v>
      </c>
      <c r="C52" s="4">
        <f t="shared" si="8"/>
        <v>37222.377</v>
      </c>
      <c r="D52" s="5" t="str">
        <f t="shared" si="9"/>
        <v>vis</v>
      </c>
      <c r="E52" s="14">
        <f>VLOOKUP(C52,Active!C$21:E$971,3,FALSE)</f>
        <v>1407.0014441513058</v>
      </c>
      <c r="F52" s="3" t="s">
        <v>69</v>
      </c>
      <c r="G52" s="5" t="str">
        <f t="shared" si="10"/>
        <v>37222.377</v>
      </c>
      <c r="H52" s="4">
        <f t="shared" si="11"/>
        <v>1407</v>
      </c>
      <c r="I52" s="15" t="s">
        <v>120</v>
      </c>
      <c r="J52" s="16" t="s">
        <v>121</v>
      </c>
      <c r="K52" s="15">
        <v>1407</v>
      </c>
      <c r="L52" s="15" t="s">
        <v>122</v>
      </c>
      <c r="M52" s="16" t="s">
        <v>76</v>
      </c>
      <c r="N52" s="16"/>
      <c r="O52" s="17" t="s">
        <v>123</v>
      </c>
      <c r="P52" s="17" t="s">
        <v>124</v>
      </c>
    </row>
    <row r="53" spans="1:16" ht="12.75" customHeight="1" thickBot="1" x14ac:dyDescent="0.25">
      <c r="A53" s="4" t="str">
        <f t="shared" si="6"/>
        <v> MVS 4.141 </v>
      </c>
      <c r="B53" s="3" t="str">
        <f t="shared" si="7"/>
        <v>I</v>
      </c>
      <c r="C53" s="4">
        <f t="shared" si="8"/>
        <v>37222.417000000001</v>
      </c>
      <c r="D53" s="5" t="str">
        <f t="shared" si="9"/>
        <v>vis</v>
      </c>
      <c r="E53" s="14">
        <f>VLOOKUP(C53,Active!C$21:E$971,3,FALSE)</f>
        <v>1407.0061732591419</v>
      </c>
      <c r="F53" s="3" t="s">
        <v>69</v>
      </c>
      <c r="G53" s="5" t="str">
        <f t="shared" si="10"/>
        <v>37222.417</v>
      </c>
      <c r="H53" s="4">
        <f t="shared" si="11"/>
        <v>1407</v>
      </c>
      <c r="I53" s="15" t="s">
        <v>125</v>
      </c>
      <c r="J53" s="16" t="s">
        <v>126</v>
      </c>
      <c r="K53" s="15">
        <v>1407</v>
      </c>
      <c r="L53" s="15" t="s">
        <v>71</v>
      </c>
      <c r="M53" s="16" t="s">
        <v>76</v>
      </c>
      <c r="N53" s="16"/>
      <c r="O53" s="17" t="s">
        <v>77</v>
      </c>
      <c r="P53" s="17" t="s">
        <v>78</v>
      </c>
    </row>
    <row r="54" spans="1:16" ht="12.75" customHeight="1" thickBot="1" x14ac:dyDescent="0.25">
      <c r="A54" s="4" t="str">
        <f t="shared" si="6"/>
        <v> MHAR 10.3 </v>
      </c>
      <c r="B54" s="3" t="str">
        <f t="shared" si="7"/>
        <v>I</v>
      </c>
      <c r="C54" s="4">
        <f t="shared" si="8"/>
        <v>37907.508999999998</v>
      </c>
      <c r="D54" s="5" t="str">
        <f t="shared" si="9"/>
        <v>vis</v>
      </c>
      <c r="E54" s="14">
        <f>VLOOKUP(C54,Active!C$21:E$971,3,FALSE)</f>
        <v>1488.0030218999073</v>
      </c>
      <c r="F54" s="3" t="s">
        <v>69</v>
      </c>
      <c r="G54" s="5" t="str">
        <f t="shared" si="10"/>
        <v>37907.509</v>
      </c>
      <c r="H54" s="4">
        <f t="shared" si="11"/>
        <v>1488</v>
      </c>
      <c r="I54" s="15" t="s">
        <v>127</v>
      </c>
      <c r="J54" s="16" t="s">
        <v>128</v>
      </c>
      <c r="K54" s="15">
        <v>1488</v>
      </c>
      <c r="L54" s="15" t="s">
        <v>129</v>
      </c>
      <c r="M54" s="16" t="s">
        <v>76</v>
      </c>
      <c r="N54" s="16"/>
      <c r="O54" s="17" t="s">
        <v>123</v>
      </c>
      <c r="P54" s="17" t="s">
        <v>124</v>
      </c>
    </row>
    <row r="55" spans="1:16" ht="12.75" customHeight="1" thickBot="1" x14ac:dyDescent="0.25">
      <c r="A55" s="4" t="str">
        <f t="shared" si="6"/>
        <v> MVS 4.141 </v>
      </c>
      <c r="B55" s="3" t="str">
        <f t="shared" si="7"/>
        <v>I</v>
      </c>
      <c r="C55" s="4">
        <f t="shared" si="8"/>
        <v>37907.550000000003</v>
      </c>
      <c r="D55" s="5" t="str">
        <f t="shared" si="9"/>
        <v>vis</v>
      </c>
      <c r="E55" s="14">
        <f>VLOOKUP(C55,Active!C$21:E$971,3,FALSE)</f>
        <v>1488.0078692354398</v>
      </c>
      <c r="F55" s="3" t="s">
        <v>69</v>
      </c>
      <c r="G55" s="5" t="str">
        <f t="shared" si="10"/>
        <v>37907.550</v>
      </c>
      <c r="H55" s="4">
        <f t="shared" si="11"/>
        <v>1488</v>
      </c>
      <c r="I55" s="15" t="s">
        <v>130</v>
      </c>
      <c r="J55" s="16" t="s">
        <v>131</v>
      </c>
      <c r="K55" s="15">
        <v>1488</v>
      </c>
      <c r="L55" s="15" t="s">
        <v>132</v>
      </c>
      <c r="M55" s="16" t="s">
        <v>76</v>
      </c>
      <c r="N55" s="16"/>
      <c r="O55" s="17" t="s">
        <v>77</v>
      </c>
      <c r="P55" s="17" t="s">
        <v>78</v>
      </c>
    </row>
    <row r="56" spans="1:16" ht="12.75" customHeight="1" thickBot="1" x14ac:dyDescent="0.25">
      <c r="A56" s="4" t="str">
        <f t="shared" si="6"/>
        <v> MVS 4.141 </v>
      </c>
      <c r="B56" s="3" t="str">
        <f t="shared" si="7"/>
        <v>II</v>
      </c>
      <c r="C56" s="4">
        <f t="shared" si="8"/>
        <v>37945.472000000002</v>
      </c>
      <c r="D56" s="5" t="str">
        <f t="shared" si="9"/>
        <v>vis</v>
      </c>
      <c r="E56" s="14">
        <f>VLOOKUP(C56,Active!C$21:E$971,3,FALSE)</f>
        <v>1492.4912999194282</v>
      </c>
      <c r="F56" s="3" t="s">
        <v>69</v>
      </c>
      <c r="G56" s="5" t="str">
        <f t="shared" si="10"/>
        <v>37945.472</v>
      </c>
      <c r="H56" s="4">
        <f t="shared" si="11"/>
        <v>1492.5</v>
      </c>
      <c r="I56" s="15" t="s">
        <v>133</v>
      </c>
      <c r="J56" s="16" t="s">
        <v>134</v>
      </c>
      <c r="K56" s="15">
        <v>1492.5</v>
      </c>
      <c r="L56" s="15" t="s">
        <v>135</v>
      </c>
      <c r="M56" s="16" t="s">
        <v>76</v>
      </c>
      <c r="N56" s="16"/>
      <c r="O56" s="17" t="s">
        <v>77</v>
      </c>
      <c r="P56" s="17" t="s">
        <v>78</v>
      </c>
    </row>
    <row r="57" spans="1:16" ht="12.75" customHeight="1" thickBot="1" x14ac:dyDescent="0.25">
      <c r="A57" s="4" t="str">
        <f t="shared" si="6"/>
        <v> MHAR 10.4 </v>
      </c>
      <c r="B57" s="3" t="str">
        <f t="shared" si="7"/>
        <v>II</v>
      </c>
      <c r="C57" s="4">
        <f t="shared" si="8"/>
        <v>37945.504000000001</v>
      </c>
      <c r="D57" s="5" t="str">
        <f t="shared" si="9"/>
        <v>vis</v>
      </c>
      <c r="E57" s="14">
        <f>VLOOKUP(C57,Active!C$21:E$971,3,FALSE)</f>
        <v>1492.495083205697</v>
      </c>
      <c r="F57" s="3" t="s">
        <v>69</v>
      </c>
      <c r="G57" s="5" t="str">
        <f t="shared" si="10"/>
        <v>37945.504</v>
      </c>
      <c r="H57" s="4">
        <f t="shared" si="11"/>
        <v>1492.5</v>
      </c>
      <c r="I57" s="15" t="s">
        <v>136</v>
      </c>
      <c r="J57" s="16" t="s">
        <v>137</v>
      </c>
      <c r="K57" s="15">
        <v>1492.5</v>
      </c>
      <c r="L57" s="15" t="s">
        <v>138</v>
      </c>
      <c r="M57" s="16" t="s">
        <v>76</v>
      </c>
      <c r="N57" s="16"/>
      <c r="O57" s="17" t="s">
        <v>123</v>
      </c>
      <c r="P57" s="17" t="s">
        <v>139</v>
      </c>
    </row>
    <row r="58" spans="1:16" ht="12.75" customHeight="1" thickBot="1" x14ac:dyDescent="0.25">
      <c r="A58" s="4" t="str">
        <f t="shared" si="6"/>
        <v> MHAR 10.3 </v>
      </c>
      <c r="B58" s="3" t="str">
        <f t="shared" si="7"/>
        <v>I</v>
      </c>
      <c r="C58" s="4">
        <f t="shared" si="8"/>
        <v>38144.394999999997</v>
      </c>
      <c r="D58" s="5" t="str">
        <f t="shared" si="9"/>
        <v>vis</v>
      </c>
      <c r="E58" s="14">
        <f>VLOOKUP(C58,Active!C$21:E$971,3,FALSE)</f>
        <v>1516.0095078713043</v>
      </c>
      <c r="F58" s="3" t="s">
        <v>69</v>
      </c>
      <c r="G58" s="5" t="str">
        <f t="shared" si="10"/>
        <v>38144.395</v>
      </c>
      <c r="H58" s="4">
        <f t="shared" si="11"/>
        <v>1516</v>
      </c>
      <c r="I58" s="15" t="s">
        <v>140</v>
      </c>
      <c r="J58" s="16" t="s">
        <v>141</v>
      </c>
      <c r="K58" s="15">
        <v>1516</v>
      </c>
      <c r="L58" s="15" t="s">
        <v>142</v>
      </c>
      <c r="M58" s="16" t="s">
        <v>76</v>
      </c>
      <c r="N58" s="16"/>
      <c r="O58" s="17" t="s">
        <v>123</v>
      </c>
      <c r="P58" s="17" t="s">
        <v>124</v>
      </c>
    </row>
    <row r="59" spans="1:16" ht="12.75" customHeight="1" thickBot="1" x14ac:dyDescent="0.25">
      <c r="A59" s="4" t="str">
        <f t="shared" si="6"/>
        <v> MHAR 10.3 </v>
      </c>
      <c r="B59" s="3" t="str">
        <f t="shared" si="7"/>
        <v>I</v>
      </c>
      <c r="C59" s="4">
        <f t="shared" si="8"/>
        <v>38440.302000000003</v>
      </c>
      <c r="D59" s="5" t="str">
        <f t="shared" si="9"/>
        <v>vis</v>
      </c>
      <c r="E59" s="14">
        <f>VLOOKUP(C59,Active!C$21:E$971,3,FALSE)</f>
        <v>1550.9939106825232</v>
      </c>
      <c r="F59" s="3" t="s">
        <v>69</v>
      </c>
      <c r="G59" s="5" t="str">
        <f t="shared" si="10"/>
        <v>38440.302</v>
      </c>
      <c r="H59" s="4">
        <f t="shared" si="11"/>
        <v>1551</v>
      </c>
      <c r="I59" s="15" t="s">
        <v>143</v>
      </c>
      <c r="J59" s="16" t="s">
        <v>144</v>
      </c>
      <c r="K59" s="15">
        <v>1551</v>
      </c>
      <c r="L59" s="15" t="s">
        <v>145</v>
      </c>
      <c r="M59" s="16" t="s">
        <v>76</v>
      </c>
      <c r="N59" s="16"/>
      <c r="O59" s="17" t="s">
        <v>123</v>
      </c>
      <c r="P59" s="17" t="s">
        <v>124</v>
      </c>
    </row>
    <row r="60" spans="1:16" ht="12.75" customHeight="1" thickBot="1" x14ac:dyDescent="0.25">
      <c r="A60" s="4" t="str">
        <f t="shared" si="6"/>
        <v> MVS 4.141 </v>
      </c>
      <c r="B60" s="3" t="str">
        <f t="shared" si="7"/>
        <v>I</v>
      </c>
      <c r="C60" s="4">
        <f t="shared" si="8"/>
        <v>38440.347999999998</v>
      </c>
      <c r="D60" s="5" t="str">
        <f t="shared" si="9"/>
        <v>vis</v>
      </c>
      <c r="E60" s="14">
        <f>VLOOKUP(C60,Active!C$21:E$971,3,FALSE)</f>
        <v>1550.9993491565342</v>
      </c>
      <c r="F60" s="3" t="s">
        <v>69</v>
      </c>
      <c r="G60" s="5" t="str">
        <f t="shared" si="10"/>
        <v>38440.348</v>
      </c>
      <c r="H60" s="4">
        <f t="shared" si="11"/>
        <v>1551</v>
      </c>
      <c r="I60" s="15" t="s">
        <v>146</v>
      </c>
      <c r="J60" s="16" t="s">
        <v>147</v>
      </c>
      <c r="K60" s="15">
        <v>1551</v>
      </c>
      <c r="L60" s="15" t="s">
        <v>135</v>
      </c>
      <c r="M60" s="16" t="s">
        <v>76</v>
      </c>
      <c r="N60" s="16"/>
      <c r="O60" s="17" t="s">
        <v>77</v>
      </c>
      <c r="P60" s="17" t="s">
        <v>78</v>
      </c>
    </row>
    <row r="61" spans="1:16" ht="12.75" customHeight="1" thickBot="1" x14ac:dyDescent="0.25">
      <c r="A61" s="4" t="str">
        <f t="shared" si="6"/>
        <v> MHAR 10.3 </v>
      </c>
      <c r="B61" s="3" t="str">
        <f t="shared" si="7"/>
        <v>I</v>
      </c>
      <c r="C61" s="4">
        <f t="shared" si="8"/>
        <v>38753.273000000001</v>
      </c>
      <c r="D61" s="5" t="str">
        <f t="shared" si="9"/>
        <v>vis</v>
      </c>
      <c r="E61" s="14">
        <f>VLOOKUP(C61,Active!C$21:E$971,3,FALSE)</f>
        <v>1587.9957508966097</v>
      </c>
      <c r="F61" s="3" t="s">
        <v>69</v>
      </c>
      <c r="G61" s="5" t="str">
        <f t="shared" si="10"/>
        <v>38753.273</v>
      </c>
      <c r="H61" s="4">
        <f t="shared" si="11"/>
        <v>1588</v>
      </c>
      <c r="I61" s="15" t="s">
        <v>148</v>
      </c>
      <c r="J61" s="16" t="s">
        <v>149</v>
      </c>
      <c r="K61" s="15">
        <v>1588</v>
      </c>
      <c r="L61" s="15" t="s">
        <v>150</v>
      </c>
      <c r="M61" s="16" t="s">
        <v>76</v>
      </c>
      <c r="N61" s="16"/>
      <c r="O61" s="17" t="s">
        <v>123</v>
      </c>
      <c r="P61" s="17" t="s">
        <v>124</v>
      </c>
    </row>
    <row r="62" spans="1:16" ht="12.75" customHeight="1" thickBot="1" x14ac:dyDescent="0.25">
      <c r="A62" s="4" t="str">
        <f t="shared" si="6"/>
        <v> MVS 4.141 </v>
      </c>
      <c r="B62" s="3" t="str">
        <f t="shared" si="7"/>
        <v>I</v>
      </c>
      <c r="C62" s="4">
        <f t="shared" si="8"/>
        <v>38753.300000000003</v>
      </c>
      <c r="D62" s="5" t="str">
        <f t="shared" si="9"/>
        <v>vis</v>
      </c>
      <c r="E62" s="14">
        <f>VLOOKUP(C62,Active!C$21:E$971,3,FALSE)</f>
        <v>1587.9989430443993</v>
      </c>
      <c r="F62" s="3" t="s">
        <v>69</v>
      </c>
      <c r="G62" s="5" t="str">
        <f t="shared" si="10"/>
        <v>38753.300</v>
      </c>
      <c r="H62" s="4">
        <f t="shared" si="11"/>
        <v>1588</v>
      </c>
      <c r="I62" s="15" t="s">
        <v>151</v>
      </c>
      <c r="J62" s="16" t="s">
        <v>152</v>
      </c>
      <c r="K62" s="15">
        <v>1588</v>
      </c>
      <c r="L62" s="15" t="s">
        <v>153</v>
      </c>
      <c r="M62" s="16" t="s">
        <v>76</v>
      </c>
      <c r="N62" s="16"/>
      <c r="O62" s="17" t="s">
        <v>77</v>
      </c>
      <c r="P62" s="17" t="s">
        <v>78</v>
      </c>
    </row>
    <row r="63" spans="1:16" ht="12.75" customHeight="1" thickBot="1" x14ac:dyDescent="0.25">
      <c r="A63" s="4" t="str">
        <f t="shared" si="6"/>
        <v> MVS 4.141 </v>
      </c>
      <c r="B63" s="3" t="str">
        <f t="shared" si="7"/>
        <v>II</v>
      </c>
      <c r="C63" s="4">
        <f t="shared" si="8"/>
        <v>39070.442999999999</v>
      </c>
      <c r="D63" s="5" t="str">
        <f t="shared" si="9"/>
        <v>vis</v>
      </c>
      <c r="E63" s="14">
        <f>VLOOKUP(C63,Active!C$21:E$971,3,FALSE)</f>
        <v>1625.4940292057879</v>
      </c>
      <c r="F63" s="3" t="s">
        <v>69</v>
      </c>
      <c r="G63" s="5" t="str">
        <f t="shared" si="10"/>
        <v>39070.443</v>
      </c>
      <c r="H63" s="4">
        <f t="shared" si="11"/>
        <v>1625.5</v>
      </c>
      <c r="I63" s="15" t="s">
        <v>154</v>
      </c>
      <c r="J63" s="16" t="s">
        <v>155</v>
      </c>
      <c r="K63" s="15">
        <v>1625.5</v>
      </c>
      <c r="L63" s="15" t="s">
        <v>156</v>
      </c>
      <c r="M63" s="16" t="s">
        <v>157</v>
      </c>
      <c r="N63" s="16" t="s">
        <v>158</v>
      </c>
      <c r="O63" s="17" t="s">
        <v>77</v>
      </c>
      <c r="P63" s="17" t="s">
        <v>78</v>
      </c>
    </row>
    <row r="64" spans="1:16" ht="12.75" customHeight="1" thickBot="1" x14ac:dyDescent="0.25">
      <c r="A64" s="4" t="str">
        <f t="shared" si="6"/>
        <v> MHAR 10.3 </v>
      </c>
      <c r="B64" s="3" t="str">
        <f t="shared" si="7"/>
        <v>I</v>
      </c>
      <c r="C64" s="4">
        <f t="shared" si="8"/>
        <v>39142.337</v>
      </c>
      <c r="D64" s="5" t="str">
        <f t="shared" si="9"/>
        <v>vis</v>
      </c>
      <c r="E64" s="14">
        <f>VLOOKUP(C64,Active!C$21:E$971,3,FALSE)</f>
        <v>1633.993891174953</v>
      </c>
      <c r="F64" s="3" t="s">
        <v>69</v>
      </c>
      <c r="G64" s="5" t="str">
        <f t="shared" si="10"/>
        <v>39142.337</v>
      </c>
      <c r="H64" s="4">
        <f t="shared" si="11"/>
        <v>1634</v>
      </c>
      <c r="I64" s="15" t="s">
        <v>159</v>
      </c>
      <c r="J64" s="16" t="s">
        <v>160</v>
      </c>
      <c r="K64" s="15">
        <v>1634</v>
      </c>
      <c r="L64" s="15" t="s">
        <v>161</v>
      </c>
      <c r="M64" s="16" t="s">
        <v>76</v>
      </c>
      <c r="N64" s="16"/>
      <c r="O64" s="17" t="s">
        <v>123</v>
      </c>
      <c r="P64" s="17" t="s">
        <v>124</v>
      </c>
    </row>
    <row r="65" spans="1:16" ht="12.75" customHeight="1" thickBot="1" x14ac:dyDescent="0.25">
      <c r="A65" s="4" t="str">
        <f t="shared" si="6"/>
        <v> MHAR 10.3 </v>
      </c>
      <c r="B65" s="3" t="str">
        <f t="shared" si="7"/>
        <v>I</v>
      </c>
      <c r="C65" s="4">
        <f t="shared" si="8"/>
        <v>39878.266000000003</v>
      </c>
      <c r="D65" s="5" t="str">
        <f t="shared" si="9"/>
        <v>vis</v>
      </c>
      <c r="E65" s="14">
        <f>VLOOKUP(C65,Active!C$21:E$971,3,FALSE)</f>
        <v>1721.0010811922798</v>
      </c>
      <c r="F65" s="3" t="s">
        <v>69</v>
      </c>
      <c r="G65" s="5" t="str">
        <f t="shared" si="10"/>
        <v>39878.266</v>
      </c>
      <c r="H65" s="4">
        <f t="shared" si="11"/>
        <v>1721</v>
      </c>
      <c r="I65" s="15" t="s">
        <v>162</v>
      </c>
      <c r="J65" s="16" t="s">
        <v>163</v>
      </c>
      <c r="K65" s="15">
        <v>1721</v>
      </c>
      <c r="L65" s="15" t="s">
        <v>164</v>
      </c>
      <c r="M65" s="16" t="s">
        <v>76</v>
      </c>
      <c r="N65" s="16"/>
      <c r="O65" s="17" t="s">
        <v>123</v>
      </c>
      <c r="P65" s="17" t="s">
        <v>124</v>
      </c>
    </row>
    <row r="66" spans="1:16" ht="12.75" customHeight="1" thickBot="1" x14ac:dyDescent="0.25">
      <c r="A66" s="4" t="str">
        <f t="shared" si="6"/>
        <v> MHAR 10.4 </v>
      </c>
      <c r="B66" s="3" t="str">
        <f t="shared" si="7"/>
        <v>II</v>
      </c>
      <c r="C66" s="4">
        <f t="shared" si="8"/>
        <v>40068.542000000001</v>
      </c>
      <c r="D66" s="5" t="str">
        <f t="shared" si="9"/>
        <v>vis</v>
      </c>
      <c r="E66" s="14">
        <f>VLOOKUP(C66,Active!C$21:E$971,3,FALSE)</f>
        <v>1743.4969742576932</v>
      </c>
      <c r="F66" s="3" t="s">
        <v>69</v>
      </c>
      <c r="G66" s="5" t="str">
        <f t="shared" si="10"/>
        <v>40068.542</v>
      </c>
      <c r="H66" s="4">
        <f t="shared" si="11"/>
        <v>1743.5</v>
      </c>
      <c r="I66" s="15" t="s">
        <v>165</v>
      </c>
      <c r="J66" s="16" t="s">
        <v>166</v>
      </c>
      <c r="K66" s="15">
        <v>1743.5</v>
      </c>
      <c r="L66" s="15" t="s">
        <v>167</v>
      </c>
      <c r="M66" s="16" t="s">
        <v>76</v>
      </c>
      <c r="N66" s="16"/>
      <c r="O66" s="17" t="s">
        <v>123</v>
      </c>
      <c r="P66" s="17" t="s">
        <v>139</v>
      </c>
    </row>
    <row r="67" spans="1:16" ht="12.75" customHeight="1" thickBot="1" x14ac:dyDescent="0.25">
      <c r="A67" s="4" t="str">
        <f t="shared" si="6"/>
        <v> MHAR 10.3 </v>
      </c>
      <c r="B67" s="3" t="str">
        <f t="shared" si="7"/>
        <v>I</v>
      </c>
      <c r="C67" s="4">
        <f t="shared" si="8"/>
        <v>40825.506000000001</v>
      </c>
      <c r="D67" s="5" t="str">
        <f t="shared" si="9"/>
        <v>vis</v>
      </c>
      <c r="E67" s="14">
        <f>VLOOKUP(C67,Active!C$21:E$971,3,FALSE)</f>
        <v>1832.9910838583139</v>
      </c>
      <c r="F67" s="3" t="s">
        <v>69</v>
      </c>
      <c r="G67" s="5" t="str">
        <f t="shared" si="10"/>
        <v>40825.506</v>
      </c>
      <c r="H67" s="4">
        <f t="shared" si="11"/>
        <v>1833</v>
      </c>
      <c r="I67" s="15" t="s">
        <v>168</v>
      </c>
      <c r="J67" s="16" t="s">
        <v>169</v>
      </c>
      <c r="K67" s="15">
        <v>1833</v>
      </c>
      <c r="L67" s="15" t="s">
        <v>170</v>
      </c>
      <c r="M67" s="16" t="s">
        <v>76</v>
      </c>
      <c r="N67" s="16"/>
      <c r="O67" s="17" t="s">
        <v>123</v>
      </c>
      <c r="P67" s="17" t="s">
        <v>124</v>
      </c>
    </row>
    <row r="68" spans="1:16" ht="12.75" customHeight="1" thickBot="1" x14ac:dyDescent="0.25">
      <c r="A68" s="4" t="str">
        <f t="shared" si="6"/>
        <v> MHAR 10.3 </v>
      </c>
      <c r="B68" s="3" t="str">
        <f t="shared" si="7"/>
        <v>I</v>
      </c>
      <c r="C68" s="4">
        <f t="shared" si="8"/>
        <v>40859.510999999999</v>
      </c>
      <c r="D68" s="5" t="str">
        <f t="shared" si="9"/>
        <v>vis</v>
      </c>
      <c r="E68" s="14">
        <f>VLOOKUP(C68,Active!C$21:E$971,3,FALSE)</f>
        <v>1837.0114166574549</v>
      </c>
      <c r="F68" s="3" t="s">
        <v>69</v>
      </c>
      <c r="G68" s="5" t="str">
        <f t="shared" si="10"/>
        <v>40859.511</v>
      </c>
      <c r="H68" s="4">
        <f t="shared" si="11"/>
        <v>1837</v>
      </c>
      <c r="I68" s="15" t="s">
        <v>171</v>
      </c>
      <c r="J68" s="16" t="s">
        <v>172</v>
      </c>
      <c r="K68" s="15">
        <v>1837</v>
      </c>
      <c r="L68" s="15" t="s">
        <v>84</v>
      </c>
      <c r="M68" s="16" t="s">
        <v>76</v>
      </c>
      <c r="N68" s="16"/>
      <c r="O68" s="17" t="s">
        <v>123</v>
      </c>
      <c r="P68" s="17" t="s">
        <v>124</v>
      </c>
    </row>
    <row r="69" spans="1:16" ht="12.75" customHeight="1" thickBot="1" x14ac:dyDescent="0.25">
      <c r="A69" s="4" t="str">
        <f t="shared" si="6"/>
        <v> MHAR 10.4 </v>
      </c>
      <c r="B69" s="3" t="str">
        <f t="shared" si="7"/>
        <v>II</v>
      </c>
      <c r="C69" s="4">
        <f t="shared" si="8"/>
        <v>40914.330999999998</v>
      </c>
      <c r="D69" s="5" t="str">
        <f t="shared" si="9"/>
        <v>vis</v>
      </c>
      <c r="E69" s="14">
        <f>VLOOKUP(C69,Active!C$21:E$971,3,FALSE)</f>
        <v>1843.4926589467923</v>
      </c>
      <c r="F69" s="3" t="s">
        <v>69</v>
      </c>
      <c r="G69" s="5" t="str">
        <f t="shared" si="10"/>
        <v>40914.331</v>
      </c>
      <c r="H69" s="4">
        <f t="shared" si="11"/>
        <v>1843.5</v>
      </c>
      <c r="I69" s="15" t="s">
        <v>173</v>
      </c>
      <c r="J69" s="16" t="s">
        <v>174</v>
      </c>
      <c r="K69" s="15">
        <v>1843.5</v>
      </c>
      <c r="L69" s="15" t="s">
        <v>175</v>
      </c>
      <c r="M69" s="16" t="s">
        <v>76</v>
      </c>
      <c r="N69" s="16"/>
      <c r="O69" s="17" t="s">
        <v>123</v>
      </c>
      <c r="P69" s="17" t="s">
        <v>139</v>
      </c>
    </row>
    <row r="70" spans="1:16" ht="12.75" customHeight="1" thickBot="1" x14ac:dyDescent="0.25">
      <c r="A70" s="4" t="str">
        <f t="shared" si="6"/>
        <v> MHAR 10.3 </v>
      </c>
      <c r="B70" s="3" t="str">
        <f t="shared" si="7"/>
        <v>I</v>
      </c>
      <c r="C70" s="4">
        <f t="shared" si="8"/>
        <v>41155.504000000001</v>
      </c>
      <c r="D70" s="5" t="str">
        <f t="shared" si="9"/>
        <v>vis</v>
      </c>
      <c r="E70" s="14">
        <f>VLOOKUP(C70,Active!C$21:E$971,3,FALSE)</f>
        <v>1872.0059870505208</v>
      </c>
      <c r="F70" s="3" t="s">
        <v>69</v>
      </c>
      <c r="G70" s="5" t="str">
        <f t="shared" si="10"/>
        <v>41155.504</v>
      </c>
      <c r="H70" s="4">
        <f t="shared" si="11"/>
        <v>1872</v>
      </c>
      <c r="I70" s="15" t="s">
        <v>176</v>
      </c>
      <c r="J70" s="16" t="s">
        <v>177</v>
      </c>
      <c r="K70" s="15">
        <v>1872</v>
      </c>
      <c r="L70" s="15" t="s">
        <v>178</v>
      </c>
      <c r="M70" s="16" t="s">
        <v>76</v>
      </c>
      <c r="N70" s="16"/>
      <c r="O70" s="17" t="s">
        <v>123</v>
      </c>
      <c r="P70" s="17" t="s">
        <v>124</v>
      </c>
    </row>
    <row r="71" spans="1:16" ht="12.75" customHeight="1" thickBot="1" x14ac:dyDescent="0.25">
      <c r="A71" s="4" t="str">
        <f t="shared" si="6"/>
        <v> MHAR 10.3 </v>
      </c>
      <c r="B71" s="3" t="str">
        <f t="shared" si="7"/>
        <v>I</v>
      </c>
      <c r="C71" s="4">
        <f t="shared" si="8"/>
        <v>41189.341</v>
      </c>
      <c r="D71" s="5" t="str">
        <f t="shared" si="9"/>
        <v>vis</v>
      </c>
      <c r="E71" s="14">
        <f>VLOOKUP(C71,Active!C$21:E$971,3,FALSE)</f>
        <v>1876.0064575967506</v>
      </c>
      <c r="F71" s="3" t="s">
        <v>69</v>
      </c>
      <c r="G71" s="5" t="str">
        <f t="shared" si="10"/>
        <v>41189.341</v>
      </c>
      <c r="H71" s="4">
        <f t="shared" si="11"/>
        <v>1876</v>
      </c>
      <c r="I71" s="15" t="s">
        <v>179</v>
      </c>
      <c r="J71" s="16" t="s">
        <v>180</v>
      </c>
      <c r="K71" s="15">
        <v>1876</v>
      </c>
      <c r="L71" s="15" t="s">
        <v>181</v>
      </c>
      <c r="M71" s="16" t="s">
        <v>76</v>
      </c>
      <c r="N71" s="16"/>
      <c r="O71" s="17" t="s">
        <v>123</v>
      </c>
      <c r="P71" s="17" t="s">
        <v>124</v>
      </c>
    </row>
    <row r="72" spans="1:16" ht="12.75" customHeight="1" thickBot="1" x14ac:dyDescent="0.25">
      <c r="A72" s="4" t="str">
        <f t="shared" si="6"/>
        <v> MHAR 10.4 </v>
      </c>
      <c r="B72" s="3" t="str">
        <f t="shared" si="7"/>
        <v>II</v>
      </c>
      <c r="C72" s="4">
        <f t="shared" si="8"/>
        <v>41210.459000000003</v>
      </c>
      <c r="D72" s="5" t="str">
        <f t="shared" si="9"/>
        <v>vis</v>
      </c>
      <c r="E72" s="14">
        <f>VLOOKUP(C72,Active!C$21:E$971,3,FALSE)</f>
        <v>1878.5031900788053</v>
      </c>
      <c r="F72" s="3" t="s">
        <v>69</v>
      </c>
      <c r="G72" s="5" t="str">
        <f t="shared" si="10"/>
        <v>41210.459</v>
      </c>
      <c r="H72" s="4">
        <f t="shared" si="11"/>
        <v>1878.5</v>
      </c>
      <c r="I72" s="15" t="s">
        <v>182</v>
      </c>
      <c r="J72" s="16" t="s">
        <v>183</v>
      </c>
      <c r="K72" s="15">
        <v>1878.5</v>
      </c>
      <c r="L72" s="15" t="s">
        <v>184</v>
      </c>
      <c r="M72" s="16" t="s">
        <v>76</v>
      </c>
      <c r="N72" s="16"/>
      <c r="O72" s="17" t="s">
        <v>123</v>
      </c>
      <c r="P72" s="17" t="s">
        <v>139</v>
      </c>
    </row>
    <row r="73" spans="1:16" ht="12.75" customHeight="1" thickBot="1" x14ac:dyDescent="0.25">
      <c r="A73" s="4" t="str">
        <f t="shared" si="6"/>
        <v> MHAR 10.3 </v>
      </c>
      <c r="B73" s="3" t="str">
        <f t="shared" si="7"/>
        <v>I</v>
      </c>
      <c r="C73" s="4">
        <f t="shared" si="8"/>
        <v>41248.482000000004</v>
      </c>
      <c r="D73" s="5" t="str">
        <f t="shared" si="9"/>
        <v>vis</v>
      </c>
      <c r="E73" s="14">
        <f>VLOOKUP(C73,Active!C$21:E$971,3,FALSE)</f>
        <v>1882.9985617600801</v>
      </c>
      <c r="F73" s="3" t="s">
        <v>69</v>
      </c>
      <c r="G73" s="5" t="str">
        <f t="shared" si="10"/>
        <v>41248.482</v>
      </c>
      <c r="H73" s="4">
        <f t="shared" si="11"/>
        <v>1883</v>
      </c>
      <c r="I73" s="15" t="s">
        <v>185</v>
      </c>
      <c r="J73" s="16" t="s">
        <v>186</v>
      </c>
      <c r="K73" s="15">
        <v>1883</v>
      </c>
      <c r="L73" s="15" t="s">
        <v>105</v>
      </c>
      <c r="M73" s="16" t="s">
        <v>76</v>
      </c>
      <c r="N73" s="16"/>
      <c r="O73" s="17" t="s">
        <v>123</v>
      </c>
      <c r="P73" s="17" t="s">
        <v>124</v>
      </c>
    </row>
    <row r="74" spans="1:16" ht="12.75" customHeight="1" thickBot="1" x14ac:dyDescent="0.25">
      <c r="A74" s="4" t="str">
        <f t="shared" si="6"/>
        <v> MHAR 10.3 </v>
      </c>
      <c r="B74" s="3" t="str">
        <f t="shared" si="7"/>
        <v>I</v>
      </c>
      <c r="C74" s="4">
        <f t="shared" si="8"/>
        <v>41595.313999999998</v>
      </c>
      <c r="D74" s="5" t="str">
        <f t="shared" si="9"/>
        <v>vis</v>
      </c>
      <c r="E74" s="14">
        <f>VLOOKUP(C74,Active!C$21:E$971,3,FALSE)</f>
        <v>1924.0037099850974</v>
      </c>
      <c r="F74" s="3" t="s">
        <v>69</v>
      </c>
      <c r="G74" s="5" t="str">
        <f t="shared" si="10"/>
        <v>41595.314</v>
      </c>
      <c r="H74" s="4">
        <f t="shared" si="11"/>
        <v>1924</v>
      </c>
      <c r="I74" s="15" t="s">
        <v>187</v>
      </c>
      <c r="J74" s="16" t="s">
        <v>188</v>
      </c>
      <c r="K74" s="15">
        <v>1924</v>
      </c>
      <c r="L74" s="15" t="s">
        <v>189</v>
      </c>
      <c r="M74" s="16" t="s">
        <v>72</v>
      </c>
      <c r="N74" s="16"/>
      <c r="O74" s="17" t="s">
        <v>123</v>
      </c>
      <c r="P74" s="17" t="s">
        <v>124</v>
      </c>
    </row>
    <row r="75" spans="1:16" ht="12.75" customHeight="1" thickBot="1" x14ac:dyDescent="0.25">
      <c r="A75" s="4" t="str">
        <f t="shared" ref="A75:A91" si="12">P75</f>
        <v> MHAR 10.4 </v>
      </c>
      <c r="B75" s="3" t="str">
        <f t="shared" ref="B75:B91" si="13">IF(H75=INT(H75),"I","II")</f>
        <v>II</v>
      </c>
      <c r="C75" s="4">
        <f t="shared" ref="C75:C91" si="14">1*G75</f>
        <v>41599.428</v>
      </c>
      <c r="D75" s="5" t="str">
        <f t="shared" ref="D75:D91" si="15">VLOOKUP(F75,I$1:J$5,2,FALSE)</f>
        <v>vis</v>
      </c>
      <c r="E75" s="14">
        <f>VLOOKUP(C75,Active!C$21:E$971,3,FALSE)</f>
        <v>1924.4900987260378</v>
      </c>
      <c r="F75" s="3" t="s">
        <v>69</v>
      </c>
      <c r="G75" s="5" t="str">
        <f t="shared" ref="G75:G91" si="16">MID(I75,3,LEN(I75)-3)</f>
        <v>41599.428</v>
      </c>
      <c r="H75" s="4">
        <f t="shared" ref="H75:H91" si="17">1*K75</f>
        <v>1924.5</v>
      </c>
      <c r="I75" s="15" t="s">
        <v>190</v>
      </c>
      <c r="J75" s="16" t="s">
        <v>191</v>
      </c>
      <c r="K75" s="15">
        <v>1924.5</v>
      </c>
      <c r="L75" s="15" t="s">
        <v>192</v>
      </c>
      <c r="M75" s="16" t="s">
        <v>76</v>
      </c>
      <c r="N75" s="16"/>
      <c r="O75" s="17" t="s">
        <v>123</v>
      </c>
      <c r="P75" s="17" t="s">
        <v>139</v>
      </c>
    </row>
    <row r="76" spans="1:16" ht="12.75" customHeight="1" thickBot="1" x14ac:dyDescent="0.25">
      <c r="A76" s="4" t="str">
        <f t="shared" si="12"/>
        <v> MHAR 10.4 </v>
      </c>
      <c r="B76" s="3" t="str">
        <f t="shared" si="13"/>
        <v>II</v>
      </c>
      <c r="C76" s="4">
        <f t="shared" si="14"/>
        <v>41599.453000000001</v>
      </c>
      <c r="D76" s="5" t="str">
        <f t="shared" si="15"/>
        <v>vis</v>
      </c>
      <c r="E76" s="14">
        <f>VLOOKUP(C76,Active!C$21:E$971,3,FALSE)</f>
        <v>1924.4930544184356</v>
      </c>
      <c r="F76" s="3" t="s">
        <v>69</v>
      </c>
      <c r="G76" s="5" t="str">
        <f t="shared" si="16"/>
        <v>41599.453</v>
      </c>
      <c r="H76" s="4">
        <f t="shared" si="17"/>
        <v>1924.5</v>
      </c>
      <c r="I76" s="15" t="s">
        <v>193</v>
      </c>
      <c r="J76" s="16" t="s">
        <v>194</v>
      </c>
      <c r="K76" s="15">
        <v>1924.5</v>
      </c>
      <c r="L76" s="15" t="s">
        <v>175</v>
      </c>
      <c r="M76" s="16" t="s">
        <v>76</v>
      </c>
      <c r="N76" s="16"/>
      <c r="O76" s="17" t="s">
        <v>123</v>
      </c>
      <c r="P76" s="17" t="s">
        <v>139</v>
      </c>
    </row>
    <row r="77" spans="1:16" ht="12.75" customHeight="1" thickBot="1" x14ac:dyDescent="0.25">
      <c r="A77" s="4" t="str">
        <f t="shared" si="12"/>
        <v> MHAR 10.3 </v>
      </c>
      <c r="B77" s="3" t="str">
        <f t="shared" si="13"/>
        <v>I</v>
      </c>
      <c r="C77" s="4">
        <f t="shared" si="14"/>
        <v>41984.446000000004</v>
      </c>
      <c r="D77" s="5" t="str">
        <f t="shared" si="15"/>
        <v>vis</v>
      </c>
      <c r="E77" s="14">
        <f>VLOOKUP(C77,Active!C$21:E$971,3,FALSE)</f>
        <v>1970.0098897467628</v>
      </c>
      <c r="F77" s="3" t="s">
        <v>69</v>
      </c>
      <c r="G77" s="5" t="str">
        <f t="shared" si="16"/>
        <v>41984.446</v>
      </c>
      <c r="H77" s="4">
        <f t="shared" si="17"/>
        <v>1970</v>
      </c>
      <c r="I77" s="15" t="s">
        <v>195</v>
      </c>
      <c r="J77" s="16" t="s">
        <v>196</v>
      </c>
      <c r="K77" s="15">
        <v>1970</v>
      </c>
      <c r="L77" s="15" t="s">
        <v>197</v>
      </c>
      <c r="M77" s="16" t="s">
        <v>76</v>
      </c>
      <c r="N77" s="16"/>
      <c r="O77" s="17" t="s">
        <v>123</v>
      </c>
      <c r="P77" s="17" t="s">
        <v>124</v>
      </c>
    </row>
    <row r="78" spans="1:16" ht="12.75" customHeight="1" thickBot="1" x14ac:dyDescent="0.25">
      <c r="A78" s="4" t="str">
        <f t="shared" si="12"/>
        <v> MHAR 10.4 </v>
      </c>
      <c r="B78" s="3" t="str">
        <f t="shared" si="13"/>
        <v>II</v>
      </c>
      <c r="C78" s="4">
        <f t="shared" si="14"/>
        <v>41988.428</v>
      </c>
      <c r="D78" s="5" t="str">
        <f t="shared" si="15"/>
        <v>vis</v>
      </c>
      <c r="E78" s="14">
        <f>VLOOKUP(C78,Active!C$21:E$971,3,FALSE)</f>
        <v>1970.4806724318435</v>
      </c>
      <c r="F78" s="3" t="s">
        <v>69</v>
      </c>
      <c r="G78" s="5" t="str">
        <f t="shared" si="16"/>
        <v>41988.428</v>
      </c>
      <c r="H78" s="4">
        <f t="shared" si="17"/>
        <v>1970.5</v>
      </c>
      <c r="I78" s="15" t="s">
        <v>198</v>
      </c>
      <c r="J78" s="16" t="s">
        <v>199</v>
      </c>
      <c r="K78" s="15">
        <v>1970.5</v>
      </c>
      <c r="L78" s="15" t="s">
        <v>200</v>
      </c>
      <c r="M78" s="16" t="s">
        <v>76</v>
      </c>
      <c r="N78" s="16"/>
      <c r="O78" s="17" t="s">
        <v>123</v>
      </c>
      <c r="P78" s="17" t="s">
        <v>139</v>
      </c>
    </row>
    <row r="79" spans="1:16" ht="12.75" customHeight="1" thickBot="1" x14ac:dyDescent="0.25">
      <c r="A79" s="4" t="str">
        <f t="shared" si="12"/>
        <v> MHAR 10.4 </v>
      </c>
      <c r="B79" s="3" t="str">
        <f t="shared" si="13"/>
        <v>II</v>
      </c>
      <c r="C79" s="4">
        <f t="shared" si="14"/>
        <v>42741.339</v>
      </c>
      <c r="D79" s="5" t="str">
        <f t="shared" si="15"/>
        <v>vis</v>
      </c>
      <c r="E79" s="14">
        <f>VLOOKUP(C79,Active!C$21:E$971,3,FALSE)</f>
        <v>2059.4956051809745</v>
      </c>
      <c r="F79" s="3" t="s">
        <v>69</v>
      </c>
      <c r="G79" s="5" t="str">
        <f t="shared" si="16"/>
        <v>42741.339</v>
      </c>
      <c r="H79" s="4">
        <f t="shared" si="17"/>
        <v>2059.5</v>
      </c>
      <c r="I79" s="15" t="s">
        <v>201</v>
      </c>
      <c r="J79" s="16" t="s">
        <v>202</v>
      </c>
      <c r="K79" s="15">
        <v>2059.5</v>
      </c>
      <c r="L79" s="15" t="s">
        <v>81</v>
      </c>
      <c r="M79" s="16" t="s">
        <v>76</v>
      </c>
      <c r="N79" s="16"/>
      <c r="O79" s="17" t="s">
        <v>123</v>
      </c>
      <c r="P79" s="17" t="s">
        <v>139</v>
      </c>
    </row>
    <row r="80" spans="1:16" ht="12.75" customHeight="1" thickBot="1" x14ac:dyDescent="0.25">
      <c r="A80" s="4" t="str">
        <f t="shared" si="12"/>
        <v>BAVM 131 </v>
      </c>
      <c r="B80" s="3" t="str">
        <f t="shared" si="13"/>
        <v>I</v>
      </c>
      <c r="C80" s="4">
        <f t="shared" si="14"/>
        <v>51398.396999999997</v>
      </c>
      <c r="D80" s="5" t="str">
        <f t="shared" si="15"/>
        <v>vis</v>
      </c>
      <c r="E80" s="14">
        <f>VLOOKUP(C80,Active!C$21:E$971,3,FALSE)</f>
        <v>3082.9996258093424</v>
      </c>
      <c r="F80" s="3" t="s">
        <v>69</v>
      </c>
      <c r="G80" s="5" t="str">
        <f t="shared" si="16"/>
        <v>51398.397</v>
      </c>
      <c r="H80" s="4">
        <f t="shared" si="17"/>
        <v>3083</v>
      </c>
      <c r="I80" s="15" t="s">
        <v>223</v>
      </c>
      <c r="J80" s="16" t="s">
        <v>224</v>
      </c>
      <c r="K80" s="15">
        <v>3083</v>
      </c>
      <c r="L80" s="15" t="s">
        <v>225</v>
      </c>
      <c r="M80" s="16" t="s">
        <v>206</v>
      </c>
      <c r="N80" s="16"/>
      <c r="O80" s="17" t="s">
        <v>226</v>
      </c>
      <c r="P80" s="18" t="s">
        <v>227</v>
      </c>
    </row>
    <row r="81" spans="1:16" ht="12.75" customHeight="1" thickBot="1" x14ac:dyDescent="0.25">
      <c r="A81" s="4" t="str">
        <f t="shared" si="12"/>
        <v>BAVM 131 </v>
      </c>
      <c r="B81" s="3" t="str">
        <f t="shared" si="13"/>
        <v>II</v>
      </c>
      <c r="C81" s="4">
        <f t="shared" si="14"/>
        <v>51436.39</v>
      </c>
      <c r="D81" s="5" t="str">
        <f t="shared" si="15"/>
        <v>vis</v>
      </c>
      <c r="E81" s="14">
        <f>VLOOKUP(C81,Active!C$21:E$971,3,FALSE)</f>
        <v>3087.4914506597406</v>
      </c>
      <c r="F81" s="3" t="s">
        <v>69</v>
      </c>
      <c r="G81" s="5" t="str">
        <f t="shared" si="16"/>
        <v>51436.390</v>
      </c>
      <c r="H81" s="4">
        <f t="shared" si="17"/>
        <v>3087.5</v>
      </c>
      <c r="I81" s="15" t="s">
        <v>228</v>
      </c>
      <c r="J81" s="16" t="s">
        <v>229</v>
      </c>
      <c r="K81" s="15">
        <v>3087.5</v>
      </c>
      <c r="L81" s="15" t="s">
        <v>230</v>
      </c>
      <c r="M81" s="16" t="s">
        <v>206</v>
      </c>
      <c r="N81" s="16"/>
      <c r="O81" s="17" t="s">
        <v>226</v>
      </c>
      <c r="P81" s="18" t="s">
        <v>227</v>
      </c>
    </row>
    <row r="82" spans="1:16" ht="12.75" customHeight="1" thickBot="1" x14ac:dyDescent="0.25">
      <c r="A82" s="4" t="str">
        <f t="shared" si="12"/>
        <v>IBVS 5251 </v>
      </c>
      <c r="B82" s="3" t="str">
        <f t="shared" si="13"/>
        <v>I</v>
      </c>
      <c r="C82" s="4">
        <f t="shared" si="14"/>
        <v>52159.674500000001</v>
      </c>
      <c r="D82" s="5" t="str">
        <f t="shared" si="15"/>
        <v>vis</v>
      </c>
      <c r="E82" s="14">
        <f>VLOOKUP(C82,Active!C$21:E$971,3,FALSE)</f>
        <v>3173.0037105762362</v>
      </c>
      <c r="F82" s="3" t="s">
        <v>69</v>
      </c>
      <c r="G82" s="5" t="str">
        <f t="shared" si="16"/>
        <v>52159.6745</v>
      </c>
      <c r="H82" s="4">
        <f t="shared" si="17"/>
        <v>3173</v>
      </c>
      <c r="I82" s="15" t="s">
        <v>241</v>
      </c>
      <c r="J82" s="16" t="s">
        <v>242</v>
      </c>
      <c r="K82" s="15">
        <v>3173</v>
      </c>
      <c r="L82" s="15" t="s">
        <v>243</v>
      </c>
      <c r="M82" s="16" t="s">
        <v>157</v>
      </c>
      <c r="N82" s="16" t="s">
        <v>244</v>
      </c>
      <c r="O82" s="17" t="s">
        <v>245</v>
      </c>
      <c r="P82" s="18" t="s">
        <v>246</v>
      </c>
    </row>
    <row r="83" spans="1:16" ht="12.75" customHeight="1" thickBot="1" x14ac:dyDescent="0.25">
      <c r="A83" s="4" t="str">
        <f t="shared" si="12"/>
        <v>IBVS 5357 </v>
      </c>
      <c r="B83" s="3" t="str">
        <f t="shared" si="13"/>
        <v>I</v>
      </c>
      <c r="C83" s="4">
        <f t="shared" si="14"/>
        <v>52252.7163</v>
      </c>
      <c r="D83" s="5" t="str">
        <f t="shared" si="15"/>
        <v>vis</v>
      </c>
      <c r="E83" s="14">
        <f>VLOOKUP(C83,Active!C$21:E$971,3,FALSE)</f>
        <v>3184.0038282127939</v>
      </c>
      <c r="F83" s="3" t="s">
        <v>69</v>
      </c>
      <c r="G83" s="5" t="str">
        <f t="shared" si="16"/>
        <v>52252.7163</v>
      </c>
      <c r="H83" s="4">
        <f t="shared" si="17"/>
        <v>3184</v>
      </c>
      <c r="I83" s="15" t="s">
        <v>249</v>
      </c>
      <c r="J83" s="16" t="s">
        <v>250</v>
      </c>
      <c r="K83" s="15">
        <v>3184</v>
      </c>
      <c r="L83" s="15" t="s">
        <v>251</v>
      </c>
      <c r="M83" s="16" t="s">
        <v>157</v>
      </c>
      <c r="N83" s="16" t="s">
        <v>244</v>
      </c>
      <c r="O83" s="17" t="s">
        <v>252</v>
      </c>
      <c r="P83" s="18" t="s">
        <v>253</v>
      </c>
    </row>
    <row r="84" spans="1:16" ht="12.75" customHeight="1" thickBot="1" x14ac:dyDescent="0.25">
      <c r="A84" s="4" t="str">
        <f t="shared" si="12"/>
        <v>IBVS 5371 </v>
      </c>
      <c r="B84" s="3" t="str">
        <f t="shared" si="13"/>
        <v>I</v>
      </c>
      <c r="C84" s="4">
        <f t="shared" si="14"/>
        <v>52565.671699999999</v>
      </c>
      <c r="D84" s="5" t="str">
        <f t="shared" si="15"/>
        <v>vis</v>
      </c>
      <c r="E84" s="14" t="e">
        <f>VLOOKUP(C84,Active!C$21:E$971,3,FALSE)</f>
        <v>#N/A</v>
      </c>
      <c r="F84" s="3" t="s">
        <v>69</v>
      </c>
      <c r="G84" s="5" t="str">
        <f t="shared" si="16"/>
        <v>52565.6717</v>
      </c>
      <c r="H84" s="4">
        <f t="shared" si="17"/>
        <v>3221</v>
      </c>
      <c r="I84" s="15" t="s">
        <v>260</v>
      </c>
      <c r="J84" s="16" t="s">
        <v>261</v>
      </c>
      <c r="K84" s="15">
        <v>3221</v>
      </c>
      <c r="L84" s="15" t="s">
        <v>262</v>
      </c>
      <c r="M84" s="16" t="s">
        <v>157</v>
      </c>
      <c r="N84" s="16" t="s">
        <v>158</v>
      </c>
      <c r="O84" s="17" t="s">
        <v>263</v>
      </c>
      <c r="P84" s="18" t="s">
        <v>264</v>
      </c>
    </row>
    <row r="85" spans="1:16" ht="12.75" customHeight="1" thickBot="1" x14ac:dyDescent="0.25">
      <c r="A85" s="4" t="str">
        <f t="shared" si="12"/>
        <v>IBVS 5357 </v>
      </c>
      <c r="B85" s="3" t="str">
        <f t="shared" si="13"/>
        <v>II</v>
      </c>
      <c r="C85" s="4">
        <f t="shared" si="14"/>
        <v>52586.751900000003</v>
      </c>
      <c r="D85" s="5" t="str">
        <f t="shared" si="15"/>
        <v>vis</v>
      </c>
      <c r="E85" s="14">
        <f>VLOOKUP(C85,Active!C$21:E$971,3,FALSE)</f>
        <v>3223.4960875499742</v>
      </c>
      <c r="F85" s="3" t="s">
        <v>69</v>
      </c>
      <c r="G85" s="5" t="str">
        <f t="shared" si="16"/>
        <v>52586.7519</v>
      </c>
      <c r="H85" s="4">
        <f t="shared" si="17"/>
        <v>3223.5</v>
      </c>
      <c r="I85" s="15" t="s">
        <v>265</v>
      </c>
      <c r="J85" s="16" t="s">
        <v>266</v>
      </c>
      <c r="K85" s="15">
        <v>3223.5</v>
      </c>
      <c r="L85" s="15" t="s">
        <v>267</v>
      </c>
      <c r="M85" s="16" t="s">
        <v>157</v>
      </c>
      <c r="N85" s="16" t="s">
        <v>244</v>
      </c>
      <c r="O85" s="17" t="s">
        <v>252</v>
      </c>
      <c r="P85" s="18" t="s">
        <v>253</v>
      </c>
    </row>
    <row r="86" spans="1:16" ht="12.75" customHeight="1" thickBot="1" x14ac:dyDescent="0.25">
      <c r="A86" s="4" t="str">
        <f t="shared" si="12"/>
        <v>BAVM 171 </v>
      </c>
      <c r="B86" s="3" t="str">
        <f t="shared" si="13"/>
        <v>II</v>
      </c>
      <c r="C86" s="4">
        <f t="shared" si="14"/>
        <v>52874.35</v>
      </c>
      <c r="D86" s="5" t="str">
        <f t="shared" si="15"/>
        <v>vis</v>
      </c>
      <c r="E86" s="14">
        <f>VLOOKUP(C86,Active!C$21:E$971,3,FALSE)</f>
        <v>3257.4981482587132</v>
      </c>
      <c r="F86" s="3" t="s">
        <v>69</v>
      </c>
      <c r="G86" s="5" t="str">
        <f t="shared" si="16"/>
        <v>52874.35</v>
      </c>
      <c r="H86" s="4">
        <f t="shared" si="17"/>
        <v>3257.5</v>
      </c>
      <c r="I86" s="15" t="s">
        <v>268</v>
      </c>
      <c r="J86" s="16" t="s">
        <v>269</v>
      </c>
      <c r="K86" s="15">
        <v>3257.5</v>
      </c>
      <c r="L86" s="15" t="s">
        <v>270</v>
      </c>
      <c r="M86" s="16" t="s">
        <v>206</v>
      </c>
      <c r="N86" s="16"/>
      <c r="O86" s="17" t="s">
        <v>226</v>
      </c>
      <c r="P86" s="18" t="s">
        <v>271</v>
      </c>
    </row>
    <row r="87" spans="1:16" ht="12.75" customHeight="1" thickBot="1" x14ac:dyDescent="0.25">
      <c r="A87" s="4" t="str">
        <f t="shared" si="12"/>
        <v>BAVM 171 </v>
      </c>
      <c r="B87" s="3" t="str">
        <f t="shared" si="13"/>
        <v>I</v>
      </c>
      <c r="C87" s="4">
        <f t="shared" si="14"/>
        <v>52878.63</v>
      </c>
      <c r="D87" s="5" t="str">
        <f t="shared" si="15"/>
        <v>vis</v>
      </c>
      <c r="E87" s="14">
        <f>VLOOKUP(C87,Active!C$21:E$971,3,FALSE)</f>
        <v>3258.0041627971727</v>
      </c>
      <c r="F87" s="3" t="s">
        <v>69</v>
      </c>
      <c r="G87" s="5" t="str">
        <f t="shared" si="16"/>
        <v>52878.63</v>
      </c>
      <c r="H87" s="4">
        <f t="shared" si="17"/>
        <v>3258</v>
      </c>
      <c r="I87" s="15" t="s">
        <v>272</v>
      </c>
      <c r="J87" s="16" t="s">
        <v>273</v>
      </c>
      <c r="K87" s="15">
        <v>3258</v>
      </c>
      <c r="L87" s="15" t="s">
        <v>274</v>
      </c>
      <c r="M87" s="16" t="s">
        <v>206</v>
      </c>
      <c r="N87" s="16"/>
      <c r="O87" s="17" t="s">
        <v>226</v>
      </c>
      <c r="P87" s="18" t="s">
        <v>271</v>
      </c>
    </row>
    <row r="88" spans="1:16" ht="12.75" customHeight="1" thickBot="1" x14ac:dyDescent="0.25">
      <c r="A88" s="4" t="str">
        <f t="shared" si="12"/>
        <v>BAVM 203 </v>
      </c>
      <c r="B88" s="3" t="str">
        <f t="shared" si="13"/>
        <v>I</v>
      </c>
      <c r="C88" s="4">
        <f t="shared" si="14"/>
        <v>54071.243199999997</v>
      </c>
      <c r="D88" s="5" t="str">
        <f t="shared" si="15"/>
        <v>CCD</v>
      </c>
      <c r="E88" s="14">
        <f>VLOOKUP(C88,Active!C$21:E$971,3,FALSE)</f>
        <v>3399.0040735352623</v>
      </c>
      <c r="F88" s="3" t="str">
        <f>LEFT(M88,1)</f>
        <v>C</v>
      </c>
      <c r="G88" s="5" t="str">
        <f t="shared" si="16"/>
        <v>54071.2432</v>
      </c>
      <c r="H88" s="4">
        <f t="shared" si="17"/>
        <v>3399</v>
      </c>
      <c r="I88" s="15" t="s">
        <v>309</v>
      </c>
      <c r="J88" s="16" t="s">
        <v>310</v>
      </c>
      <c r="K88" s="15" t="s">
        <v>311</v>
      </c>
      <c r="L88" s="15" t="s">
        <v>312</v>
      </c>
      <c r="M88" s="16" t="s">
        <v>294</v>
      </c>
      <c r="N88" s="16" t="s">
        <v>69</v>
      </c>
      <c r="O88" s="17" t="s">
        <v>313</v>
      </c>
      <c r="P88" s="18" t="s">
        <v>314</v>
      </c>
    </row>
    <row r="89" spans="1:16" ht="12.75" customHeight="1" thickBot="1" x14ac:dyDescent="0.25">
      <c r="A89" s="4" t="str">
        <f t="shared" si="12"/>
        <v>BAVM 193 </v>
      </c>
      <c r="B89" s="3" t="str">
        <f t="shared" si="13"/>
        <v>I</v>
      </c>
      <c r="C89" s="4">
        <f t="shared" si="14"/>
        <v>54367.281799999997</v>
      </c>
      <c r="D89" s="5" t="str">
        <f t="shared" si="15"/>
        <v>CCD</v>
      </c>
      <c r="E89" s="14">
        <f>VLOOKUP(C89,Active!C$21:E$971,3,FALSE)</f>
        <v>3434.0040351112611</v>
      </c>
      <c r="F89" s="3" t="str">
        <f>LEFT(M89,1)</f>
        <v>C</v>
      </c>
      <c r="G89" s="5" t="str">
        <f t="shared" si="16"/>
        <v>54367.2818</v>
      </c>
      <c r="H89" s="4">
        <f t="shared" si="17"/>
        <v>3434</v>
      </c>
      <c r="I89" s="15" t="s">
        <v>319</v>
      </c>
      <c r="J89" s="16" t="s">
        <v>320</v>
      </c>
      <c r="K89" s="15" t="s">
        <v>321</v>
      </c>
      <c r="L89" s="15" t="s">
        <v>322</v>
      </c>
      <c r="M89" s="16" t="s">
        <v>294</v>
      </c>
      <c r="N89" s="16" t="s">
        <v>306</v>
      </c>
      <c r="O89" s="17" t="s">
        <v>323</v>
      </c>
      <c r="P89" s="18" t="s">
        <v>324</v>
      </c>
    </row>
    <row r="90" spans="1:16" ht="12.75" customHeight="1" thickBot="1" x14ac:dyDescent="0.25">
      <c r="A90" s="4" t="str">
        <f t="shared" si="12"/>
        <v>BAVM 193 </v>
      </c>
      <c r="B90" s="3" t="str">
        <f t="shared" si="13"/>
        <v>II</v>
      </c>
      <c r="C90" s="4">
        <f t="shared" si="14"/>
        <v>54388.3609</v>
      </c>
      <c r="D90" s="5" t="str">
        <f t="shared" si="15"/>
        <v>CCD</v>
      </c>
      <c r="E90" s="14">
        <f>VLOOKUP(C90,Active!C$21:E$971,3,FALSE)</f>
        <v>3436.4961685359453</v>
      </c>
      <c r="F90" s="3" t="str">
        <f>LEFT(M90,1)</f>
        <v>C</v>
      </c>
      <c r="G90" s="5" t="str">
        <f t="shared" si="16"/>
        <v>54388.3609</v>
      </c>
      <c r="H90" s="4">
        <f t="shared" si="17"/>
        <v>3436.5</v>
      </c>
      <c r="I90" s="15" t="s">
        <v>325</v>
      </c>
      <c r="J90" s="16" t="s">
        <v>326</v>
      </c>
      <c r="K90" s="15" t="s">
        <v>327</v>
      </c>
      <c r="L90" s="15" t="s">
        <v>328</v>
      </c>
      <c r="M90" s="16" t="s">
        <v>294</v>
      </c>
      <c r="N90" s="16" t="s">
        <v>306</v>
      </c>
      <c r="O90" s="17" t="s">
        <v>323</v>
      </c>
      <c r="P90" s="18" t="s">
        <v>324</v>
      </c>
    </row>
    <row r="91" spans="1:16" ht="12.75" customHeight="1" thickBot="1" x14ac:dyDescent="0.25">
      <c r="A91" s="4" t="str">
        <f t="shared" si="12"/>
        <v>VSB 48 </v>
      </c>
      <c r="B91" s="3" t="str">
        <f t="shared" si="13"/>
        <v>I</v>
      </c>
      <c r="C91" s="4">
        <f t="shared" si="14"/>
        <v>54807.1086</v>
      </c>
      <c r="D91" s="5" t="str">
        <f t="shared" si="15"/>
        <v>vis</v>
      </c>
      <c r="E91" s="14">
        <f>VLOOKUP(C91,Active!C$21:E$971,3,FALSE)</f>
        <v>3486.0037442711296</v>
      </c>
      <c r="F91" s="3" t="s">
        <v>69</v>
      </c>
      <c r="G91" s="5" t="str">
        <f t="shared" si="16"/>
        <v>54807.1086</v>
      </c>
      <c r="H91" s="4">
        <f t="shared" si="17"/>
        <v>3486</v>
      </c>
      <c r="I91" s="15" t="s">
        <v>335</v>
      </c>
      <c r="J91" s="16" t="s">
        <v>336</v>
      </c>
      <c r="K91" s="15" t="s">
        <v>337</v>
      </c>
      <c r="L91" s="15" t="s">
        <v>338</v>
      </c>
      <c r="M91" s="16" t="s">
        <v>294</v>
      </c>
      <c r="N91" s="16" t="s">
        <v>69</v>
      </c>
      <c r="O91" s="17" t="s">
        <v>339</v>
      </c>
      <c r="P91" s="18" t="s">
        <v>340</v>
      </c>
    </row>
    <row r="92" spans="1:16" x14ac:dyDescent="0.2">
      <c r="B92" s="3"/>
      <c r="F92" s="3"/>
    </row>
    <row r="93" spans="1:16" x14ac:dyDescent="0.2">
      <c r="B93" s="3"/>
      <c r="F93" s="3"/>
    </row>
    <row r="94" spans="1:16" x14ac:dyDescent="0.2">
      <c r="B94" s="3"/>
      <c r="F94" s="3"/>
    </row>
    <row r="95" spans="1:16" x14ac:dyDescent="0.2">
      <c r="B95" s="3"/>
      <c r="F95" s="3"/>
    </row>
    <row r="96" spans="1:1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</sheetData>
  <phoneticPr fontId="17" type="noConversion"/>
  <hyperlinks>
    <hyperlink ref="P12" r:id="rId1" display="http://www.konkoly.hu/cgi-bin/IBVS?3900" xr:uid="{00000000-0004-0000-0100-000000000000}"/>
    <hyperlink ref="P13" r:id="rId2" display="http://www.konkoly.hu/cgi-bin/IBVS?4597" xr:uid="{00000000-0004-0000-0100-000001000000}"/>
    <hyperlink ref="P14" r:id="rId3" display="http://www.konkoly.hu/cgi-bin/IBVS?4737" xr:uid="{00000000-0004-0000-0100-000002000000}"/>
    <hyperlink ref="P80" r:id="rId4" display="http://www.bav-astro.de/sfs/BAVM_link.php?BAVMnr=131" xr:uid="{00000000-0004-0000-0100-000003000000}"/>
    <hyperlink ref="P81" r:id="rId5" display="http://www.bav-astro.de/sfs/BAVM_link.php?BAVMnr=131" xr:uid="{00000000-0004-0000-0100-000004000000}"/>
    <hyperlink ref="P15" r:id="rId6" display="http://www.konkoly.hu/cgi-bin/IBVS?5067" xr:uid="{00000000-0004-0000-0100-000005000000}"/>
    <hyperlink ref="P16" r:id="rId7" display="http://www.konkoly.hu/cgi-bin/IBVS?5067" xr:uid="{00000000-0004-0000-0100-000006000000}"/>
    <hyperlink ref="P17" r:id="rId8" display="http://www.konkoly.hu/cgi-bin/IBVS?5067" xr:uid="{00000000-0004-0000-0100-000007000000}"/>
    <hyperlink ref="P82" r:id="rId9" display="http://www.konkoly.hu/cgi-bin/IBVS?5251" xr:uid="{00000000-0004-0000-0100-000008000000}"/>
    <hyperlink ref="P18" r:id="rId10" display="http://www.konkoly.hu/cgi-bin/IBVS?5251" xr:uid="{00000000-0004-0000-0100-000009000000}"/>
    <hyperlink ref="P83" r:id="rId11" display="http://www.konkoly.hu/cgi-bin/IBVS?5357" xr:uid="{00000000-0004-0000-0100-00000A000000}"/>
    <hyperlink ref="P19" r:id="rId12" display="http://www.konkoly.hu/cgi-bin/IBVS?5357" xr:uid="{00000000-0004-0000-0100-00000B000000}"/>
    <hyperlink ref="P20" r:id="rId13" display="http://www.konkoly.hu/cgi-bin/IBVS?5357" xr:uid="{00000000-0004-0000-0100-00000C000000}"/>
    <hyperlink ref="P84" r:id="rId14" display="http://www.konkoly.hu/cgi-bin/IBVS?5371" xr:uid="{00000000-0004-0000-0100-00000D000000}"/>
    <hyperlink ref="P85" r:id="rId15" display="http://www.konkoly.hu/cgi-bin/IBVS?5357" xr:uid="{00000000-0004-0000-0100-00000E000000}"/>
    <hyperlink ref="P86" r:id="rId16" display="http://www.bav-astro.de/sfs/BAVM_link.php?BAVMnr=171" xr:uid="{00000000-0004-0000-0100-00000F000000}"/>
    <hyperlink ref="P87" r:id="rId17" display="http://www.bav-astro.de/sfs/BAVM_link.php?BAVMnr=171" xr:uid="{00000000-0004-0000-0100-000010000000}"/>
    <hyperlink ref="P21" r:id="rId18" display="http://www.bav-astro.de/sfs/BAVM_link.php?BAVMnr=172" xr:uid="{00000000-0004-0000-0100-000011000000}"/>
    <hyperlink ref="P22" r:id="rId19" display="http://www.konkoly.hu/cgi-bin/IBVS?5577" xr:uid="{00000000-0004-0000-0100-000012000000}"/>
    <hyperlink ref="P23" r:id="rId20" display="http://www.konkoly.hu/cgi-bin/IBVS?5577" xr:uid="{00000000-0004-0000-0100-000013000000}"/>
    <hyperlink ref="P24" r:id="rId21" display="http://www.konkoly.hu/cgi-bin/IBVS?5577" xr:uid="{00000000-0004-0000-0100-000014000000}"/>
    <hyperlink ref="P25" r:id="rId22" display="http://www.konkoly.hu/cgi-bin/IBVS?5809" xr:uid="{00000000-0004-0000-0100-000015000000}"/>
    <hyperlink ref="P26" r:id="rId23" display="http://var.astro.cz/oejv/issues/oejv0074.pdf" xr:uid="{00000000-0004-0000-0100-000016000000}"/>
    <hyperlink ref="P27" r:id="rId24" display="http://www.bav-astro.de/sfs/BAVM_link.php?BAVMnr=183" xr:uid="{00000000-0004-0000-0100-000017000000}"/>
    <hyperlink ref="P88" r:id="rId25" display="http://www.bav-astro.de/sfs/BAVM_link.php?BAVMnr=203" xr:uid="{00000000-0004-0000-0100-000018000000}"/>
    <hyperlink ref="P28" r:id="rId26" display="http://www.bav-astro.de/sfs/BAVM_link.php?BAVMnr=183" xr:uid="{00000000-0004-0000-0100-000019000000}"/>
    <hyperlink ref="P89" r:id="rId27" display="http://www.bav-astro.de/sfs/BAVM_link.php?BAVMnr=193" xr:uid="{00000000-0004-0000-0100-00001A000000}"/>
    <hyperlink ref="P90" r:id="rId28" display="http://www.bav-astro.de/sfs/BAVM_link.php?BAVMnr=193" xr:uid="{00000000-0004-0000-0100-00001B000000}"/>
    <hyperlink ref="P29" r:id="rId29" display="http://www.konkoly.hu/cgi-bin/IBVS?5898" xr:uid="{00000000-0004-0000-0100-00001C000000}"/>
    <hyperlink ref="P91" r:id="rId30" display="http://vsolj.cetus-net.org/no48.pdf" xr:uid="{00000000-0004-0000-0100-00001D000000}"/>
    <hyperlink ref="P30" r:id="rId31" display="http://www.bav-astro.de/sfs/BAVM_link.php?BAVMnr=215" xr:uid="{00000000-0004-0000-0100-00001E000000}"/>
    <hyperlink ref="P31" r:id="rId32" display="http://www.konkoly.hu/cgi-bin/IBVS?6011" xr:uid="{00000000-0004-0000-0100-00001F000000}"/>
    <hyperlink ref="P32" r:id="rId33" display="http://var.astro.cz/oejv/issues/oejv0160.pdf" xr:uid="{00000000-0004-0000-0100-000020000000}"/>
    <hyperlink ref="P33" r:id="rId34" display="http://www.bav-astro.de/sfs/BAVM_link.php?BAVMnr=231" xr:uid="{00000000-0004-0000-0100-000021000000}"/>
    <hyperlink ref="P34" r:id="rId35" display="http://www.konkoly.hu/cgi-bin/IBVS?6042" xr:uid="{00000000-0004-0000-0100-000022000000}"/>
    <hyperlink ref="P35" r:id="rId36" display="http://www.bav-astro.de/sfs/BAVM_link.php?BAVMnr=239" xr:uid="{00000000-0004-0000-0100-000023000000}"/>
    <hyperlink ref="P36" r:id="rId37" display="http://www.bav-astro.de/sfs/BAVM_link.php?BAVMnr=239" xr:uid="{00000000-0004-0000-01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2002-08-21T20:00:19Z</dcterms:created>
  <dcterms:modified xsi:type="dcterms:W3CDTF">2025-01-03T06:53:28Z</dcterms:modified>
</cp:coreProperties>
</file>