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CFF8890-AA59-4884-92AE-FBBF3BFE1E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 s="1"/>
  <c r="K24" i="1" s="1"/>
  <c r="Q24" i="1"/>
  <c r="F14" i="1"/>
  <c r="F15" i="1" s="1"/>
  <c r="E22" i="1"/>
  <c r="F22" i="1" s="1"/>
  <c r="G22" i="1" s="1"/>
  <c r="K22" i="1" s="1"/>
  <c r="Q22" i="1"/>
  <c r="E23" i="1"/>
  <c r="F23" i="1" s="1"/>
  <c r="G23" i="1" s="1"/>
  <c r="K23" i="1" s="1"/>
  <c r="Q23" i="1"/>
  <c r="C9" i="1"/>
  <c r="Q21" i="1"/>
  <c r="D9" i="1"/>
  <c r="E21" i="1"/>
  <c r="F21" i="1" s="1"/>
  <c r="G21" i="1" s="1"/>
  <c r="I21" i="1" s="1"/>
  <c r="C17" i="1"/>
  <c r="C12" i="1"/>
  <c r="C11" i="1"/>
  <c r="O24" i="1" l="1"/>
  <c r="O23" i="1"/>
  <c r="O22" i="1"/>
  <c r="C16" i="1"/>
  <c r="D18" i="1" s="1"/>
  <c r="C15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<sst xmlns="http://schemas.openxmlformats.org/spreadsheetml/2006/main" count="59" uniqueCount="54">
  <si>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</si>
  <si>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</si>
  <si>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</si>
  <si>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</si>
  <si>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</si>
  <si>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</si>
  <si>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</si>
  <si>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</si>
  <si>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</si>
  <si>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</si>
  <si>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</si>
  <si>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</si>
  <si>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</si>
  <si>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</si>
  <si>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</si>
  <si>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</si>
  <si>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</si>
  <si>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</si>
  <si>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</si>
  <si>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</si>
  <si>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</si>
  <si>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</si>
  <si>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</si>
  <si>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</si>
  <si>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</si>
  <si>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</si>
  <si>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</si>
  <si>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</si>
  <si>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</si>
  <si>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</si>
  <si>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</si>
  <si>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</si>
  <si>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</si>
  <si>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</si>
  <si>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</si>
  <si>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</si>
  <si>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</si>
  <si>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</si>
  <si>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</si>
  <si>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</si>
  <si>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</si>
  <si>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</si>
  <si>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</si>
  <si>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EB</t>
  </si>
  <si>
    <t>V1300 Cas</t>
  </si>
  <si>
    <t>VSX</t>
  </si>
  <si>
    <t>JBAV, 60</t>
  </si>
  <si>
    <t>I</t>
  </si>
  <si>
    <t>JBAV 96</t>
  </si>
  <si>
    <t>II</t>
  </si>
  <si>
    <t xml:space="preserve">Mag </t>
  </si>
  <si>
    <t>Next ToM-P</t>
  </si>
  <si>
    <t>Next ToM-S</t>
  </si>
  <si>
    <t>11.40-11.97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</si>
</sst>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7" xfId="0" applyBorder="1">
      <alignment vertical="top"/>
    </xf>
    <xf numFmtId="0" fontId="19" fillId="0" borderId="10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0" fillId="4" borderId="8" xfId="0" applyFill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22" fontId="20" fillId="0" borderId="13" xfId="0" applyNumberFormat="1" applyFont="1" applyBorder="1" applyAlignment="1">
      <alignment horizontal="right" vertical="center"/>
    </xf>
    <xf numFmtId="0" fontId="20" fillId="0" borderId="0" xfId="0" applyFont="1" applyAlignment="1">
      <alignment horizontal="right"/>
    </xf>
    <xf numFmtId="22" fontId="20" fillId="0" borderId="11" xfId="0" applyNumberFormat="1" applyFont="1" applyBorder="1" applyAlignment="1">
      <alignment horizontal="right" vertical="center"/>
    </xf>
    <xf numFmtId="0" fontId="6" fillId="4" borderId="9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167" fontId="18" fillId="0" borderId="0" xfId="0" applyNumberFormat="1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V1300</a:t>
            </a:r>
            <a:r>
              <a:rPr lang="en-AU" baseline="0"/>
              <a:t> Cas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13855</c:v>
                </c:pt>
                <c:pt idx="2">
                  <c:v>14503</c:v>
                </c:pt>
                <c:pt idx="3">
                  <c:v>15631.5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13855</c:v>
                </c:pt>
                <c:pt idx="2">
                  <c:v>14503</c:v>
                </c:pt>
                <c:pt idx="3">
                  <c:v>15631.5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13855</c:v>
                </c:pt>
                <c:pt idx="2">
                  <c:v>14503</c:v>
                </c:pt>
                <c:pt idx="3">
                  <c:v>15631.5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13855</c:v>
                </c:pt>
                <c:pt idx="2">
                  <c:v>14503</c:v>
                </c:pt>
                <c:pt idx="3">
                  <c:v>15631.5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1.9215000000258442E-2</c:v>
                </c:pt>
                <c:pt idx="2">
                  <c:v>2.2659000002022367E-2</c:v>
                </c:pt>
                <c:pt idx="3">
                  <c:v>3.5919500056479592E-2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13855</c:v>
                </c:pt>
                <c:pt idx="2">
                  <c:v>14503</c:v>
                </c:pt>
                <c:pt idx="3">
                  <c:v>15631.5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13855</c:v>
                </c:pt>
                <c:pt idx="2">
                  <c:v>14503</c:v>
                </c:pt>
                <c:pt idx="3">
                  <c:v>15631.5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1.1999999999999999E-3</c:v>
                  </c:pt>
                  <c:pt idx="2">
                    <c:v>5.9999999999999995E-4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13855</c:v>
                </c:pt>
                <c:pt idx="2">
                  <c:v>14503</c:v>
                </c:pt>
                <c:pt idx="3">
                  <c:v>15631.5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13855</c:v>
                </c:pt>
                <c:pt idx="2">
                  <c:v>14503</c:v>
                </c:pt>
                <c:pt idx="3">
                  <c:v>15631.5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-8.6192755986194691E-4</c:v>
                </c:pt>
                <c:pt idx="1">
                  <c:v>2.4725927921143167E-2</c:v>
                </c:pt>
                <c:pt idx="2">
                  <c:v>2.5922674969262354E-2</c:v>
                </c:pt>
                <c:pt idx="3">
                  <c:v>2.800682472821683E-2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13855</c:v>
                </c:pt>
                <c:pt idx="2">
                  <c:v>14503</c:v>
                </c:pt>
                <c:pt idx="3">
                  <c:v>15631.5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0" t="s">
        <v>41</v>
      </c>
      <c r="G1" s="31"/>
      <c r="H1" s="28"/>
      <c r="I1" s="32"/>
      <c r="J1" s="33"/>
      <c r="K1" s="29"/>
      <c r="L1" s="34"/>
      <c r="M1" s="35"/>
      <c r="N1" s="35"/>
      <c r="O1" s="36"/>
    </row>
    <row r="2" spans="1:15" x14ac:dyDescent="0.2">
      <c r="A2" t="s">
        <v>23</v>
      </c>
      <c r="B2" s="38" t="s">
        <v>43</v>
      </c>
      <c r="C2" s="27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4" t="s">
        <v>36</v>
      </c>
      <c r="D4" s="25" t="s">
        <v>36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1">
        <v>51495.82</v>
      </c>
      <c r="D7" s="26" t="s">
        <v>45</v>
      </c>
    </row>
    <row r="8" spans="1:15" x14ac:dyDescent="0.2">
      <c r="A8" t="s">
        <v>3</v>
      </c>
      <c r="C8" s="41">
        <v>0.54944700000000002</v>
      </c>
      <c r="D8" s="26" t="s">
        <v>45</v>
      </c>
    </row>
    <row r="9" spans="1:15" x14ac:dyDescent="0.2">
      <c r="A9" s="21" t="s">
        <v>31</v>
      </c>
      <c r="B9" s="22">
        <v>21</v>
      </c>
      <c r="C9" s="19" t="str">
        <f>"F"&amp;B9</f>
        <v>F21</v>
      </c>
      <c r="D9" s="20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18">
        <f ca="1">INTERCEPT(INDIRECT($D$9):G992,INDIRECT($C$9):F992)</f>
        <v>-8.6192755986194691E-4</v>
      </c>
      <c r="D11" s="3"/>
      <c r="E11" s="10"/>
    </row>
    <row r="12" spans="1:15" x14ac:dyDescent="0.2">
      <c r="A12" s="10" t="s">
        <v>16</v>
      </c>
      <c r="B12" s="10"/>
      <c r="C12" s="18">
        <f ca="1">SLOPE(INDIRECT($D$9):G992,INDIRECT($C$9):F992)</f>
        <v>1.846831864381459E-6</v>
      </c>
      <c r="D12" s="3"/>
      <c r="E12" s="48" t="s">
        <v>50</v>
      </c>
      <c r="F12" s="54" t="s">
        <v>53</v>
      </c>
    </row>
    <row r="13" spans="1:15" x14ac:dyDescent="0.2">
      <c r="A13" s="10" t="s">
        <v>18</v>
      </c>
      <c r="B13" s="10"/>
      <c r="C13" s="3" t="s">
        <v>13</v>
      </c>
      <c r="E13" s="46" t="s">
        <v>33</v>
      </c>
      <c r="F13" s="49">
        <v>1</v>
      </c>
    </row>
    <row r="14" spans="1:15" x14ac:dyDescent="0.2">
      <c r="A14" s="10"/>
      <c r="B14" s="10"/>
      <c r="C14" s="10"/>
      <c r="E14" s="46" t="s">
        <v>30</v>
      </c>
      <c r="F14" s="50">
        <f ca="1">NOW()+15018.5+$C$5/24</f>
        <v>60678.836820023149</v>
      </c>
    </row>
    <row r="15" spans="1:15" x14ac:dyDescent="0.2">
      <c r="A15" s="12" t="s">
        <v>17</v>
      </c>
      <c r="B15" s="10"/>
      <c r="C15" s="13">
        <f ca="1">(C7+C11)+(C8+C12)*INT(MAX(F21:F3533))</f>
        <v>60084.254062901309</v>
      </c>
      <c r="E15" s="46" t="s">
        <v>34</v>
      </c>
      <c r="F15" s="50">
        <f ca="1">ROUND(2*($F$14-$C$7)/$C$8,0)/2+$F$13</f>
        <v>16714</v>
      </c>
    </row>
    <row r="16" spans="1:15" x14ac:dyDescent="0.2">
      <c r="A16" s="15" t="s">
        <v>4</v>
      </c>
      <c r="B16" s="10"/>
      <c r="C16" s="16">
        <f ca="1">+C8+C12</f>
        <v>0.54944884683186435</v>
      </c>
      <c r="E16" s="46" t="s">
        <v>35</v>
      </c>
      <c r="F16" s="50">
        <f ca="1">ROUND(2*($F$14-$C$15)/$C$16,0)/2+$F$13</f>
        <v>1083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46" t="s">
        <v>51</v>
      </c>
      <c r="F17" s="53">
        <f ca="1">+$C$15+$C$16*$F$16-15018.5-$C$5/24</f>
        <v>45661.202997353554</v>
      </c>
    </row>
    <row r="18" spans="1:21" ht="14.25" thickTop="1" thickBot="1" x14ac:dyDescent="0.25">
      <c r="A18" s="15" t="s">
        <v>5</v>
      </c>
      <c r="B18" s="10"/>
      <c r="C18" s="17">
        <f ca="1">+C15</f>
        <v>60084.254062901309</v>
      </c>
      <c r="D18" s="45">
        <f ca="1">+C16</f>
        <v>0.54944884683186435</v>
      </c>
      <c r="E18" s="47" t="s">
        <v>52</v>
      </c>
      <c r="F18" s="51">
        <f ca="1">+($C$15+$C$16*$F$16)-($C$16/2)-15018.5-$C$5/24</f>
        <v>45660.928272930141</v>
      </c>
    </row>
    <row r="19" spans="1:21" ht="13.5" thickTop="1" x14ac:dyDescent="0.2">
      <c r="F19" s="52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3" t="s">
        <v>32</v>
      </c>
    </row>
    <row r="21" spans="1:21" x14ac:dyDescent="0.2">
      <c r="A21" s="38" t="s">
        <v>45</v>
      </c>
      <c r="C21" s="8">
        <v>51495.82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-8.6192755986194691E-4</v>
      </c>
      <c r="Q21" s="37">
        <f>+C21-15018.5</f>
        <v>36477.32</v>
      </c>
    </row>
    <row r="22" spans="1:21" x14ac:dyDescent="0.2">
      <c r="A22" s="39" t="s">
        <v>46</v>
      </c>
      <c r="B22" s="40" t="s">
        <v>47</v>
      </c>
      <c r="C22" s="56">
        <v>59108.4274</v>
      </c>
      <c r="D22" s="55">
        <v>1.1999999999999999E-3</v>
      </c>
      <c r="E22">
        <f t="shared" ref="E22:E23" si="0">+(C22-C$7)/C$8</f>
        <v>13855.034971525916</v>
      </c>
      <c r="F22">
        <f t="shared" ref="F22:F23" si="1">ROUND(2*E22,0)/2</f>
        <v>13855</v>
      </c>
      <c r="G22">
        <f t="shared" ref="G22:G23" si="2">+C22-(C$7+F22*C$8)</f>
        <v>1.9215000000258442E-2</v>
      </c>
      <c r="K22">
        <f>+G22</f>
        <v>1.9215000000258442E-2</v>
      </c>
      <c r="O22">
        <f t="shared" ref="O22:O23" ca="1" si="3">+C$11+C$12*$F22</f>
        <v>2.4725927921143167E-2</v>
      </c>
      <c r="Q22" s="37">
        <f t="shared" ref="Q22:Q23" si="4">+C22-15018.5</f>
        <v>44089.9274</v>
      </c>
    </row>
    <row r="23" spans="1:21" x14ac:dyDescent="0.2">
      <c r="A23" s="39" t="s">
        <v>46</v>
      </c>
      <c r="B23" s="40" t="s">
        <v>47</v>
      </c>
      <c r="C23" s="56">
        <v>59464.472500000003</v>
      </c>
      <c r="D23" s="55">
        <v>5.9999999999999995E-4</v>
      </c>
      <c r="E23">
        <f t="shared" si="0"/>
        <v>14503.041239646414</v>
      </c>
      <c r="F23">
        <f t="shared" si="1"/>
        <v>14503</v>
      </c>
      <c r="G23">
        <f t="shared" si="2"/>
        <v>2.2659000002022367E-2</v>
      </c>
      <c r="K23">
        <f>+G23</f>
        <v>2.2659000002022367E-2</v>
      </c>
      <c r="O23">
        <f t="shared" ca="1" si="3"/>
        <v>2.5922674969262354E-2</v>
      </c>
      <c r="Q23" s="37">
        <f t="shared" si="4"/>
        <v>44445.972500000003</v>
      </c>
    </row>
    <row r="24" spans="1:21" x14ac:dyDescent="0.2">
      <c r="A24" s="42" t="s">
        <v>48</v>
      </c>
      <c r="B24" s="43" t="s">
        <v>49</v>
      </c>
      <c r="C24" s="44">
        <v>60084.536700000055</v>
      </c>
      <c r="D24" s="42">
        <v>1.1000000000000001E-3</v>
      </c>
      <c r="E24">
        <f t="shared" ref="E24" si="5">+(C24-C$7)/C$8</f>
        <v>15631.565373912415</v>
      </c>
      <c r="F24">
        <f t="shared" ref="F24" si="6">ROUND(2*E24,0)/2</f>
        <v>15631.5</v>
      </c>
      <c r="G24">
        <f t="shared" ref="G24" si="7">+C24-(C$7+F24*C$8)</f>
        <v>3.5919500056479592E-2</v>
      </c>
      <c r="K24">
        <f>+G24</f>
        <v>3.5919500056479592E-2</v>
      </c>
      <c r="O24">
        <f t="shared" ref="O24" ca="1" si="8">+C$11+C$12*$F24</f>
        <v>2.800682472821683E-2</v>
      </c>
      <c r="Q24" s="37">
        <f t="shared" ref="Q24" si="9">+C24-15018.5</f>
        <v>45066.036700000055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2025-01-03T07:05:01Z</dcterms:modified>
</cp:coreProperties>
</file>