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65BDFBB-5525-4926-8248-B9E5A2B9B7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F14" i="1"/>
  <c r="E22" i="1"/>
  <c r="F22" i="1" s="1"/>
  <c r="G22" i="1" s="1"/>
  <c r="I22" i="1" s="1"/>
  <c r="Q22" i="1"/>
  <c r="C21" i="1"/>
  <c r="R22" i="1"/>
  <c r="A21" i="1"/>
  <c r="G11" i="1"/>
  <c r="F11" i="1"/>
  <c r="C7" i="1"/>
  <c r="C8" i="1"/>
  <c r="E21" i="1"/>
  <c r="F21" i="1"/>
  <c r="C17" i="1"/>
  <c r="Q21" i="1"/>
  <c r="G21" i="1"/>
  <c r="H21" i="1"/>
  <c r="C12" i="1"/>
  <c r="F15" i="1" l="1"/>
  <c r="C16" i="1"/>
  <c r="D18" i="1" s="1"/>
  <c r="C11" i="1"/>
  <c r="O23" i="1" l="1"/>
  <c r="O22" i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<sst xmlns="http://schemas.openxmlformats.org/spreadsheetml/2006/main" count="57" uniqueCount="51">
  <si>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</si>
  <si>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</si>
  <si>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</si>
  <si>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</si>
  <si>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</si>
  <si>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</si>
  <si>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</si>
  <si>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</si>
  <si>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</si>
  <si>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</si>
  <si>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</si>
  <si>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</si>
  <si>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</si>
  <si>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</si>
  <si>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</si>
  <si>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</si>
  <si>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</si>
  <si>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</si>
  <si>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</si>
  <si>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</si>
  <si>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</si>
  <si>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</si>
  <si>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</si>
  <si>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</si>
  <si>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</si>
  <si>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</si>
  <si>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</si>
  <si>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</si>
  <si>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</si>
  <si>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</si>
  <si>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</si>
  <si>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</si>
  <si>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</si>
  <si>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</si>
  <si>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</si>
  <si>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SAO 202195_Cen.xls</t>
  </si>
  <si>
    <t>EA</t>
  </si>
  <si>
    <t>IBVS 5495 Eph.</t>
  </si>
  <si>
    <t>IBVS 5495</t>
  </si>
  <si>
    <t>Cen</t>
  </si>
  <si>
    <t>V1071 Cen / SAO 202195</t>
  </si>
  <si>
    <t>JBAV, 55</t>
  </si>
  <si>
    <t>I</t>
  </si>
  <si>
    <t>CCD</t>
  </si>
  <si>
    <t>JBAV 96</t>
  </si>
  <si>
    <t xml:space="preserve">Mag </t>
  </si>
  <si>
    <t>Add cycle</t>
  </si>
  <si>
    <t>Old Cycle</t>
  </si>
  <si>
    <t>Next ToM-P</t>
  </si>
  <si>
    <t>Next ToM-S</t>
  </si>
  <si>
    <t>9.68-10.23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</si>
</sst>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65" fontId="16" fillId="0" borderId="0" xfId="0" applyNumberFormat="1" applyFont="1" applyAlignment="1" applyProtection="1">
      <alignment horizontal="left" vertical="center" wrapText="1"/>
      <protection locked="0"/>
    </xf>
    <xf numFmtId="0" fontId="0" fillId="0" borderId="6" xfId="0" applyBorder="1">
      <alignment vertical="top"/>
    </xf>
    <xf numFmtId="0" fontId="18" fillId="0" borderId="9" xfId="0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0" fillId="3" borderId="7" xfId="0" applyFill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22" fontId="17" fillId="0" borderId="12" xfId="0" applyNumberFormat="1" applyFont="1" applyBorder="1" applyAlignment="1">
      <alignment horizontal="right" vertical="center"/>
    </xf>
    <xf numFmtId="0" fontId="14" fillId="3" borderId="8" xfId="0" applyFont="1" applyFill="1" applyBorder="1" applyAlignment="1">
      <alignment horizontal="center" vertical="center"/>
    </xf>
    <xf numFmtId="165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V1071 Cen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  <c:pt idx="2">
                  <c:v>3142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FF-4A55-85E0-C0FE5E74F3E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  <c:pt idx="2">
                  <c:v>3142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-1.5250000098603778E-2</c:v>
                </c:pt>
                <c:pt idx="2">
                  <c:v>-1.5699999879871029E-2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FF-4A55-85E0-C0FE5E74F3E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  <c:pt idx="2">
                  <c:v>3142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FF-4A55-85E0-C0FE5E74F3E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  <c:pt idx="2">
                  <c:v>3142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FF-4A55-85E0-C0FE5E74F3E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  <c:pt idx="2">
                  <c:v>3142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FF-4A55-85E0-C0FE5E74F3E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  <c:pt idx="2">
                  <c:v>3142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FF-4A55-85E0-C0FE5E74F3E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  <c:pt idx="2">
                  <c:v>3142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FFF-4A55-85E0-C0FE5E74F3E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2735</c:v>
                </c:pt>
                <c:pt idx="2">
                  <c:v>3142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-1.1560839517615364E-4</c:v>
                </c:pt>
                <c:pt idx="1">
                  <c:v>-1.4357514649848309E-2</c:v>
                </c:pt>
                <c:pt idx="2">
                  <c:v>-1.6476876933450346E-2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FF-4A55-85E0-C0FE5E74F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62352"/>
        <c:axId val="1"/>
      </c:scatterChart>
      <c:valAx>
        <c:axId val="81276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762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72ED8D2-8681-32CC-A3DD-389AE4C6F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4257812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27"/>
      <c r="F1" s="27" t="s">
        <v>35</v>
      </c>
      <c r="G1" s="28" t="s">
        <v>36</v>
      </c>
      <c r="H1" s="10" t="s">
        <v>37</v>
      </c>
      <c r="I1" s="29">
        <v>51966.703999999998</v>
      </c>
      <c r="J1" s="29">
        <v>2.6953499999999999</v>
      </c>
      <c r="K1" s="28" t="s">
        <v>38</v>
      </c>
      <c r="L1" s="26" t="s">
        <v>39</v>
      </c>
    </row>
    <row r="2" spans="1:12" x14ac:dyDescent="0.2">
      <c r="A2" t="s">
        <v>23</v>
      </c>
      <c r="B2" t="s">
        <v>36</v>
      </c>
      <c r="C2" s="9" t="s">
        <v>39</v>
      </c>
      <c r="D2" t="s">
        <v>35</v>
      </c>
    </row>
    <row r="3" spans="1:12" ht="13.5" thickBot="1" x14ac:dyDescent="0.25"/>
    <row r="4" spans="1:12" ht="14.25" thickTop="1" thickBot="1" x14ac:dyDescent="0.25">
      <c r="A4" s="25" t="s">
        <v>37</v>
      </c>
      <c r="C4" s="7">
        <v>51966.703999999998</v>
      </c>
      <c r="D4" s="8">
        <v>2.6953499999999999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51966.703999999998</v>
      </c>
    </row>
    <row r="8" spans="1:12" x14ac:dyDescent="0.2">
      <c r="A8" t="s">
        <v>2</v>
      </c>
      <c r="C8">
        <f>+D4</f>
        <v>2.6953499999999999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0">
        <f ca="1">INTERCEPT(INDIRECT($G$11):G992,INDIRECT($F$11):F992)</f>
        <v>-1.1560839517615364E-4</v>
      </c>
      <c r="D11" s="13"/>
      <c r="E11" s="11"/>
      <c r="F11" s="21" t="str">
        <f>"F"&amp;E19</f>
        <v>F21</v>
      </c>
      <c r="G11" s="22" t="str">
        <f>"G"&amp;E19</f>
        <v>G21</v>
      </c>
    </row>
    <row r="12" spans="1:12" x14ac:dyDescent="0.2">
      <c r="A12" s="11" t="s">
        <v>15</v>
      </c>
      <c r="B12" s="11"/>
      <c r="C12" s="20">
        <f ca="1">SLOPE(INDIRECT($G$11):G992,INDIRECT($F$11):F992)</f>
        <v>-5.2072783380885396E-6</v>
      </c>
      <c r="D12" s="13"/>
      <c r="E12" s="39" t="s">
        <v>45</v>
      </c>
      <c r="F12" s="44" t="s">
        <v>50</v>
      </c>
    </row>
    <row r="13" spans="1:12" x14ac:dyDescent="0.2">
      <c r="A13" s="11" t="s">
        <v>18</v>
      </c>
      <c r="B13" s="11"/>
      <c r="C13" s="13" t="s">
        <v>12</v>
      </c>
      <c r="D13" s="13"/>
      <c r="E13" s="36" t="s">
        <v>46</v>
      </c>
      <c r="F13" s="40">
        <v>1</v>
      </c>
    </row>
    <row r="14" spans="1:12" x14ac:dyDescent="0.2">
      <c r="A14" s="11"/>
      <c r="B14" s="11"/>
      <c r="C14" s="11"/>
      <c r="D14" s="11"/>
      <c r="E14" s="36" t="s">
        <v>32</v>
      </c>
      <c r="F14" s="41">
        <f ca="1">NOW()+15018.5+$C$9/24</f>
        <v>60679.743891087957</v>
      </c>
    </row>
    <row r="15" spans="1:12" x14ac:dyDescent="0.2">
      <c r="A15" s="14" t="s">
        <v>16</v>
      </c>
      <c r="B15" s="11"/>
      <c r="C15" s="15">
        <f ca="1">(C7+C11)+(C8+C12)*INT(MAX(F21:F3533))</f>
        <v>60435.47722312306</v>
      </c>
      <c r="D15" s="16"/>
      <c r="E15" s="36" t="s">
        <v>47</v>
      </c>
      <c r="F15" s="41">
        <f ca="1">ROUND(2*($F$14-$C$7)/$C$8,0)/2+$F$13</f>
        <v>3233.5</v>
      </c>
    </row>
    <row r="16" spans="1:12" x14ac:dyDescent="0.2">
      <c r="A16" s="17" t="s">
        <v>3</v>
      </c>
      <c r="B16" s="11"/>
      <c r="C16" s="18">
        <f ca="1">+C8+C12</f>
        <v>2.6953447927216616</v>
      </c>
      <c r="D16" s="16"/>
      <c r="E16" s="36" t="s">
        <v>33</v>
      </c>
      <c r="F16" s="41">
        <f ca="1">ROUND(2*($F$14-$C$15)/$C$16,0)/2+$F$13</f>
        <v>91.5</v>
      </c>
    </row>
    <row r="17" spans="1:18" ht="13.5" thickBot="1" x14ac:dyDescent="0.25">
      <c r="A17" s="16" t="s">
        <v>29</v>
      </c>
      <c r="B17" s="11"/>
      <c r="C17" s="11">
        <f>COUNT(C21:C2191)</f>
        <v>3</v>
      </c>
      <c r="D17" s="16"/>
      <c r="E17" s="37" t="s">
        <v>48</v>
      </c>
      <c r="F17" s="42">
        <f ca="1">+$C$15+$C$16*$F$16-15018.5-$C$9/24</f>
        <v>45663.997104990427</v>
      </c>
    </row>
    <row r="18" spans="1:18" ht="14.25" thickTop="1" thickBot="1" x14ac:dyDescent="0.25">
      <c r="A18" s="17" t="s">
        <v>4</v>
      </c>
      <c r="B18" s="11"/>
      <c r="C18" s="19">
        <f ca="1">+C15</f>
        <v>60435.47722312306</v>
      </c>
      <c r="D18" s="35">
        <f ca="1">+C16</f>
        <v>2.6953447927216616</v>
      </c>
      <c r="E18" s="38" t="s">
        <v>49</v>
      </c>
      <c r="F18" s="43">
        <f ca="1">+($C$15+$C$16*$F$16)-($C$16/2)-15018.5-$C$9/24</f>
        <v>45662.649432594066</v>
      </c>
    </row>
    <row r="19" spans="1:18" ht="13.5" thickTop="1" x14ac:dyDescent="0.2">
      <c r="A19" s="23" t="s">
        <v>34</v>
      </c>
      <c r="E19" s="24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51966.703999999998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-1.1560839517615364E-4</v>
      </c>
      <c r="Q21" s="2">
        <f>+C21-15018.5</f>
        <v>36948.203999999998</v>
      </c>
    </row>
    <row r="22" spans="1:18" x14ac:dyDescent="0.2">
      <c r="A22" s="30" t="s">
        <v>41</v>
      </c>
      <c r="B22" s="31" t="s">
        <v>42</v>
      </c>
      <c r="C22" s="45">
        <v>59338.470999999903</v>
      </c>
      <c r="D22" s="46">
        <v>0.02</v>
      </c>
      <c r="E22">
        <f>+(C22-C$7)/C$8</f>
        <v>2734.9943421076691</v>
      </c>
      <c r="F22">
        <f>ROUND(2*E22,0)/2</f>
        <v>2735</v>
      </c>
      <c r="G22">
        <f>+C22-(C$7+F22*C$8)</f>
        <v>-1.5250000098603778E-2</v>
      </c>
      <c r="I22">
        <f>+G22</f>
        <v>-1.5250000098603778E-2</v>
      </c>
      <c r="O22">
        <f ca="1">+C$11+C$12*$F22</f>
        <v>-1.4357514649848309E-2</v>
      </c>
      <c r="Q22" s="2">
        <f>+C22-15018.5</f>
        <v>44319.970999999903</v>
      </c>
      <c r="R22" t="e">
        <f>IF(ABS(#REF!-C21)&lt;0.00001,1,"")</f>
        <v>#REF!</v>
      </c>
    </row>
    <row r="23" spans="1:18" x14ac:dyDescent="0.2">
      <c r="A23" s="32" t="s">
        <v>44</v>
      </c>
      <c r="B23" s="33" t="s">
        <v>42</v>
      </c>
      <c r="C23" s="34">
        <v>60435.478000000119</v>
      </c>
      <c r="D23" s="32">
        <v>4.0000000000000001E-3</v>
      </c>
      <c r="E23">
        <f>+(C23-C$7)/C$8</f>
        <v>3141.9941751535503</v>
      </c>
      <c r="F23">
        <f>ROUND(2*E23,0)/2</f>
        <v>3142</v>
      </c>
      <c r="G23">
        <f>+C23-(C$7+F23*C$8)</f>
        <v>-1.5699999879871029E-2</v>
      </c>
      <c r="I23">
        <f>+G23</f>
        <v>-1.5699999879871029E-2</v>
      </c>
      <c r="O23">
        <f ca="1">+C$11+C$12*$F23</f>
        <v>-1.6476876933450346E-2</v>
      </c>
      <c r="Q23" s="2">
        <f>+C23-15018.5</f>
        <v>45416.978000000119</v>
      </c>
    </row>
    <row r="24" spans="1:18" x14ac:dyDescent="0.2">
      <c r="C24" s="9"/>
      <c r="D24" s="9"/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2025-01-04T04:51:12Z</dcterms:modified>
</cp:coreProperties>
</file>