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D1473DF-2119-4EB0-96EF-0C8E7EF47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26" i="1"/>
  <c r="F26" i="1" s="1"/>
  <c r="G26" i="1" s="1"/>
  <c r="K26" i="1" s="1"/>
  <c r="Q26" i="1"/>
  <c r="E27" i="1"/>
  <c r="F27" i="1" s="1"/>
  <c r="G27" i="1" s="1"/>
  <c r="K27" i="1" s="1"/>
  <c r="Q27" i="1"/>
  <c r="E24" i="1"/>
  <c r="F24" i="1" s="1"/>
  <c r="G24" i="1" s="1"/>
  <c r="J24" i="1" s="1"/>
  <c r="E25" i="1"/>
  <c r="F25" i="1" s="1"/>
  <c r="G25" i="1" s="1"/>
  <c r="J25" i="1" s="1"/>
  <c r="E22" i="1"/>
  <c r="F22" i="1"/>
  <c r="G22" i="1" s="1"/>
  <c r="I22" i="1" s="1"/>
  <c r="E23" i="1"/>
  <c r="F23" i="1" s="1"/>
  <c r="G23" i="1" s="1"/>
  <c r="I23" i="1" s="1"/>
  <c r="Q24" i="1"/>
  <c r="Q25" i="1"/>
  <c r="G11" i="1"/>
  <c r="F11" i="1"/>
  <c r="C21" i="1"/>
  <c r="E21" i="1" s="1"/>
  <c r="F21" i="1" s="1"/>
  <c r="Q22" i="1"/>
  <c r="Q23" i="1"/>
  <c r="C17" i="1"/>
  <c r="Q21" i="1"/>
  <c r="C12" i="1"/>
  <c r="G21" i="1" l="1"/>
  <c r="H21" i="1" s="1"/>
  <c r="F15" i="1"/>
  <c r="C16" i="1"/>
  <c r="D18" i="1" s="1"/>
  <c r="C11" i="1"/>
  <c r="O28" i="1" l="1"/>
  <c r="O27" i="1"/>
  <c r="O26" i="1"/>
  <c r="O24" i="1"/>
  <c r="O25" i="1"/>
  <c r="O21" i="1"/>
  <c r="O22" i="1"/>
  <c r="O23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<sst xmlns="http://schemas.openxmlformats.org/spreadsheetml/2006/main" count="68" uniqueCount="54">
  <si>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</si>
  <si>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</si>
  <si>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</si>
  <si>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</si>
  <si>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</si>
  <si>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</si>
  <si>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</si>
  <si>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</si>
  <si>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</si>
  <si>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</si>
  <si>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</si>
  <si>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</si>
  <si>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</si>
  <si>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</si>
  <si>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</si>
  <si>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</si>
  <si>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</si>
  <si>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</si>
  <si>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</si>
  <si>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</si>
  <si>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</si>
  <si>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</si>
  <si>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</si>
  <si>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</si>
  <si>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</si>
  <si>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</si>
  <si>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</si>
  <si>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</si>
  <si>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</si>
  <si>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</si>
  <si>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</si>
  <si>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</si>
  <si>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</si>
  <si>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</si>
  <si>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</si>
  <si>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</si>
  <si>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</si>
  <si>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</si>
  <si>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</si>
  <si>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EA/DM</t>
  </si>
  <si>
    <t>V0405 Cep / GSC 4516-1246</t>
  </si>
  <si>
    <t>IBVS 5943</t>
  </si>
  <si>
    <t>II</t>
  </si>
  <si>
    <t>I</t>
  </si>
  <si>
    <t>OEJV 0160</t>
  </si>
  <si>
    <t>OEJV</t>
  </si>
  <si>
    <t>JBAV, 60</t>
  </si>
  <si>
    <t>CCD</t>
  </si>
  <si>
    <t>JBAV 96</t>
  </si>
  <si>
    <t>Next ToM-P</t>
  </si>
  <si>
    <t>Next ToM-S</t>
  </si>
  <si>
    <t>8.75-8.98</t>
  </si>
  <si>
    <t>Mag Hp</t>
  </si>
  <si>
    <t>VSX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</si>
</sst>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 vertical="center"/>
    </xf>
    <xf numFmtId="0" fontId="0" fillId="0" borderId="6" xfId="0" applyBorder="1" applyAlignment="1"/>
    <xf numFmtId="0" fontId="16" fillId="0" borderId="7" xfId="0" applyFont="1" applyBorder="1" applyAlignment="1"/>
    <xf numFmtId="0" fontId="0" fillId="0" borderId="10" xfId="0" applyBorder="1" applyAlignment="1"/>
    <xf numFmtId="0" fontId="16" fillId="0" borderId="11" xfId="0" applyFont="1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76246334310852"/>
          <c:w val="0.8436090225563910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8-44E9-8D3F-E702D5A0A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-2.626000001328066E-3</c:v>
                </c:pt>
                <c:pt idx="2">
                  <c:v>6.520000024465844E-4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8-44E9-8D3F-E702D5A0A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3.9999998989515007E-5</c:v>
                </c:pt>
                <c:pt idx="4">
                  <c:v>1.5399999974761158E-3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88-44E9-8D3F-E702D5A0A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7.7840000012656674E-3</c:v>
                </c:pt>
                <c:pt idx="6">
                  <c:v>1.6039999973145314E-3</c:v>
                </c:pt>
                <c:pt idx="7">
                  <c:v>-1.460000203223899E-3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88-44E9-8D3F-E702D5A0A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88-44E9-8D3F-E702D5A0A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88-44E9-8D3F-E702D5A0A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88-44E9-8D3F-E702D5A0A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3.3195030526562139E-4</c:v>
                </c:pt>
                <c:pt idx="1">
                  <c:v>-2.9728228237439226E-4</c:v>
                </c:pt>
                <c:pt idx="2">
                  <c:v>-2.9602465561695047E-4</c:v>
                </c:pt>
                <c:pt idx="3">
                  <c:v>3.3195030526562139E-4</c:v>
                </c:pt>
                <c:pt idx="4">
                  <c:v>3.3195030526562139E-4</c:v>
                </c:pt>
                <c:pt idx="5">
                  <c:v>2.3374457744660378E-3</c:v>
                </c:pt>
                <c:pt idx="6">
                  <c:v>2.3667903988063448E-3</c:v>
                </c:pt>
                <c:pt idx="7">
                  <c:v>2.7591699471281655E-3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88-44E9-8D3F-E702D5A0A67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-750.5</c:v>
                </c:pt>
                <c:pt idx="2">
                  <c:v>-749</c:v>
                </c:pt>
                <c:pt idx="3">
                  <c:v>0</c:v>
                </c:pt>
                <c:pt idx="4">
                  <c:v>0</c:v>
                </c:pt>
                <c:pt idx="5">
                  <c:v>2392</c:v>
                </c:pt>
                <c:pt idx="6">
                  <c:v>2427</c:v>
                </c:pt>
                <c:pt idx="7">
                  <c:v>2895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88-44E9-8D3F-E702D5A0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58096"/>
        <c:axId val="1"/>
      </c:scatterChart>
      <c:valAx>
        <c:axId val="8702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5538847117794486E-2"/>
              <c:y val="0.3675464320625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258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9945CF-D75E-308D-20C6-B569B2C4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39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4" t="s">
        <v>37</v>
      </c>
      <c r="D4" s="25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56155.490700000002</v>
      </c>
      <c r="D7" s="26" t="s">
        <v>38</v>
      </c>
      <c r="E7" s="52">
        <v>39002.724000000002</v>
      </c>
      <c r="F7" s="53" t="s">
        <v>53</v>
      </c>
    </row>
    <row r="8" spans="1:7" x14ac:dyDescent="0.2">
      <c r="A8" t="s">
        <v>3</v>
      </c>
      <c r="C8" s="36">
        <v>1.373748</v>
      </c>
      <c r="D8" s="26" t="s">
        <v>38</v>
      </c>
      <c r="E8" s="54">
        <v>4.4277926000000001</v>
      </c>
      <c r="F8" s="55" t="s">
        <v>53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8">
        <f ca="1">INTERCEPT(INDIRECT($G$11):G992,INDIRECT($F$11):F992)</f>
        <v>3.3195030526562139E-4</v>
      </c>
      <c r="D11" s="3"/>
      <c r="E11" s="10"/>
      <c r="F11" s="19" t="str">
        <f>"F"&amp;E19</f>
        <v>F22</v>
      </c>
      <c r="G11" s="20" t="str">
        <f>"G"&amp;E19</f>
        <v>G22</v>
      </c>
    </row>
    <row r="12" spans="1:7" x14ac:dyDescent="0.2">
      <c r="A12" s="10" t="s">
        <v>16</v>
      </c>
      <c r="B12" s="10"/>
      <c r="C12" s="18">
        <f ca="1">SLOPE(INDIRECT($G$11):G992,INDIRECT($F$11):F992)</f>
        <v>8.3841783829448848E-7</v>
      </c>
      <c r="D12" s="3"/>
      <c r="E12" s="51" t="s">
        <v>52</v>
      </c>
      <c r="F12" s="50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43" t="s">
        <v>34</v>
      </c>
      <c r="F13" s="46">
        <v>1</v>
      </c>
    </row>
    <row r="14" spans="1:7" x14ac:dyDescent="0.2">
      <c r="A14" s="10"/>
      <c r="B14" s="10"/>
      <c r="C14" s="10"/>
      <c r="D14" s="14"/>
      <c r="E14" s="43" t="s">
        <v>31</v>
      </c>
      <c r="F14" s="47">
        <f ca="1">NOW()+15018.5+$C$9/24</f>
        <v>60679.759769097218</v>
      </c>
    </row>
    <row r="15" spans="1:7" x14ac:dyDescent="0.2">
      <c r="A15" s="12" t="s">
        <v>17</v>
      </c>
      <c r="B15" s="10"/>
      <c r="C15" s="13">
        <f ca="1">(C7+C11)+(C8+C12)*INT(MAX(F21:F3533))</f>
        <v>60132.493919169952</v>
      </c>
      <c r="D15" s="14"/>
      <c r="E15" s="43" t="s">
        <v>35</v>
      </c>
      <c r="F15" s="47">
        <f ca="1">ROUND(2*($F$14-$C$7)/$C$8,0)/2+$F$13</f>
        <v>3294.5</v>
      </c>
    </row>
    <row r="16" spans="1:7" x14ac:dyDescent="0.2">
      <c r="A16" s="15" t="s">
        <v>4</v>
      </c>
      <c r="B16" s="10"/>
      <c r="C16" s="16">
        <f ca="1">+C8+C12</f>
        <v>1.3737488384178382</v>
      </c>
      <c r="D16" s="14"/>
      <c r="E16" s="43" t="s">
        <v>36</v>
      </c>
      <c r="F16" s="47">
        <f ca="1">ROUND(2*($F$14-$C$15)/$C$16,0)/2+$F$13</f>
        <v>399.5</v>
      </c>
    </row>
    <row r="17" spans="1:18" ht="13.5" thickBot="1" x14ac:dyDescent="0.25">
      <c r="A17" s="14" t="s">
        <v>28</v>
      </c>
      <c r="B17" s="10"/>
      <c r="C17" s="10">
        <f>COUNT(C21:C2191)</f>
        <v>8</v>
      </c>
      <c r="D17" s="14"/>
      <c r="E17" s="44" t="s">
        <v>49</v>
      </c>
      <c r="F17" s="48">
        <f ca="1">+$C$15+$C$16*$F$16-15018.5-$C$9/24</f>
        <v>45663.202413451218</v>
      </c>
    </row>
    <row r="18" spans="1:18" ht="14.25" thickTop="1" thickBot="1" x14ac:dyDescent="0.25">
      <c r="A18" s="15" t="s">
        <v>5</v>
      </c>
      <c r="B18" s="10"/>
      <c r="C18" s="17">
        <f ca="1">+C15</f>
        <v>60132.493919169952</v>
      </c>
      <c r="D18" s="42">
        <f ca="1">+C16</f>
        <v>1.3737488384178382</v>
      </c>
      <c r="E18" s="45" t="s">
        <v>50</v>
      </c>
      <c r="F18" s="49">
        <f ca="1">+($C$15+$C$16*$F$16)-($C$16/2)-15018.5-$C$9/24</f>
        <v>45662.515539032007</v>
      </c>
    </row>
    <row r="19" spans="1:18" ht="13.5" thickTop="1" x14ac:dyDescent="0.2">
      <c r="A19" s="21" t="s">
        <v>32</v>
      </c>
      <c r="E19" s="22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27</v>
      </c>
      <c r="J20" s="7" t="s">
        <v>45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3" t="s">
        <v>33</v>
      </c>
    </row>
    <row r="21" spans="1:18" x14ac:dyDescent="0.2">
      <c r="A21" s="27" t="s">
        <v>38</v>
      </c>
      <c r="B21" s="27"/>
      <c r="C21" s="28">
        <f>C7</f>
        <v>56155.490700000002</v>
      </c>
      <c r="D21" s="2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3.3195030526562139E-4</v>
      </c>
      <c r="Q21" s="2">
        <f>+C21-15018.5</f>
        <v>41136.990700000002</v>
      </c>
    </row>
    <row r="22" spans="1:18" x14ac:dyDescent="0.2">
      <c r="A22" s="29" t="s">
        <v>41</v>
      </c>
      <c r="B22" s="30" t="s">
        <v>42</v>
      </c>
      <c r="C22" s="29">
        <v>55124.4902</v>
      </c>
      <c r="D22" s="29">
        <v>6.9999999999999999E-4</v>
      </c>
      <c r="E22">
        <f>+(C22-C$7)/C$8</f>
        <v>-750.50191155874438</v>
      </c>
      <c r="F22">
        <f>ROUND(2*E22,0)/2</f>
        <v>-750.5</v>
      </c>
      <c r="G22">
        <f>+C22-(C$7+F22*C$8)</f>
        <v>-2.626000001328066E-3</v>
      </c>
      <c r="I22">
        <f>+G22</f>
        <v>-2.626000001328066E-3</v>
      </c>
      <c r="O22">
        <f ca="1">+C$11+C$12*$F22</f>
        <v>-2.9728228237439226E-4</v>
      </c>
      <c r="Q22" s="2">
        <f>+C22-15018.5</f>
        <v>40105.9902</v>
      </c>
    </row>
    <row r="23" spans="1:18" x14ac:dyDescent="0.2">
      <c r="A23" s="29" t="s">
        <v>41</v>
      </c>
      <c r="B23" s="30" t="s">
        <v>43</v>
      </c>
      <c r="C23" s="29">
        <v>55126.554100000001</v>
      </c>
      <c r="D23" s="29">
        <v>2.9999999999999997E-4</v>
      </c>
      <c r="E23">
        <f>+(C23-C$7)/C$8</f>
        <v>-748.99952538602486</v>
      </c>
      <c r="F23">
        <f>ROUND(2*E23,0)/2</f>
        <v>-749</v>
      </c>
      <c r="G23">
        <f>+C23-(C$7+F23*C$8)</f>
        <v>6.520000024465844E-4</v>
      </c>
      <c r="I23">
        <f>+G23</f>
        <v>6.520000024465844E-4</v>
      </c>
      <c r="O23">
        <f ca="1">+C$11+C$12*$F23</f>
        <v>-2.9602465561695047E-4</v>
      </c>
      <c r="Q23" s="2">
        <f>+C23-15018.5</f>
        <v>40108.054100000001</v>
      </c>
    </row>
    <row r="24" spans="1:18" x14ac:dyDescent="0.2">
      <c r="A24" s="31" t="s">
        <v>44</v>
      </c>
      <c r="B24" s="32" t="s">
        <v>43</v>
      </c>
      <c r="C24" s="33">
        <v>56155.490740000001</v>
      </c>
      <c r="D24" s="33">
        <v>1E-4</v>
      </c>
      <c r="E24">
        <f>+(C24-C$7)/C$8</f>
        <v>2.9117421091433806E-5</v>
      </c>
      <c r="F24">
        <f>ROUND(2*E24,0)/2</f>
        <v>0</v>
      </c>
      <c r="G24">
        <f>+C24-(C$7+F24*C$8)</f>
        <v>3.9999998989515007E-5</v>
      </c>
      <c r="J24">
        <f>+G24</f>
        <v>3.9999998989515007E-5</v>
      </c>
      <c r="O24">
        <f ca="1">+C$11+C$12*$F24</f>
        <v>3.3195030526562139E-4</v>
      </c>
      <c r="Q24" s="2">
        <f>+C24-15018.5</f>
        <v>41136.990740000001</v>
      </c>
    </row>
    <row r="25" spans="1:18" x14ac:dyDescent="0.2">
      <c r="A25" s="31" t="s">
        <v>44</v>
      </c>
      <c r="B25" s="32" t="s">
        <v>43</v>
      </c>
      <c r="C25" s="33">
        <v>56155.49224</v>
      </c>
      <c r="D25" s="33">
        <v>5.9999999999999995E-4</v>
      </c>
      <c r="E25">
        <f>+(C25-C$7)/C$8</f>
        <v>1.1210207385023423E-3</v>
      </c>
      <c r="F25">
        <f>ROUND(2*E25,0)/2</f>
        <v>0</v>
      </c>
      <c r="G25">
        <f>+C25-(C$7+F25*C$8)</f>
        <v>1.5399999974761158E-3</v>
      </c>
      <c r="J25">
        <f>+G25</f>
        <v>1.5399999974761158E-3</v>
      </c>
      <c r="O25">
        <f ca="1">+C$11+C$12*$F25</f>
        <v>3.3195030526562139E-4</v>
      </c>
      <c r="Q25" s="2">
        <f>+C25-15018.5</f>
        <v>41136.99224</v>
      </c>
    </row>
    <row r="26" spans="1:18" x14ac:dyDescent="0.2">
      <c r="A26" s="34" t="s">
        <v>46</v>
      </c>
      <c r="B26" s="35" t="s">
        <v>43</v>
      </c>
      <c r="C26" s="37">
        <v>59441.503700000001</v>
      </c>
      <c r="D26" s="38">
        <v>4.8999999999999998E-3</v>
      </c>
      <c r="E26">
        <f t="shared" ref="E26:E27" si="0">+(C26-C$7)/C$8</f>
        <v>2392.005666250287</v>
      </c>
      <c r="F26">
        <f t="shared" ref="F26:F27" si="1">ROUND(2*E26,0)/2</f>
        <v>2392</v>
      </c>
      <c r="G26">
        <f t="shared" ref="G26:G27" si="2">+C26-(C$7+F26*C$8)</f>
        <v>7.7840000012656674E-3</v>
      </c>
      <c r="K26">
        <f>+G26</f>
        <v>7.7840000012656674E-3</v>
      </c>
      <c r="O26">
        <f t="shared" ref="O26:O27" ca="1" si="3">+C$11+C$12*$F26</f>
        <v>2.3374457744660378E-3</v>
      </c>
      <c r="Q26" s="2">
        <f t="shared" ref="Q26:Q27" si="4">+C26-15018.5</f>
        <v>44423.003700000001</v>
      </c>
    </row>
    <row r="27" spans="1:18" x14ac:dyDescent="0.2">
      <c r="A27" s="34" t="s">
        <v>46</v>
      </c>
      <c r="B27" s="35" t="s">
        <v>43</v>
      </c>
      <c r="C27" s="37">
        <v>59489.578699999998</v>
      </c>
      <c r="D27" s="38">
        <v>4.0000000000000002E-4</v>
      </c>
      <c r="E27">
        <f t="shared" si="0"/>
        <v>2427.0011676086124</v>
      </c>
      <c r="F27">
        <f t="shared" si="1"/>
        <v>2427</v>
      </c>
      <c r="G27">
        <f t="shared" si="2"/>
        <v>1.6039999973145314E-3</v>
      </c>
      <c r="K27">
        <f>+G27</f>
        <v>1.6039999973145314E-3</v>
      </c>
      <c r="O27">
        <f t="shared" ca="1" si="3"/>
        <v>2.3667903988063448E-3</v>
      </c>
      <c r="Q27" s="2">
        <f t="shared" si="4"/>
        <v>44471.078699999998</v>
      </c>
    </row>
    <row r="28" spans="1:18" x14ac:dyDescent="0.2">
      <c r="A28" s="39" t="s">
        <v>48</v>
      </c>
      <c r="B28" s="40" t="s">
        <v>43</v>
      </c>
      <c r="C28" s="41">
        <v>60132.489699999802</v>
      </c>
      <c r="D28" s="39">
        <v>4.0000000000000002E-4</v>
      </c>
      <c r="E28">
        <f t="shared" ref="E28" si="5">+(C28-C$7)/C$8</f>
        <v>2894.9989372139576</v>
      </c>
      <c r="F28">
        <f t="shared" ref="F28" si="6">ROUND(2*E28,0)/2</f>
        <v>2895</v>
      </c>
      <c r="G28">
        <f t="shared" ref="G28" si="7">+C28-(C$7+F28*C$8)</f>
        <v>-1.460000203223899E-3</v>
      </c>
      <c r="K28">
        <f>+G28</f>
        <v>-1.460000203223899E-3</v>
      </c>
      <c r="O28">
        <f t="shared" ref="O28" ca="1" si="8">+C$11+C$12*$F28</f>
        <v>2.7591699471281655E-3</v>
      </c>
      <c r="Q28" s="2">
        <f t="shared" ref="Q28" si="9">+C28-15018.5</f>
        <v>45113.989699999802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2025-01-04T05:14:04Z</dcterms:modified>
</cp:coreProperties>
</file>