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17DCB38-FA94-4CEB-ACEC-989D27BDD0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J23" i="1" s="1"/>
  <c r="Q23" i="1"/>
  <c r="F14" i="1"/>
  <c r="E22" i="1"/>
  <c r="F22" i="1" s="1"/>
  <c r="G22" i="1" s="1"/>
  <c r="I22" i="1" s="1"/>
  <c r="Q22" i="1"/>
  <c r="H20" i="1"/>
  <c r="G11" i="1"/>
  <c r="F11" i="1"/>
  <c r="E21" i="1"/>
  <c r="F21" i="1" s="1"/>
  <c r="G21" i="1" s="1"/>
  <c r="H21" i="1" s="1"/>
  <c r="C17" i="1"/>
  <c r="Q21" i="1"/>
  <c r="C12" i="1"/>
  <c r="F15" i="1" l="1"/>
  <c r="C16" i="1"/>
  <c r="D18" i="1" s="1"/>
  <c r="C11" i="1"/>
  <c r="O23" i="1" l="1"/>
  <c r="C15" i="1"/>
  <c r="O22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<sst xmlns="http://schemas.openxmlformats.org/spreadsheetml/2006/main" count="57" uniqueCount="53">
  <si>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</si>
  <si>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</si>
  <si>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</si>
  <si>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</si>
  <si>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</si>
  <si>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</si>
  <si>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</si>
  <si>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</si>
  <si>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</si>
  <si>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</si>
  <si>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</si>
  <si>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</si>
  <si>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</si>
  <si>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</si>
  <si>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</si>
  <si>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</si>
  <si>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</si>
  <si>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</si>
  <si>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</si>
  <si>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</si>
  <si>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</si>
  <si>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</si>
  <si>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</si>
  <si>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</si>
  <si>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</si>
  <si>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</si>
  <si>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</si>
  <si>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</si>
  <si>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</si>
  <si>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</si>
  <si>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</si>
  <si>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</si>
  <si>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</si>
  <si>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</si>
  <si>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</si>
  <si>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</si>
  <si>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</si>
  <si>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</si>
  <si>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</t>
  </si>
  <si>
    <t>CU Cnc</t>
  </si>
  <si>
    <t>CU Cnc / GSC 1387-0884</t>
  </si>
  <si>
    <t>EA/DM+UV</t>
  </si>
  <si>
    <t>G1387-0884</t>
  </si>
  <si>
    <t>BRNO</t>
  </si>
  <si>
    <t>OEJV 0160</t>
  </si>
  <si>
    <t>I</t>
  </si>
  <si>
    <t>CCD</t>
  </si>
  <si>
    <t>JBAV 96</t>
  </si>
  <si>
    <t xml:space="preserve">Mag </t>
  </si>
  <si>
    <t>Next ToM-P</t>
  </si>
  <si>
    <t>Next ToM-S</t>
  </si>
  <si>
    <t>11.68-11.80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</si>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</sst>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65" fontId="16" fillId="0" borderId="0" xfId="0" applyNumberFormat="1" applyFont="1" applyAlignment="1" applyProtection="1">
      <alignment horizontal="left" vertical="center" wrapText="1"/>
      <protection locked="0"/>
    </xf>
    <xf numFmtId="0" fontId="0" fillId="0" borderId="5" xfId="0" applyBorder="1">
      <alignment vertical="top"/>
    </xf>
    <xf numFmtId="0" fontId="17" fillId="0" borderId="8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22" fontId="18" fillId="0" borderId="11" xfId="0" applyNumberFormat="1" applyFont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Cnc 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90225563909774"/>
          <c:y val="0.14076246334310852"/>
          <c:w val="0.7969924812030074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1961.5</c:v>
                </c:pt>
                <c:pt idx="2">
                  <c:v>3663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0.69282999999995809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A1-48DF-BA6C-03617A6CCCF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1961.5</c:v>
                </c:pt>
                <c:pt idx="2">
                  <c:v>3663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-0.69282200000452576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A1-48DF-BA6C-03617A6CCCF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1961.5</c:v>
                </c:pt>
                <c:pt idx="2">
                  <c:v>3663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0.6868859999376582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A1-48DF-BA6C-03617A6CCCF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1961.5</c:v>
                </c:pt>
                <c:pt idx="2">
                  <c:v>3663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A1-48DF-BA6C-03617A6CCCF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1961.5</c:v>
                </c:pt>
                <c:pt idx="2">
                  <c:v>3663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A1-48DF-BA6C-03617A6CCCF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1961.5</c:v>
                </c:pt>
                <c:pt idx="2">
                  <c:v>3663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0A1-48DF-BA6C-03617A6CCCF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1961.5</c:v>
                </c:pt>
                <c:pt idx="2">
                  <c:v>3663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0A1-48DF-BA6C-03617A6CCCF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1961.5</c:v>
                </c:pt>
                <c:pt idx="2">
                  <c:v>3663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0.26543399927010153</c:v>
                </c:pt>
                <c:pt idx="1">
                  <c:v>0.22727882319468942</c:v>
                </c:pt>
                <c:pt idx="2">
                  <c:v>0.19418117746829958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0A1-48DF-BA6C-03617A6CCCF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1961.5</c:v>
                </c:pt>
                <c:pt idx="2">
                  <c:v>3663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0A1-48DF-BA6C-03617A6CC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4351080"/>
        <c:axId val="1"/>
      </c:scatterChart>
      <c:valAx>
        <c:axId val="724351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98496240601503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4351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48872180451127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200025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21B0BAD-DDA0-084B-D1E8-770B53F54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33" sqref="F3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5703125" customWidth="1"/>
    <col min="6" max="6" width="14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23</v>
      </c>
      <c r="B2" t="s">
        <v>41</v>
      </c>
      <c r="C2" s="3"/>
      <c r="D2" s="3"/>
      <c r="E2" s="10" t="s">
        <v>39</v>
      </c>
      <c r="F2" t="s">
        <v>42</v>
      </c>
    </row>
    <row r="3" spans="1:7" ht="13.5" thickBot="1" x14ac:dyDescent="0.25"/>
    <row r="4" spans="1:7" ht="14.25" thickTop="1" thickBot="1" x14ac:dyDescent="0.25">
      <c r="A4" s="5" t="s">
        <v>0</v>
      </c>
      <c r="C4" s="24" t="s">
        <v>37</v>
      </c>
      <c r="D4" s="25" t="s">
        <v>37</v>
      </c>
    </row>
    <row r="6" spans="1:7" x14ac:dyDescent="0.2">
      <c r="A6" s="5" t="s">
        <v>1</v>
      </c>
    </row>
    <row r="7" spans="1:7" x14ac:dyDescent="0.2">
      <c r="A7" t="s">
        <v>2</v>
      </c>
      <c r="C7" s="30">
        <v>50207.813970000003</v>
      </c>
      <c r="D7" s="26" t="s">
        <v>52</v>
      </c>
    </row>
    <row r="8" spans="1:7" x14ac:dyDescent="0.2">
      <c r="A8" t="s">
        <v>3</v>
      </c>
      <c r="C8" s="30">
        <v>2.771468</v>
      </c>
      <c r="D8" s="26" t="s">
        <v>52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8">
        <f ca="1">INTERCEPT(INDIRECT($G$11):G992,INDIRECT($F$11):F992)</f>
        <v>0.26543399927010153</v>
      </c>
      <c r="D11" s="3"/>
      <c r="E11" s="10"/>
      <c r="F11" s="19" t="str">
        <f>"F"&amp;E19</f>
        <v>F21</v>
      </c>
      <c r="G11" s="20" t="str">
        <f>"G"&amp;E19</f>
        <v>G21</v>
      </c>
    </row>
    <row r="12" spans="1:7" x14ac:dyDescent="0.2">
      <c r="A12" s="10" t="s">
        <v>16</v>
      </c>
      <c r="B12" s="10"/>
      <c r="C12" s="18">
        <f ca="1">SLOPE(INDIRECT($G$11):G992,INDIRECT($F$11):F992)</f>
        <v>-1.9452039803931736E-5</v>
      </c>
      <c r="D12" s="3"/>
      <c r="E12" s="38" t="s">
        <v>48</v>
      </c>
      <c r="F12" s="43" t="s">
        <v>51</v>
      </c>
    </row>
    <row r="13" spans="1:7" x14ac:dyDescent="0.2">
      <c r="A13" s="10" t="s">
        <v>18</v>
      </c>
      <c r="B13" s="10"/>
      <c r="C13" s="3" t="s">
        <v>13</v>
      </c>
      <c r="D13" s="14"/>
      <c r="E13" s="35" t="s">
        <v>34</v>
      </c>
      <c r="F13" s="39">
        <v>1</v>
      </c>
    </row>
    <row r="14" spans="1:7" x14ac:dyDescent="0.2">
      <c r="A14" s="10"/>
      <c r="B14" s="10"/>
      <c r="C14" s="10"/>
      <c r="D14" s="14"/>
      <c r="E14" s="35" t="s">
        <v>31</v>
      </c>
      <c r="F14" s="40">
        <f ca="1">NOW()+15018.5+$C$9/24</f>
        <v>60679.814593055555</v>
      </c>
    </row>
    <row r="15" spans="1:7" x14ac:dyDescent="0.2">
      <c r="A15" s="12" t="s">
        <v>17</v>
      </c>
      <c r="B15" s="10"/>
      <c r="C15" s="13">
        <f ca="1">(C7+C11)+(C8+C12)*INT(MAX(F21:F3533))</f>
        <v>60359.895435177474</v>
      </c>
      <c r="D15" s="14"/>
      <c r="E15" s="35" t="s">
        <v>35</v>
      </c>
      <c r="F15" s="40">
        <f ca="1">ROUND(2*($F$14-$C$7)/$C$8,0)/2+$F$13</f>
        <v>3779.5</v>
      </c>
    </row>
    <row r="16" spans="1:7" x14ac:dyDescent="0.2">
      <c r="A16" s="15" t="s">
        <v>4</v>
      </c>
      <c r="B16" s="10"/>
      <c r="C16" s="16">
        <f ca="1">+C8+C12</f>
        <v>2.7714485479601962</v>
      </c>
      <c r="D16" s="14"/>
      <c r="E16" s="35" t="s">
        <v>36</v>
      </c>
      <c r="F16" s="40">
        <f ca="1">ROUND(2*($F$14-$C$15)/$C$16,0)/2+$F$13</f>
        <v>116.5</v>
      </c>
    </row>
    <row r="17" spans="1:18" ht="13.5" thickBot="1" x14ac:dyDescent="0.25">
      <c r="A17" s="14" t="s">
        <v>28</v>
      </c>
      <c r="B17" s="10"/>
      <c r="C17" s="10">
        <f>COUNT(C21:C2191)</f>
        <v>3</v>
      </c>
      <c r="D17" s="14"/>
      <c r="E17" s="36" t="s">
        <v>49</v>
      </c>
      <c r="F17" s="41">
        <f ca="1">+$C$15+$C$16*$F$16-15018.5-$C$9/24</f>
        <v>45664.665024348171</v>
      </c>
    </row>
    <row r="18" spans="1:18" ht="14.25" thickTop="1" thickBot="1" x14ac:dyDescent="0.25">
      <c r="A18" s="15" t="s">
        <v>5</v>
      </c>
      <c r="B18" s="10"/>
      <c r="C18" s="17">
        <f ca="1">+C15</f>
        <v>60359.895435177474</v>
      </c>
      <c r="D18" s="34">
        <f ca="1">+C16</f>
        <v>2.7714485479601962</v>
      </c>
      <c r="E18" s="37" t="s">
        <v>50</v>
      </c>
      <c r="F18" s="42">
        <f ca="1">+($C$15+$C$16*$F$16)-($C$16/2)-15018.5-$C$9/24</f>
        <v>45663.279300074188</v>
      </c>
    </row>
    <row r="19" spans="1:18" ht="13.5" thickTop="1" x14ac:dyDescent="0.2">
      <c r="A19" s="21" t="s">
        <v>32</v>
      </c>
      <c r="E19" s="22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BRNO</v>
      </c>
      <c r="I20" s="7" t="s">
        <v>38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3" t="s">
        <v>33</v>
      </c>
    </row>
    <row r="21" spans="1:18" x14ac:dyDescent="0.2">
      <c r="A21" t="s">
        <v>43</v>
      </c>
      <c r="C21" s="8">
        <v>50208.506800000003</v>
      </c>
      <c r="D21" s="8" t="s">
        <v>13</v>
      </c>
      <c r="E21">
        <f>+(C21-C$7)/C$8</f>
        <v>0.24998664967445342</v>
      </c>
      <c r="F21">
        <f>ROUND(2*E21,0)/2</f>
        <v>0</v>
      </c>
      <c r="G21">
        <f>+C21-(C$7+F21*C$8)</f>
        <v>0.69282999999995809</v>
      </c>
      <c r="H21">
        <f>+G21</f>
        <v>0.69282999999995809</v>
      </c>
      <c r="O21">
        <f ca="1">+C$11+C$12*$F21</f>
        <v>0.26543399927010153</v>
      </c>
      <c r="Q21" s="2">
        <f>+C21-15018.5</f>
        <v>35190.006800000003</v>
      </c>
    </row>
    <row r="22" spans="1:18" x14ac:dyDescent="0.2">
      <c r="A22" s="27" t="s">
        <v>44</v>
      </c>
      <c r="B22" s="28" t="s">
        <v>45</v>
      </c>
      <c r="C22" s="29">
        <v>55643.355629999998</v>
      </c>
      <c r="D22" s="29">
        <v>2.0000000000000001E-4</v>
      </c>
      <c r="E22">
        <f>+(C22-C$7)/C$8</f>
        <v>1961.2500162368806</v>
      </c>
      <c r="F22">
        <f>ROUND(2*E22,0)/2</f>
        <v>1961.5</v>
      </c>
      <c r="G22">
        <f>+C22-(C$7+F22*C$8)</f>
        <v>-0.69282200000452576</v>
      </c>
      <c r="I22">
        <f>+G22</f>
        <v>-0.69282200000452576</v>
      </c>
      <c r="O22">
        <f ca="1">+C$11+C$12*$F22</f>
        <v>0.22727882319468942</v>
      </c>
      <c r="Q22" s="2">
        <f>+C22-15018.5</f>
        <v>40624.855629999998</v>
      </c>
    </row>
    <row r="23" spans="1:18" x14ac:dyDescent="0.2">
      <c r="A23" s="31" t="s">
        <v>47</v>
      </c>
      <c r="B23" s="32" t="s">
        <v>45</v>
      </c>
      <c r="C23" s="33">
        <v>60360.388139999937</v>
      </c>
      <c r="D23" s="31">
        <v>2.0000000000000001E-4</v>
      </c>
      <c r="E23">
        <f>+(C23-C$7)/C$8</f>
        <v>3663.2478419378949</v>
      </c>
      <c r="F23">
        <f>ROUND(2*E23,0)/2</f>
        <v>3663</v>
      </c>
      <c r="G23">
        <f>+C23-(C$7+F23*C$8)</f>
        <v>0.6868859999376582</v>
      </c>
      <c r="J23">
        <f>+G23</f>
        <v>0.6868859999376582</v>
      </c>
      <c r="O23">
        <f ca="1">+C$11+C$12*$F23</f>
        <v>0.19418117746829958</v>
      </c>
      <c r="Q23" s="2">
        <f>+C23-15018.5</f>
        <v>45341.888139999937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2025-01-04T06:33:00Z</dcterms:modified>
</cp:coreProperties>
</file>