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BF24B59-D6CE-4474-9F99-C9CAE22CDC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F14" i="1"/>
  <c r="E22" i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C9" i="1"/>
  <c r="Q21" i="1"/>
  <c r="D9" i="1"/>
  <c r="E21" i="1"/>
  <c r="F21" i="1" s="1"/>
  <c r="G21" i="1" s="1"/>
  <c r="I21" i="1" s="1"/>
  <c r="C17" i="1"/>
  <c r="C12" i="1"/>
  <c r="C11" i="1"/>
  <c r="O25" i="1" l="1"/>
  <c r="F15" i="1"/>
  <c r="O24" i="1"/>
  <c r="O23" i="1"/>
  <c r="O22" i="1"/>
  <c r="C16" i="1"/>
  <c r="D18" i="1" s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<sst xmlns="http://schemas.openxmlformats.org/spreadsheetml/2006/main" count="61" uniqueCount="55">
  <si>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</si>
  <si>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</si>
  <si>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</si>
  <si>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</si>
  <si>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</si>
  <si>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</si>
  <si>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</si>
  <si>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</si>
  <si>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</si>
  <si>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</si>
  <si>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</si>
  <si>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</si>
  <si>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</si>
  <si>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</si>
  <si>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</si>
  <si>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</si>
  <si>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</si>
  <si>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</si>
  <si>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</si>
  <si>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</si>
  <si>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</si>
  <si>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</si>
  <si>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</si>
  <si>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</si>
  <si>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</si>
  <si>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</si>
  <si>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</si>
  <si>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</si>
  <si>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</si>
  <si>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</si>
  <si>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</si>
  <si>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</si>
  <si>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</si>
  <si>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</si>
  <si>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</si>
  <si>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</si>
  <si>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</si>
  <si>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</si>
  <si>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</si>
  <si>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</si>
  <si>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</si>
  <si>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</si>
  <si>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</si>
  <si>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NQ Cnc</t>
  </si>
  <si>
    <t>EW</t>
  </si>
  <si>
    <t>VSX</t>
  </si>
  <si>
    <t>JBAV, 60</t>
  </si>
  <si>
    <t>I</t>
  </si>
  <si>
    <t>JBAV, 63</t>
  </si>
  <si>
    <t>II</t>
  </si>
  <si>
    <t>JBAV 96</t>
  </si>
  <si>
    <t xml:space="preserve">Mag </t>
  </si>
  <si>
    <t>Next ToM-P</t>
  </si>
  <si>
    <t>Next ToM-S</t>
  </si>
  <si>
    <t>11.48 (0.20)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</si>
</sst>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7" xfId="0" applyBorder="1">
      <alignment vertical="top"/>
    </xf>
    <xf numFmtId="0" fontId="19" fillId="0" borderId="10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0" fillId="4" borderId="8" xfId="0" applyFill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22" fontId="20" fillId="0" borderId="13" xfId="0" applyNumberFormat="1" applyFont="1" applyBorder="1" applyAlignment="1">
      <alignment horizontal="right" vertical="center"/>
    </xf>
    <xf numFmtId="22" fontId="20" fillId="0" borderId="11" xfId="0" applyNumberFormat="1" applyFont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NQ Cnc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9549.5</c:v>
                </c:pt>
                <c:pt idx="2">
                  <c:v>9569.5</c:v>
                </c:pt>
                <c:pt idx="3">
                  <c:v>10161</c:v>
                </c:pt>
                <c:pt idx="4">
                  <c:v>11073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9549.5</c:v>
                </c:pt>
                <c:pt idx="2">
                  <c:v>9569.5</c:v>
                </c:pt>
                <c:pt idx="3">
                  <c:v>10161</c:v>
                </c:pt>
                <c:pt idx="4">
                  <c:v>11073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9549.5</c:v>
                </c:pt>
                <c:pt idx="2">
                  <c:v>9569.5</c:v>
                </c:pt>
                <c:pt idx="3">
                  <c:v>10161</c:v>
                </c:pt>
                <c:pt idx="4">
                  <c:v>11073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9549.5</c:v>
                </c:pt>
                <c:pt idx="2">
                  <c:v>9569.5</c:v>
                </c:pt>
                <c:pt idx="3">
                  <c:v>10161</c:v>
                </c:pt>
                <c:pt idx="4">
                  <c:v>11073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7.2900000013760291E-3</c:v>
                </c:pt>
                <c:pt idx="2">
                  <c:v>1.9590000003518071E-2</c:v>
                </c:pt>
                <c:pt idx="3">
                  <c:v>-5.6779999998980202E-2</c:v>
                </c:pt>
                <c:pt idx="4">
                  <c:v>5.9020000066084322E-2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9549.5</c:v>
                </c:pt>
                <c:pt idx="2">
                  <c:v>9569.5</c:v>
                </c:pt>
                <c:pt idx="3">
                  <c:v>10161</c:v>
                </c:pt>
                <c:pt idx="4">
                  <c:v>11073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9549.5</c:v>
                </c:pt>
                <c:pt idx="2">
                  <c:v>9569.5</c:v>
                </c:pt>
                <c:pt idx="3">
                  <c:v>10161</c:v>
                </c:pt>
                <c:pt idx="4">
                  <c:v>11073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9549.5</c:v>
                </c:pt>
                <c:pt idx="2">
                  <c:v>9569.5</c:v>
                </c:pt>
                <c:pt idx="3">
                  <c:v>10161</c:v>
                </c:pt>
                <c:pt idx="4">
                  <c:v>11073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9549.5</c:v>
                </c:pt>
                <c:pt idx="2">
                  <c:v>9569.5</c:v>
                </c:pt>
                <c:pt idx="3">
                  <c:v>10161</c:v>
                </c:pt>
                <c:pt idx="4">
                  <c:v>11073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-3.7741535088696883E-3</c:v>
                </c:pt>
                <c:pt idx="1">
                  <c:v>7.582817109233116E-3</c:v>
                </c:pt>
                <c:pt idx="2">
                  <c:v>7.6066025862069949E-3</c:v>
                </c:pt>
                <c:pt idx="3">
                  <c:v>8.3100580677094617E-3</c:v>
                </c:pt>
                <c:pt idx="4">
                  <c:v>9.3946758177183374E-3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9549.5</c:v>
                </c:pt>
                <c:pt idx="2">
                  <c:v>9569.5</c:v>
                </c:pt>
                <c:pt idx="3">
                  <c:v>10161</c:v>
                </c:pt>
                <c:pt idx="4">
                  <c:v>11073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5703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0" t="s">
        <v>41</v>
      </c>
      <c r="G1" s="31"/>
      <c r="H1" s="28"/>
      <c r="I1" s="32"/>
      <c r="J1" s="33"/>
      <c r="K1" s="29"/>
      <c r="L1" s="34"/>
      <c r="M1" s="35"/>
      <c r="N1" s="35"/>
      <c r="O1" s="36"/>
    </row>
    <row r="2" spans="1:15" ht="12.95" customHeight="1" x14ac:dyDescent="0.2">
      <c r="A2" t="s">
        <v>23</v>
      </c>
      <c r="B2" s="39" t="s">
        <v>44</v>
      </c>
      <c r="C2" s="27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4" t="s">
        <v>36</v>
      </c>
      <c r="D4" s="25" t="s">
        <v>36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</row>
    <row r="7" spans="1:15" ht="12.95" customHeight="1" x14ac:dyDescent="0.2">
      <c r="A7" t="s">
        <v>2</v>
      </c>
      <c r="C7" s="42">
        <v>52623.82</v>
      </c>
      <c r="D7" s="26" t="s">
        <v>45</v>
      </c>
    </row>
    <row r="8" spans="1:15" ht="12.95" customHeight="1" x14ac:dyDescent="0.2">
      <c r="A8" t="s">
        <v>3</v>
      </c>
      <c r="C8" s="42">
        <v>0.69498000000000004</v>
      </c>
      <c r="D8" s="26" t="s">
        <v>45</v>
      </c>
    </row>
    <row r="9" spans="1:15" ht="12.95" customHeight="1" x14ac:dyDescent="0.2">
      <c r="A9" s="21" t="s">
        <v>31</v>
      </c>
      <c r="B9" s="22">
        <v>21</v>
      </c>
      <c r="C9" s="19" t="str">
        <f>"F"&amp;B9</f>
        <v>F21</v>
      </c>
      <c r="D9" s="20" t="str">
        <f>"G"&amp;B9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18">
        <f ca="1">INTERCEPT(INDIRECT($D$9):G992,INDIRECT($C$9):F992)</f>
        <v>-3.7741535088696883E-3</v>
      </c>
      <c r="D11" s="3"/>
      <c r="E11" s="10"/>
    </row>
    <row r="12" spans="1:15" ht="12.95" customHeight="1" x14ac:dyDescent="0.2">
      <c r="A12" s="10" t="s">
        <v>16</v>
      </c>
      <c r="B12" s="10"/>
      <c r="C12" s="18">
        <f ca="1">SLOPE(INDIRECT($D$9):G992,INDIRECT($C$9):F992)</f>
        <v>1.1892738486939425E-6</v>
      </c>
      <c r="D12" s="3"/>
      <c r="E12" s="51" t="s">
        <v>51</v>
      </c>
      <c r="F12" s="56" t="s">
        <v>54</v>
      </c>
    </row>
    <row r="13" spans="1:15" ht="12.95" customHeight="1" x14ac:dyDescent="0.2">
      <c r="A13" s="10" t="s">
        <v>18</v>
      </c>
      <c r="B13" s="10"/>
      <c r="C13" s="3" t="s">
        <v>13</v>
      </c>
      <c r="E13" s="49" t="s">
        <v>33</v>
      </c>
      <c r="F13" s="52">
        <v>1</v>
      </c>
    </row>
    <row r="14" spans="1:15" ht="12.95" customHeight="1" x14ac:dyDescent="0.2">
      <c r="A14" s="10"/>
      <c r="B14" s="10"/>
      <c r="C14" s="10"/>
      <c r="E14" s="49" t="s">
        <v>30</v>
      </c>
      <c r="F14" s="53">
        <f ca="1">NOW()+15018.5+$C$5/24</f>
        <v>60679.816861342588</v>
      </c>
    </row>
    <row r="15" spans="1:15" ht="12.95" customHeight="1" x14ac:dyDescent="0.2">
      <c r="A15" s="12" t="s">
        <v>17</v>
      </c>
      <c r="B15" s="10"/>
      <c r="C15" s="13">
        <f ca="1">(C7+C11)+(C8+C12)*INT(MAX(F21:F3533))</f>
        <v>60319.342934675813</v>
      </c>
      <c r="E15" s="49" t="s">
        <v>34</v>
      </c>
      <c r="F15" s="53">
        <f ca="1">ROUND(2*($F$14-$C$7)/$C$8,0)/2+$F$13</f>
        <v>11592.5</v>
      </c>
    </row>
    <row r="16" spans="1:15" ht="12.95" customHeight="1" x14ac:dyDescent="0.2">
      <c r="A16" s="15" t="s">
        <v>4</v>
      </c>
      <c r="B16" s="10"/>
      <c r="C16" s="16">
        <f ca="1">+C8+C12</f>
        <v>0.69498118927384878</v>
      </c>
      <c r="E16" s="49" t="s">
        <v>35</v>
      </c>
      <c r="F16" s="53">
        <f ca="1">ROUND(2*($F$14-$C$15)/$C$16,0)/2+$F$13</f>
        <v>519.5</v>
      </c>
    </row>
    <row r="17" spans="1:21" ht="12.95" customHeight="1" thickBot="1" x14ac:dyDescent="0.25">
      <c r="A17" s="14" t="s">
        <v>27</v>
      </c>
      <c r="B17" s="10"/>
      <c r="C17" s="10">
        <f>COUNT(C21:C2191)</f>
        <v>5</v>
      </c>
      <c r="E17" s="49" t="s">
        <v>52</v>
      </c>
      <c r="F17" s="55">
        <f ca="1">+$C$15+$C$16*$F$16-15018.5-$C$5/24</f>
        <v>45662.281495836913</v>
      </c>
    </row>
    <row r="18" spans="1:21" ht="12.95" customHeight="1" thickTop="1" thickBot="1" x14ac:dyDescent="0.25">
      <c r="A18" s="15" t="s">
        <v>5</v>
      </c>
      <c r="B18" s="10"/>
      <c r="C18" s="17">
        <f ca="1">+C15</f>
        <v>60319.342934675813</v>
      </c>
      <c r="D18" s="48">
        <f ca="1">+C16</f>
        <v>0.69498118927384878</v>
      </c>
      <c r="E18" s="50" t="s">
        <v>53</v>
      </c>
      <c r="F18" s="54">
        <f ca="1">+($C$15+$C$16*$F$16)-($C$16/2)-15018.5-$C$5/24</f>
        <v>45661.934005242278</v>
      </c>
    </row>
    <row r="19" spans="1:21" ht="12.95" customHeight="1" thickTop="1" x14ac:dyDescent="0.2">
      <c r="F19" s="37" t="s">
        <v>42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3" t="s">
        <v>32</v>
      </c>
    </row>
    <row r="21" spans="1:21" ht="12.95" customHeight="1" x14ac:dyDescent="0.2">
      <c r="A21" s="39" t="s">
        <v>45</v>
      </c>
      <c r="C21" s="8">
        <v>52623.82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-3.7741535088696883E-3</v>
      </c>
      <c r="Q21" s="38">
        <f>+C21-15018.5</f>
        <v>37605.32</v>
      </c>
    </row>
    <row r="22" spans="1:21" ht="12.95" customHeight="1" x14ac:dyDescent="0.2">
      <c r="A22" s="40" t="s">
        <v>46</v>
      </c>
      <c r="B22" s="41" t="s">
        <v>47</v>
      </c>
      <c r="C22" s="43">
        <v>59260.538800000002</v>
      </c>
      <c r="D22" s="44">
        <v>3.0000000000000001E-3</v>
      </c>
      <c r="E22">
        <f t="shared" ref="E22:E24" si="0">+(C22-C$7)/C$8</f>
        <v>9549.5104895104923</v>
      </c>
      <c r="F22">
        <f t="shared" ref="F22:F24" si="1">ROUND(2*E22,0)/2</f>
        <v>9549.5</v>
      </c>
      <c r="G22">
        <f t="shared" ref="G22:G24" si="2">+C22-(C$7+F22*C$8)</f>
        <v>7.2900000013760291E-3</v>
      </c>
      <c r="K22">
        <f>+G22</f>
        <v>7.2900000013760291E-3</v>
      </c>
      <c r="O22">
        <f t="shared" ref="O22:O24" ca="1" si="3">+C$11+C$12*$F22</f>
        <v>7.582817109233116E-3</v>
      </c>
      <c r="Q22" s="38">
        <f t="shared" ref="Q22:Q24" si="4">+C22-15018.5</f>
        <v>44242.038800000002</v>
      </c>
    </row>
    <row r="23" spans="1:21" ht="12.95" customHeight="1" x14ac:dyDescent="0.2">
      <c r="A23" s="40" t="s">
        <v>46</v>
      </c>
      <c r="B23" s="41" t="s">
        <v>47</v>
      </c>
      <c r="C23" s="43">
        <v>59274.450700000001</v>
      </c>
      <c r="D23" s="44">
        <v>4.4999999999999997E-3</v>
      </c>
      <c r="E23">
        <f t="shared" si="0"/>
        <v>9569.5281878615224</v>
      </c>
      <c r="F23">
        <f t="shared" si="1"/>
        <v>9569.5</v>
      </c>
      <c r="G23">
        <f t="shared" si="2"/>
        <v>1.9590000003518071E-2</v>
      </c>
      <c r="K23">
        <f>+G23</f>
        <v>1.9590000003518071E-2</v>
      </c>
      <c r="O23">
        <f t="shared" ca="1" si="3"/>
        <v>7.6066025862069949E-3</v>
      </c>
      <c r="Q23" s="38">
        <f t="shared" si="4"/>
        <v>44255.950700000001</v>
      </c>
    </row>
    <row r="24" spans="1:21" ht="12.95" customHeight="1" x14ac:dyDescent="0.2">
      <c r="A24" s="40" t="s">
        <v>48</v>
      </c>
      <c r="B24" s="41" t="s">
        <v>49</v>
      </c>
      <c r="C24" s="43">
        <v>59685.455000000002</v>
      </c>
      <c r="D24" s="44">
        <v>0.01</v>
      </c>
      <c r="E24">
        <f t="shared" si="0"/>
        <v>10160.91829980719</v>
      </c>
      <c r="F24">
        <f t="shared" si="1"/>
        <v>10161</v>
      </c>
      <c r="G24">
        <f t="shared" si="2"/>
        <v>-5.6779999998980202E-2</v>
      </c>
      <c r="K24">
        <f>+G24</f>
        <v>-5.6779999998980202E-2</v>
      </c>
      <c r="O24">
        <f t="shared" ca="1" si="3"/>
        <v>8.3100580677094617E-3</v>
      </c>
      <c r="Q24" s="38">
        <f t="shared" si="4"/>
        <v>44666.955000000002</v>
      </c>
    </row>
    <row r="25" spans="1:21" ht="12.95" customHeight="1" x14ac:dyDescent="0.2">
      <c r="A25" s="45" t="s">
        <v>50</v>
      </c>
      <c r="B25" s="46" t="s">
        <v>47</v>
      </c>
      <c r="C25" s="47">
        <v>60319.392560000066</v>
      </c>
      <c r="D25" s="45">
        <v>5.0000000000000001E-4</v>
      </c>
      <c r="E25">
        <f t="shared" ref="E25" si="5">+(C25-C$7)/C$8</f>
        <v>11073.08492330724</v>
      </c>
      <c r="F25">
        <f t="shared" ref="F25" si="6">ROUND(2*E25,0)/2</f>
        <v>11073</v>
      </c>
      <c r="G25">
        <f t="shared" ref="G25" si="7">+C25-(C$7+F25*C$8)</f>
        <v>5.9020000066084322E-2</v>
      </c>
      <c r="K25">
        <f>+G25</f>
        <v>5.9020000066084322E-2</v>
      </c>
      <c r="O25">
        <f t="shared" ref="O25" ca="1" si="8">+C$11+C$12*$F25</f>
        <v>9.3946758177183374E-3</v>
      </c>
      <c r="Q25" s="38">
        <f t="shared" ref="Q25" si="9">+C25-15018.5</f>
        <v>45300.892560000066</v>
      </c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2025-01-04T06:36:16Z</dcterms:modified>
</cp:coreProperties>
</file>