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C5B6126-8BC8-4CC6-BB9A-5138D172D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K57" i="1" s="1"/>
  <c r="Q57" i="1"/>
  <c r="F14" i="1"/>
  <c r="E56" i="1"/>
  <c r="F56" i="1" s="1"/>
  <c r="G56" i="1" s="1"/>
  <c r="K56" i="1" s="1"/>
  <c r="Q56" i="1"/>
  <c r="E55" i="1"/>
  <c r="F55" i="1" s="1"/>
  <c r="G55" i="1" s="1"/>
  <c r="K55" i="1" s="1"/>
  <c r="Q55" i="1"/>
  <c r="E53" i="1"/>
  <c r="F53" i="1" s="1"/>
  <c r="G53" i="1" s="1"/>
  <c r="K53" i="1" s="1"/>
  <c r="Q53" i="1"/>
  <c r="E54" i="1"/>
  <c r="F54" i="1"/>
  <c r="G54" i="1"/>
  <c r="K54" i="1" s="1"/>
  <c r="Q54" i="1"/>
  <c r="E52" i="1"/>
  <c r="F52" i="1"/>
  <c r="G52" i="1"/>
  <c r="K52" i="1"/>
  <c r="Q52" i="1"/>
  <c r="E50" i="1"/>
  <c r="F50" i="1"/>
  <c r="G50" i="1"/>
  <c r="K50" i="1"/>
  <c r="E51" i="1"/>
  <c r="F51" i="1"/>
  <c r="G51" i="1"/>
  <c r="K51" i="1"/>
  <c r="E39" i="1"/>
  <c r="F39" i="1"/>
  <c r="G39" i="1"/>
  <c r="J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J45" i="1"/>
  <c r="E46" i="1"/>
  <c r="F46" i="1"/>
  <c r="G46" i="1"/>
  <c r="J46" i="1"/>
  <c r="E47" i="1"/>
  <c r="F47" i="1"/>
  <c r="G47" i="1"/>
  <c r="K47" i="1"/>
  <c r="E48" i="1"/>
  <c r="F48" i="1"/>
  <c r="G48" i="1"/>
  <c r="K48" i="1"/>
  <c r="E49" i="1"/>
  <c r="F49" i="1"/>
  <c r="G49" i="1"/>
  <c r="K49" i="1"/>
  <c r="Q50" i="1"/>
  <c r="Q51" i="1"/>
  <c r="E36" i="1"/>
  <c r="F36" i="1"/>
  <c r="G36" i="1"/>
  <c r="J36" i="1"/>
  <c r="E37" i="1"/>
  <c r="F37" i="1"/>
  <c r="G37" i="1"/>
  <c r="J37" i="1"/>
  <c r="E38" i="1"/>
  <c r="F38" i="1"/>
  <c r="G38" i="1"/>
  <c r="J38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42" i="1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39" i="2"/>
  <c r="C39" i="2"/>
  <c r="E39" i="2"/>
  <c r="G14" i="2"/>
  <c r="C14" i="2"/>
  <c r="E14" i="2"/>
  <c r="G13" i="2"/>
  <c r="C13" i="2"/>
  <c r="E13" i="2"/>
  <c r="G12" i="2"/>
  <c r="C12" i="2"/>
  <c r="E12" i="2"/>
  <c r="G38" i="2"/>
  <c r="C38" i="2"/>
  <c r="E38" i="2"/>
  <c r="G37" i="2"/>
  <c r="C37" i="2"/>
  <c r="E37" i="2"/>
  <c r="G36" i="2"/>
  <c r="C36" i="2"/>
  <c r="E36" i="2"/>
  <c r="G11" i="2"/>
  <c r="C11" i="2"/>
  <c r="E11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39" i="2"/>
  <c r="B39" i="2"/>
  <c r="D39" i="2"/>
  <c r="A39" i="2"/>
  <c r="H14" i="2"/>
  <c r="D14" i="2"/>
  <c r="B14" i="2"/>
  <c r="A14" i="2"/>
  <c r="H13" i="2"/>
  <c r="B13" i="2"/>
  <c r="D13" i="2"/>
  <c r="A13" i="2"/>
  <c r="H12" i="2"/>
  <c r="D12" i="2"/>
  <c r="B12" i="2"/>
  <c r="A12" i="2"/>
  <c r="H38" i="2"/>
  <c r="B38" i="2"/>
  <c r="D38" i="2"/>
  <c r="A38" i="2"/>
  <c r="H37" i="2"/>
  <c r="D37" i="2"/>
  <c r="B37" i="2"/>
  <c r="A37" i="2"/>
  <c r="H36" i="2"/>
  <c r="B36" i="2"/>
  <c r="D36" i="2"/>
  <c r="A36" i="2"/>
  <c r="H11" i="2"/>
  <c r="D11" i="2"/>
  <c r="B11" i="2"/>
  <c r="A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Q49" i="1"/>
  <c r="Q48" i="1"/>
  <c r="Q46" i="1"/>
  <c r="Q45" i="1"/>
  <c r="Q47" i="1"/>
  <c r="Q43" i="1"/>
  <c r="C17" i="1"/>
  <c r="Q44" i="1"/>
  <c r="Q41" i="1"/>
  <c r="Q39" i="1"/>
  <c r="Q40" i="1"/>
  <c r="Q33" i="1"/>
  <c r="Q34" i="1"/>
  <c r="Q36" i="1"/>
  <c r="Q37" i="1"/>
  <c r="Q38" i="1"/>
  <c r="Q35" i="1"/>
  <c r="Q32" i="1"/>
  <c r="C11" i="1"/>
  <c r="C12" i="1"/>
  <c r="O57" i="1" l="1"/>
  <c r="F15" i="1"/>
  <c r="O56" i="1"/>
  <c r="O55" i="1"/>
  <c r="O54" i="1"/>
  <c r="O53" i="1"/>
  <c r="O37" i="1"/>
  <c r="O51" i="1"/>
  <c r="O31" i="1"/>
  <c r="O36" i="1"/>
  <c r="O22" i="1"/>
  <c r="O21" i="1"/>
  <c r="O45" i="1"/>
  <c r="C15" i="1"/>
  <c r="O43" i="1"/>
  <c r="O32" i="1"/>
  <c r="O27" i="1"/>
  <c r="O28" i="1"/>
  <c r="O49" i="1"/>
  <c r="O25" i="1"/>
  <c r="O35" i="1"/>
  <c r="O44" i="1"/>
  <c r="O30" i="1"/>
  <c r="O39" i="1"/>
  <c r="O47" i="1"/>
  <c r="O38" i="1"/>
  <c r="O50" i="1"/>
  <c r="O42" i="1"/>
  <c r="O23" i="1"/>
  <c r="O34" i="1"/>
  <c r="O52" i="1"/>
  <c r="O46" i="1"/>
  <c r="O40" i="1"/>
  <c r="O29" i="1"/>
  <c r="O48" i="1"/>
  <c r="O26" i="1"/>
  <c r="O41" i="1"/>
  <c r="O24" i="1"/>
  <c r="O33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<sst xmlns="http://schemas.openxmlformats.org/spreadsheetml/2006/main" count="376" uniqueCount="205">
  <si>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</si>
  <si>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</si>
  <si>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</si>
  <si>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</si>
  <si>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</si>
  <si>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</si>
  <si>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</si>
  <si>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</si>
  <si>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</si>
  <si>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</si>
  <si>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</si>
  <si>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</si>
  <si>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</si>
  <si>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</si>
  <si>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</si>
  <si>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</si>
  <si>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</si>
  <si>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</si>
  <si>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</si>
  <si>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</si>
  <si>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</si>
  <si>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</si>
  <si>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</si>
  <si>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</si>
  <si>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</si>
  <si>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</si>
  <si>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</si>
  <si>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</si>
  <si>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E:</t>
  </si>
  <si>
    <t>Sp:  F2</t>
  </si>
  <si>
    <t>II</t>
  </si>
  <si>
    <t>I</t>
  </si>
  <si>
    <t>IBVS 5591</t>
  </si>
  <si>
    <t>IBVS</t>
  </si>
  <si>
    <t>IBVS 5623</t>
  </si>
  <si>
    <t>not avail.</t>
  </si>
  <si>
    <t># of data points:</t>
  </si>
  <si>
    <t>IBVS 5672</t>
  </si>
  <si>
    <t>YY Cnc / GSC 02483-00099</t>
  </si>
  <si>
    <t>IBVS 5731</t>
  </si>
  <si>
    <t>Confirmed by ToMcat</t>
  </si>
  <si>
    <t>My time zone &gt;&gt;&gt;&gt;&gt;</t>
  </si>
  <si>
    <t>(PST=8, PDT=MDT=7, MDT=CST=6, etc.)</t>
  </si>
  <si>
    <t>JD today</t>
  </si>
  <si>
    <t>New Cycle</t>
  </si>
  <si>
    <t>IBVS 5760</t>
  </si>
  <si>
    <t>Start of linear fit &gt;&gt;&gt;&gt;&gt;&gt;&gt;&gt;&gt;&gt;&gt;&gt;&gt;&gt;&gt;&gt;&gt;&gt;&gt;&gt;&gt;</t>
  </si>
  <si>
    <t>IBVS 5871</t>
  </si>
  <si>
    <t>Add cycle</t>
  </si>
  <si>
    <t>Old Cycle</t>
  </si>
  <si>
    <t>IBVS 5875</t>
  </si>
  <si>
    <t>IBVS 5992</t>
  </si>
  <si>
    <t>IBVS 6010</t>
  </si>
  <si>
    <t>IBVS 6029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</si>
  <si>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</si>
  <si>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</si>
  <si>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</si>
  <si>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</si>
  <si>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</si>
  <si>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</si>
  <si>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</si>
  <si>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</si>
  <si>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</si>
  <si>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</si>
  <si>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</si>
  <si>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</si>
  <si>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2426421.394 </t>
  </si>
  <si>
    <t> 20.03.1931 21:27 </t>
  </si>
  <si>
    <t> 0.275 </t>
  </si>
  <si>
    <t>P </t>
  </si>
  <si>
    <t> R.Kippenhahn </t>
  </si>
  <si>
    <t> AN 282.76 </t>
  </si>
  <si>
    <t>2427533.355 </t>
  </si>
  <si>
    <t> 05.04.1934 20:31 </t>
  </si>
  <si>
    <t> 0.311 </t>
  </si>
  <si>
    <t>2428253.334 </t>
  </si>
  <si>
    <t> 25.03.1936 20:00 </t>
  </si>
  <si>
    <t> 0.192 </t>
  </si>
  <si>
    <t>2434420.207 </t>
  </si>
  <si>
    <t> 11.02.1953 16:58 </t>
  </si>
  <si>
    <t> 0.143 </t>
  </si>
  <si>
    <t> N.M.Schachowskoi </t>
  </si>
  <si>
    <t> AC 165.15 </t>
  </si>
  <si>
    <t>2434445.214 </t>
  </si>
  <si>
    <t> 08.03.1953 17:08 </t>
  </si>
  <si>
    <t> 0.006 </t>
  </si>
  <si>
    <t>2435221.209 </t>
  </si>
  <si>
    <t> 23.04.1955 17:00 </t>
  </si>
  <si>
    <t> 0.028 </t>
  </si>
  <si>
    <t> AC 183.18 </t>
  </si>
  <si>
    <t>2435510.279 </t>
  </si>
  <si>
    <t> 06.02.1956 18:41 </t>
  </si>
  <si>
    <t> -0.058 </t>
  </si>
  <si>
    <t>2435538.274 </t>
  </si>
  <si>
    <t> 05.03.1956 18:34 </t>
  </si>
  <si>
    <t> -0.001 </t>
  </si>
  <si>
    <t>2435567.160 </t>
  </si>
  <si>
    <t> 03.04.1956 15:50 </t>
  </si>
  <si>
    <t> -0.101 </t>
  </si>
  <si>
    <t>2435602.172 </t>
  </si>
  <si>
    <t> 08.05.1956 16:07 </t>
  </si>
  <si>
    <t> -0.011 </t>
  </si>
  <si>
    <t>2435904.255 </t>
  </si>
  <si>
    <t> 06.03.1957 18:07 </t>
  </si>
  <si>
    <t> -0.006 </t>
  </si>
  <si>
    <t>2452683.3464 </t>
  </si>
  <si>
    <t> 12.02.2003 20:18 </t>
  </si>
  <si>
    <t> -0.0148 </t>
  </si>
  <si>
    <t>E </t>
  </si>
  <si>
    <t>?</t>
  </si>
  <si>
    <t> S.Zola et al. </t>
  </si>
  <si>
    <t>IBVS 5591 </t>
  </si>
  <si>
    <t>2452684.4056 </t>
  </si>
  <si>
    <t> 13.02.2003 21:44 </t>
  </si>
  <si>
    <t> -0.0033 </t>
  </si>
  <si>
    <t>2452695.5811 </t>
  </si>
  <si>
    <t> 25.02.2003 01:56 </t>
  </si>
  <si>
    <t> -0.0029 </t>
  </si>
  <si>
    <t>2452720.3790 </t>
  </si>
  <si>
    <t> 21.03.2003 21:05 </t>
  </si>
  <si>
    <t> 0.0002 </t>
  </si>
  <si>
    <t> M.Drozdz et al. </t>
  </si>
  <si>
    <t>IBVS 5623 </t>
  </si>
  <si>
    <t>2452726.3150 </t>
  </si>
  <si>
    <t> 27.03.2003 19:33 </t>
  </si>
  <si>
    <t> -0.0006 </t>
  </si>
  <si>
    <t>2453031.5443 </t>
  </si>
  <si>
    <t> 27.01.2004 01:03 </t>
  </si>
  <si>
    <t> 0.0081 </t>
  </si>
  <si>
    <t>2453061.5680 </t>
  </si>
  <si>
    <t> 26.02.2004 01:37 </t>
  </si>
  <si>
    <t> -0.0013 </t>
  </si>
  <si>
    <t>2453453.4057 </t>
  </si>
  <si>
    <t> 23.03.2005 21:44 </t>
  </si>
  <si>
    <t> 0.0086 </t>
  </si>
  <si>
    <t>C </t>
  </si>
  <si>
    <t>-I</t>
  </si>
  <si>
    <t> M.R„tz &amp; K.R„tz </t>
  </si>
  <si>
    <t>BAVM 178 </t>
  </si>
  <si>
    <t>2453718.8091 </t>
  </si>
  <si>
    <t> 14.12.2005 07:25 </t>
  </si>
  <si>
    <t>-3694</t>
  </si>
  <si>
    <t> 0.0027 </t>
  </si>
  <si>
    <t> R.Nelson </t>
  </si>
  <si>
    <t>IBVS 5672 </t>
  </si>
  <si>
    <t>2454100.861 </t>
  </si>
  <si>
    <t> 31.12.2006 08:39 </t>
  </si>
  <si>
    <t>-3147</t>
  </si>
  <si>
    <t> 0.005 </t>
  </si>
  <si>
    <t>R</t>
  </si>
  <si>
    <t>IBVS 5760 </t>
  </si>
  <si>
    <t>2454564.9864 </t>
  </si>
  <si>
    <t> 08.04.2008 11:40 </t>
  </si>
  <si>
    <t>-2482.5</t>
  </si>
  <si>
    <t> 0.0136 </t>
  </si>
  <si>
    <t>Ic</t>
  </si>
  <si>
    <t> K.Nakajima </t>
  </si>
  <si>
    <t>VSB 48 </t>
  </si>
  <si>
    <t>2454811.876 </t>
  </si>
  <si>
    <t> 11.12.2008 09:01 </t>
  </si>
  <si>
    <t>-2129</t>
  </si>
  <si>
    <t> 0.003 </t>
  </si>
  <si>
    <t>IBVS 5875 </t>
  </si>
  <si>
    <t>2454832.8249 </t>
  </si>
  <si>
    <t> 01.01.2009 07:47 </t>
  </si>
  <si>
    <t>-2099</t>
  </si>
  <si>
    <t> -0.0017 </t>
  </si>
  <si>
    <t> R.Diethelm </t>
  </si>
  <si>
    <t>IBVS 5871 </t>
  </si>
  <si>
    <t>2455628.3580 </t>
  </si>
  <si>
    <t> 07.03.2011 20:35 </t>
  </si>
  <si>
    <t>-960</t>
  </si>
  <si>
    <t> 0.0022 </t>
  </si>
  <si>
    <t>B</t>
  </si>
  <si>
    <t> F.Agerer </t>
  </si>
  <si>
    <t>BAVM 220 </t>
  </si>
  <si>
    <t>2455628.3590 </t>
  </si>
  <si>
    <t> 07.03.2011 20:36 </t>
  </si>
  <si>
    <t> 0.0032 </t>
  </si>
  <si>
    <t>2455643.7250 </t>
  </si>
  <si>
    <t> 23.03.2011 05:24 </t>
  </si>
  <si>
    <t>-938</t>
  </si>
  <si>
    <t> 0.0034 </t>
  </si>
  <si>
    <t>IBVS 5992 </t>
  </si>
  <si>
    <t>2456002.7244 </t>
  </si>
  <si>
    <t> 16.03.2012 05:23 </t>
  </si>
  <si>
    <t>-424</t>
  </si>
  <si>
    <t> 0.0019 </t>
  </si>
  <si>
    <t>IBVS 6029 </t>
  </si>
  <si>
    <t>2456298.8633 </t>
  </si>
  <si>
    <t> 06.01.2013 08:43 </t>
  </si>
  <si>
    <t>0</t>
  </si>
  <si>
    <t> 0.0000 </t>
  </si>
  <si>
    <t>IBVS 6063 </t>
  </si>
  <si>
    <t>BAD?</t>
  </si>
  <si>
    <t>OEJV 0211</t>
  </si>
  <si>
    <t>JBAV, 60</t>
  </si>
  <si>
    <t>JBAV, 63</t>
  </si>
  <si>
    <t>OEJV 234</t>
  </si>
  <si>
    <t>JAAVSO, 51, 250</t>
  </si>
  <si>
    <t xml:space="preserve">Mag </t>
  </si>
  <si>
    <t>Next ToM-P</t>
  </si>
  <si>
    <t>Next ToM-S</t>
  </si>
  <si>
    <t>10.92-11.23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</si>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</sst>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9" applyFill="1" applyBorder="1" applyAlignment="1" applyProtection="1">
      <alignment horizontal="right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165" fontId="9" fillId="24" borderId="0" xfId="28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44" applyFont="1" applyAlignment="1">
      <alignment horizontal="left" vertical="center"/>
    </xf>
    <xf numFmtId="0" fontId="5" fillId="0" borderId="0" xfId="44" applyFont="1" applyAlignment="1">
      <alignment horizontal="left" vertical="center" wrapText="1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38" fillId="0" borderId="22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0" fillId="26" borderId="20" xfId="0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22" fontId="39" fillId="0" borderId="25" xfId="0" applyNumberFormat="1" applyFont="1" applyBorder="1" applyAlignment="1">
      <alignment horizontal="right" vertical="center"/>
    </xf>
    <xf numFmtId="0" fontId="25" fillId="26" borderId="21" xfId="0" applyFont="1" applyFill="1" applyBorder="1" applyAlignment="1">
      <alignment horizontal="center" vertical="center"/>
    </xf>
    <xf numFmtId="167" fontId="37" fillId="0" borderId="0" xfId="0" applyNumberFormat="1" applyFont="1" applyAlignment="1" applyProtection="1">
      <alignment horizontal="left" vertical="center" wrapText="1"/>
      <protection locked="0"/>
    </xf>
    <xf numFmtId="166" fontId="37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Cnc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09861001442757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3-43C2-8B6A-1BB0A3B4C9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2.9363999998167856E-2</c:v>
                </c:pt>
                <c:pt idx="1">
                  <c:v>6.1147999997047009E-2</c:v>
                </c:pt>
                <c:pt idx="2">
                  <c:v>-5.9740000004239846E-2</c:v>
                </c:pt>
                <c:pt idx="3">
                  <c:v>-0.13335599999845726</c:v>
                </c:pt>
                <c:pt idx="4">
                  <c:v>7.8739999997196719E-2</c:v>
                </c:pt>
                <c:pt idx="5">
                  <c:v>9.8012000002199784E-2</c:v>
                </c:pt>
                <c:pt idx="6">
                  <c:v>1.0539999995671678E-2</c:v>
                </c:pt>
                <c:pt idx="7">
                  <c:v>6.76199999943492E-2</c:v>
                </c:pt>
                <c:pt idx="8">
                  <c:v>-3.1971999997040257E-2</c:v>
                </c:pt>
                <c:pt idx="9">
                  <c:v>5.7628000002296176E-2</c:v>
                </c:pt>
                <c:pt idx="10">
                  <c:v>6.1867999997048173E-2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A3-43C2-8B6A-1BB0A3B4C9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1">
                  <c:v>-1.2259999843081459E-2</c:v>
                </c:pt>
                <c:pt idx="12">
                  <c:v>-7.3199982580263168E-4</c:v>
                </c:pt>
                <c:pt idx="13">
                  <c:v>-3.9999993168748915E-4</c:v>
                </c:pt>
                <c:pt idx="14">
                  <c:v>2.5959999984479509E-3</c:v>
                </c:pt>
                <c:pt idx="15">
                  <c:v>1.7879999431897886E-3</c:v>
                </c:pt>
                <c:pt idx="16">
                  <c:v>9.3120001838542521E-3</c:v>
                </c:pt>
                <c:pt idx="17">
                  <c:v>-2.5200002710334957E-4</c:v>
                </c:pt>
                <c:pt idx="18">
                  <c:v>8.1200000058743171E-3</c:v>
                </c:pt>
                <c:pt idx="24">
                  <c:v>-6.6520000036689453E-3</c:v>
                </c:pt>
                <c:pt idx="25">
                  <c:v>-5.6520000071031973E-3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A3-43C2-8B6A-1BB0A3B4C9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9">
                  <c:v>1.2799999967683107E-3</c:v>
                </c:pt>
                <c:pt idx="20">
                  <c:v>2.1239999987301417E-3</c:v>
                </c:pt>
                <c:pt idx="21">
                  <c:v>8.8279999981750734E-3</c:v>
                </c:pt>
                <c:pt idx="22">
                  <c:v>-2.9400000057648867E-3</c:v>
                </c:pt>
                <c:pt idx="23">
                  <c:v>-7.4800000002142042E-3</c:v>
                </c:pt>
                <c:pt idx="26">
                  <c:v>-5.5080000020097941E-3</c:v>
                </c:pt>
                <c:pt idx="27">
                  <c:v>-8.3799999993061647E-3</c:v>
                </c:pt>
                <c:pt idx="28">
                  <c:v>-1.143199999933131E-2</c:v>
                </c:pt>
                <c:pt idx="29">
                  <c:v>-2.2148000003653578E-2</c:v>
                </c:pt>
                <c:pt idx="30">
                  <c:v>-1.8188000001828186E-2</c:v>
                </c:pt>
                <c:pt idx="31">
                  <c:v>-1.4782000071136281E-2</c:v>
                </c:pt>
                <c:pt idx="32">
                  <c:v>-2.4764000001596287E-2</c:v>
                </c:pt>
                <c:pt idx="33">
                  <c:v>-3.1527999999525491E-2</c:v>
                </c:pt>
                <c:pt idx="34">
                  <c:v>-3.0688000006193761E-2</c:v>
                </c:pt>
                <c:pt idx="35">
                  <c:v>-2.972800000134157E-2</c:v>
                </c:pt>
                <c:pt idx="36">
                  <c:v>-3.2799999993585516E-2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3-43C2-8B6A-1BB0A3B4C9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3-43C2-8B6A-1BB0A3B4C9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A3-43C2-8B6A-1BB0A3B4C9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A3-43C2-8B6A-1BB0A3B4C9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0.1599137971060548</c:v>
                </c:pt>
                <c:pt idx="1">
                  <c:v>0.15359015366303927</c:v>
                </c:pt>
                <c:pt idx="2">
                  <c:v>0.14949487954887533</c:v>
                </c:pt>
                <c:pt idx="3">
                  <c:v>0.11442288848096989</c:v>
                </c:pt>
                <c:pt idx="4">
                  <c:v>0.1142818775876112</c:v>
                </c:pt>
                <c:pt idx="5">
                  <c:v>0.10986883244616004</c:v>
                </c:pt>
                <c:pt idx="6">
                  <c:v>0.10822436737994871</c:v>
                </c:pt>
                <c:pt idx="7">
                  <c:v>0.10806548186630512</c:v>
                </c:pt>
                <c:pt idx="8">
                  <c:v>0.10790063814589987</c:v>
                </c:pt>
                <c:pt idx="9">
                  <c:v>0.10770203125384537</c:v>
                </c:pt>
                <c:pt idx="10">
                  <c:v>0.10598408163757388</c:v>
                </c:pt>
                <c:pt idx="11">
                  <c:v>1.0559428212144749E-2</c:v>
                </c:pt>
                <c:pt idx="12">
                  <c:v>1.0553470005383115E-2</c:v>
                </c:pt>
                <c:pt idx="13">
                  <c:v>1.0489915799925672E-2</c:v>
                </c:pt>
                <c:pt idx="14">
                  <c:v>1.0348904906566972E-2</c:v>
                </c:pt>
                <c:pt idx="15">
                  <c:v>1.0315141734917705E-2</c:v>
                </c:pt>
                <c:pt idx="16">
                  <c:v>8.5793174983613118E-3</c:v>
                </c:pt>
                <c:pt idx="17">
                  <c:v>8.4085155711944339E-3</c:v>
                </c:pt>
                <c:pt idx="18">
                  <c:v>6.1801462423428629E-3</c:v>
                </c:pt>
                <c:pt idx="19">
                  <c:v>4.6707338627286071E-3</c:v>
                </c:pt>
                <c:pt idx="20">
                  <c:v>2.4979744636522971E-3</c:v>
                </c:pt>
                <c:pt idx="21">
                  <c:v>-1.4151113175210443E-4</c:v>
                </c:pt>
                <c:pt idx="22">
                  <c:v>-1.5456618585774715E-3</c:v>
                </c:pt>
                <c:pt idx="23">
                  <c:v>-1.6648259938101765E-3</c:v>
                </c:pt>
                <c:pt idx="24">
                  <c:v>-6.1890909948118539E-3</c:v>
                </c:pt>
                <c:pt idx="25">
                  <c:v>-6.1890909948118539E-3</c:v>
                </c:pt>
                <c:pt idx="26">
                  <c:v>-6.2764780273158374E-3</c:v>
                </c:pt>
                <c:pt idx="27">
                  <c:v>-8.3181568776361705E-3</c:v>
                </c:pt>
                <c:pt idx="28">
                  <c:v>-1.0002343322258392E-2</c:v>
                </c:pt>
                <c:pt idx="29">
                  <c:v>-1.8609966023900741E-2</c:v>
                </c:pt>
                <c:pt idx="30">
                  <c:v>-1.8729130159133446E-2</c:v>
                </c:pt>
                <c:pt idx="31">
                  <c:v>-1.8780767951067617E-2</c:v>
                </c:pt>
                <c:pt idx="32">
                  <c:v>-2.6919678387461329E-2</c:v>
                </c:pt>
                <c:pt idx="33">
                  <c:v>-2.8182818220927996E-2</c:v>
                </c:pt>
                <c:pt idx="34">
                  <c:v>-2.9354598884049586E-2</c:v>
                </c:pt>
                <c:pt idx="35">
                  <c:v>-3.1360528493800111E-2</c:v>
                </c:pt>
                <c:pt idx="36">
                  <c:v>-3.3402207344120444E-2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A3-43C2-8B6A-1BB0A3B4C9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A3-43C2-8B6A-1BB0A3B4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8112"/>
        <c:axId val="1"/>
      </c:scatterChart>
      <c:valAx>
        <c:axId val="75883811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Cnc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1-4B1D-9AEB-6561AEADF0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2.9363999998167856E-2</c:v>
                </c:pt>
                <c:pt idx="1">
                  <c:v>6.1147999997047009E-2</c:v>
                </c:pt>
                <c:pt idx="2">
                  <c:v>-5.9740000004239846E-2</c:v>
                </c:pt>
                <c:pt idx="3">
                  <c:v>-0.13335599999845726</c:v>
                </c:pt>
                <c:pt idx="4">
                  <c:v>7.8739999997196719E-2</c:v>
                </c:pt>
                <c:pt idx="5">
                  <c:v>9.8012000002199784E-2</c:v>
                </c:pt>
                <c:pt idx="6">
                  <c:v>1.0539999995671678E-2</c:v>
                </c:pt>
                <c:pt idx="7">
                  <c:v>6.76199999943492E-2</c:v>
                </c:pt>
                <c:pt idx="8">
                  <c:v>-3.1971999997040257E-2</c:v>
                </c:pt>
                <c:pt idx="9">
                  <c:v>5.7628000002296176E-2</c:v>
                </c:pt>
                <c:pt idx="10">
                  <c:v>6.1867999997048173E-2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D1-4B1D-9AEB-6561AEADF0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1">
                  <c:v>-1.2259999843081459E-2</c:v>
                </c:pt>
                <c:pt idx="12">
                  <c:v>-7.3199982580263168E-4</c:v>
                </c:pt>
                <c:pt idx="13">
                  <c:v>-3.9999993168748915E-4</c:v>
                </c:pt>
                <c:pt idx="14">
                  <c:v>2.5959999984479509E-3</c:v>
                </c:pt>
                <c:pt idx="15">
                  <c:v>1.7879999431897886E-3</c:v>
                </c:pt>
                <c:pt idx="16">
                  <c:v>9.3120001838542521E-3</c:v>
                </c:pt>
                <c:pt idx="17">
                  <c:v>-2.5200002710334957E-4</c:v>
                </c:pt>
                <c:pt idx="18">
                  <c:v>8.1200000058743171E-3</c:v>
                </c:pt>
                <c:pt idx="24">
                  <c:v>-6.6520000036689453E-3</c:v>
                </c:pt>
                <c:pt idx="25">
                  <c:v>-5.6520000071031973E-3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D1-4B1D-9AEB-6561AEADF0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9">
                  <c:v>1.2799999967683107E-3</c:v>
                </c:pt>
                <c:pt idx="20">
                  <c:v>2.1239999987301417E-3</c:v>
                </c:pt>
                <c:pt idx="21">
                  <c:v>8.8279999981750734E-3</c:v>
                </c:pt>
                <c:pt idx="22">
                  <c:v>-2.9400000057648867E-3</c:v>
                </c:pt>
                <c:pt idx="23">
                  <c:v>-7.4800000002142042E-3</c:v>
                </c:pt>
                <c:pt idx="26">
                  <c:v>-5.5080000020097941E-3</c:v>
                </c:pt>
                <c:pt idx="27">
                  <c:v>-8.3799999993061647E-3</c:v>
                </c:pt>
                <c:pt idx="28">
                  <c:v>-1.143199999933131E-2</c:v>
                </c:pt>
                <c:pt idx="29">
                  <c:v>-2.2148000003653578E-2</c:v>
                </c:pt>
                <c:pt idx="30">
                  <c:v>-1.8188000001828186E-2</c:v>
                </c:pt>
                <c:pt idx="31">
                  <c:v>-1.4782000071136281E-2</c:v>
                </c:pt>
                <c:pt idx="32">
                  <c:v>-2.4764000001596287E-2</c:v>
                </c:pt>
                <c:pt idx="33">
                  <c:v>-3.1527999999525491E-2</c:v>
                </c:pt>
                <c:pt idx="34">
                  <c:v>-3.0688000006193761E-2</c:v>
                </c:pt>
                <c:pt idx="35">
                  <c:v>-2.972800000134157E-2</c:v>
                </c:pt>
                <c:pt idx="36">
                  <c:v>-3.2799999993585516E-2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D1-4B1D-9AEB-6561AEADF0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D1-4B1D-9AEB-6561AEADF0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D1-4B1D-9AEB-6561AEADF0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D1-4B1D-9AEB-6561AEADF0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0.1599137971060548</c:v>
                </c:pt>
                <c:pt idx="1">
                  <c:v>0.15359015366303927</c:v>
                </c:pt>
                <c:pt idx="2">
                  <c:v>0.14949487954887533</c:v>
                </c:pt>
                <c:pt idx="3">
                  <c:v>0.11442288848096989</c:v>
                </c:pt>
                <c:pt idx="4">
                  <c:v>0.1142818775876112</c:v>
                </c:pt>
                <c:pt idx="5">
                  <c:v>0.10986883244616004</c:v>
                </c:pt>
                <c:pt idx="6">
                  <c:v>0.10822436737994871</c:v>
                </c:pt>
                <c:pt idx="7">
                  <c:v>0.10806548186630512</c:v>
                </c:pt>
                <c:pt idx="8">
                  <c:v>0.10790063814589987</c:v>
                </c:pt>
                <c:pt idx="9">
                  <c:v>0.10770203125384537</c:v>
                </c:pt>
                <c:pt idx="10">
                  <c:v>0.10598408163757388</c:v>
                </c:pt>
                <c:pt idx="11">
                  <c:v>1.0559428212144749E-2</c:v>
                </c:pt>
                <c:pt idx="12">
                  <c:v>1.0553470005383115E-2</c:v>
                </c:pt>
                <c:pt idx="13">
                  <c:v>1.0489915799925672E-2</c:v>
                </c:pt>
                <c:pt idx="14">
                  <c:v>1.0348904906566972E-2</c:v>
                </c:pt>
                <c:pt idx="15">
                  <c:v>1.0315141734917705E-2</c:v>
                </c:pt>
                <c:pt idx="16">
                  <c:v>8.5793174983613118E-3</c:v>
                </c:pt>
                <c:pt idx="17">
                  <c:v>8.4085155711944339E-3</c:v>
                </c:pt>
                <c:pt idx="18">
                  <c:v>6.1801462423428629E-3</c:v>
                </c:pt>
                <c:pt idx="19">
                  <c:v>4.6707338627286071E-3</c:v>
                </c:pt>
                <c:pt idx="20">
                  <c:v>2.4979744636522971E-3</c:v>
                </c:pt>
                <c:pt idx="21">
                  <c:v>-1.4151113175210443E-4</c:v>
                </c:pt>
                <c:pt idx="22">
                  <c:v>-1.5456618585774715E-3</c:v>
                </c:pt>
                <c:pt idx="23">
                  <c:v>-1.6648259938101765E-3</c:v>
                </c:pt>
                <c:pt idx="24">
                  <c:v>-6.1890909948118539E-3</c:v>
                </c:pt>
                <c:pt idx="25">
                  <c:v>-6.1890909948118539E-3</c:v>
                </c:pt>
                <c:pt idx="26">
                  <c:v>-6.2764780273158374E-3</c:v>
                </c:pt>
                <c:pt idx="27">
                  <c:v>-8.3181568776361705E-3</c:v>
                </c:pt>
                <c:pt idx="28">
                  <c:v>-1.0002343322258392E-2</c:v>
                </c:pt>
                <c:pt idx="29">
                  <c:v>-1.8609966023900741E-2</c:v>
                </c:pt>
                <c:pt idx="30">
                  <c:v>-1.8729130159133446E-2</c:v>
                </c:pt>
                <c:pt idx="31">
                  <c:v>-1.8780767951067617E-2</c:v>
                </c:pt>
                <c:pt idx="32">
                  <c:v>-2.6919678387461329E-2</c:v>
                </c:pt>
                <c:pt idx="33">
                  <c:v>-2.8182818220927996E-2</c:v>
                </c:pt>
                <c:pt idx="34">
                  <c:v>-2.9354598884049586E-2</c:v>
                </c:pt>
                <c:pt idx="35">
                  <c:v>-3.1360528493800111E-2</c:v>
                </c:pt>
                <c:pt idx="36">
                  <c:v>-3.3402207344120444E-2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D1-4B1D-9AEB-6561AEADF09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  <c:pt idx="36">
                  <c:v>11050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D1-4B1D-9AEB-6561AEADF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8440"/>
        <c:axId val="1"/>
      </c:scatterChart>
      <c:valAx>
        <c:axId val="75883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83870967741936"/>
          <c:y val="0.92097264437689974"/>
          <c:w val="0.77580645161290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609600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EF28CF4-E975-388C-7233-827C443D7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142875</xdr:colOff>
      <xdr:row>0</xdr:row>
      <xdr:rowOff>0</xdr:rowOff>
    </xdr:from>
    <xdr:to>
      <xdr:col>26</xdr:col>
      <xdr:colOff>314325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90E7314-BAA1-DC07-5075-B1BF51598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konkoly.hu/cgi-bin/IBVS?5591" TargetMode="External"/><Relationship Id="rId7" Type="http://schemas.openxmlformats.org/officeDocument/2006/relationships/hyperlink" Target="http://www.konkoly.hu/cgi-bin/IBVS?5591" TargetMode="External"/><Relationship Id="rId12" Type="http://schemas.openxmlformats.org/officeDocument/2006/relationships/hyperlink" Target="http://www.konkoly.hu/cgi-bin/IBVS?5875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591" TargetMode="External"/><Relationship Id="rId16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591" TargetMode="External"/><Relationship Id="rId6" Type="http://schemas.openxmlformats.org/officeDocument/2006/relationships/hyperlink" Target="http://www.konkoly.hu/cgi-bin/IBVS?5591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591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760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72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65" sqref="F65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3.2851562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s="23" customFormat="1" ht="12.95" customHeight="1" x14ac:dyDescent="0.2">
      <c r="A2" s="23" t="s">
        <v>24</v>
      </c>
      <c r="B2" s="23" t="s">
        <v>28</v>
      </c>
      <c r="C2" s="24"/>
    </row>
    <row r="3" spans="1:6" s="23" customFormat="1" ht="12.95" customHeight="1" thickBot="1" x14ac:dyDescent="0.25">
      <c r="A3" s="23" t="s">
        <v>29</v>
      </c>
      <c r="C3" s="24"/>
    </row>
    <row r="4" spans="1:6" s="23" customFormat="1" ht="12.95" customHeight="1" thickTop="1" thickBot="1" x14ac:dyDescent="0.25">
      <c r="A4" s="25" t="s">
        <v>1</v>
      </c>
      <c r="C4" s="26" t="s">
        <v>35</v>
      </c>
      <c r="D4" s="27">
        <v>0.55569999999999997</v>
      </c>
    </row>
    <row r="5" spans="1:6" s="23" customFormat="1" ht="12.95" customHeight="1" thickTop="1" x14ac:dyDescent="0.2">
      <c r="A5" s="28" t="s">
        <v>41</v>
      </c>
      <c r="C5" s="29">
        <v>-9.5</v>
      </c>
      <c r="D5" s="23" t="s">
        <v>42</v>
      </c>
    </row>
    <row r="6" spans="1:6" s="23" customFormat="1" ht="12.95" customHeight="1" x14ac:dyDescent="0.2">
      <c r="A6" s="25" t="s">
        <v>2</v>
      </c>
    </row>
    <row r="7" spans="1:6" s="23" customFormat="1" ht="12.95" customHeight="1" x14ac:dyDescent="0.2">
      <c r="A7" s="23" t="s">
        <v>3</v>
      </c>
      <c r="C7" s="23">
        <v>52695.5815</v>
      </c>
      <c r="D7" s="29" t="s">
        <v>33</v>
      </c>
    </row>
    <row r="8" spans="1:6" s="23" customFormat="1" ht="12.95" customHeight="1" x14ac:dyDescent="0.2">
      <c r="A8" s="23" t="s">
        <v>4</v>
      </c>
      <c r="C8" s="23">
        <v>0.69844799999999996</v>
      </c>
      <c r="D8" s="30">
        <v>5591</v>
      </c>
      <c r="E8" s="29" t="s">
        <v>40</v>
      </c>
    </row>
    <row r="9" spans="1:6" s="23" customFormat="1" ht="12.95" customHeight="1" x14ac:dyDescent="0.2">
      <c r="A9" s="31" t="s">
        <v>46</v>
      </c>
      <c r="B9" s="30">
        <v>39</v>
      </c>
      <c r="C9" s="32" t="str">
        <f>"F"&amp;B9</f>
        <v>F39</v>
      </c>
      <c r="D9" s="24" t="str">
        <f>"G"&amp;B9</f>
        <v>G39</v>
      </c>
    </row>
    <row r="10" spans="1:6" s="23" customFormat="1" ht="12.95" customHeight="1" thickBot="1" x14ac:dyDescent="0.25">
      <c r="C10" s="33" t="s">
        <v>20</v>
      </c>
      <c r="D10" s="33" t="s">
        <v>21</v>
      </c>
    </row>
    <row r="11" spans="1:6" s="23" customFormat="1" ht="12.95" customHeight="1" x14ac:dyDescent="0.2">
      <c r="A11" s="23" t="s">
        <v>16</v>
      </c>
      <c r="C11" s="24">
        <f ca="1">INTERCEPT(INDIRECT($D$9):G986,INDIRECT($C$9):F986)</f>
        <v>1.0489915799925672E-2</v>
      </c>
      <c r="D11" s="34"/>
    </row>
    <row r="12" spans="1:6" s="23" customFormat="1" ht="12.95" customHeight="1" x14ac:dyDescent="0.2">
      <c r="A12" s="23" t="s">
        <v>17</v>
      </c>
      <c r="C12" s="24">
        <f ca="1">SLOPE(INDIRECT($D$9):G986,INDIRECT($C$9):F986)</f>
        <v>-3.9721378410901463E-6</v>
      </c>
      <c r="D12" s="34"/>
      <c r="E12" s="71" t="s">
        <v>200</v>
      </c>
      <c r="F12" s="76" t="s">
        <v>203</v>
      </c>
    </row>
    <row r="13" spans="1:6" s="23" customFormat="1" ht="12.95" customHeight="1" x14ac:dyDescent="0.2">
      <c r="A13" s="23" t="s">
        <v>19</v>
      </c>
      <c r="C13" s="34" t="s">
        <v>14</v>
      </c>
      <c r="E13" s="69" t="s">
        <v>48</v>
      </c>
      <c r="F13" s="72">
        <v>1</v>
      </c>
    </row>
    <row r="14" spans="1:6" s="23" customFormat="1" ht="12.95" customHeight="1" x14ac:dyDescent="0.2">
      <c r="E14" s="69" t="s">
        <v>43</v>
      </c>
      <c r="F14" s="73">
        <f ca="1">NOW()+15018.5+$C$5/24</f>
        <v>60679.825662847223</v>
      </c>
    </row>
    <row r="15" spans="1:6" s="23" customFormat="1" ht="12.95" customHeight="1" x14ac:dyDescent="0.2">
      <c r="A15" s="35" t="s">
        <v>18</v>
      </c>
      <c r="C15" s="36">
        <f ca="1">(C7+C11)+(C8+C12)*INT(MAX(F21:F3527))</f>
        <v>60413.398497792659</v>
      </c>
      <c r="E15" s="69" t="s">
        <v>49</v>
      </c>
      <c r="F15" s="73">
        <f ca="1">ROUND(2*($F$14-$C$7)/$C$8,0)/2+$F$13</f>
        <v>11432.5</v>
      </c>
    </row>
    <row r="16" spans="1:6" s="23" customFormat="1" ht="12.95" customHeight="1" x14ac:dyDescent="0.2">
      <c r="A16" s="25" t="s">
        <v>5</v>
      </c>
      <c r="C16" s="38">
        <f ca="1">+C8+C12</f>
        <v>0.69844402786215887</v>
      </c>
      <c r="E16" s="69" t="s">
        <v>44</v>
      </c>
      <c r="F16" s="73">
        <f ca="1">ROUND(2*($F$14-$C$15)/$C$16,0)/2+$F$13</f>
        <v>382.5</v>
      </c>
    </row>
    <row r="17" spans="1:21" s="23" customFormat="1" ht="12.95" customHeight="1" thickBot="1" x14ac:dyDescent="0.25">
      <c r="A17" s="37" t="s">
        <v>36</v>
      </c>
      <c r="C17" s="23">
        <f>COUNT(C21:C2185)</f>
        <v>37</v>
      </c>
      <c r="E17" s="69" t="s">
        <v>201</v>
      </c>
      <c r="F17" s="74">
        <f ca="1">+$C$15+$C$16*$F$16-15018.5-$C$5/24</f>
        <v>45662.449171783272</v>
      </c>
    </row>
    <row r="18" spans="1:21" s="23" customFormat="1" ht="12.95" customHeight="1" thickTop="1" thickBot="1" x14ac:dyDescent="0.25">
      <c r="A18" s="25" t="s">
        <v>6</v>
      </c>
      <c r="C18" s="39">
        <f ca="1">+C15</f>
        <v>60413.398497792659</v>
      </c>
      <c r="D18" s="68">
        <f ca="1">+C16</f>
        <v>0.69844402786215887</v>
      </c>
      <c r="E18" s="70" t="s">
        <v>202</v>
      </c>
      <c r="F18" s="75">
        <f ca="1">+($C$15+$C$16*$F$16)-($C$16/2)-15018.5-$C$5/24</f>
        <v>45662.099949769341</v>
      </c>
    </row>
    <row r="19" spans="1:21" s="23" customFormat="1" ht="12.95" customHeight="1" thickTop="1" x14ac:dyDescent="0.2">
      <c r="E19" s="37"/>
      <c r="F19" s="40"/>
    </row>
    <row r="20" spans="1:21" s="23" customFormat="1" ht="12.95" customHeight="1" thickBot="1" x14ac:dyDescent="0.25">
      <c r="A20" s="33" t="s">
        <v>7</v>
      </c>
      <c r="B20" s="33" t="s">
        <v>8</v>
      </c>
      <c r="C20" s="33" t="s">
        <v>9</v>
      </c>
      <c r="D20" s="33" t="s">
        <v>13</v>
      </c>
      <c r="E20" s="33" t="s">
        <v>10</v>
      </c>
      <c r="F20" s="33" t="s">
        <v>11</v>
      </c>
      <c r="G20" s="33" t="s">
        <v>12</v>
      </c>
      <c r="H20" s="41" t="s">
        <v>62</v>
      </c>
      <c r="I20" s="41" t="s">
        <v>65</v>
      </c>
      <c r="J20" s="41" t="s">
        <v>59</v>
      </c>
      <c r="K20" s="41" t="s">
        <v>57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33" t="s">
        <v>15</v>
      </c>
      <c r="U20" s="43" t="s">
        <v>194</v>
      </c>
    </row>
    <row r="21" spans="1:21" s="23" customFormat="1" ht="12.95" customHeight="1" x14ac:dyDescent="0.2">
      <c r="A21" s="44" t="s">
        <v>71</v>
      </c>
      <c r="B21" s="45" t="s">
        <v>30</v>
      </c>
      <c r="C21" s="46">
        <v>26421.394</v>
      </c>
      <c r="D21" s="46" t="s">
        <v>65</v>
      </c>
      <c r="E21" s="23">
        <f t="shared" ref="E21:E51" si="0">+(C21-C$7)/C$8</f>
        <v>-37617.957958215935</v>
      </c>
      <c r="F21" s="23">
        <f t="shared" ref="F21:F52" si="1">ROUND(2*E21,0)/2</f>
        <v>-37618</v>
      </c>
      <c r="G21" s="23">
        <f t="shared" ref="G21:G31" si="2">+C21-(C$7+F21*C$8)</f>
        <v>2.9363999998167856E-2</v>
      </c>
      <c r="I21" s="23">
        <f t="shared" ref="I21:I31" si="3">+G21</f>
        <v>2.9363999998167856E-2</v>
      </c>
      <c r="O21" s="23">
        <f t="shared" ref="O21:O51" ca="1" si="4">+C$11+C$12*$F21</f>
        <v>0.1599137971060548</v>
      </c>
      <c r="Q21" s="47">
        <f t="shared" ref="Q21:Q51" si="5">+C21-15018.5</f>
        <v>11402.894</v>
      </c>
    </row>
    <row r="22" spans="1:21" s="23" customFormat="1" ht="12.95" customHeight="1" x14ac:dyDescent="0.2">
      <c r="A22" s="44" t="s">
        <v>71</v>
      </c>
      <c r="B22" s="45" t="s">
        <v>30</v>
      </c>
      <c r="C22" s="46">
        <v>27533.355</v>
      </c>
      <c r="D22" s="46" t="s">
        <v>65</v>
      </c>
      <c r="E22" s="23">
        <f t="shared" si="0"/>
        <v>-36025.912451606993</v>
      </c>
      <c r="F22" s="23">
        <f t="shared" si="1"/>
        <v>-36026</v>
      </c>
      <c r="G22" s="23">
        <f t="shared" si="2"/>
        <v>6.1147999997047009E-2</v>
      </c>
      <c r="I22" s="23">
        <f t="shared" si="3"/>
        <v>6.1147999997047009E-2</v>
      </c>
      <c r="O22" s="23">
        <f t="shared" ca="1" si="4"/>
        <v>0.15359015366303927</v>
      </c>
      <c r="Q22" s="47">
        <f t="shared" si="5"/>
        <v>12514.855</v>
      </c>
    </row>
    <row r="23" spans="1:21" s="23" customFormat="1" ht="12.95" customHeight="1" x14ac:dyDescent="0.2">
      <c r="A23" s="44" t="s">
        <v>71</v>
      </c>
      <c r="B23" s="45" t="s">
        <v>30</v>
      </c>
      <c r="C23" s="46">
        <v>28253.333999999999</v>
      </c>
      <c r="D23" s="46" t="s">
        <v>65</v>
      </c>
      <c r="E23" s="23">
        <f t="shared" si="0"/>
        <v>-34995.085532494908</v>
      </c>
      <c r="F23" s="23">
        <f t="shared" si="1"/>
        <v>-34995</v>
      </c>
      <c r="G23" s="23">
        <f t="shared" si="2"/>
        <v>-5.9740000004239846E-2</v>
      </c>
      <c r="I23" s="23">
        <f t="shared" si="3"/>
        <v>-5.9740000004239846E-2</v>
      </c>
      <c r="O23" s="23">
        <f t="shared" ca="1" si="4"/>
        <v>0.14949487954887533</v>
      </c>
      <c r="Q23" s="47">
        <f t="shared" si="5"/>
        <v>13234.833999999999</v>
      </c>
    </row>
    <row r="24" spans="1:21" s="23" customFormat="1" ht="12.95" customHeight="1" x14ac:dyDescent="0.2">
      <c r="A24" s="44" t="s">
        <v>82</v>
      </c>
      <c r="B24" s="45" t="s">
        <v>31</v>
      </c>
      <c r="C24" s="46">
        <v>34420.207000000002</v>
      </c>
      <c r="D24" s="46" t="s">
        <v>65</v>
      </c>
      <c r="E24" s="23">
        <f t="shared" si="0"/>
        <v>-26165.690931894715</v>
      </c>
      <c r="F24" s="23">
        <f t="shared" si="1"/>
        <v>-26165.5</v>
      </c>
      <c r="G24" s="23">
        <f t="shared" si="2"/>
        <v>-0.13335599999845726</v>
      </c>
      <c r="I24" s="23">
        <f t="shared" si="3"/>
        <v>-0.13335599999845726</v>
      </c>
      <c r="O24" s="23">
        <f t="shared" ca="1" si="4"/>
        <v>0.11442288848096989</v>
      </c>
      <c r="Q24" s="47">
        <f t="shared" si="5"/>
        <v>19401.707000000002</v>
      </c>
    </row>
    <row r="25" spans="1:21" s="23" customFormat="1" ht="12.95" customHeight="1" x14ac:dyDescent="0.2">
      <c r="A25" s="44" t="s">
        <v>82</v>
      </c>
      <c r="B25" s="45" t="s">
        <v>31</v>
      </c>
      <c r="C25" s="46">
        <v>34445.214</v>
      </c>
      <c r="D25" s="46" t="s">
        <v>65</v>
      </c>
      <c r="E25" s="23">
        <f t="shared" si="0"/>
        <v>-26129.88726433464</v>
      </c>
      <c r="F25" s="23">
        <f t="shared" si="1"/>
        <v>-26130</v>
      </c>
      <c r="G25" s="23">
        <f t="shared" si="2"/>
        <v>7.8739999997196719E-2</v>
      </c>
      <c r="I25" s="23">
        <f t="shared" si="3"/>
        <v>7.8739999997196719E-2</v>
      </c>
      <c r="O25" s="23">
        <f t="shared" ca="1" si="4"/>
        <v>0.1142818775876112</v>
      </c>
      <c r="Q25" s="47">
        <f t="shared" si="5"/>
        <v>19426.714</v>
      </c>
    </row>
    <row r="26" spans="1:21" s="23" customFormat="1" ht="12.95" customHeight="1" x14ac:dyDescent="0.2">
      <c r="A26" s="44" t="s">
        <v>89</v>
      </c>
      <c r="B26" s="45" t="s">
        <v>31</v>
      </c>
      <c r="C26" s="46">
        <v>35221.209000000003</v>
      </c>
      <c r="D26" s="46" t="s">
        <v>65</v>
      </c>
      <c r="E26" s="23">
        <f t="shared" si="0"/>
        <v>-25018.859671729319</v>
      </c>
      <c r="F26" s="23">
        <f t="shared" si="1"/>
        <v>-25019</v>
      </c>
      <c r="G26" s="23">
        <f t="shared" si="2"/>
        <v>9.8012000002199784E-2</v>
      </c>
      <c r="I26" s="23">
        <f t="shared" si="3"/>
        <v>9.8012000002199784E-2</v>
      </c>
      <c r="O26" s="23">
        <f t="shared" ca="1" si="4"/>
        <v>0.10986883244616004</v>
      </c>
      <c r="Q26" s="47">
        <f t="shared" si="5"/>
        <v>20202.709000000003</v>
      </c>
    </row>
    <row r="27" spans="1:21" s="23" customFormat="1" ht="12.95" customHeight="1" x14ac:dyDescent="0.2">
      <c r="A27" s="44" t="s">
        <v>89</v>
      </c>
      <c r="B27" s="45" t="s">
        <v>31</v>
      </c>
      <c r="C27" s="46">
        <v>35510.279000000002</v>
      </c>
      <c r="D27" s="46" t="s">
        <v>65</v>
      </c>
      <c r="E27" s="23">
        <f t="shared" si="0"/>
        <v>-24604.984909399125</v>
      </c>
      <c r="F27" s="23">
        <f t="shared" si="1"/>
        <v>-24605</v>
      </c>
      <c r="G27" s="23">
        <f t="shared" si="2"/>
        <v>1.0539999995671678E-2</v>
      </c>
      <c r="I27" s="23">
        <f t="shared" si="3"/>
        <v>1.0539999995671678E-2</v>
      </c>
      <c r="O27" s="23">
        <f t="shared" ca="1" si="4"/>
        <v>0.10822436737994871</v>
      </c>
      <c r="Q27" s="47">
        <f t="shared" si="5"/>
        <v>20491.779000000002</v>
      </c>
    </row>
    <row r="28" spans="1:21" s="23" customFormat="1" ht="12.95" customHeight="1" x14ac:dyDescent="0.2">
      <c r="A28" s="44" t="s">
        <v>89</v>
      </c>
      <c r="B28" s="45" t="s">
        <v>31</v>
      </c>
      <c r="C28" s="48">
        <v>35538.273999999998</v>
      </c>
      <c r="D28" s="46" t="s">
        <v>65</v>
      </c>
      <c r="E28" s="23">
        <f t="shared" si="0"/>
        <v>-24564.903185348092</v>
      </c>
      <c r="F28" s="23">
        <f t="shared" si="1"/>
        <v>-24565</v>
      </c>
      <c r="G28" s="23">
        <f t="shared" si="2"/>
        <v>6.76199999943492E-2</v>
      </c>
      <c r="I28" s="23">
        <f t="shared" si="3"/>
        <v>6.76199999943492E-2</v>
      </c>
      <c r="O28" s="23">
        <f t="shared" ca="1" si="4"/>
        <v>0.10806548186630512</v>
      </c>
      <c r="Q28" s="47">
        <f t="shared" si="5"/>
        <v>20519.773999999998</v>
      </c>
    </row>
    <row r="29" spans="1:21" s="23" customFormat="1" ht="12.95" customHeight="1" x14ac:dyDescent="0.2">
      <c r="A29" s="44" t="s">
        <v>89</v>
      </c>
      <c r="B29" s="45" t="s">
        <v>30</v>
      </c>
      <c r="C29" s="46">
        <v>35567.160000000003</v>
      </c>
      <c r="D29" s="46" t="s">
        <v>65</v>
      </c>
      <c r="E29" s="23">
        <f t="shared" si="0"/>
        <v>-24523.545775777147</v>
      </c>
      <c r="F29" s="23">
        <f t="shared" si="1"/>
        <v>-24523.5</v>
      </c>
      <c r="G29" s="23">
        <f t="shared" si="2"/>
        <v>-3.1971999997040257E-2</v>
      </c>
      <c r="I29" s="23">
        <f t="shared" si="3"/>
        <v>-3.1971999997040257E-2</v>
      </c>
      <c r="O29" s="23">
        <f t="shared" ca="1" si="4"/>
        <v>0.10790063814589987</v>
      </c>
      <c r="Q29" s="47">
        <f t="shared" si="5"/>
        <v>20548.660000000003</v>
      </c>
    </row>
    <row r="30" spans="1:21" s="23" customFormat="1" ht="12.95" customHeight="1" x14ac:dyDescent="0.2">
      <c r="A30" s="44" t="s">
        <v>89</v>
      </c>
      <c r="B30" s="45" t="s">
        <v>30</v>
      </c>
      <c r="C30" s="46">
        <v>35602.171999999999</v>
      </c>
      <c r="D30" s="46" t="s">
        <v>65</v>
      </c>
      <c r="E30" s="23">
        <f t="shared" si="0"/>
        <v>-24473.417491352258</v>
      </c>
      <c r="F30" s="23">
        <f t="shared" si="1"/>
        <v>-24473.5</v>
      </c>
      <c r="G30" s="23">
        <f t="shared" si="2"/>
        <v>5.7628000002296176E-2</v>
      </c>
      <c r="I30" s="23">
        <f t="shared" si="3"/>
        <v>5.7628000002296176E-2</v>
      </c>
      <c r="O30" s="23">
        <f t="shared" ca="1" si="4"/>
        <v>0.10770203125384537</v>
      </c>
      <c r="Q30" s="47">
        <f t="shared" si="5"/>
        <v>20583.671999999999</v>
      </c>
    </row>
    <row r="31" spans="1:21" s="23" customFormat="1" ht="12.95" customHeight="1" x14ac:dyDescent="0.2">
      <c r="A31" s="44" t="s">
        <v>89</v>
      </c>
      <c r="B31" s="45" t="s">
        <v>31</v>
      </c>
      <c r="C31" s="46">
        <v>35904.254999999997</v>
      </c>
      <c r="D31" s="46" t="s">
        <v>65</v>
      </c>
      <c r="E31" s="23">
        <f t="shared" si="0"/>
        <v>-24040.91142075001</v>
      </c>
      <c r="F31" s="23">
        <f t="shared" si="1"/>
        <v>-24041</v>
      </c>
      <c r="G31" s="23">
        <f t="shared" si="2"/>
        <v>6.1867999997048173E-2</v>
      </c>
      <c r="I31" s="23">
        <f t="shared" si="3"/>
        <v>6.1867999997048173E-2</v>
      </c>
      <c r="O31" s="23">
        <f t="shared" ca="1" si="4"/>
        <v>0.10598408163757388</v>
      </c>
      <c r="Q31" s="47">
        <f t="shared" si="5"/>
        <v>20885.754999999997</v>
      </c>
    </row>
    <row r="32" spans="1:21" s="23" customFormat="1" ht="12.95" customHeight="1" x14ac:dyDescent="0.2">
      <c r="A32" s="49" t="s">
        <v>32</v>
      </c>
      <c r="B32" s="34" t="s">
        <v>30</v>
      </c>
      <c r="C32" s="49">
        <v>52683.346400000155</v>
      </c>
      <c r="D32" s="49">
        <v>2.9999999999999997E-4</v>
      </c>
      <c r="E32" s="23">
        <f t="shared" si="0"/>
        <v>-17.517553203452888</v>
      </c>
      <c r="F32" s="23">
        <f t="shared" si="1"/>
        <v>-17.5</v>
      </c>
      <c r="G32" s="23">
        <f t="shared" ref="G32:G51" si="6">+C32-(C$7+F32*C$8)</f>
        <v>-1.2259999843081459E-2</v>
      </c>
      <c r="J32" s="23">
        <f t="shared" ref="J32:J39" si="7">+G32</f>
        <v>-1.2259999843081459E-2</v>
      </c>
      <c r="O32" s="23">
        <f t="shared" ca="1" si="4"/>
        <v>1.0559428212144749E-2</v>
      </c>
      <c r="Q32" s="47">
        <f t="shared" si="5"/>
        <v>37664.846400000155</v>
      </c>
    </row>
    <row r="33" spans="1:17" s="23" customFormat="1" ht="12.95" customHeight="1" x14ac:dyDescent="0.2">
      <c r="A33" s="49" t="s">
        <v>32</v>
      </c>
      <c r="B33" s="34" t="s">
        <v>31</v>
      </c>
      <c r="C33" s="49">
        <v>52684.405600000173</v>
      </c>
      <c r="D33" s="49">
        <v>2.9999999999999997E-4</v>
      </c>
      <c r="E33" s="23">
        <f t="shared" si="0"/>
        <v>-16.001048037688388</v>
      </c>
      <c r="F33" s="23">
        <f t="shared" si="1"/>
        <v>-16</v>
      </c>
      <c r="G33" s="23">
        <f t="shared" si="6"/>
        <v>-7.3199982580263168E-4</v>
      </c>
      <c r="J33" s="23">
        <f t="shared" si="7"/>
        <v>-7.3199982580263168E-4</v>
      </c>
      <c r="O33" s="23">
        <f t="shared" ca="1" si="4"/>
        <v>1.0553470005383115E-2</v>
      </c>
      <c r="Q33" s="47">
        <f t="shared" si="5"/>
        <v>37665.905600000173</v>
      </c>
    </row>
    <row r="34" spans="1:17" s="23" customFormat="1" ht="12.95" customHeight="1" x14ac:dyDescent="0.2">
      <c r="A34" s="49" t="s">
        <v>32</v>
      </c>
      <c r="B34" s="34" t="s">
        <v>31</v>
      </c>
      <c r="C34" s="49">
        <v>52695.581100000069</v>
      </c>
      <c r="D34" s="49">
        <v>2.9999999999999997E-4</v>
      </c>
      <c r="E34" s="23">
        <f t="shared" si="0"/>
        <v>-5.7269822762394504E-4</v>
      </c>
      <c r="F34" s="23">
        <f t="shared" si="1"/>
        <v>0</v>
      </c>
      <c r="G34" s="23">
        <f t="shared" si="6"/>
        <v>-3.9999993168748915E-4</v>
      </c>
      <c r="J34" s="23">
        <f t="shared" si="7"/>
        <v>-3.9999993168748915E-4</v>
      </c>
      <c r="O34" s="23">
        <f t="shared" ca="1" si="4"/>
        <v>1.0489915799925672E-2</v>
      </c>
      <c r="Q34" s="47">
        <f t="shared" si="5"/>
        <v>37677.081100000069</v>
      </c>
    </row>
    <row r="35" spans="1:17" s="23" customFormat="1" ht="12.95" customHeight="1" x14ac:dyDescent="0.2">
      <c r="A35" s="49" t="s">
        <v>34</v>
      </c>
      <c r="B35" s="34" t="s">
        <v>30</v>
      </c>
      <c r="C35" s="49">
        <v>52720.379000000001</v>
      </c>
      <c r="D35" s="49">
        <v>4.0000000000000002E-4</v>
      </c>
      <c r="E35" s="23">
        <f t="shared" si="0"/>
        <v>35.503716812132879</v>
      </c>
      <c r="F35" s="23">
        <f t="shared" si="1"/>
        <v>35.5</v>
      </c>
      <c r="G35" s="23">
        <f t="shared" si="6"/>
        <v>2.5959999984479509E-3</v>
      </c>
      <c r="J35" s="23">
        <f t="shared" si="7"/>
        <v>2.5959999984479509E-3</v>
      </c>
      <c r="O35" s="23">
        <f t="shared" ca="1" si="4"/>
        <v>1.0348904906566972E-2</v>
      </c>
      <c r="Q35" s="47">
        <f t="shared" si="5"/>
        <v>37701.879000000001</v>
      </c>
    </row>
    <row r="36" spans="1:17" s="23" customFormat="1" ht="12.95" customHeight="1" x14ac:dyDescent="0.2">
      <c r="A36" s="49" t="s">
        <v>32</v>
      </c>
      <c r="B36" s="34" t="s">
        <v>31</v>
      </c>
      <c r="C36" s="49">
        <v>52726.314999999944</v>
      </c>
      <c r="D36" s="49">
        <v>4.0000000000000002E-4</v>
      </c>
      <c r="E36" s="23">
        <f t="shared" si="0"/>
        <v>44.002559961434336</v>
      </c>
      <c r="F36" s="23">
        <f t="shared" si="1"/>
        <v>44</v>
      </c>
      <c r="G36" s="23">
        <f t="shared" si="6"/>
        <v>1.7879999431897886E-3</v>
      </c>
      <c r="J36" s="23">
        <f t="shared" si="7"/>
        <v>1.7879999431897886E-3</v>
      </c>
      <c r="O36" s="23">
        <f t="shared" ca="1" si="4"/>
        <v>1.0315141734917705E-2</v>
      </c>
      <c r="Q36" s="47">
        <f t="shared" si="5"/>
        <v>37707.814999999944</v>
      </c>
    </row>
    <row r="37" spans="1:17" s="23" customFormat="1" ht="12.95" customHeight="1" x14ac:dyDescent="0.2">
      <c r="A37" s="49" t="s">
        <v>32</v>
      </c>
      <c r="B37" s="34" t="s">
        <v>31</v>
      </c>
      <c r="C37" s="49">
        <v>53031.544300000183</v>
      </c>
      <c r="D37" s="49">
        <v>8.9999999999999998E-4</v>
      </c>
      <c r="E37" s="23">
        <f t="shared" si="0"/>
        <v>481.01333241727815</v>
      </c>
      <c r="F37" s="23">
        <f t="shared" si="1"/>
        <v>481</v>
      </c>
      <c r="G37" s="23">
        <f t="shared" si="6"/>
        <v>9.3120001838542521E-3</v>
      </c>
      <c r="J37" s="23">
        <f t="shared" si="7"/>
        <v>9.3120001838542521E-3</v>
      </c>
      <c r="O37" s="23">
        <f t="shared" ca="1" si="4"/>
        <v>8.5793174983613118E-3</v>
      </c>
      <c r="Q37" s="47">
        <f t="shared" si="5"/>
        <v>38013.044300000183</v>
      </c>
    </row>
    <row r="38" spans="1:17" s="23" customFormat="1" ht="12.95" customHeight="1" x14ac:dyDescent="0.2">
      <c r="A38" s="49" t="s">
        <v>32</v>
      </c>
      <c r="B38" s="34" t="s">
        <v>31</v>
      </c>
      <c r="C38" s="49">
        <v>53061.56799999997</v>
      </c>
      <c r="D38" s="49">
        <v>4.0000000000000002E-4</v>
      </c>
      <c r="E38" s="23">
        <f t="shared" si="0"/>
        <v>523.99963920001198</v>
      </c>
      <c r="F38" s="23">
        <f t="shared" si="1"/>
        <v>524</v>
      </c>
      <c r="G38" s="23">
        <f t="shared" si="6"/>
        <v>-2.5200002710334957E-4</v>
      </c>
      <c r="J38" s="23">
        <f t="shared" si="7"/>
        <v>-2.5200002710334957E-4</v>
      </c>
      <c r="O38" s="23">
        <f t="shared" ca="1" si="4"/>
        <v>8.4085155711944339E-3</v>
      </c>
      <c r="Q38" s="47">
        <f t="shared" si="5"/>
        <v>38043.06799999997</v>
      </c>
    </row>
    <row r="39" spans="1:17" s="23" customFormat="1" ht="12.95" customHeight="1" x14ac:dyDescent="0.2">
      <c r="A39" s="23" t="s">
        <v>39</v>
      </c>
      <c r="B39" s="50"/>
      <c r="C39" s="49">
        <v>53453.405700000003</v>
      </c>
      <c r="D39" s="49">
        <v>1.5E-3</v>
      </c>
      <c r="E39" s="23">
        <f t="shared" si="0"/>
        <v>1085.0116257760103</v>
      </c>
      <c r="F39" s="23">
        <f t="shared" si="1"/>
        <v>1085</v>
      </c>
      <c r="G39" s="23">
        <f t="shared" si="6"/>
        <v>8.1200000058743171E-3</v>
      </c>
      <c r="J39" s="23">
        <f t="shared" si="7"/>
        <v>8.1200000058743171E-3</v>
      </c>
      <c r="O39" s="23">
        <f t="shared" ca="1" si="4"/>
        <v>6.1801462423428629E-3</v>
      </c>
      <c r="Q39" s="47">
        <f t="shared" si="5"/>
        <v>38434.905700000003</v>
      </c>
    </row>
    <row r="40" spans="1:17" s="23" customFormat="1" ht="12.95" customHeight="1" x14ac:dyDescent="0.2">
      <c r="A40" s="51" t="s">
        <v>37</v>
      </c>
      <c r="C40" s="52">
        <v>53718.809099999999</v>
      </c>
      <c r="D40" s="49">
        <v>2.9999999999999997E-4</v>
      </c>
      <c r="E40" s="23">
        <f t="shared" si="0"/>
        <v>1465.0018326346392</v>
      </c>
      <c r="F40" s="23">
        <f t="shared" si="1"/>
        <v>1465</v>
      </c>
      <c r="G40" s="23">
        <f t="shared" si="6"/>
        <v>1.2799999967683107E-3</v>
      </c>
      <c r="K40" s="23">
        <f>+G40</f>
        <v>1.2799999967683107E-3</v>
      </c>
      <c r="O40" s="23">
        <f t="shared" ca="1" si="4"/>
        <v>4.6707338627286071E-3</v>
      </c>
      <c r="Q40" s="47">
        <f t="shared" si="5"/>
        <v>38700.309099999999</v>
      </c>
    </row>
    <row r="41" spans="1:17" s="23" customFormat="1" ht="12.95" customHeight="1" x14ac:dyDescent="0.2">
      <c r="A41" s="53" t="s">
        <v>45</v>
      </c>
      <c r="C41" s="51">
        <v>54100.860999999997</v>
      </c>
      <c r="D41" s="49">
        <v>1E-3</v>
      </c>
      <c r="E41" s="23">
        <f t="shared" si="0"/>
        <v>2012.0030410281038</v>
      </c>
      <c r="F41" s="23">
        <f t="shared" si="1"/>
        <v>2012</v>
      </c>
      <c r="G41" s="23">
        <f t="shared" si="6"/>
        <v>2.1239999987301417E-3</v>
      </c>
      <c r="K41" s="23">
        <f>+G41</f>
        <v>2.1239999987301417E-3</v>
      </c>
      <c r="O41" s="23">
        <f t="shared" ca="1" si="4"/>
        <v>2.4979744636522971E-3</v>
      </c>
      <c r="Q41" s="47">
        <f t="shared" si="5"/>
        <v>39082.360999999997</v>
      </c>
    </row>
    <row r="42" spans="1:17" s="23" customFormat="1" ht="12.95" customHeight="1" x14ac:dyDescent="0.2">
      <c r="A42" s="44" t="s">
        <v>157</v>
      </c>
      <c r="B42" s="45" t="s">
        <v>30</v>
      </c>
      <c r="C42" s="46">
        <v>54564.986400000002</v>
      </c>
      <c r="D42" s="46" t="s">
        <v>65</v>
      </c>
      <c r="E42" s="23">
        <f t="shared" si="0"/>
        <v>2676.5126394520444</v>
      </c>
      <c r="F42" s="23">
        <f t="shared" si="1"/>
        <v>2676.5</v>
      </c>
      <c r="G42" s="23">
        <f t="shared" si="6"/>
        <v>8.8279999981750734E-3</v>
      </c>
      <c r="K42" s="23">
        <f>+G42</f>
        <v>8.8279999981750734E-3</v>
      </c>
      <c r="O42" s="23">
        <f t="shared" ca="1" si="4"/>
        <v>-1.4151113175210443E-4</v>
      </c>
      <c r="Q42" s="47">
        <f t="shared" si="5"/>
        <v>39546.486400000002</v>
      </c>
    </row>
    <row r="43" spans="1:17" s="23" customFormat="1" ht="12.95" customHeight="1" x14ac:dyDescent="0.2">
      <c r="A43" s="5" t="s">
        <v>50</v>
      </c>
      <c r="B43" s="6" t="s">
        <v>31</v>
      </c>
      <c r="C43" s="5">
        <v>54811.875999999997</v>
      </c>
      <c r="D43" s="5">
        <v>1E-3</v>
      </c>
      <c r="E43" s="23">
        <f t="shared" si="0"/>
        <v>3029.995790667303</v>
      </c>
      <c r="F43" s="23">
        <f t="shared" si="1"/>
        <v>3030</v>
      </c>
      <c r="G43" s="23">
        <f t="shared" si="6"/>
        <v>-2.9400000057648867E-3</v>
      </c>
      <c r="K43" s="23">
        <f>+G43</f>
        <v>-2.9400000057648867E-3</v>
      </c>
      <c r="O43" s="23">
        <f t="shared" ca="1" si="4"/>
        <v>-1.5456618585774715E-3</v>
      </c>
      <c r="Q43" s="47">
        <f t="shared" si="5"/>
        <v>39793.375999999997</v>
      </c>
    </row>
    <row r="44" spans="1:17" s="23" customFormat="1" ht="12.95" customHeight="1" x14ac:dyDescent="0.2">
      <c r="A44" s="5" t="s">
        <v>47</v>
      </c>
      <c r="B44" s="6" t="s">
        <v>31</v>
      </c>
      <c r="C44" s="5">
        <v>54832.8249</v>
      </c>
      <c r="D44" s="5">
        <v>1.1999999999999999E-3</v>
      </c>
      <c r="E44" s="23">
        <f t="shared" si="0"/>
        <v>3059.9892905413139</v>
      </c>
      <c r="F44" s="23">
        <f t="shared" si="1"/>
        <v>3060</v>
      </c>
      <c r="G44" s="23">
        <f t="shared" si="6"/>
        <v>-7.4800000002142042E-3</v>
      </c>
      <c r="K44" s="23">
        <f>+G44</f>
        <v>-7.4800000002142042E-3</v>
      </c>
      <c r="O44" s="23">
        <f t="shared" ca="1" si="4"/>
        <v>-1.6648259938101765E-3</v>
      </c>
      <c r="Q44" s="47">
        <f t="shared" si="5"/>
        <v>39814.3249</v>
      </c>
    </row>
    <row r="45" spans="1:17" s="23" customFormat="1" ht="12.95" customHeight="1" x14ac:dyDescent="0.2">
      <c r="A45" s="5" t="s">
        <v>52</v>
      </c>
      <c r="B45" s="6" t="s">
        <v>31</v>
      </c>
      <c r="C45" s="5">
        <v>55628.358</v>
      </c>
      <c r="D45" s="5">
        <v>3.3E-3</v>
      </c>
      <c r="E45" s="23">
        <f t="shared" si="0"/>
        <v>4198.9904760268482</v>
      </c>
      <c r="F45" s="23">
        <f t="shared" si="1"/>
        <v>4199</v>
      </c>
      <c r="G45" s="23">
        <f t="shared" si="6"/>
        <v>-6.6520000036689453E-3</v>
      </c>
      <c r="J45" s="23">
        <f>+G45</f>
        <v>-6.6520000036689453E-3</v>
      </c>
      <c r="O45" s="23">
        <f t="shared" ca="1" si="4"/>
        <v>-6.1890909948118539E-3</v>
      </c>
      <c r="Q45" s="47">
        <f t="shared" si="5"/>
        <v>40609.858</v>
      </c>
    </row>
    <row r="46" spans="1:17" s="23" customFormat="1" ht="12.95" customHeight="1" x14ac:dyDescent="0.2">
      <c r="A46" s="5" t="s">
        <v>52</v>
      </c>
      <c r="B46" s="6" t="s">
        <v>31</v>
      </c>
      <c r="C46" s="5">
        <v>55628.358999999997</v>
      </c>
      <c r="D46" s="5">
        <v>4.7000000000000002E-3</v>
      </c>
      <c r="E46" s="23">
        <f t="shared" si="0"/>
        <v>4198.9919077726572</v>
      </c>
      <c r="F46" s="23">
        <f t="shared" si="1"/>
        <v>4199</v>
      </c>
      <c r="G46" s="23">
        <f t="shared" si="6"/>
        <v>-5.6520000071031973E-3</v>
      </c>
      <c r="J46" s="23">
        <f>+G46</f>
        <v>-5.6520000071031973E-3</v>
      </c>
      <c r="O46" s="23">
        <f t="shared" ca="1" si="4"/>
        <v>-6.1890909948118539E-3</v>
      </c>
      <c r="Q46" s="47">
        <f t="shared" si="5"/>
        <v>40609.858999999997</v>
      </c>
    </row>
    <row r="47" spans="1:17" s="23" customFormat="1" ht="12.95" customHeight="1" x14ac:dyDescent="0.2">
      <c r="A47" s="5" t="s">
        <v>51</v>
      </c>
      <c r="B47" s="6" t="s">
        <v>31</v>
      </c>
      <c r="C47" s="5">
        <v>55643.724999999999</v>
      </c>
      <c r="D47" s="5">
        <v>8.0000000000000004E-4</v>
      </c>
      <c r="E47" s="23">
        <f t="shared" si="0"/>
        <v>4220.9921139440567</v>
      </c>
      <c r="F47" s="23">
        <f t="shared" si="1"/>
        <v>4221</v>
      </c>
      <c r="G47" s="23">
        <f t="shared" si="6"/>
        <v>-5.5080000020097941E-3</v>
      </c>
      <c r="K47" s="23">
        <f t="shared" ref="K47:K52" si="8">+G47</f>
        <v>-5.5080000020097941E-3</v>
      </c>
      <c r="O47" s="23">
        <f t="shared" ca="1" si="4"/>
        <v>-6.2764780273158374E-3</v>
      </c>
      <c r="Q47" s="47">
        <f t="shared" si="5"/>
        <v>40625.224999999999</v>
      </c>
    </row>
    <row r="48" spans="1:17" s="23" customFormat="1" ht="12.95" customHeight="1" x14ac:dyDescent="0.2">
      <c r="A48" s="5" t="s">
        <v>53</v>
      </c>
      <c r="B48" s="6" t="s">
        <v>31</v>
      </c>
      <c r="C48" s="5">
        <v>56002.724399999999</v>
      </c>
      <c r="D48" s="5">
        <v>4.0000000000000002E-4</v>
      </c>
      <c r="E48" s="23">
        <f t="shared" si="0"/>
        <v>4734.9880019700813</v>
      </c>
      <c r="F48" s="23">
        <f t="shared" si="1"/>
        <v>4735</v>
      </c>
      <c r="G48" s="23">
        <f t="shared" si="6"/>
        <v>-8.3799999993061647E-3</v>
      </c>
      <c r="K48" s="23">
        <f t="shared" si="8"/>
        <v>-8.3799999993061647E-3</v>
      </c>
      <c r="O48" s="23">
        <f t="shared" ca="1" si="4"/>
        <v>-8.3181568776361705E-3</v>
      </c>
      <c r="Q48" s="47">
        <f t="shared" si="5"/>
        <v>40984.224399999999</v>
      </c>
    </row>
    <row r="49" spans="1:17" s="23" customFormat="1" ht="12.95" customHeight="1" x14ac:dyDescent="0.2">
      <c r="A49" s="54" t="s">
        <v>54</v>
      </c>
      <c r="B49" s="55" t="s">
        <v>31</v>
      </c>
      <c r="C49" s="56">
        <v>56298.863299999997</v>
      </c>
      <c r="D49" s="56">
        <v>2.9999999999999997E-4</v>
      </c>
      <c r="E49" s="23">
        <f t="shared" si="0"/>
        <v>5158.9836322818555</v>
      </c>
      <c r="F49" s="23">
        <f t="shared" si="1"/>
        <v>5159</v>
      </c>
      <c r="G49" s="23">
        <f t="shared" si="6"/>
        <v>-1.143199999933131E-2</v>
      </c>
      <c r="K49" s="23">
        <f t="shared" si="8"/>
        <v>-1.143199999933131E-2</v>
      </c>
      <c r="O49" s="23">
        <f t="shared" ca="1" si="4"/>
        <v>-1.0002343322258392E-2</v>
      </c>
      <c r="Q49" s="47">
        <f t="shared" si="5"/>
        <v>41280.363299999997</v>
      </c>
    </row>
    <row r="50" spans="1:17" s="23" customFormat="1" ht="12.95" customHeight="1" x14ac:dyDescent="0.2">
      <c r="A50" s="57" t="s">
        <v>0</v>
      </c>
      <c r="B50" s="58" t="s">
        <v>31</v>
      </c>
      <c r="C50" s="58">
        <v>57812.3894</v>
      </c>
      <c r="D50" s="58">
        <v>8.9999999999999998E-4</v>
      </c>
      <c r="E50" s="23">
        <f t="shared" si="0"/>
        <v>7325.9682896937211</v>
      </c>
      <c r="F50" s="23">
        <f t="shared" si="1"/>
        <v>7326</v>
      </c>
      <c r="G50" s="23">
        <f t="shared" si="6"/>
        <v>-2.2148000003653578E-2</v>
      </c>
      <c r="K50" s="23">
        <f t="shared" si="8"/>
        <v>-2.2148000003653578E-2</v>
      </c>
      <c r="O50" s="23">
        <f t="shared" ca="1" si="4"/>
        <v>-1.8609966023900741E-2</v>
      </c>
      <c r="Q50" s="47">
        <f t="shared" si="5"/>
        <v>42793.8894</v>
      </c>
    </row>
    <row r="51" spans="1:17" s="23" customFormat="1" ht="12.95" customHeight="1" x14ac:dyDescent="0.2">
      <c r="A51" s="57" t="s">
        <v>0</v>
      </c>
      <c r="B51" s="58" t="s">
        <v>31</v>
      </c>
      <c r="C51" s="58">
        <v>57833.346799999999</v>
      </c>
      <c r="D51" s="58">
        <v>1E-3</v>
      </c>
      <c r="E51" s="23">
        <f t="shared" si="0"/>
        <v>7355.9739594071416</v>
      </c>
      <c r="F51" s="23">
        <f t="shared" si="1"/>
        <v>7356</v>
      </c>
      <c r="G51" s="23">
        <f t="shared" si="6"/>
        <v>-1.8188000001828186E-2</v>
      </c>
      <c r="K51" s="23">
        <f t="shared" si="8"/>
        <v>-1.8188000001828186E-2</v>
      </c>
      <c r="O51" s="23">
        <f t="shared" ca="1" si="4"/>
        <v>-1.8729130159133446E-2</v>
      </c>
      <c r="Q51" s="47">
        <f t="shared" si="5"/>
        <v>42814.846799999999</v>
      </c>
    </row>
    <row r="52" spans="1:17" s="23" customFormat="1" ht="12.95" customHeight="1" x14ac:dyDescent="0.2">
      <c r="A52" s="59" t="s">
        <v>195</v>
      </c>
      <c r="B52" s="60" t="s">
        <v>31</v>
      </c>
      <c r="C52" s="61">
        <v>57842.43002999993</v>
      </c>
      <c r="D52" s="61">
        <v>4.0000000000000002E-4</v>
      </c>
      <c r="E52" s="23">
        <f>+(C52-C$7)/C$8</f>
        <v>7368.9788359332842</v>
      </c>
      <c r="F52" s="23">
        <f t="shared" si="1"/>
        <v>7369</v>
      </c>
      <c r="G52" s="23">
        <f>+C52-(C$7+F52*C$8)</f>
        <v>-1.4782000071136281E-2</v>
      </c>
      <c r="K52" s="23">
        <f t="shared" si="8"/>
        <v>-1.4782000071136281E-2</v>
      </c>
      <c r="O52" s="23">
        <f ca="1">+C$11+C$12*$F52</f>
        <v>-1.8780767951067617E-2</v>
      </c>
      <c r="Q52" s="47">
        <f>+C52-15018.5</f>
        <v>42823.93002999993</v>
      </c>
    </row>
    <row r="53" spans="1:17" s="23" customFormat="1" ht="12.95" customHeight="1" x14ac:dyDescent="0.2">
      <c r="A53" s="20" t="s">
        <v>196</v>
      </c>
      <c r="B53" s="21" t="s">
        <v>31</v>
      </c>
      <c r="C53" s="67">
        <v>59273.54</v>
      </c>
      <c r="D53" s="66">
        <v>1.6999999999999999E-3</v>
      </c>
      <c r="E53" s="23">
        <f t="shared" ref="E53:E54" si="9">+(C53-C$7)/C$8</f>
        <v>9417.9645442466735</v>
      </c>
      <c r="F53" s="23">
        <f t="shared" ref="F53:F54" si="10">ROUND(2*E53,0)/2</f>
        <v>9418</v>
      </c>
      <c r="G53" s="23">
        <f t="shared" ref="G53:G54" si="11">+C53-(C$7+F53*C$8)</f>
        <v>-2.4764000001596287E-2</v>
      </c>
      <c r="K53" s="23">
        <f t="shared" ref="K53:K54" si="12">+G53</f>
        <v>-2.4764000001596287E-2</v>
      </c>
      <c r="O53" s="23">
        <f t="shared" ref="O53:O54" ca="1" si="13">+C$11+C$12*$F53</f>
        <v>-2.6919678387461329E-2</v>
      </c>
      <c r="Q53" s="47">
        <f t="shared" ref="Q53:Q54" si="14">+C53-15018.5</f>
        <v>44255.040000000001</v>
      </c>
    </row>
    <row r="54" spans="1:17" s="23" customFormat="1" ht="12.95" customHeight="1" x14ac:dyDescent="0.2">
      <c r="A54" s="20" t="s">
        <v>197</v>
      </c>
      <c r="B54" s="21" t="s">
        <v>30</v>
      </c>
      <c r="C54" s="67">
        <v>59495.6397</v>
      </c>
      <c r="D54" s="66">
        <v>1.8E-3</v>
      </c>
      <c r="E54" s="23">
        <f t="shared" si="9"/>
        <v>9735.9548599179889</v>
      </c>
      <c r="F54" s="23">
        <f t="shared" si="10"/>
        <v>9736</v>
      </c>
      <c r="G54" s="23">
        <f t="shared" si="11"/>
        <v>-3.1527999999525491E-2</v>
      </c>
      <c r="K54" s="23">
        <f t="shared" si="12"/>
        <v>-3.1527999999525491E-2</v>
      </c>
      <c r="O54" s="23">
        <f t="shared" ca="1" si="13"/>
        <v>-2.8182818220927996E-2</v>
      </c>
      <c r="Q54" s="47">
        <f t="shared" si="14"/>
        <v>44477.1397</v>
      </c>
    </row>
    <row r="55" spans="1:17" s="23" customFormat="1" ht="12.95" customHeight="1" x14ac:dyDescent="0.2">
      <c r="A55" s="22" t="s">
        <v>198</v>
      </c>
      <c r="B55" s="62" t="s">
        <v>31</v>
      </c>
      <c r="C55" s="63">
        <v>59701.682699999998</v>
      </c>
      <c r="D55" s="63">
        <v>5.0000000000000001E-4</v>
      </c>
      <c r="E55" s="23">
        <f t="shared" ref="E55" si="15">+(C55-C$7)/C$8</f>
        <v>10030.95606258447</v>
      </c>
      <c r="F55" s="23">
        <f t="shared" ref="F55" si="16">ROUND(2*E55,0)/2</f>
        <v>10031</v>
      </c>
      <c r="G55" s="23">
        <f t="shared" ref="G55" si="17">+C55-(C$7+F55*C$8)</f>
        <v>-3.0688000006193761E-2</v>
      </c>
      <c r="K55" s="23">
        <f t="shared" ref="K55" si="18">+G55</f>
        <v>-3.0688000006193761E-2</v>
      </c>
      <c r="O55" s="23">
        <f t="shared" ref="O55" ca="1" si="19">+C$11+C$12*$F55</f>
        <v>-2.9354598884049586E-2</v>
      </c>
      <c r="Q55" s="47">
        <f t="shared" ref="Q55" si="20">+C55-15018.5</f>
        <v>44683.182699999998</v>
      </c>
    </row>
    <row r="56" spans="1:17" s="23" customFormat="1" ht="12.95" customHeight="1" x14ac:dyDescent="0.2">
      <c r="A56" s="64" t="s">
        <v>199</v>
      </c>
      <c r="B56" s="65" t="s">
        <v>31</v>
      </c>
      <c r="C56" s="66">
        <v>60054.399899999997</v>
      </c>
      <c r="D56" s="66">
        <v>2.9999999999999997E-4</v>
      </c>
      <c r="E56" s="23">
        <f t="shared" ref="E56" si="21">+(C56-C$7)/C$8</f>
        <v>10535.95743706045</v>
      </c>
      <c r="F56" s="23">
        <f t="shared" ref="F56" si="22">ROUND(2*E56,0)/2</f>
        <v>10536</v>
      </c>
      <c r="G56" s="23">
        <f t="shared" ref="G56" si="23">+C56-(C$7+F56*C$8)</f>
        <v>-2.972800000134157E-2</v>
      </c>
      <c r="K56" s="23">
        <f t="shared" ref="K56" si="24">+G56</f>
        <v>-2.972800000134157E-2</v>
      </c>
      <c r="O56" s="23">
        <f t="shared" ref="O56" ca="1" si="25">+C$11+C$12*$F56</f>
        <v>-3.1360528493800111E-2</v>
      </c>
      <c r="Q56" s="47">
        <f t="shared" ref="Q56" si="26">+C56-15018.5</f>
        <v>45035.899899999997</v>
      </c>
    </row>
    <row r="57" spans="1:17" s="23" customFormat="1" ht="12.95" customHeight="1" x14ac:dyDescent="0.2">
      <c r="A57" s="20" t="s">
        <v>204</v>
      </c>
      <c r="B57" s="65" t="s">
        <v>31</v>
      </c>
      <c r="C57" s="77">
        <v>60413.399100000002</v>
      </c>
      <c r="D57" s="78">
        <v>2.9999999999999997E-4</v>
      </c>
      <c r="E57" s="23">
        <f t="shared" ref="E57" si="27">+(C57-C$7)/C$8</f>
        <v>11049.953038737318</v>
      </c>
      <c r="F57" s="23">
        <f t="shared" ref="F57" si="28">ROUND(2*E57,0)/2</f>
        <v>11050</v>
      </c>
      <c r="G57" s="23">
        <f t="shared" ref="G57" si="29">+C57-(C$7+F57*C$8)</f>
        <v>-3.2799999993585516E-2</v>
      </c>
      <c r="K57" s="23">
        <f t="shared" ref="K57" si="30">+G57</f>
        <v>-3.2799999993585516E-2</v>
      </c>
      <c r="O57" s="23">
        <f t="shared" ref="O57" ca="1" si="31">+C$11+C$12*$F57</f>
        <v>-3.3402207344120444E-2</v>
      </c>
      <c r="Q57" s="47">
        <f t="shared" ref="Q57" si="32">+C57-15018.5</f>
        <v>45394.899100000002</v>
      </c>
    </row>
    <row r="58" spans="1:17" s="23" customFormat="1" ht="12.95" customHeight="1" x14ac:dyDescent="0.2">
      <c r="B58" s="34"/>
      <c r="C58" s="49"/>
      <c r="D58" s="49"/>
    </row>
    <row r="59" spans="1:17" s="23" customFormat="1" ht="12.95" customHeight="1" x14ac:dyDescent="0.2">
      <c r="B59" s="34"/>
      <c r="C59" s="49"/>
      <c r="D59" s="49"/>
    </row>
    <row r="60" spans="1:17" s="23" customFormat="1" ht="12.95" customHeight="1" x14ac:dyDescent="0.2">
      <c r="B60" s="34"/>
      <c r="C60" s="49"/>
      <c r="D60" s="49"/>
    </row>
    <row r="61" spans="1:17" s="23" customFormat="1" ht="12.95" customHeight="1" x14ac:dyDescent="0.2">
      <c r="B61" s="34"/>
      <c r="C61" s="49"/>
      <c r="D61" s="49"/>
    </row>
    <row r="62" spans="1:17" s="23" customFormat="1" ht="12.95" customHeight="1" x14ac:dyDescent="0.2">
      <c r="B62" s="34"/>
      <c r="C62" s="49"/>
      <c r="D62" s="49"/>
    </row>
    <row r="63" spans="1:17" s="23" customFormat="1" ht="12.95" customHeight="1" x14ac:dyDescent="0.2">
      <c r="B63" s="34"/>
      <c r="C63" s="49"/>
      <c r="D63" s="49"/>
    </row>
    <row r="64" spans="1:17" s="23" customFormat="1" ht="12.95" customHeight="1" x14ac:dyDescent="0.2">
      <c r="B64" s="34"/>
      <c r="C64" s="49"/>
      <c r="D64" s="49"/>
    </row>
    <row r="65" spans="2:4" s="23" customFormat="1" ht="12.95" customHeight="1" x14ac:dyDescent="0.2">
      <c r="B65" s="34"/>
      <c r="C65" s="49"/>
      <c r="D65" s="49"/>
    </row>
    <row r="66" spans="2:4" s="23" customFormat="1" ht="12.95" customHeight="1" x14ac:dyDescent="0.2">
      <c r="B66" s="34"/>
      <c r="C66" s="49"/>
      <c r="D66" s="49"/>
    </row>
    <row r="67" spans="2:4" s="23" customFormat="1" ht="12.95" customHeight="1" x14ac:dyDescent="0.2">
      <c r="B67" s="34"/>
      <c r="C67" s="49"/>
      <c r="D67" s="49"/>
    </row>
    <row r="68" spans="2:4" s="23" customFormat="1" ht="12.95" customHeight="1" x14ac:dyDescent="0.2">
      <c r="B68" s="34"/>
      <c r="C68" s="49"/>
      <c r="D68" s="49"/>
    </row>
    <row r="69" spans="2:4" s="23" customFormat="1" ht="12.95" customHeight="1" x14ac:dyDescent="0.2">
      <c r="B69" s="34"/>
      <c r="C69" s="49"/>
      <c r="D69" s="49"/>
    </row>
    <row r="70" spans="2:4" s="23" customFormat="1" ht="12.95" customHeight="1" x14ac:dyDescent="0.2">
      <c r="B70" s="34"/>
      <c r="C70" s="49"/>
      <c r="D70" s="49"/>
    </row>
    <row r="71" spans="2:4" s="23" customFormat="1" ht="12.95" customHeight="1" x14ac:dyDescent="0.2">
      <c r="B71" s="34"/>
      <c r="C71" s="49"/>
      <c r="D71" s="49"/>
    </row>
    <row r="72" spans="2:4" s="23" customFormat="1" ht="12.95" customHeight="1" x14ac:dyDescent="0.2">
      <c r="C72" s="49"/>
      <c r="D72" s="49"/>
    </row>
    <row r="73" spans="2:4" s="23" customFormat="1" ht="12.95" customHeight="1" x14ac:dyDescent="0.2">
      <c r="C73" s="49"/>
      <c r="D73" s="49"/>
    </row>
    <row r="74" spans="2:4" s="23" customFormat="1" ht="12.95" customHeight="1" x14ac:dyDescent="0.2">
      <c r="C74" s="49"/>
      <c r="D74" s="49"/>
    </row>
    <row r="75" spans="2:4" s="23" customFormat="1" ht="12.95" customHeight="1" x14ac:dyDescent="0.2"/>
    <row r="76" spans="2:4" s="23" customFormat="1" ht="12.95" customHeight="1" x14ac:dyDescent="0.2"/>
    <row r="77" spans="2:4" s="23" customFormat="1" ht="12.95" customHeight="1" x14ac:dyDescent="0.2"/>
    <row r="78" spans="2:4" s="23" customFormat="1" ht="12.95" customHeight="1" x14ac:dyDescent="0.2"/>
    <row r="79" spans="2:4" s="23" customFormat="1" ht="12.95" customHeight="1" x14ac:dyDescent="0.2"/>
    <row r="80" spans="2:4" s="23" customFormat="1" ht="12.95" customHeight="1" x14ac:dyDescent="0.2"/>
    <row r="81" s="23" customFormat="1" ht="12.95" customHeight="1" x14ac:dyDescent="0.2"/>
    <row r="82" s="23" customFormat="1" ht="12.95" customHeight="1" x14ac:dyDescent="0.2"/>
    <row r="83" s="23" customFormat="1" ht="12.95" customHeight="1" x14ac:dyDescent="0.2"/>
    <row r="84" s="23" customFormat="1" ht="12.95" customHeight="1" x14ac:dyDescent="0.2"/>
    <row r="85" s="23" customFormat="1" ht="12.95" customHeight="1" x14ac:dyDescent="0.2"/>
    <row r="86" s="23" customFormat="1" ht="12.95" customHeight="1" x14ac:dyDescent="0.2"/>
    <row r="87" s="23" customFormat="1" ht="12.95" customHeight="1" x14ac:dyDescent="0.2"/>
    <row r="88" s="23" customFormat="1" ht="12.95" customHeight="1" x14ac:dyDescent="0.2"/>
    <row r="89" s="23" customFormat="1" ht="12.95" customHeight="1" x14ac:dyDescent="0.2"/>
    <row r="90" s="23" customFormat="1" ht="12.95" customHeight="1" x14ac:dyDescent="0.2"/>
    <row r="91" s="23" customFormat="1" ht="12.95" customHeight="1" x14ac:dyDescent="0.2"/>
    <row r="92" s="23" customFormat="1" ht="12.95" customHeight="1" x14ac:dyDescent="0.2"/>
    <row r="93" s="23" customFormat="1" ht="12.95" customHeight="1" x14ac:dyDescent="0.2"/>
    <row r="94" s="23" customFormat="1" ht="12.95" customHeight="1" x14ac:dyDescent="0.2"/>
    <row r="95" s="23" customFormat="1" ht="12.95" customHeight="1" x14ac:dyDescent="0.2"/>
    <row r="96" s="23" customFormat="1" ht="12.95" customHeight="1" x14ac:dyDescent="0.2"/>
    <row r="97" s="23" customFormat="1" ht="12.95" customHeight="1" x14ac:dyDescent="0.2"/>
    <row r="98" s="23" customFormat="1" ht="12.95" customHeight="1" x14ac:dyDescent="0.2"/>
    <row r="99" s="23" customFormat="1" ht="12.95" customHeight="1" x14ac:dyDescent="0.2"/>
    <row r="100" s="23" customFormat="1" ht="12.95" customHeight="1" x14ac:dyDescent="0.2"/>
    <row r="101" s="23" customFormat="1" ht="12.95" customHeight="1" x14ac:dyDescent="0.2"/>
    <row r="102" s="23" customFormat="1" ht="12.95" customHeight="1" x14ac:dyDescent="0.2"/>
    <row r="103" s="23" customFormat="1" ht="12.95" customHeight="1" x14ac:dyDescent="0.2"/>
    <row r="104" s="23" customFormat="1" ht="12.95" customHeight="1" x14ac:dyDescent="0.2"/>
  </sheetData>
  <protectedRanges>
    <protectedRange sqref="A52:D52" name="Range1"/>
  </protectedRanges>
  <phoneticPr fontId="7" type="noConversion"/>
  <hyperlinks>
    <hyperlink ref="H64844" r:id="rId1" display="http://vsolj.cetus-net.org/bulletin.html" xr:uid="{00000000-0004-0000-0000-000000000000}"/>
    <hyperlink ref="H64837" r:id="rId2" display="https://www.aavso.org/ejaavso" xr:uid="{00000000-0004-0000-0000-000001000000}"/>
    <hyperlink ref="AP988" r:id="rId3" display="http://cdsbib.u-strasbg.fr/cgi-bin/cdsbib?1990RMxAA..21..381G" xr:uid="{00000000-0004-0000-0000-000002000000}"/>
    <hyperlink ref="AP992" r:id="rId4" display="http://cdsbib.u-strasbg.fr/cgi-bin/cdsbib?1990RMxAA..21..381G" xr:uid="{00000000-0004-0000-0000-000003000000}"/>
    <hyperlink ref="AP991" r:id="rId5" display="http://cdsbib.u-strasbg.fr/cgi-bin/cdsbib?1990RMxAA..21..381G" xr:uid="{00000000-0004-0000-0000-000004000000}"/>
    <hyperlink ref="AP972" r:id="rId6" display="http://cdsbib.u-strasbg.fr/cgi-bin/cdsbib?1990RMxAA..21..381G" xr:uid="{00000000-0004-0000-0000-000005000000}"/>
    <hyperlink ref="I64844" r:id="rId7" display="http://vsolj.cetus-net.org/bulletin.html" xr:uid="{00000000-0004-0000-0000-000006000000}"/>
    <hyperlink ref="AQ1128" r:id="rId8" display="http://cdsbib.u-strasbg.fr/cgi-bin/cdsbib?1990RMxAA..21..381G" xr:uid="{00000000-0004-0000-0000-000007000000}"/>
    <hyperlink ref="AQ55894" r:id="rId9" display="http://cdsbib.u-strasbg.fr/cgi-bin/cdsbib?1990RMxAA..21..381G" xr:uid="{00000000-0004-0000-0000-000008000000}"/>
    <hyperlink ref="AQ1129" r:id="rId10" display="http://cdsbib.u-strasbg.fr/cgi-bin/cdsbib?1990RMxAA..21..381G" xr:uid="{00000000-0004-0000-0000-000009000000}"/>
    <hyperlink ref="H64841" r:id="rId11" display="https://www.aavso.org/ejaavso" xr:uid="{00000000-0004-0000-0000-00000A000000}"/>
    <hyperlink ref="H2014" r:id="rId12" display="http://vsolj.cetus-net.org/bulletin.html" xr:uid="{00000000-0004-0000-0000-00000B000000}"/>
    <hyperlink ref="AP3258" r:id="rId13" display="http://cdsbib.u-strasbg.fr/cgi-bin/cdsbib?1990RMxAA..21..381G" xr:uid="{00000000-0004-0000-0000-00000C000000}"/>
    <hyperlink ref="AP3261" r:id="rId14" display="http://cdsbib.u-strasbg.fr/cgi-bin/cdsbib?1990RMxAA..21..381G" xr:uid="{00000000-0004-0000-0000-00000D000000}"/>
    <hyperlink ref="AP3259" r:id="rId15" display="http://cdsbib.u-strasbg.fr/cgi-bin/cdsbib?1990RMxAA..21..381G" xr:uid="{00000000-0004-0000-0000-00000E000000}"/>
    <hyperlink ref="AP3243" r:id="rId16" display="http://cdsbib.u-strasbg.fr/cgi-bin/cdsbib?1990RMxAA..21..381G" xr:uid="{00000000-0004-0000-0000-00000F000000}"/>
    <hyperlink ref="I2014" r:id="rId17" display="http://vsolj.cetus-net.org/bulletin.html" xr:uid="{00000000-0004-0000-0000-000010000000}"/>
    <hyperlink ref="AQ3472" r:id="rId18" display="http://cdsbib.u-strasbg.fr/cgi-bin/cdsbib?1990RMxAA..21..381G" xr:uid="{00000000-0004-0000-0000-000011000000}"/>
    <hyperlink ref="AQ173" r:id="rId19" display="http://cdsbib.u-strasbg.fr/cgi-bin/cdsbib?1990RMxAA..21..381G" xr:uid="{00000000-0004-0000-0000-000012000000}"/>
    <hyperlink ref="AQ34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workbookViewId="0">
      <selection activeCell="A22" sqref="A22:D3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55</v>
      </c>
      <c r="I1" s="8" t="s">
        <v>56</v>
      </c>
      <c r="J1" s="9" t="s">
        <v>57</v>
      </c>
    </row>
    <row r="2" spans="1:16" x14ac:dyDescent="0.2">
      <c r="I2" s="10" t="s">
        <v>58</v>
      </c>
      <c r="J2" s="11" t="s">
        <v>59</v>
      </c>
    </row>
    <row r="3" spans="1:16" x14ac:dyDescent="0.2">
      <c r="A3" s="12" t="s">
        <v>60</v>
      </c>
      <c r="I3" s="10" t="s">
        <v>61</v>
      </c>
      <c r="J3" s="11" t="s">
        <v>62</v>
      </c>
    </row>
    <row r="4" spans="1:16" x14ac:dyDescent="0.2">
      <c r="I4" s="10" t="s">
        <v>63</v>
      </c>
      <c r="J4" s="11" t="s">
        <v>62</v>
      </c>
    </row>
    <row r="5" spans="1:16" ht="13.5" thickBot="1" x14ac:dyDescent="0.25">
      <c r="I5" s="13" t="s">
        <v>64</v>
      </c>
      <c r="J5" s="14" t="s">
        <v>65</v>
      </c>
    </row>
    <row r="10" spans="1:16" ht="13.5" thickBot="1" x14ac:dyDescent="0.25"/>
    <row r="11" spans="1:16" ht="12.75" customHeight="1" thickBot="1" x14ac:dyDescent="0.25">
      <c r="A11" s="3" t="str">
        <f t="shared" ref="A11:A39" si="0">P11</f>
        <v>IBVS 5623 </v>
      </c>
      <c r="B11" s="2" t="str">
        <f t="shared" ref="B11:B39" si="1">IF(H11=INT(H11),"I","II")</f>
        <v>II</v>
      </c>
      <c r="C11" s="3">
        <f t="shared" ref="C11:C39" si="2">1*G11</f>
        <v>52720.379000000001</v>
      </c>
      <c r="D11" s="4" t="str">
        <f t="shared" ref="D11:D39" si="3">VLOOKUP(F11,I$1:J$5,2,FALSE)</f>
        <v>vis</v>
      </c>
      <c r="E11" s="15">
        <f>VLOOKUP(C11,Active!C$21:E$967,3,FALSE)</f>
        <v>35.503716812132879</v>
      </c>
      <c r="F11" s="2" t="s">
        <v>64</v>
      </c>
      <c r="G11" s="4" t="str">
        <f t="shared" ref="G11:G39" si="4">MID(I11,3,LEN(I11)-3)</f>
        <v>52720.3790</v>
      </c>
      <c r="H11" s="3">
        <f t="shared" ref="H11:H39" si="5">1*K11</f>
        <v>-5123.5</v>
      </c>
      <c r="I11" s="16" t="s">
        <v>118</v>
      </c>
      <c r="J11" s="17" t="s">
        <v>119</v>
      </c>
      <c r="K11" s="16">
        <v>-5123.5</v>
      </c>
      <c r="L11" s="16" t="s">
        <v>120</v>
      </c>
      <c r="M11" s="17" t="s">
        <v>108</v>
      </c>
      <c r="N11" s="17" t="s">
        <v>109</v>
      </c>
      <c r="O11" s="18" t="s">
        <v>121</v>
      </c>
      <c r="P11" s="19" t="s">
        <v>122</v>
      </c>
    </row>
    <row r="12" spans="1:16" ht="12.75" customHeight="1" thickBot="1" x14ac:dyDescent="0.25">
      <c r="A12" s="3" t="str">
        <f t="shared" si="0"/>
        <v>BAVM 178 </v>
      </c>
      <c r="B12" s="2" t="str">
        <f t="shared" si="1"/>
        <v>I</v>
      </c>
      <c r="C12" s="3">
        <f t="shared" si="2"/>
        <v>53453.405700000003</v>
      </c>
      <c r="D12" s="4" t="str">
        <f t="shared" si="3"/>
        <v>vis</v>
      </c>
      <c r="E12" s="15">
        <f>VLOOKUP(C12,Active!C$21:E$967,3,FALSE)</f>
        <v>1085.0116257760103</v>
      </c>
      <c r="F12" s="2" t="s">
        <v>64</v>
      </c>
      <c r="G12" s="4" t="str">
        <f t="shared" si="4"/>
        <v>53453.4057</v>
      </c>
      <c r="H12" s="3">
        <f t="shared" si="5"/>
        <v>-4074</v>
      </c>
      <c r="I12" s="16" t="s">
        <v>132</v>
      </c>
      <c r="J12" s="17" t="s">
        <v>133</v>
      </c>
      <c r="K12" s="16">
        <v>-4074</v>
      </c>
      <c r="L12" s="16" t="s">
        <v>134</v>
      </c>
      <c r="M12" s="17" t="s">
        <v>135</v>
      </c>
      <c r="N12" s="17" t="s">
        <v>136</v>
      </c>
      <c r="O12" s="18" t="s">
        <v>137</v>
      </c>
      <c r="P12" s="19" t="s">
        <v>138</v>
      </c>
    </row>
    <row r="13" spans="1:16" ht="12.75" customHeight="1" thickBot="1" x14ac:dyDescent="0.25">
      <c r="A13" s="3" t="str">
        <f t="shared" si="0"/>
        <v>IBVS 5672 </v>
      </c>
      <c r="B13" s="2" t="str">
        <f t="shared" si="1"/>
        <v>I</v>
      </c>
      <c r="C13" s="3">
        <f t="shared" si="2"/>
        <v>53718.809099999999</v>
      </c>
      <c r="D13" s="4" t="str">
        <f t="shared" si="3"/>
        <v>vis</v>
      </c>
      <c r="E13" s="15">
        <f>VLOOKUP(C13,Active!C$21:E$967,3,FALSE)</f>
        <v>1465.0018326346392</v>
      </c>
      <c r="F13" s="2" t="s">
        <v>64</v>
      </c>
      <c r="G13" s="4" t="str">
        <f t="shared" si="4"/>
        <v>53718.8091</v>
      </c>
      <c r="H13" s="3">
        <f t="shared" si="5"/>
        <v>-3694</v>
      </c>
      <c r="I13" s="16" t="s">
        <v>139</v>
      </c>
      <c r="J13" s="17" t="s">
        <v>140</v>
      </c>
      <c r="K13" s="16" t="s">
        <v>141</v>
      </c>
      <c r="L13" s="16" t="s">
        <v>142</v>
      </c>
      <c r="M13" s="17" t="s">
        <v>108</v>
      </c>
      <c r="N13" s="17" t="s">
        <v>109</v>
      </c>
      <c r="O13" s="18" t="s">
        <v>143</v>
      </c>
      <c r="P13" s="19" t="s">
        <v>144</v>
      </c>
    </row>
    <row r="14" spans="1:16" ht="12.75" customHeight="1" thickBot="1" x14ac:dyDescent="0.25">
      <c r="A14" s="3" t="str">
        <f t="shared" si="0"/>
        <v>IBVS 5760 </v>
      </c>
      <c r="B14" s="2" t="str">
        <f t="shared" si="1"/>
        <v>I</v>
      </c>
      <c r="C14" s="3">
        <f t="shared" si="2"/>
        <v>54100.860999999997</v>
      </c>
      <c r="D14" s="4" t="str">
        <f t="shared" si="3"/>
        <v>vis</v>
      </c>
      <c r="E14" s="15">
        <f>VLOOKUP(C14,Active!C$21:E$967,3,FALSE)</f>
        <v>2012.0030410281038</v>
      </c>
      <c r="F14" s="2" t="s">
        <v>64</v>
      </c>
      <c r="G14" s="4" t="str">
        <f t="shared" si="4"/>
        <v>54100.861</v>
      </c>
      <c r="H14" s="3">
        <f t="shared" si="5"/>
        <v>-3147</v>
      </c>
      <c r="I14" s="16" t="s">
        <v>145</v>
      </c>
      <c r="J14" s="17" t="s">
        <v>146</v>
      </c>
      <c r="K14" s="16" t="s">
        <v>147</v>
      </c>
      <c r="L14" s="16" t="s">
        <v>148</v>
      </c>
      <c r="M14" s="17" t="s">
        <v>135</v>
      </c>
      <c r="N14" s="17" t="s">
        <v>149</v>
      </c>
      <c r="O14" s="18" t="s">
        <v>143</v>
      </c>
      <c r="P14" s="19" t="s">
        <v>150</v>
      </c>
    </row>
    <row r="15" spans="1:16" ht="12.75" customHeight="1" thickBot="1" x14ac:dyDescent="0.25">
      <c r="A15" s="3" t="str">
        <f t="shared" si="0"/>
        <v>IBVS 5875 </v>
      </c>
      <c r="B15" s="2" t="str">
        <f t="shared" si="1"/>
        <v>I</v>
      </c>
      <c r="C15" s="3">
        <f t="shared" si="2"/>
        <v>54811.875999999997</v>
      </c>
      <c r="D15" s="4" t="str">
        <f t="shared" si="3"/>
        <v>vis</v>
      </c>
      <c r="E15" s="15">
        <f>VLOOKUP(C15,Active!C$21:E$967,3,FALSE)</f>
        <v>3029.995790667303</v>
      </c>
      <c r="F15" s="2" t="s">
        <v>64</v>
      </c>
      <c r="G15" s="4" t="str">
        <f t="shared" si="4"/>
        <v>54811.876</v>
      </c>
      <c r="H15" s="3">
        <f t="shared" si="5"/>
        <v>-2129</v>
      </c>
      <c r="I15" s="16" t="s">
        <v>158</v>
      </c>
      <c r="J15" s="17" t="s">
        <v>159</v>
      </c>
      <c r="K15" s="16" t="s">
        <v>160</v>
      </c>
      <c r="L15" s="16" t="s">
        <v>161</v>
      </c>
      <c r="M15" s="17" t="s">
        <v>135</v>
      </c>
      <c r="N15" s="17" t="s">
        <v>149</v>
      </c>
      <c r="O15" s="18" t="s">
        <v>143</v>
      </c>
      <c r="P15" s="19" t="s">
        <v>162</v>
      </c>
    </row>
    <row r="16" spans="1:16" ht="12.75" customHeight="1" thickBot="1" x14ac:dyDescent="0.25">
      <c r="A16" s="3" t="str">
        <f t="shared" si="0"/>
        <v>IBVS 5871 </v>
      </c>
      <c r="B16" s="2" t="str">
        <f t="shared" si="1"/>
        <v>I</v>
      </c>
      <c r="C16" s="3">
        <f t="shared" si="2"/>
        <v>54832.8249</v>
      </c>
      <c r="D16" s="4" t="str">
        <f t="shared" si="3"/>
        <v>vis</v>
      </c>
      <c r="E16" s="15">
        <f>VLOOKUP(C16,Active!C$21:E$967,3,FALSE)</f>
        <v>3059.9892905413139</v>
      </c>
      <c r="F16" s="2" t="s">
        <v>64</v>
      </c>
      <c r="G16" s="4" t="str">
        <f t="shared" si="4"/>
        <v>54832.8249</v>
      </c>
      <c r="H16" s="3">
        <f t="shared" si="5"/>
        <v>-2099</v>
      </c>
      <c r="I16" s="16" t="s">
        <v>163</v>
      </c>
      <c r="J16" s="17" t="s">
        <v>164</v>
      </c>
      <c r="K16" s="16" t="s">
        <v>165</v>
      </c>
      <c r="L16" s="16" t="s">
        <v>166</v>
      </c>
      <c r="M16" s="17" t="s">
        <v>135</v>
      </c>
      <c r="N16" s="17" t="s">
        <v>64</v>
      </c>
      <c r="O16" s="18" t="s">
        <v>167</v>
      </c>
      <c r="P16" s="19" t="s">
        <v>168</v>
      </c>
    </row>
    <row r="17" spans="1:16" ht="12.75" customHeight="1" thickBot="1" x14ac:dyDescent="0.25">
      <c r="A17" s="3" t="str">
        <f t="shared" si="0"/>
        <v>BAVM 220 </v>
      </c>
      <c r="B17" s="2" t="str">
        <f t="shared" si="1"/>
        <v>I</v>
      </c>
      <c r="C17" s="3">
        <f t="shared" si="2"/>
        <v>55628.358</v>
      </c>
      <c r="D17" s="4" t="str">
        <f t="shared" si="3"/>
        <v>vis</v>
      </c>
      <c r="E17" s="15">
        <f>VLOOKUP(C17,Active!C$21:E$967,3,FALSE)</f>
        <v>4198.9904760268482</v>
      </c>
      <c r="F17" s="2" t="s">
        <v>64</v>
      </c>
      <c r="G17" s="4" t="str">
        <f t="shared" si="4"/>
        <v>55628.3580</v>
      </c>
      <c r="H17" s="3">
        <f t="shared" si="5"/>
        <v>-960</v>
      </c>
      <c r="I17" s="16" t="s">
        <v>169</v>
      </c>
      <c r="J17" s="17" t="s">
        <v>170</v>
      </c>
      <c r="K17" s="16" t="s">
        <v>171</v>
      </c>
      <c r="L17" s="16" t="s">
        <v>172</v>
      </c>
      <c r="M17" s="17" t="s">
        <v>135</v>
      </c>
      <c r="N17" s="17" t="s">
        <v>173</v>
      </c>
      <c r="O17" s="18" t="s">
        <v>174</v>
      </c>
      <c r="P17" s="19" t="s">
        <v>175</v>
      </c>
    </row>
    <row r="18" spans="1:16" ht="12.75" customHeight="1" thickBot="1" x14ac:dyDescent="0.25">
      <c r="A18" s="3" t="str">
        <f t="shared" si="0"/>
        <v>BAVM 220 </v>
      </c>
      <c r="B18" s="2" t="str">
        <f t="shared" si="1"/>
        <v>I</v>
      </c>
      <c r="C18" s="3">
        <f t="shared" si="2"/>
        <v>55628.358999999997</v>
      </c>
      <c r="D18" s="4" t="str">
        <f t="shared" si="3"/>
        <v>vis</v>
      </c>
      <c r="E18" s="15">
        <f>VLOOKUP(C18,Active!C$21:E$967,3,FALSE)</f>
        <v>4198.9919077726572</v>
      </c>
      <c r="F18" s="2" t="s">
        <v>64</v>
      </c>
      <c r="G18" s="4" t="str">
        <f t="shared" si="4"/>
        <v>55628.3590</v>
      </c>
      <c r="H18" s="3">
        <f t="shared" si="5"/>
        <v>-960</v>
      </c>
      <c r="I18" s="16" t="s">
        <v>176</v>
      </c>
      <c r="J18" s="17" t="s">
        <v>177</v>
      </c>
      <c r="K18" s="16" t="s">
        <v>171</v>
      </c>
      <c r="L18" s="16" t="s">
        <v>178</v>
      </c>
      <c r="M18" s="17" t="s">
        <v>135</v>
      </c>
      <c r="N18" s="17" t="s">
        <v>64</v>
      </c>
      <c r="O18" s="18" t="s">
        <v>174</v>
      </c>
      <c r="P18" s="19" t="s">
        <v>175</v>
      </c>
    </row>
    <row r="19" spans="1:16" ht="12.75" customHeight="1" thickBot="1" x14ac:dyDescent="0.25">
      <c r="A19" s="3" t="str">
        <f t="shared" si="0"/>
        <v>IBVS 5992 </v>
      </c>
      <c r="B19" s="2" t="str">
        <f t="shared" si="1"/>
        <v>I</v>
      </c>
      <c r="C19" s="3">
        <f t="shared" si="2"/>
        <v>55643.724999999999</v>
      </c>
      <c r="D19" s="4" t="str">
        <f t="shared" si="3"/>
        <v>vis</v>
      </c>
      <c r="E19" s="15">
        <f>VLOOKUP(C19,Active!C$21:E$967,3,FALSE)</f>
        <v>4220.9921139440567</v>
      </c>
      <c r="F19" s="2" t="s">
        <v>64</v>
      </c>
      <c r="G19" s="4" t="str">
        <f t="shared" si="4"/>
        <v>55643.7250</v>
      </c>
      <c r="H19" s="3">
        <f t="shared" si="5"/>
        <v>-938</v>
      </c>
      <c r="I19" s="16" t="s">
        <v>179</v>
      </c>
      <c r="J19" s="17" t="s">
        <v>180</v>
      </c>
      <c r="K19" s="16" t="s">
        <v>181</v>
      </c>
      <c r="L19" s="16" t="s">
        <v>182</v>
      </c>
      <c r="M19" s="17" t="s">
        <v>135</v>
      </c>
      <c r="N19" s="17" t="s">
        <v>64</v>
      </c>
      <c r="O19" s="18" t="s">
        <v>167</v>
      </c>
      <c r="P19" s="19" t="s">
        <v>183</v>
      </c>
    </row>
    <row r="20" spans="1:16" ht="12.75" customHeight="1" thickBot="1" x14ac:dyDescent="0.25">
      <c r="A20" s="3" t="str">
        <f t="shared" si="0"/>
        <v>IBVS 6029 </v>
      </c>
      <c r="B20" s="2" t="str">
        <f t="shared" si="1"/>
        <v>I</v>
      </c>
      <c r="C20" s="3">
        <f t="shared" si="2"/>
        <v>56002.724399999999</v>
      </c>
      <c r="D20" s="4" t="str">
        <f t="shared" si="3"/>
        <v>vis</v>
      </c>
      <c r="E20" s="15">
        <f>VLOOKUP(C20,Active!C$21:E$967,3,FALSE)</f>
        <v>4734.9880019700813</v>
      </c>
      <c r="F20" s="2" t="s">
        <v>64</v>
      </c>
      <c r="G20" s="4" t="str">
        <f t="shared" si="4"/>
        <v>56002.7244</v>
      </c>
      <c r="H20" s="3">
        <f t="shared" si="5"/>
        <v>-424</v>
      </c>
      <c r="I20" s="16" t="s">
        <v>184</v>
      </c>
      <c r="J20" s="17" t="s">
        <v>185</v>
      </c>
      <c r="K20" s="16" t="s">
        <v>186</v>
      </c>
      <c r="L20" s="16" t="s">
        <v>187</v>
      </c>
      <c r="M20" s="17" t="s">
        <v>135</v>
      </c>
      <c r="N20" s="17" t="s">
        <v>64</v>
      </c>
      <c r="O20" s="18" t="s">
        <v>167</v>
      </c>
      <c r="P20" s="19" t="s">
        <v>188</v>
      </c>
    </row>
    <row r="21" spans="1:16" ht="12.75" customHeight="1" thickBot="1" x14ac:dyDescent="0.25">
      <c r="A21" s="3" t="str">
        <f t="shared" si="0"/>
        <v>IBVS 6063 </v>
      </c>
      <c r="B21" s="2" t="str">
        <f t="shared" si="1"/>
        <v>I</v>
      </c>
      <c r="C21" s="3">
        <f t="shared" si="2"/>
        <v>56298.863299999997</v>
      </c>
      <c r="D21" s="4" t="str">
        <f t="shared" si="3"/>
        <v>vis</v>
      </c>
      <c r="E21" s="15">
        <f>VLOOKUP(C21,Active!C$21:E$967,3,FALSE)</f>
        <v>5158.9836322818555</v>
      </c>
      <c r="F21" s="2" t="s">
        <v>64</v>
      </c>
      <c r="G21" s="4" t="str">
        <f t="shared" si="4"/>
        <v>56298.8633</v>
      </c>
      <c r="H21" s="3">
        <f t="shared" si="5"/>
        <v>0</v>
      </c>
      <c r="I21" s="16" t="s">
        <v>189</v>
      </c>
      <c r="J21" s="17" t="s">
        <v>190</v>
      </c>
      <c r="K21" s="16" t="s">
        <v>191</v>
      </c>
      <c r="L21" s="16" t="s">
        <v>192</v>
      </c>
      <c r="M21" s="17" t="s">
        <v>135</v>
      </c>
      <c r="N21" s="17" t="s">
        <v>64</v>
      </c>
      <c r="O21" s="18" t="s">
        <v>167</v>
      </c>
      <c r="P21" s="19" t="s">
        <v>193</v>
      </c>
    </row>
    <row r="22" spans="1:16" ht="12.75" customHeight="1" thickBot="1" x14ac:dyDescent="0.25">
      <c r="A22" s="3" t="str">
        <f t="shared" si="0"/>
        <v> AN 282.76 </v>
      </c>
      <c r="B22" s="2" t="str">
        <f t="shared" si="1"/>
        <v>II</v>
      </c>
      <c r="C22" s="3">
        <f t="shared" si="2"/>
        <v>26421.394</v>
      </c>
      <c r="D22" s="4" t="str">
        <f t="shared" si="3"/>
        <v>vis</v>
      </c>
      <c r="E22" s="15">
        <f>VLOOKUP(C22,Active!C$21:E$967,3,FALSE)</f>
        <v>-37617.957958215935</v>
      </c>
      <c r="F22" s="2" t="s">
        <v>64</v>
      </c>
      <c r="G22" s="4" t="str">
        <f t="shared" si="4"/>
        <v>26421.394</v>
      </c>
      <c r="H22" s="3">
        <f t="shared" si="5"/>
        <v>-42777.5</v>
      </c>
      <c r="I22" s="16" t="s">
        <v>66</v>
      </c>
      <c r="J22" s="17" t="s">
        <v>67</v>
      </c>
      <c r="K22" s="16">
        <v>-42777.5</v>
      </c>
      <c r="L22" s="16" t="s">
        <v>68</v>
      </c>
      <c r="M22" s="17" t="s">
        <v>69</v>
      </c>
      <c r="N22" s="17"/>
      <c r="O22" s="18" t="s">
        <v>70</v>
      </c>
      <c r="P22" s="18" t="s">
        <v>71</v>
      </c>
    </row>
    <row r="23" spans="1:16" ht="12.75" customHeight="1" thickBot="1" x14ac:dyDescent="0.25">
      <c r="A23" s="3" t="str">
        <f t="shared" si="0"/>
        <v> AN 282.76 </v>
      </c>
      <c r="B23" s="2" t="str">
        <f t="shared" si="1"/>
        <v>II</v>
      </c>
      <c r="C23" s="3">
        <f t="shared" si="2"/>
        <v>27533.355</v>
      </c>
      <c r="D23" s="4" t="str">
        <f t="shared" si="3"/>
        <v>vis</v>
      </c>
      <c r="E23" s="15">
        <f>VLOOKUP(C23,Active!C$21:E$967,3,FALSE)</f>
        <v>-36025.912451606993</v>
      </c>
      <c r="F23" s="2" t="s">
        <v>64</v>
      </c>
      <c r="G23" s="4" t="str">
        <f t="shared" si="4"/>
        <v>27533.355</v>
      </c>
      <c r="H23" s="3">
        <f t="shared" si="5"/>
        <v>-41185.5</v>
      </c>
      <c r="I23" s="16" t="s">
        <v>72</v>
      </c>
      <c r="J23" s="17" t="s">
        <v>73</v>
      </c>
      <c r="K23" s="16">
        <v>-41185.5</v>
      </c>
      <c r="L23" s="16" t="s">
        <v>74</v>
      </c>
      <c r="M23" s="17" t="s">
        <v>69</v>
      </c>
      <c r="N23" s="17"/>
      <c r="O23" s="18" t="s">
        <v>70</v>
      </c>
      <c r="P23" s="18" t="s">
        <v>71</v>
      </c>
    </row>
    <row r="24" spans="1:16" ht="12.75" customHeight="1" thickBot="1" x14ac:dyDescent="0.25">
      <c r="A24" s="3" t="str">
        <f t="shared" si="0"/>
        <v> AN 282.76 </v>
      </c>
      <c r="B24" s="2" t="str">
        <f t="shared" si="1"/>
        <v>II</v>
      </c>
      <c r="C24" s="3">
        <f t="shared" si="2"/>
        <v>28253.333999999999</v>
      </c>
      <c r="D24" s="4" t="str">
        <f t="shared" si="3"/>
        <v>vis</v>
      </c>
      <c r="E24" s="15">
        <f>VLOOKUP(C24,Active!C$21:E$967,3,FALSE)</f>
        <v>-34995.085532494908</v>
      </c>
      <c r="F24" s="2" t="s">
        <v>64</v>
      </c>
      <c r="G24" s="4" t="str">
        <f t="shared" si="4"/>
        <v>28253.334</v>
      </c>
      <c r="H24" s="3">
        <f t="shared" si="5"/>
        <v>-40154.5</v>
      </c>
      <c r="I24" s="16" t="s">
        <v>75</v>
      </c>
      <c r="J24" s="17" t="s">
        <v>76</v>
      </c>
      <c r="K24" s="16">
        <v>-40154.5</v>
      </c>
      <c r="L24" s="16" t="s">
        <v>77</v>
      </c>
      <c r="M24" s="17" t="s">
        <v>69</v>
      </c>
      <c r="N24" s="17"/>
      <c r="O24" s="18" t="s">
        <v>70</v>
      </c>
      <c r="P24" s="18" t="s">
        <v>71</v>
      </c>
    </row>
    <row r="25" spans="1:16" ht="12.75" customHeight="1" thickBot="1" x14ac:dyDescent="0.25">
      <c r="A25" s="3" t="str">
        <f t="shared" si="0"/>
        <v> AC 165.15 </v>
      </c>
      <c r="B25" s="2" t="str">
        <f t="shared" si="1"/>
        <v>I</v>
      </c>
      <c r="C25" s="3">
        <f t="shared" si="2"/>
        <v>34420.207000000002</v>
      </c>
      <c r="D25" s="4" t="str">
        <f t="shared" si="3"/>
        <v>vis</v>
      </c>
      <c r="E25" s="15">
        <f>VLOOKUP(C25,Active!C$21:E$967,3,FALSE)</f>
        <v>-26165.690931894715</v>
      </c>
      <c r="F25" s="2" t="s">
        <v>64</v>
      </c>
      <c r="G25" s="4" t="str">
        <f t="shared" si="4"/>
        <v>34420.207</v>
      </c>
      <c r="H25" s="3">
        <f t="shared" si="5"/>
        <v>-31325</v>
      </c>
      <c r="I25" s="16" t="s">
        <v>78</v>
      </c>
      <c r="J25" s="17" t="s">
        <v>79</v>
      </c>
      <c r="K25" s="16">
        <v>-31325</v>
      </c>
      <c r="L25" s="16" t="s">
        <v>80</v>
      </c>
      <c r="M25" s="17" t="s">
        <v>69</v>
      </c>
      <c r="N25" s="17"/>
      <c r="O25" s="18" t="s">
        <v>81</v>
      </c>
      <c r="P25" s="18" t="s">
        <v>82</v>
      </c>
    </row>
    <row r="26" spans="1:16" ht="12.75" customHeight="1" thickBot="1" x14ac:dyDescent="0.25">
      <c r="A26" s="3" t="str">
        <f t="shared" si="0"/>
        <v> AC 165.15 </v>
      </c>
      <c r="B26" s="2" t="str">
        <f t="shared" si="1"/>
        <v>I</v>
      </c>
      <c r="C26" s="3">
        <f t="shared" si="2"/>
        <v>34445.214</v>
      </c>
      <c r="D26" s="4" t="str">
        <f t="shared" si="3"/>
        <v>vis</v>
      </c>
      <c r="E26" s="15">
        <f>VLOOKUP(C26,Active!C$21:E$967,3,FALSE)</f>
        <v>-26129.88726433464</v>
      </c>
      <c r="F26" s="2" t="s">
        <v>64</v>
      </c>
      <c r="G26" s="4" t="str">
        <f t="shared" si="4"/>
        <v>34445.214</v>
      </c>
      <c r="H26" s="3">
        <f t="shared" si="5"/>
        <v>-31289</v>
      </c>
      <c r="I26" s="16" t="s">
        <v>83</v>
      </c>
      <c r="J26" s="17" t="s">
        <v>84</v>
      </c>
      <c r="K26" s="16">
        <v>-31289</v>
      </c>
      <c r="L26" s="16" t="s">
        <v>85</v>
      </c>
      <c r="M26" s="17" t="s">
        <v>69</v>
      </c>
      <c r="N26" s="17"/>
      <c r="O26" s="18" t="s">
        <v>81</v>
      </c>
      <c r="P26" s="18" t="s">
        <v>82</v>
      </c>
    </row>
    <row r="27" spans="1:16" ht="12.75" customHeight="1" thickBot="1" x14ac:dyDescent="0.25">
      <c r="A27" s="3" t="str">
        <f t="shared" si="0"/>
        <v> AC 183.18 </v>
      </c>
      <c r="B27" s="2" t="str">
        <f t="shared" si="1"/>
        <v>I</v>
      </c>
      <c r="C27" s="3">
        <f t="shared" si="2"/>
        <v>35221.209000000003</v>
      </c>
      <c r="D27" s="4" t="str">
        <f t="shared" si="3"/>
        <v>vis</v>
      </c>
      <c r="E27" s="15">
        <f>VLOOKUP(C27,Active!C$21:E$967,3,FALSE)</f>
        <v>-25018.859671729319</v>
      </c>
      <c r="F27" s="2" t="s">
        <v>64</v>
      </c>
      <c r="G27" s="4" t="str">
        <f t="shared" si="4"/>
        <v>35221.209</v>
      </c>
      <c r="H27" s="3">
        <f t="shared" si="5"/>
        <v>-30178</v>
      </c>
      <c r="I27" s="16" t="s">
        <v>86</v>
      </c>
      <c r="J27" s="17" t="s">
        <v>87</v>
      </c>
      <c r="K27" s="16">
        <v>-30178</v>
      </c>
      <c r="L27" s="16" t="s">
        <v>88</v>
      </c>
      <c r="M27" s="17" t="s">
        <v>69</v>
      </c>
      <c r="N27" s="17"/>
      <c r="O27" s="18" t="s">
        <v>81</v>
      </c>
      <c r="P27" s="18" t="s">
        <v>89</v>
      </c>
    </row>
    <row r="28" spans="1:16" ht="12.75" customHeight="1" thickBot="1" x14ac:dyDescent="0.25">
      <c r="A28" s="3" t="str">
        <f t="shared" si="0"/>
        <v> AC 183.18 </v>
      </c>
      <c r="B28" s="2" t="str">
        <f t="shared" si="1"/>
        <v>I</v>
      </c>
      <c r="C28" s="3">
        <f t="shared" si="2"/>
        <v>35510.279000000002</v>
      </c>
      <c r="D28" s="4" t="str">
        <f t="shared" si="3"/>
        <v>vis</v>
      </c>
      <c r="E28" s="15">
        <f>VLOOKUP(C28,Active!C$21:E$967,3,FALSE)</f>
        <v>-24604.984909399125</v>
      </c>
      <c r="F28" s="2" t="s">
        <v>64</v>
      </c>
      <c r="G28" s="4" t="str">
        <f t="shared" si="4"/>
        <v>35510.279</v>
      </c>
      <c r="H28" s="3">
        <f t="shared" si="5"/>
        <v>-29764</v>
      </c>
      <c r="I28" s="16" t="s">
        <v>90</v>
      </c>
      <c r="J28" s="17" t="s">
        <v>91</v>
      </c>
      <c r="K28" s="16">
        <v>-29764</v>
      </c>
      <c r="L28" s="16" t="s">
        <v>92</v>
      </c>
      <c r="M28" s="17" t="s">
        <v>69</v>
      </c>
      <c r="N28" s="17"/>
      <c r="O28" s="18" t="s">
        <v>81</v>
      </c>
      <c r="P28" s="18" t="s">
        <v>89</v>
      </c>
    </row>
    <row r="29" spans="1:16" ht="12.75" customHeight="1" thickBot="1" x14ac:dyDescent="0.25">
      <c r="A29" s="3" t="str">
        <f t="shared" si="0"/>
        <v> AC 183.18 </v>
      </c>
      <c r="B29" s="2" t="str">
        <f t="shared" si="1"/>
        <v>I</v>
      </c>
      <c r="C29" s="3">
        <f t="shared" si="2"/>
        <v>35538.273999999998</v>
      </c>
      <c r="D29" s="4" t="str">
        <f t="shared" si="3"/>
        <v>vis</v>
      </c>
      <c r="E29" s="15">
        <f>VLOOKUP(C29,Active!C$21:E$967,3,FALSE)</f>
        <v>-24564.903185348092</v>
      </c>
      <c r="F29" s="2" t="s">
        <v>64</v>
      </c>
      <c r="G29" s="4" t="str">
        <f t="shared" si="4"/>
        <v>35538.274</v>
      </c>
      <c r="H29" s="3">
        <f t="shared" si="5"/>
        <v>-29724</v>
      </c>
      <c r="I29" s="16" t="s">
        <v>93</v>
      </c>
      <c r="J29" s="17" t="s">
        <v>94</v>
      </c>
      <c r="K29" s="16">
        <v>-29724</v>
      </c>
      <c r="L29" s="16" t="s">
        <v>95</v>
      </c>
      <c r="M29" s="17" t="s">
        <v>69</v>
      </c>
      <c r="N29" s="17"/>
      <c r="O29" s="18" t="s">
        <v>81</v>
      </c>
      <c r="P29" s="18" t="s">
        <v>89</v>
      </c>
    </row>
    <row r="30" spans="1:16" ht="12.75" customHeight="1" thickBot="1" x14ac:dyDescent="0.25">
      <c r="A30" s="3" t="str">
        <f t="shared" si="0"/>
        <v> AC 183.18 </v>
      </c>
      <c r="B30" s="2" t="str">
        <f t="shared" si="1"/>
        <v>II</v>
      </c>
      <c r="C30" s="3">
        <f t="shared" si="2"/>
        <v>35567.160000000003</v>
      </c>
      <c r="D30" s="4" t="str">
        <f t="shared" si="3"/>
        <v>vis</v>
      </c>
      <c r="E30" s="15">
        <f>VLOOKUP(C30,Active!C$21:E$967,3,FALSE)</f>
        <v>-24523.545775777147</v>
      </c>
      <c r="F30" s="2" t="s">
        <v>64</v>
      </c>
      <c r="G30" s="4" t="str">
        <f t="shared" si="4"/>
        <v>35567.160</v>
      </c>
      <c r="H30" s="3">
        <f t="shared" si="5"/>
        <v>-29682.5</v>
      </c>
      <c r="I30" s="16" t="s">
        <v>96</v>
      </c>
      <c r="J30" s="17" t="s">
        <v>97</v>
      </c>
      <c r="K30" s="16">
        <v>-29682.5</v>
      </c>
      <c r="L30" s="16" t="s">
        <v>98</v>
      </c>
      <c r="M30" s="17" t="s">
        <v>69</v>
      </c>
      <c r="N30" s="17"/>
      <c r="O30" s="18" t="s">
        <v>81</v>
      </c>
      <c r="P30" s="18" t="s">
        <v>89</v>
      </c>
    </row>
    <row r="31" spans="1:16" ht="12.75" customHeight="1" thickBot="1" x14ac:dyDescent="0.25">
      <c r="A31" s="3" t="str">
        <f t="shared" si="0"/>
        <v> AC 183.18 </v>
      </c>
      <c r="B31" s="2" t="str">
        <f t="shared" si="1"/>
        <v>II</v>
      </c>
      <c r="C31" s="3">
        <f t="shared" si="2"/>
        <v>35602.171999999999</v>
      </c>
      <c r="D31" s="4" t="str">
        <f t="shared" si="3"/>
        <v>vis</v>
      </c>
      <c r="E31" s="15">
        <f>VLOOKUP(C31,Active!C$21:E$967,3,FALSE)</f>
        <v>-24473.417491352258</v>
      </c>
      <c r="F31" s="2" t="s">
        <v>64</v>
      </c>
      <c r="G31" s="4" t="str">
        <f t="shared" si="4"/>
        <v>35602.172</v>
      </c>
      <c r="H31" s="3">
        <f t="shared" si="5"/>
        <v>-29632.5</v>
      </c>
      <c r="I31" s="16" t="s">
        <v>99</v>
      </c>
      <c r="J31" s="17" t="s">
        <v>100</v>
      </c>
      <c r="K31" s="16">
        <v>-29632.5</v>
      </c>
      <c r="L31" s="16" t="s">
        <v>101</v>
      </c>
      <c r="M31" s="17" t="s">
        <v>69</v>
      </c>
      <c r="N31" s="17"/>
      <c r="O31" s="18" t="s">
        <v>81</v>
      </c>
      <c r="P31" s="18" t="s">
        <v>89</v>
      </c>
    </row>
    <row r="32" spans="1:16" ht="12.75" customHeight="1" thickBot="1" x14ac:dyDescent="0.25">
      <c r="A32" s="3" t="str">
        <f t="shared" si="0"/>
        <v> AC 183.18 </v>
      </c>
      <c r="B32" s="2" t="str">
        <f t="shared" si="1"/>
        <v>I</v>
      </c>
      <c r="C32" s="3">
        <f t="shared" si="2"/>
        <v>35904.254999999997</v>
      </c>
      <c r="D32" s="4" t="str">
        <f t="shared" si="3"/>
        <v>vis</v>
      </c>
      <c r="E32" s="15">
        <f>VLOOKUP(C32,Active!C$21:E$967,3,FALSE)</f>
        <v>-24040.91142075001</v>
      </c>
      <c r="F32" s="2" t="s">
        <v>64</v>
      </c>
      <c r="G32" s="4" t="str">
        <f t="shared" si="4"/>
        <v>35904.255</v>
      </c>
      <c r="H32" s="3">
        <f t="shared" si="5"/>
        <v>-29200</v>
      </c>
      <c r="I32" s="16" t="s">
        <v>102</v>
      </c>
      <c r="J32" s="17" t="s">
        <v>103</v>
      </c>
      <c r="K32" s="16">
        <v>-29200</v>
      </c>
      <c r="L32" s="16" t="s">
        <v>104</v>
      </c>
      <c r="M32" s="17" t="s">
        <v>69</v>
      </c>
      <c r="N32" s="17"/>
      <c r="O32" s="18" t="s">
        <v>81</v>
      </c>
      <c r="P32" s="18" t="s">
        <v>89</v>
      </c>
    </row>
    <row r="33" spans="1:16" ht="12.75" customHeight="1" thickBot="1" x14ac:dyDescent="0.25">
      <c r="A33" s="3" t="str">
        <f t="shared" si="0"/>
        <v>IBVS 5591 </v>
      </c>
      <c r="B33" s="2" t="str">
        <f t="shared" si="1"/>
        <v>II</v>
      </c>
      <c r="C33" s="3">
        <f t="shared" si="2"/>
        <v>52683.346400000002</v>
      </c>
      <c r="D33" s="4" t="str">
        <f t="shared" si="3"/>
        <v>vis</v>
      </c>
      <c r="E33" s="15" t="e">
        <f>VLOOKUP(C33,Active!C$21:E$967,3,FALSE)</f>
        <v>#N/A</v>
      </c>
      <c r="F33" s="2" t="s">
        <v>64</v>
      </c>
      <c r="G33" s="4" t="str">
        <f t="shared" si="4"/>
        <v>52683.3464</v>
      </c>
      <c r="H33" s="3">
        <f t="shared" si="5"/>
        <v>-5176.5</v>
      </c>
      <c r="I33" s="16" t="s">
        <v>105</v>
      </c>
      <c r="J33" s="17" t="s">
        <v>106</v>
      </c>
      <c r="K33" s="16">
        <v>-5176.5</v>
      </c>
      <c r="L33" s="16" t="s">
        <v>107</v>
      </c>
      <c r="M33" s="17" t="s">
        <v>108</v>
      </c>
      <c r="N33" s="17" t="s">
        <v>109</v>
      </c>
      <c r="O33" s="18" t="s">
        <v>110</v>
      </c>
      <c r="P33" s="19" t="s">
        <v>111</v>
      </c>
    </row>
    <row r="34" spans="1:16" ht="12.75" customHeight="1" thickBot="1" x14ac:dyDescent="0.25">
      <c r="A34" s="3" t="str">
        <f t="shared" si="0"/>
        <v>IBVS 5591 </v>
      </c>
      <c r="B34" s="2" t="str">
        <f t="shared" si="1"/>
        <v>I</v>
      </c>
      <c r="C34" s="3">
        <f t="shared" si="2"/>
        <v>52684.405599999998</v>
      </c>
      <c r="D34" s="4" t="str">
        <f t="shared" si="3"/>
        <v>vis</v>
      </c>
      <c r="E34" s="15" t="e">
        <f>VLOOKUP(C34,Active!C$21:E$967,3,FALSE)</f>
        <v>#N/A</v>
      </c>
      <c r="F34" s="2" t="s">
        <v>64</v>
      </c>
      <c r="G34" s="4" t="str">
        <f t="shared" si="4"/>
        <v>52684.4056</v>
      </c>
      <c r="H34" s="3">
        <f t="shared" si="5"/>
        <v>-5175</v>
      </c>
      <c r="I34" s="16" t="s">
        <v>112</v>
      </c>
      <c r="J34" s="17" t="s">
        <v>113</v>
      </c>
      <c r="K34" s="16">
        <v>-5175</v>
      </c>
      <c r="L34" s="16" t="s">
        <v>114</v>
      </c>
      <c r="M34" s="17" t="s">
        <v>108</v>
      </c>
      <c r="N34" s="17" t="s">
        <v>109</v>
      </c>
      <c r="O34" s="18" t="s">
        <v>110</v>
      </c>
      <c r="P34" s="19" t="s">
        <v>111</v>
      </c>
    </row>
    <row r="35" spans="1:16" ht="12.75" customHeight="1" thickBot="1" x14ac:dyDescent="0.25">
      <c r="A35" s="3" t="str">
        <f t="shared" si="0"/>
        <v>IBVS 5591 </v>
      </c>
      <c r="B35" s="2" t="str">
        <f t="shared" si="1"/>
        <v>I</v>
      </c>
      <c r="C35" s="3">
        <f t="shared" si="2"/>
        <v>52695.581100000003</v>
      </c>
      <c r="D35" s="4" t="str">
        <f t="shared" si="3"/>
        <v>vis</v>
      </c>
      <c r="E35" s="15" t="e">
        <f>VLOOKUP(C35,Active!C$21:E$967,3,FALSE)</f>
        <v>#N/A</v>
      </c>
      <c r="F35" s="2" t="s">
        <v>64</v>
      </c>
      <c r="G35" s="4" t="str">
        <f t="shared" si="4"/>
        <v>52695.5811</v>
      </c>
      <c r="H35" s="3">
        <f t="shared" si="5"/>
        <v>-5159</v>
      </c>
      <c r="I35" s="16" t="s">
        <v>115</v>
      </c>
      <c r="J35" s="17" t="s">
        <v>116</v>
      </c>
      <c r="K35" s="16">
        <v>-5159</v>
      </c>
      <c r="L35" s="16" t="s">
        <v>117</v>
      </c>
      <c r="M35" s="17" t="s">
        <v>108</v>
      </c>
      <c r="N35" s="17" t="s">
        <v>109</v>
      </c>
      <c r="O35" s="18" t="s">
        <v>110</v>
      </c>
      <c r="P35" s="19" t="s">
        <v>111</v>
      </c>
    </row>
    <row r="36" spans="1:16" ht="12.75" customHeight="1" thickBot="1" x14ac:dyDescent="0.25">
      <c r="A36" s="3" t="str">
        <f t="shared" si="0"/>
        <v>IBVS 5591 </v>
      </c>
      <c r="B36" s="2" t="str">
        <f t="shared" si="1"/>
        <v>I</v>
      </c>
      <c r="C36" s="3">
        <f t="shared" si="2"/>
        <v>52726.315000000002</v>
      </c>
      <c r="D36" s="4" t="str">
        <f t="shared" si="3"/>
        <v>vis</v>
      </c>
      <c r="E36" s="15" t="e">
        <f>VLOOKUP(C36,Active!C$21:E$967,3,FALSE)</f>
        <v>#N/A</v>
      </c>
      <c r="F36" s="2" t="s">
        <v>64</v>
      </c>
      <c r="G36" s="4" t="str">
        <f t="shared" si="4"/>
        <v>52726.3150</v>
      </c>
      <c r="H36" s="3">
        <f t="shared" si="5"/>
        <v>-5115</v>
      </c>
      <c r="I36" s="16" t="s">
        <v>123</v>
      </c>
      <c r="J36" s="17" t="s">
        <v>124</v>
      </c>
      <c r="K36" s="16">
        <v>-5115</v>
      </c>
      <c r="L36" s="16" t="s">
        <v>125</v>
      </c>
      <c r="M36" s="17" t="s">
        <v>108</v>
      </c>
      <c r="N36" s="17" t="s">
        <v>109</v>
      </c>
      <c r="O36" s="18" t="s">
        <v>110</v>
      </c>
      <c r="P36" s="19" t="s">
        <v>111</v>
      </c>
    </row>
    <row r="37" spans="1:16" ht="12.75" customHeight="1" thickBot="1" x14ac:dyDescent="0.25">
      <c r="A37" s="3" t="str">
        <f t="shared" si="0"/>
        <v>IBVS 5591 </v>
      </c>
      <c r="B37" s="2" t="str">
        <f t="shared" si="1"/>
        <v>I</v>
      </c>
      <c r="C37" s="3">
        <f t="shared" si="2"/>
        <v>53031.544300000001</v>
      </c>
      <c r="D37" s="4" t="str">
        <f t="shared" si="3"/>
        <v>vis</v>
      </c>
      <c r="E37" s="15" t="e">
        <f>VLOOKUP(C37,Active!C$21:E$967,3,FALSE)</f>
        <v>#N/A</v>
      </c>
      <c r="F37" s="2" t="s">
        <v>64</v>
      </c>
      <c r="G37" s="4" t="str">
        <f t="shared" si="4"/>
        <v>53031.5443</v>
      </c>
      <c r="H37" s="3">
        <f t="shared" si="5"/>
        <v>-4678</v>
      </c>
      <c r="I37" s="16" t="s">
        <v>126</v>
      </c>
      <c r="J37" s="17" t="s">
        <v>127</v>
      </c>
      <c r="K37" s="16">
        <v>-4678</v>
      </c>
      <c r="L37" s="16" t="s">
        <v>128</v>
      </c>
      <c r="M37" s="17" t="s">
        <v>108</v>
      </c>
      <c r="N37" s="17" t="s">
        <v>109</v>
      </c>
      <c r="O37" s="18" t="s">
        <v>110</v>
      </c>
      <c r="P37" s="19" t="s">
        <v>111</v>
      </c>
    </row>
    <row r="38" spans="1:16" ht="12.75" customHeight="1" thickBot="1" x14ac:dyDescent="0.25">
      <c r="A38" s="3" t="str">
        <f t="shared" si="0"/>
        <v>IBVS 5591 </v>
      </c>
      <c r="B38" s="2" t="str">
        <f t="shared" si="1"/>
        <v>I</v>
      </c>
      <c r="C38" s="3">
        <f t="shared" si="2"/>
        <v>53061.567999999999</v>
      </c>
      <c r="D38" s="4" t="str">
        <f t="shared" si="3"/>
        <v>vis</v>
      </c>
      <c r="E38" s="15" t="e">
        <f>VLOOKUP(C38,Active!C$21:E$967,3,FALSE)</f>
        <v>#N/A</v>
      </c>
      <c r="F38" s="2" t="s">
        <v>64</v>
      </c>
      <c r="G38" s="4" t="str">
        <f t="shared" si="4"/>
        <v>53061.5680</v>
      </c>
      <c r="H38" s="3">
        <f t="shared" si="5"/>
        <v>-4635</v>
      </c>
      <c r="I38" s="16" t="s">
        <v>129</v>
      </c>
      <c r="J38" s="17" t="s">
        <v>130</v>
      </c>
      <c r="K38" s="16">
        <v>-4635</v>
      </c>
      <c r="L38" s="16" t="s">
        <v>131</v>
      </c>
      <c r="M38" s="17" t="s">
        <v>108</v>
      </c>
      <c r="N38" s="17" t="s">
        <v>109</v>
      </c>
      <c r="O38" s="18" t="s">
        <v>110</v>
      </c>
      <c r="P38" s="19" t="s">
        <v>111</v>
      </c>
    </row>
    <row r="39" spans="1:16" ht="12.75" customHeight="1" thickBot="1" x14ac:dyDescent="0.25">
      <c r="A39" s="3" t="str">
        <f t="shared" si="0"/>
        <v>VSB 48 </v>
      </c>
      <c r="B39" s="2" t="str">
        <f t="shared" si="1"/>
        <v>II</v>
      </c>
      <c r="C39" s="3">
        <f t="shared" si="2"/>
        <v>54564.986400000002</v>
      </c>
      <c r="D39" s="4" t="str">
        <f t="shared" si="3"/>
        <v>vis</v>
      </c>
      <c r="E39" s="15">
        <f>VLOOKUP(C39,Active!C$21:E$967,3,FALSE)</f>
        <v>2676.5126394520444</v>
      </c>
      <c r="F39" s="2" t="s">
        <v>64</v>
      </c>
      <c r="G39" s="4" t="str">
        <f t="shared" si="4"/>
        <v>54564.9864</v>
      </c>
      <c r="H39" s="3">
        <f t="shared" si="5"/>
        <v>-2482.5</v>
      </c>
      <c r="I39" s="16" t="s">
        <v>151</v>
      </c>
      <c r="J39" s="17" t="s">
        <v>152</v>
      </c>
      <c r="K39" s="16" t="s">
        <v>153</v>
      </c>
      <c r="L39" s="16" t="s">
        <v>154</v>
      </c>
      <c r="M39" s="17" t="s">
        <v>135</v>
      </c>
      <c r="N39" s="17" t="s">
        <v>155</v>
      </c>
      <c r="O39" s="18" t="s">
        <v>156</v>
      </c>
      <c r="P39" s="19" t="s">
        <v>157</v>
      </c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</sheetData>
  <phoneticPr fontId="7" type="noConversion"/>
  <hyperlinks>
    <hyperlink ref="P33" r:id="rId1" display="http://www.konkoly.hu/cgi-bin/IBVS?5591" xr:uid="{00000000-0004-0000-0100-000000000000}"/>
    <hyperlink ref="P34" r:id="rId2" display="http://www.konkoly.hu/cgi-bin/IBVS?5591" xr:uid="{00000000-0004-0000-0100-000001000000}"/>
    <hyperlink ref="P35" r:id="rId3" display="http://www.konkoly.hu/cgi-bin/IBVS?5591" xr:uid="{00000000-0004-0000-0100-000002000000}"/>
    <hyperlink ref="P11" r:id="rId4" display="http://www.konkoly.hu/cgi-bin/IBVS?5623" xr:uid="{00000000-0004-0000-0100-000003000000}"/>
    <hyperlink ref="P36" r:id="rId5" display="http://www.konkoly.hu/cgi-bin/IBVS?5591" xr:uid="{00000000-0004-0000-0100-000004000000}"/>
    <hyperlink ref="P37" r:id="rId6" display="http://www.konkoly.hu/cgi-bin/IBVS?5591" xr:uid="{00000000-0004-0000-0100-000005000000}"/>
    <hyperlink ref="P38" r:id="rId7" display="http://www.konkoly.hu/cgi-bin/IBVS?5591" xr:uid="{00000000-0004-0000-0100-000006000000}"/>
    <hyperlink ref="P12" r:id="rId8" display="http://www.bav-astro.de/sfs/BAVM_link.php?BAVMnr=178" xr:uid="{00000000-0004-0000-0100-000007000000}"/>
    <hyperlink ref="P13" r:id="rId9" display="http://www.konkoly.hu/cgi-bin/IBVS?5672" xr:uid="{00000000-0004-0000-0100-000008000000}"/>
    <hyperlink ref="P14" r:id="rId10" display="http://www.konkoly.hu/cgi-bin/IBVS?5760" xr:uid="{00000000-0004-0000-0100-000009000000}"/>
    <hyperlink ref="P39" r:id="rId11" display="http://vsolj.cetus-net.org/no48.pdf" xr:uid="{00000000-0004-0000-0100-00000A000000}"/>
    <hyperlink ref="P15" r:id="rId12" display="http://www.konkoly.hu/cgi-bin/IBVS?5875" xr:uid="{00000000-0004-0000-0100-00000B000000}"/>
    <hyperlink ref="P16" r:id="rId13" display="http://www.konkoly.hu/cgi-bin/IBVS?5871" xr:uid="{00000000-0004-0000-0100-00000C000000}"/>
    <hyperlink ref="P17" r:id="rId14" display="http://www.bav-astro.de/sfs/BAVM_link.php?BAVMnr=220" xr:uid="{00000000-0004-0000-0100-00000D000000}"/>
    <hyperlink ref="P18" r:id="rId15" display="http://www.bav-astro.de/sfs/BAVM_link.php?BAVMnr=220" xr:uid="{00000000-0004-0000-0100-00000E000000}"/>
    <hyperlink ref="P19" r:id="rId16" display="http://www.konkoly.hu/cgi-bin/IBVS?5992" xr:uid="{00000000-0004-0000-0100-00000F000000}"/>
    <hyperlink ref="P20" r:id="rId17" display="http://www.konkoly.hu/cgi-bin/IBVS?6029" xr:uid="{00000000-0004-0000-0100-000010000000}"/>
    <hyperlink ref="P21" r:id="rId18" display="http://www.konkoly.hu/cgi-bin/IBVS?6063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2025-01-04T06:48:57Z</dcterms:modified>
</cp:coreProperties>
</file>