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803B5E0-661C-4547-93F3-5F033B11C0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4" i="1" l="1"/>
  <c r="F104" i="1"/>
  <c r="G104" i="1" s="1"/>
  <c r="K104" i="1" s="1"/>
  <c r="Q104" i="1"/>
  <c r="E102" i="1"/>
  <c r="F102" i="1" s="1"/>
  <c r="G102" i="1" s="1"/>
  <c r="K102" i="1" s="1"/>
  <c r="Q102" i="1"/>
  <c r="E103" i="1"/>
  <c r="F103" i="1"/>
  <c r="G103" i="1" s="1"/>
  <c r="K103" i="1" s="1"/>
  <c r="Q103" i="1"/>
  <c r="F14" i="1"/>
  <c r="E101" i="1"/>
  <c r="F101" i="1" s="1"/>
  <c r="G101" i="1" s="1"/>
  <c r="K101" i="1" s="1"/>
  <c r="Q101" i="1"/>
  <c r="Q98" i="1"/>
  <c r="Q99" i="1"/>
  <c r="Q100" i="1"/>
  <c r="E96" i="1"/>
  <c r="F96" i="1" s="1"/>
  <c r="G96" i="1" s="1"/>
  <c r="K96" i="1" s="1"/>
  <c r="Q96" i="1"/>
  <c r="Q97" i="1"/>
  <c r="Q89" i="1"/>
  <c r="Q90" i="1"/>
  <c r="Q91" i="1"/>
  <c r="Q92" i="1"/>
  <c r="Q93" i="1"/>
  <c r="Q94" i="1"/>
  <c r="Q95" i="1"/>
  <c r="Q85" i="1"/>
  <c r="Q87" i="1"/>
  <c r="Q88" i="1"/>
  <c r="Q86" i="1"/>
  <c r="Q84" i="1"/>
  <c r="Q77" i="1"/>
  <c r="D9" i="1"/>
  <c r="C9" i="1"/>
  <c r="Q76" i="1"/>
  <c r="Q75" i="1"/>
  <c r="Q73" i="1"/>
  <c r="Q72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4" i="1"/>
  <c r="Q23" i="1"/>
  <c r="Q22" i="1"/>
  <c r="Q21" i="1"/>
  <c r="G18" i="2"/>
  <c r="C18" i="2"/>
  <c r="G17" i="2"/>
  <c r="C17" i="2"/>
  <c r="G16" i="2"/>
  <c r="C16" i="2"/>
  <c r="G15" i="2"/>
  <c r="C15" i="2"/>
  <c r="G14" i="2"/>
  <c r="C14" i="2"/>
  <c r="G13" i="2"/>
  <c r="C13" i="2"/>
  <c r="G72" i="2"/>
  <c r="C72" i="2"/>
  <c r="G71" i="2"/>
  <c r="C71" i="2"/>
  <c r="G70" i="2"/>
  <c r="C70" i="2"/>
  <c r="G12" i="2"/>
  <c r="C12" i="2"/>
  <c r="G69" i="2"/>
  <c r="C69" i="2"/>
  <c r="G68" i="2"/>
  <c r="C68" i="2"/>
  <c r="G11" i="2"/>
  <c r="C11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72" i="2"/>
  <c r="B72" i="2"/>
  <c r="D72" i="2"/>
  <c r="A72" i="2"/>
  <c r="H71" i="2"/>
  <c r="B71" i="2"/>
  <c r="D71" i="2"/>
  <c r="A71" i="2"/>
  <c r="H70" i="2"/>
  <c r="B70" i="2"/>
  <c r="D70" i="2"/>
  <c r="A70" i="2"/>
  <c r="H12" i="2"/>
  <c r="B12" i="2"/>
  <c r="D12" i="2"/>
  <c r="A12" i="2"/>
  <c r="H69" i="2"/>
  <c r="B69" i="2"/>
  <c r="D69" i="2"/>
  <c r="A69" i="2"/>
  <c r="H68" i="2"/>
  <c r="B68" i="2"/>
  <c r="D68" i="2"/>
  <c r="A68" i="2"/>
  <c r="H11" i="2"/>
  <c r="B11" i="2"/>
  <c r="D11" i="2"/>
  <c r="A11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Q83" i="1"/>
  <c r="Q79" i="1"/>
  <c r="Q80" i="1"/>
  <c r="Q78" i="1"/>
  <c r="Q81" i="1"/>
  <c r="Q82" i="1"/>
  <c r="C17" i="1"/>
  <c r="Q74" i="1"/>
  <c r="Q71" i="1"/>
  <c r="E98" i="1"/>
  <c r="F98" i="1" s="1"/>
  <c r="G98" i="1" s="1"/>
  <c r="K98" i="1" s="1"/>
  <c r="E53" i="1"/>
  <c r="Q25" i="1"/>
  <c r="E35" i="1"/>
  <c r="F35" i="1" s="1"/>
  <c r="G35" i="1" s="1"/>
  <c r="I35" i="1" s="1"/>
  <c r="E46" i="1"/>
  <c r="F46" i="1" s="1"/>
  <c r="G46" i="1" s="1"/>
  <c r="I46" i="1" s="1"/>
  <c r="E37" i="1"/>
  <c r="F37" i="1" s="1"/>
  <c r="G37" i="1" s="1"/>
  <c r="I37" i="1" s="1"/>
  <c r="E39" i="1"/>
  <c r="E45" i="1"/>
  <c r="F45" i="1" s="1"/>
  <c r="G45" i="1" s="1"/>
  <c r="I45" i="1" s="1"/>
  <c r="E94" i="1"/>
  <c r="F94" i="1" s="1"/>
  <c r="G94" i="1" s="1"/>
  <c r="K94" i="1" s="1"/>
  <c r="E87" i="1"/>
  <c r="F87" i="1" s="1"/>
  <c r="G87" i="1" s="1"/>
  <c r="K87" i="1" s="1"/>
  <c r="E32" i="1"/>
  <c r="F32" i="1" s="1"/>
  <c r="E64" i="1"/>
  <c r="E61" i="2" s="1"/>
  <c r="E49" i="1"/>
  <c r="E92" i="1"/>
  <c r="F92" i="1" s="1"/>
  <c r="G92" i="1" s="1"/>
  <c r="K92" i="1" s="1"/>
  <c r="E85" i="1"/>
  <c r="F85" i="1" s="1"/>
  <c r="G85" i="1" s="1"/>
  <c r="K85" i="1" s="1"/>
  <c r="E47" i="1"/>
  <c r="F47" i="1" s="1"/>
  <c r="E95" i="1"/>
  <c r="F95" i="1" s="1"/>
  <c r="G95" i="1" s="1"/>
  <c r="K95" i="1" s="1"/>
  <c r="E72" i="1"/>
  <c r="E68" i="2" s="1"/>
  <c r="E36" i="1"/>
  <c r="F36" i="1" s="1"/>
  <c r="G36" i="1" s="1"/>
  <c r="I36" i="1" s="1"/>
  <c r="E52" i="1"/>
  <c r="F52" i="1" s="1"/>
  <c r="G52" i="1" s="1"/>
  <c r="I52" i="1" s="1"/>
  <c r="E75" i="1"/>
  <c r="E70" i="2" s="1"/>
  <c r="E83" i="1"/>
  <c r="F83" i="1" s="1"/>
  <c r="G83" i="1" s="1"/>
  <c r="K83" i="1" s="1"/>
  <c r="E84" i="1"/>
  <c r="F84" i="1" s="1"/>
  <c r="G84" i="1" s="1"/>
  <c r="K84" i="1" s="1"/>
  <c r="E28" i="1"/>
  <c r="F28" i="1" s="1"/>
  <c r="G28" i="1" s="1"/>
  <c r="I28" i="1" s="1"/>
  <c r="E60" i="1"/>
  <c r="E57" i="2" s="1"/>
  <c r="E41" i="1"/>
  <c r="E38" i="2" s="1"/>
  <c r="E66" i="1"/>
  <c r="E63" i="2" s="1"/>
  <c r="E34" i="1"/>
  <c r="F34" i="1" s="1"/>
  <c r="G34" i="1" s="1"/>
  <c r="I34" i="1" s="1"/>
  <c r="E21" i="1"/>
  <c r="E19" i="2" s="1"/>
  <c r="E58" i="1"/>
  <c r="E67" i="1"/>
  <c r="F67" i="1" s="1"/>
  <c r="G67" i="1" s="1"/>
  <c r="I67" i="1" s="1"/>
  <c r="F49" i="1"/>
  <c r="G49" i="1" s="1"/>
  <c r="I49" i="1" s="1"/>
  <c r="E46" i="2"/>
  <c r="F72" i="1"/>
  <c r="G72" i="1" s="1"/>
  <c r="I72" i="1" s="1"/>
  <c r="E25" i="2"/>
  <c r="E49" i="2"/>
  <c r="F39" i="1"/>
  <c r="G39" i="1" s="1"/>
  <c r="I39" i="1" s="1"/>
  <c r="E36" i="2"/>
  <c r="E42" i="2"/>
  <c r="E18" i="2"/>
  <c r="F58" i="1"/>
  <c r="G58" i="1"/>
  <c r="I58" i="1" s="1"/>
  <c r="E55" i="2"/>
  <c r="F41" i="1"/>
  <c r="G41" i="1" s="1"/>
  <c r="I41" i="1" s="1"/>
  <c r="F15" i="1" l="1"/>
  <c r="F75" i="1"/>
  <c r="G75" i="1" s="1"/>
  <c r="K75" i="1" s="1"/>
  <c r="E50" i="2"/>
  <c r="F53" i="1"/>
  <c r="G53" i="1" s="1"/>
  <c r="I53" i="1" s="1"/>
  <c r="F66" i="1"/>
  <c r="G66" i="1" s="1"/>
  <c r="I66" i="1" s="1"/>
  <c r="E43" i="1"/>
  <c r="E50" i="1"/>
  <c r="E61" i="1"/>
  <c r="E76" i="1"/>
  <c r="F76" i="1" s="1"/>
  <c r="G76" i="1" s="1"/>
  <c r="I76" i="1" s="1"/>
  <c r="E88" i="1"/>
  <c r="F88" i="1" s="1"/>
  <c r="G88" i="1" s="1"/>
  <c r="K88" i="1" s="1"/>
  <c r="E59" i="1"/>
  <c r="E56" i="2" s="1"/>
  <c r="E54" i="1"/>
  <c r="E82" i="1"/>
  <c r="E89" i="1"/>
  <c r="F89" i="1" s="1"/>
  <c r="G89" i="1" s="1"/>
  <c r="K89" i="1" s="1"/>
  <c r="E23" i="1"/>
  <c r="E70" i="1"/>
  <c r="E55" i="1"/>
  <c r="E52" i="2" s="1"/>
  <c r="E34" i="2"/>
  <c r="E22" i="1"/>
  <c r="E91" i="1"/>
  <c r="F91" i="1" s="1"/>
  <c r="G91" i="1" s="1"/>
  <c r="K91" i="1" s="1"/>
  <c r="E80" i="1"/>
  <c r="E29" i="1"/>
  <c r="E74" i="1"/>
  <c r="F74" i="1" s="1"/>
  <c r="G74" i="1" s="1"/>
  <c r="J74" i="1" s="1"/>
  <c r="E86" i="1"/>
  <c r="F86" i="1" s="1"/>
  <c r="G86" i="1" s="1"/>
  <c r="K86" i="1" s="1"/>
  <c r="E56" i="1"/>
  <c r="E78" i="1"/>
  <c r="E65" i="1"/>
  <c r="E33" i="1"/>
  <c r="E31" i="2"/>
  <c r="E64" i="2"/>
  <c r="F60" i="1"/>
  <c r="G60" i="1" s="1"/>
  <c r="I60" i="1" s="1"/>
  <c r="E32" i="2"/>
  <c r="E62" i="1"/>
  <c r="E100" i="1"/>
  <c r="F100" i="1" s="1"/>
  <c r="G100" i="1" s="1"/>
  <c r="K100" i="1" s="1"/>
  <c r="E44" i="2"/>
  <c r="E33" i="2"/>
  <c r="E29" i="2"/>
  <c r="E73" i="1"/>
  <c r="E90" i="1"/>
  <c r="F90" i="1" s="1"/>
  <c r="G90" i="1" s="1"/>
  <c r="K90" i="1" s="1"/>
  <c r="E27" i="1"/>
  <c r="E77" i="1"/>
  <c r="E48" i="1"/>
  <c r="E79" i="1"/>
  <c r="E24" i="1"/>
  <c r="E57" i="1"/>
  <c r="E26" i="1"/>
  <c r="E23" i="2" s="1"/>
  <c r="E30" i="1"/>
  <c r="E99" i="1"/>
  <c r="F99" i="1" s="1"/>
  <c r="G99" i="1" s="1"/>
  <c r="K99" i="1" s="1"/>
  <c r="E40" i="1"/>
  <c r="E37" i="2" s="1"/>
  <c r="E81" i="1"/>
  <c r="E25" i="1"/>
  <c r="F25" i="1" s="1"/>
  <c r="G25" i="1" s="1"/>
  <c r="H25" i="1" s="1"/>
  <c r="E44" i="1"/>
  <c r="E68" i="1"/>
  <c r="G47" i="1"/>
  <c r="I47" i="1" s="1"/>
  <c r="E69" i="1"/>
  <c r="F69" i="1" s="1"/>
  <c r="G69" i="1" s="1"/>
  <c r="I69" i="1" s="1"/>
  <c r="G32" i="1"/>
  <c r="I32" i="1" s="1"/>
  <c r="E71" i="1"/>
  <c r="E51" i="1"/>
  <c r="E63" i="1"/>
  <c r="E38" i="1"/>
  <c r="F38" i="1" s="1"/>
  <c r="G38" i="1" s="1"/>
  <c r="I38" i="1" s="1"/>
  <c r="E93" i="1"/>
  <c r="F93" i="1" s="1"/>
  <c r="G93" i="1" s="1"/>
  <c r="K93" i="1" s="1"/>
  <c r="E97" i="1"/>
  <c r="F97" i="1" s="1"/>
  <c r="G97" i="1" s="1"/>
  <c r="K97" i="1" s="1"/>
  <c r="E42" i="1"/>
  <c r="E31" i="1"/>
  <c r="E12" i="2"/>
  <c r="F64" i="1"/>
  <c r="G64" i="1" s="1"/>
  <c r="I64" i="1" s="1"/>
  <c r="E43" i="2"/>
  <c r="F21" i="1"/>
  <c r="G21" i="1" s="1"/>
  <c r="I21" i="1" s="1"/>
  <c r="E35" i="2" l="1"/>
  <c r="F40" i="1"/>
  <c r="G40" i="1" s="1"/>
  <c r="I40" i="1" s="1"/>
  <c r="F62" i="1"/>
  <c r="G62" i="1" s="1"/>
  <c r="I62" i="1" s="1"/>
  <c r="E59" i="2"/>
  <c r="E71" i="2"/>
  <c r="F31" i="1"/>
  <c r="G31" i="1" s="1"/>
  <c r="I31" i="1" s="1"/>
  <c r="E28" i="2"/>
  <c r="E24" i="2"/>
  <c r="F27" i="1"/>
  <c r="G27" i="1" s="1"/>
  <c r="I27" i="1" s="1"/>
  <c r="E13" i="2"/>
  <c r="F78" i="1"/>
  <c r="G78" i="1" s="1"/>
  <c r="K78" i="1" s="1"/>
  <c r="E69" i="2"/>
  <c r="F73" i="1"/>
  <c r="G73" i="1" s="1"/>
  <c r="K73" i="1" s="1"/>
  <c r="F70" i="1"/>
  <c r="G70" i="1" s="1"/>
  <c r="I70" i="1" s="1"/>
  <c r="E67" i="2"/>
  <c r="F61" i="1"/>
  <c r="G61" i="1" s="1"/>
  <c r="I61" i="1" s="1"/>
  <c r="E58" i="2"/>
  <c r="F59" i="1"/>
  <c r="G59" i="1" s="1"/>
  <c r="I59" i="1" s="1"/>
  <c r="F68" i="1"/>
  <c r="G68" i="1" s="1"/>
  <c r="E65" i="2"/>
  <c r="E54" i="2"/>
  <c r="F57" i="1"/>
  <c r="G57" i="1" s="1"/>
  <c r="I57" i="1" s="1"/>
  <c r="E21" i="2"/>
  <c r="F23" i="1"/>
  <c r="G23" i="1" s="1"/>
  <c r="I23" i="1" s="1"/>
  <c r="F50" i="1"/>
  <c r="G50" i="1" s="1"/>
  <c r="I50" i="1" s="1"/>
  <c r="E47" i="2"/>
  <c r="E66" i="2"/>
  <c r="E53" i="2"/>
  <c r="F56" i="1"/>
  <c r="G56" i="1" s="1"/>
  <c r="I56" i="1" s="1"/>
  <c r="E41" i="2"/>
  <c r="F44" i="1"/>
  <c r="G44" i="1" s="1"/>
  <c r="I44" i="1" s="1"/>
  <c r="E22" i="2"/>
  <c r="F24" i="1"/>
  <c r="G24" i="1" s="1"/>
  <c r="I24" i="1" s="1"/>
  <c r="F29" i="1"/>
  <c r="G29" i="1" s="1"/>
  <c r="I29" i="1" s="1"/>
  <c r="E26" i="2"/>
  <c r="F43" i="1"/>
  <c r="G43" i="1" s="1"/>
  <c r="I43" i="1" s="1"/>
  <c r="E40" i="2"/>
  <c r="F26" i="1"/>
  <c r="G26" i="1" s="1"/>
  <c r="I26" i="1" s="1"/>
  <c r="E60" i="2"/>
  <c r="F63" i="1"/>
  <c r="G63" i="1" s="1"/>
  <c r="I63" i="1" s="1"/>
  <c r="F79" i="1"/>
  <c r="G79" i="1" s="1"/>
  <c r="K79" i="1" s="1"/>
  <c r="E14" i="2"/>
  <c r="F80" i="1"/>
  <c r="G80" i="1" s="1"/>
  <c r="K80" i="1" s="1"/>
  <c r="E15" i="2"/>
  <c r="F82" i="1"/>
  <c r="G82" i="1" s="1"/>
  <c r="J82" i="1" s="1"/>
  <c r="E17" i="2"/>
  <c r="F55" i="1"/>
  <c r="G55" i="1" s="1"/>
  <c r="I55" i="1" s="1"/>
  <c r="E48" i="2"/>
  <c r="F51" i="1"/>
  <c r="G51" i="1" s="1"/>
  <c r="I51" i="1" s="1"/>
  <c r="E16" i="2"/>
  <c r="F81" i="1"/>
  <c r="G81" i="1" s="1"/>
  <c r="J81" i="1" s="1"/>
  <c r="F48" i="1"/>
  <c r="G48" i="1" s="1"/>
  <c r="I48" i="1" s="1"/>
  <c r="E45" i="2"/>
  <c r="F33" i="1"/>
  <c r="G33" i="1" s="1"/>
  <c r="I33" i="1" s="1"/>
  <c r="E30" i="2"/>
  <c r="F54" i="1"/>
  <c r="G54" i="1" s="1"/>
  <c r="I54" i="1" s="1"/>
  <c r="E51" i="2"/>
  <c r="E39" i="2"/>
  <c r="F42" i="1"/>
  <c r="G42" i="1" s="1"/>
  <c r="I42" i="1" s="1"/>
  <c r="F30" i="1"/>
  <c r="G30" i="1" s="1"/>
  <c r="I30" i="1" s="1"/>
  <c r="E27" i="2"/>
  <c r="F71" i="1"/>
  <c r="G71" i="1" s="1"/>
  <c r="K71" i="1" s="1"/>
  <c r="E11" i="2"/>
  <c r="E72" i="2"/>
  <c r="F77" i="1"/>
  <c r="G77" i="1" s="1"/>
  <c r="K77" i="1" s="1"/>
  <c r="E62" i="2"/>
  <c r="F65" i="1"/>
  <c r="G65" i="1" s="1"/>
  <c r="I65" i="1" s="1"/>
  <c r="F22" i="1"/>
  <c r="G22" i="1" s="1"/>
  <c r="I22" i="1" s="1"/>
  <c r="E20" i="2"/>
  <c r="C12" i="1"/>
  <c r="C11" i="1"/>
  <c r="O104" i="1" l="1"/>
  <c r="O103" i="1"/>
  <c r="O102" i="1"/>
  <c r="O101" i="1"/>
  <c r="O52" i="1"/>
  <c r="O51" i="1"/>
  <c r="O26" i="1"/>
  <c r="O63" i="1"/>
  <c r="O77" i="1"/>
  <c r="O75" i="1"/>
  <c r="O30" i="1"/>
  <c r="O59" i="1"/>
  <c r="O61" i="1"/>
  <c r="O88" i="1"/>
  <c r="O92" i="1"/>
  <c r="O24" i="1"/>
  <c r="O36" i="1"/>
  <c r="O33" i="1"/>
  <c r="O44" i="1"/>
  <c r="O72" i="1"/>
  <c r="O76" i="1"/>
  <c r="O42" i="1"/>
  <c r="O60" i="1"/>
  <c r="O95" i="1"/>
  <c r="O94" i="1"/>
  <c r="O34" i="1"/>
  <c r="O90" i="1"/>
  <c r="O50" i="1"/>
  <c r="O49" i="1"/>
  <c r="O38" i="1"/>
  <c r="O93" i="1"/>
  <c r="O70" i="1"/>
  <c r="O62" i="1"/>
  <c r="O48" i="1"/>
  <c r="O78" i="1"/>
  <c r="O96" i="1"/>
  <c r="O97" i="1"/>
  <c r="O25" i="1"/>
  <c r="O28" i="1"/>
  <c r="O100" i="1"/>
  <c r="O32" i="1"/>
  <c r="O65" i="1"/>
  <c r="O29" i="1"/>
  <c r="O21" i="1"/>
  <c r="O40" i="1"/>
  <c r="O27" i="1"/>
  <c r="O81" i="1"/>
  <c r="O82" i="1"/>
  <c r="O86" i="1"/>
  <c r="O99" i="1"/>
  <c r="O22" i="1"/>
  <c r="O56" i="1"/>
  <c r="O89" i="1"/>
  <c r="O58" i="1"/>
  <c r="O69" i="1"/>
  <c r="O39" i="1"/>
  <c r="O43" i="1"/>
  <c r="O54" i="1"/>
  <c r="O87" i="1"/>
  <c r="O98" i="1"/>
  <c r="O68" i="1"/>
  <c r="O74" i="1"/>
  <c r="O53" i="1"/>
  <c r="O73" i="1"/>
  <c r="O64" i="1"/>
  <c r="O67" i="1"/>
  <c r="O45" i="1"/>
  <c r="O46" i="1"/>
  <c r="O66" i="1"/>
  <c r="O41" i="1"/>
  <c r="O84" i="1"/>
  <c r="O91" i="1"/>
  <c r="O80" i="1"/>
  <c r="O85" i="1"/>
  <c r="O83" i="1"/>
  <c r="O57" i="1"/>
  <c r="O47" i="1"/>
  <c r="O71" i="1"/>
  <c r="O37" i="1"/>
  <c r="O23" i="1"/>
  <c r="O79" i="1"/>
  <c r="O35" i="1"/>
  <c r="O31" i="1"/>
  <c r="C15" i="1"/>
  <c r="O55" i="1"/>
  <c r="C16" i="1"/>
  <c r="D18" i="1" s="1"/>
  <c r="I68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<sst xmlns="http://schemas.openxmlformats.org/spreadsheetml/2006/main" count="729" uniqueCount="302">
  <si>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</si>
  <si>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</si>
  <si>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</si>
  <si>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</si>
  <si>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</si>
  <si>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</si>
  <si>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</si>
  <si>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</si>
  <si>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</si>
  <si>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</si>
  <si>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</si>
  <si>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</si>
  <si>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</si>
  <si>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</si>
  <si>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</si>
  <si>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</si>
  <si>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</si>
  <si>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</si>
  <si>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</si>
  <si>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</si>
  <si>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</si>
  <si>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</si>
  <si>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</si>
  <si>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</si>
  <si>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</si>
  <si>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</si>
  <si>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</si>
  <si>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</si>
  <si>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</si>
  <si>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IBVS 5263</t>
  </si>
  <si>
    <t>I</t>
  </si>
  <si>
    <t>KV Cyg / GSC 2684-2004</t>
  </si>
  <si>
    <t>EB/SD</t>
  </si>
  <si>
    <t>IBVS 5657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</si>
  <si>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</si>
  <si>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</si>
  <si>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</si>
  <si>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</si>
  <si>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</si>
  <si>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</si>
  <si>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# of data points:</t>
  </si>
  <si>
    <t>Start of linear fit &gt;&gt;&gt;&gt;&gt;&gt;&gt;&gt;&gt;&gt;&gt;&gt;&gt;&gt;&gt;&gt;&gt;&gt;&gt;&gt;&gt;</t>
  </si>
  <si>
    <t>IBVS 6010</t>
  </si>
  <si>
    <t>JAVSO..38...85</t>
  </si>
  <si>
    <t>JAVSO..36..186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</si>
  <si>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</si>
  <si>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</si>
  <si>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</si>
  <si>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</si>
  <si>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</si>
  <si>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</si>
  <si>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</si>
  <si>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</si>
  <si>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</si>
  <si>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</si>
  <si>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</si>
  <si>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</si>
  <si>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</si>
  <si>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2425411.503 </t>
  </si>
  <si>
    <t> 14.06.1928 00:04 </t>
  </si>
  <si>
    <t> 0.036 </t>
  </si>
  <si>
    <t>P </t>
  </si>
  <si>
    <t> H.van Schewick </t>
  </si>
  <si>
    <t> KVBB 24.89 </t>
  </si>
  <si>
    <t>2425448.423 </t>
  </si>
  <si>
    <t> 20.07.1928 22:09 </t>
  </si>
  <si>
    <t> 0.049 </t>
  </si>
  <si>
    <t>2425925.297 </t>
  </si>
  <si>
    <t> 09.11.1929 19:07 </t>
  </si>
  <si>
    <t> -0.028 </t>
  </si>
  <si>
    <t>2429431.497 </t>
  </si>
  <si>
    <t> 16.06.1939 23:55 </t>
  </si>
  <si>
    <t> 0.015 </t>
  </si>
  <si>
    <t>V </t>
  </si>
  <si>
    <t> NAZ 7.34 </t>
  </si>
  <si>
    <t>2429499.598 </t>
  </si>
  <si>
    <t> 24.08.1939 02:21 </t>
  </si>
  <si>
    <t> -0.020 </t>
  </si>
  <si>
    <t>2429516.633 </t>
  </si>
  <si>
    <t> 10.09.1939 03:11 </t>
  </si>
  <si>
    <t> -0.019 </t>
  </si>
  <si>
    <t>2429576.295 </t>
  </si>
  <si>
    <t> 08.11.1939 19:04 </t>
  </si>
  <si>
    <t> 0.024 </t>
  </si>
  <si>
    <t>2429638.714 </t>
  </si>
  <si>
    <t> 10.01.1940 05:08 </t>
  </si>
  <si>
    <t> -0.015 </t>
  </si>
  <si>
    <t>2432182.436 </t>
  </si>
  <si>
    <t> 27.12.1946 22:27 </t>
  </si>
  <si>
    <t> -0.031 </t>
  </si>
  <si>
    <t> B.S.Whitney </t>
  </si>
  <si>
    <t> AJ 64.263 </t>
  </si>
  <si>
    <t>2432795.690 </t>
  </si>
  <si>
    <t> 01.09.1948 04:33 </t>
  </si>
  <si>
    <t> 0.001 </t>
  </si>
  <si>
    <t>2433096.632 </t>
  </si>
  <si>
    <t> 29.06.1949 03:10 </t>
  </si>
  <si>
    <t> 0.009 </t>
  </si>
  <si>
    <t>2433201.662 </t>
  </si>
  <si>
    <t> 12.10.1949 03:53 </t>
  </si>
  <si>
    <t> -0.004 </t>
  </si>
  <si>
    <t>2433536.669 </t>
  </si>
  <si>
    <t> 12.09.1950 04:03 </t>
  </si>
  <si>
    <t> 0.002 </t>
  </si>
  <si>
    <t>2433834.756 </t>
  </si>
  <si>
    <t> 07.07.1951 06:08 </t>
  </si>
  <si>
    <t> -0.005 </t>
  </si>
  <si>
    <t>2433894.440 </t>
  </si>
  <si>
    <t> 04.09.1951 22:33 </t>
  </si>
  <si>
    <t> 0.060 </t>
  </si>
  <si>
    <t> G.Romano </t>
  </si>
  <si>
    <t> MSAI 40.385 </t>
  </si>
  <si>
    <t>2434223.691 </t>
  </si>
  <si>
    <t> 30.07.1952 04:35 </t>
  </si>
  <si>
    <t> -0.012 </t>
  </si>
  <si>
    <t>2434243.468 </t>
  </si>
  <si>
    <t> 18.08.1952 23:13 </t>
  </si>
  <si>
    <t> -0.108 </t>
  </si>
  <si>
    <t>2434300.428 </t>
  </si>
  <si>
    <t> 14.10.1952 22:16 </t>
  </si>
  <si>
    <t> 0.072 </t>
  </si>
  <si>
    <t>2434334.462 </t>
  </si>
  <si>
    <t> 17.11.1952 23:05 </t>
  </si>
  <si>
    <t> 0.038 </t>
  </si>
  <si>
    <t>2434510.552 </t>
  </si>
  <si>
    <t> 13.05.1953 01:14 </t>
  </si>
  <si>
    <t> 0.110 </t>
  </si>
  <si>
    <t>2434530.442 </t>
  </si>
  <si>
    <t> 01.06.1953 22:36 </t>
  </si>
  <si>
    <t> 0.127 </t>
  </si>
  <si>
    <t>2434581.440 </t>
  </si>
  <si>
    <t> 22.07.1953 22:33 </t>
  </si>
  <si>
    <t>2434683.637 </t>
  </si>
  <si>
    <t> 02.11.1953 03:17 </t>
  </si>
  <si>
    <t> 0.017 </t>
  </si>
  <si>
    <t>2435089.598 </t>
  </si>
  <si>
    <t> 13.12.1954 02:21 </t>
  </si>
  <si>
    <t>2435299.668 </t>
  </si>
  <si>
    <t> 11.07.1955 04:01 </t>
  </si>
  <si>
    <t> -0.014 </t>
  </si>
  <si>
    <t>2435651.706 </t>
  </si>
  <si>
    <t> 27.06.1956 04:56 </t>
  </si>
  <si>
    <t> -0.011 </t>
  </si>
  <si>
    <t>2436848.385 </t>
  </si>
  <si>
    <t> 06.10.1959 21:14 </t>
  </si>
  <si>
    <t> 0.032 </t>
  </si>
  <si>
    <t> K.Häussler </t>
  </si>
  <si>
    <t> HABZ 38 </t>
  </si>
  <si>
    <t>2436902.263 </t>
  </si>
  <si>
    <t> 29.11.1959 18:18 </t>
  </si>
  <si>
    <t>2437146.465 </t>
  </si>
  <si>
    <t> 30.07.1960 23:09 </t>
  </si>
  <si>
    <t> 0.018 </t>
  </si>
  <si>
    <t>2437190.412 </t>
  </si>
  <si>
    <t> 12.09.1960 21:53 </t>
  </si>
  <si>
    <t> -0.040 </t>
  </si>
  <si>
    <t>2437542.399 </t>
  </si>
  <si>
    <t> 30.08.1961 21:34 </t>
  </si>
  <si>
    <t> -0.088 </t>
  </si>
  <si>
    <t>2437559.388 </t>
  </si>
  <si>
    <t> 16.09.1961 21:18 </t>
  </si>
  <si>
    <t> -0.133 </t>
  </si>
  <si>
    <t>2437579.388 </t>
  </si>
  <si>
    <t> 06.10.1961 21:18 </t>
  </si>
  <si>
    <t> -0.006 </t>
  </si>
  <si>
    <t>2437582.308 </t>
  </si>
  <si>
    <t> 09.10.1961 19:23 </t>
  </si>
  <si>
    <t> 0.075 </t>
  </si>
  <si>
    <t>2437582.347 </t>
  </si>
  <si>
    <t> 09.10.1961 20:19 </t>
  </si>
  <si>
    <t> 0.114 </t>
  </si>
  <si>
    <t>2437961.295 </t>
  </si>
  <si>
    <t> 23.10.1962 19:04 </t>
  </si>
  <si>
    <t> 0.057 </t>
  </si>
  <si>
    <t>2442621.461 </t>
  </si>
  <si>
    <t> 27.07.1975 23:03 </t>
  </si>
  <si>
    <t> R.Diethelm </t>
  </si>
  <si>
    <t> BBS 23 </t>
  </si>
  <si>
    <t>2443373.823 </t>
  </si>
  <si>
    <t> 18.08.1977 07:45 </t>
  </si>
  <si>
    <t> 0.043 </t>
  </si>
  <si>
    <t> D.Ruokonen </t>
  </si>
  <si>
    <t> AOEB 10 </t>
  </si>
  <si>
    <t>2443805.323 </t>
  </si>
  <si>
    <t> 23.10.1978 19:45 </t>
  </si>
  <si>
    <t> 0.016 </t>
  </si>
  <si>
    <t> H.Peter </t>
  </si>
  <si>
    <t> BBS 39 </t>
  </si>
  <si>
    <t>2444486.685 </t>
  </si>
  <si>
    <t> 04.09.1980 04:26 </t>
  </si>
  <si>
    <t> 0.020 </t>
  </si>
  <si>
    <t> G.Hanson </t>
  </si>
  <si>
    <t>2445173.712 </t>
  </si>
  <si>
    <t> 23.07.1982 05:05 </t>
  </si>
  <si>
    <t> 0.010 </t>
  </si>
  <si>
    <t> G.Samolyk </t>
  </si>
  <si>
    <t>2445298.628 </t>
  </si>
  <si>
    <t> 25.11.1982 03:04 </t>
  </si>
  <si>
    <t> 0.011 </t>
  </si>
  <si>
    <t>2446709.625 </t>
  </si>
  <si>
    <t> 06.10.1986 03:00 </t>
  </si>
  <si>
    <t> 0.028 </t>
  </si>
  <si>
    <t>2447825.357 </t>
  </si>
  <si>
    <t> 25.10.1989 20:34 </t>
  </si>
  <si>
    <t> 0.035 </t>
  </si>
  <si>
    <t> BBS 93 </t>
  </si>
  <si>
    <t>2448506.714 </t>
  </si>
  <si>
    <t> 07.09.1991 05:08 </t>
  </si>
  <si>
    <t> 0.034 </t>
  </si>
  <si>
    <t>2449534.430 </t>
  </si>
  <si>
    <t> 30.06.1994 22:19 </t>
  </si>
  <si>
    <t> BBS 107 </t>
  </si>
  <si>
    <t>2449605.403 </t>
  </si>
  <si>
    <t> 09.09.1994 21:40 </t>
  </si>
  <si>
    <t>2450692.748 </t>
  </si>
  <si>
    <t> 01.09.1997 05:57 </t>
  </si>
  <si>
    <t>2450752.358 </t>
  </si>
  <si>
    <t> 30.10.1997 20:35 </t>
  </si>
  <si>
    <t> BBS 116 </t>
  </si>
  <si>
    <t>2451331.5191 </t>
  </si>
  <si>
    <t> 02.06.1999 00:27 </t>
  </si>
  <si>
    <t> 0.0404 </t>
  </si>
  <si>
    <t>E </t>
  </si>
  <si>
    <t>?</t>
  </si>
  <si>
    <t> J.Safar </t>
  </si>
  <si>
    <t>IBVS 5263 </t>
  </si>
  <si>
    <t>2452174.7050 </t>
  </si>
  <si>
    <t> 22.09.2001 04:55 </t>
  </si>
  <si>
    <t> 0.0452 </t>
  </si>
  <si>
    <t>C </t>
  </si>
  <si>
    <t>ns</t>
  </si>
  <si>
    <t> C.Hesseltine </t>
  </si>
  <si>
    <t>2452418.8498 </t>
  </si>
  <si>
    <t> 24.05.2002 08:23 </t>
  </si>
  <si>
    <t> 0.0365 </t>
  </si>
  <si>
    <t> S.Dvorak </t>
  </si>
  <si>
    <t>2453165.5150 </t>
  </si>
  <si>
    <t> 09.06.2004 00:21 </t>
  </si>
  <si>
    <t> 0.0464 </t>
  </si>
  <si>
    <t>o</t>
  </si>
  <si>
    <t> Moschner &amp; Frank </t>
  </si>
  <si>
    <t>BAVM 173 </t>
  </si>
  <si>
    <t>2453565.8111 </t>
  </si>
  <si>
    <t> 14.07.2005 07:27 </t>
  </si>
  <si>
    <t> 0.0444 </t>
  </si>
  <si>
    <t>2454272.7239 </t>
  </si>
  <si>
    <t> 21.06.2007 05:22 </t>
  </si>
  <si>
    <t> 0.0478 </t>
  </si>
  <si>
    <t> J.Bialozynski </t>
  </si>
  <si>
    <t> AOEB 12 </t>
  </si>
  <si>
    <t>2454366.4142 </t>
  </si>
  <si>
    <t> 22.09.2007 21:56 </t>
  </si>
  <si>
    <t> 0.0513 </t>
  </si>
  <si>
    <t> U.Schmidt </t>
  </si>
  <si>
    <t>BAVM 193 </t>
  </si>
  <si>
    <t>2454641.7976 </t>
  </si>
  <si>
    <t> 24.06.2008 07:08 </t>
  </si>
  <si>
    <t> 0.0523 </t>
  </si>
  <si>
    <t>JAAVSO 36(2);186 </t>
  </si>
  <si>
    <t>2454976.7977 </t>
  </si>
  <si>
    <t> 25.05.2009 07:08 </t>
  </si>
  <si>
    <t> 0.0512 </t>
  </si>
  <si>
    <t> K.Menzies </t>
  </si>
  <si>
    <t> JAAVSO 38;85 </t>
  </si>
  <si>
    <t>2454996.6722 </t>
  </si>
  <si>
    <t> 14.06.2009 04:07 </t>
  </si>
  <si>
    <t> 0.0527 </t>
  </si>
  <si>
    <t>2455686.5474 </t>
  </si>
  <si>
    <t> 05.05.2011 01:08 </t>
  </si>
  <si>
    <t> 0.0525 </t>
  </si>
  <si>
    <t>-I</t>
  </si>
  <si>
    <t> F.Agerer </t>
  </si>
  <si>
    <t>BAVM 220 </t>
  </si>
  <si>
    <t>2455740.4894 </t>
  </si>
  <si>
    <t> 27.06.2011 23:44 </t>
  </si>
  <si>
    <t>9254</t>
  </si>
  <si>
    <t> 0.0536 </t>
  </si>
  <si>
    <t>2456492.8251 </t>
  </si>
  <si>
    <t> 19.07.2013 07:48 </t>
  </si>
  <si>
    <t>9519</t>
  </si>
  <si>
    <t> 0.0560 </t>
  </si>
  <si>
    <t> JAAVSO 41;328 </t>
  </si>
  <si>
    <t>II</t>
  </si>
  <si>
    <t>OEJV 0179</t>
  </si>
  <si>
    <t>JAVSO..43..238</t>
  </si>
  <si>
    <t>JAVSO..44..164</t>
  </si>
  <si>
    <t>JAVSO..45..121</t>
  </si>
  <si>
    <t>JAVSO..46..184</t>
  </si>
  <si>
    <t>JAVSO..47..263</t>
  </si>
  <si>
    <t>JAVSO..48…87</t>
  </si>
  <si>
    <t>JAVSO 49, 108</t>
  </si>
  <si>
    <t>JAVSO 49, 256</t>
  </si>
  <si>
    <t>JAVSO, 50, 133</t>
  </si>
  <si>
    <t>JAAVSO, 50, 255</t>
  </si>
  <si>
    <t>JAAVSO 51, 134</t>
  </si>
  <si>
    <t>JAAVSO52#1</t>
  </si>
  <si>
    <t>Next ToM-P</t>
  </si>
  <si>
    <t>Next ToM-S</t>
  </si>
  <si>
    <t>11.50-12.60</t>
  </si>
  <si>
    <t xml:space="preserve">Mag p 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</si>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</sst>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8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6" fillId="24" borderId="18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>
      <alignment vertical="top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 applyProtection="1">
      <alignment horizontal="left"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165" fontId="38" fillId="0" borderId="0" xfId="0" applyNumberFormat="1" applyFont="1" applyAlignment="1">
      <alignment horizontal="left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>
      <alignment horizontal="left"/>
    </xf>
    <xf numFmtId="0" fontId="0" fillId="0" borderId="19" xfId="0" applyBorder="1">
      <alignment vertical="top"/>
    </xf>
    <xf numFmtId="0" fontId="39" fillId="0" borderId="22" xfId="0" applyFont="1" applyBorder="1" applyAlignment="1">
      <alignment horizontal="right" vertical="center"/>
    </xf>
    <xf numFmtId="0" fontId="39" fillId="0" borderId="24" xfId="0" applyFont="1" applyBorder="1" applyAlignment="1">
      <alignment horizontal="right" vertical="center"/>
    </xf>
    <xf numFmtId="0" fontId="6" fillId="25" borderId="20" xfId="0" applyFont="1" applyFill="1" applyBorder="1" applyAlignment="1">
      <alignment horizontal="right" vertical="center"/>
    </xf>
    <xf numFmtId="0" fontId="6" fillId="25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22" fontId="40" fillId="0" borderId="23" xfId="0" applyNumberFormat="1" applyFont="1" applyBorder="1" applyAlignment="1">
      <alignment horizontal="right" vertical="center"/>
    </xf>
    <xf numFmtId="22" fontId="40" fillId="0" borderId="25" xfId="0" applyNumberFormat="1" applyFont="1" applyBorder="1" applyAlignment="1">
      <alignment horizontal="right" vertical="center"/>
    </xf>
    <xf numFmtId="0" fontId="6" fillId="0" borderId="0" xfId="0" applyFont="1" applyAlignment="1"/>
    <xf numFmtId="0" fontId="38" fillId="0" borderId="0" xfId="0" applyFont="1" applyAlignment="1" applyProtection="1">
      <alignment horizontal="center"/>
      <protection locked="0"/>
    </xf>
    <xf numFmtId="165" fontId="38" fillId="0" borderId="0" xfId="0" applyNumberFormat="1" applyFont="1" applyAlignment="1" applyProtection="1">
      <alignment horizontal="left"/>
      <protection locked="0"/>
    </xf>
    <xf numFmtId="165" fontId="38" fillId="0" borderId="0" xfId="0" applyNumberFormat="1" applyFont="1" applyAlignment="1" applyProtection="1">
      <alignment horizontal="left"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Cyg - O-C Diagr.</a:t>
            </a:r>
          </a:p>
        </c:rich>
      </c:tx>
      <c:layout>
        <c:manualLayout>
          <c:xMode val="edge"/>
          <c:yMode val="edge"/>
          <c:x val="0.3718598240546564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287031326933"/>
          <c:y val="0.14769252958613219"/>
          <c:w val="0.80904654955531163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AF-4FFC-9503-F237EC1E81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3.5854400000971509E-2</c:v>
                </c:pt>
                <c:pt idx="1">
                  <c:v>4.8937600000499515E-2</c:v>
                </c:pt>
                <c:pt idx="2">
                  <c:v>-2.7987200002826285E-2</c:v>
                </c:pt>
                <c:pt idx="3">
                  <c:v>1.4916799998900387E-2</c:v>
                </c:pt>
                <c:pt idx="5">
                  <c:v>-1.9929599999159109E-2</c:v>
                </c:pt>
                <c:pt idx="6">
                  <c:v>-1.8891199997597141E-2</c:v>
                </c:pt>
                <c:pt idx="7">
                  <c:v>2.4243199997727061E-2</c:v>
                </c:pt>
                <c:pt idx="8">
                  <c:v>-1.461600000038743E-2</c:v>
                </c:pt>
                <c:pt idx="9">
                  <c:v>-3.0881599996064324E-2</c:v>
                </c:pt>
                <c:pt idx="10">
                  <c:v>5.0080000073648989E-4</c:v>
                </c:pt>
                <c:pt idx="11">
                  <c:v>9.1792000021087006E-3</c:v>
                </c:pt>
                <c:pt idx="12">
                  <c:v>-3.5840000055031851E-3</c:v>
                </c:pt>
                <c:pt idx="13">
                  <c:v>2.1712000016123056E-3</c:v>
                </c:pt>
                <c:pt idx="14">
                  <c:v>-5.156799998076167E-3</c:v>
                </c:pt>
                <c:pt idx="15">
                  <c:v>5.9977600001730025E-2</c:v>
                </c:pt>
                <c:pt idx="16">
                  <c:v>-1.2280000002647284E-2</c:v>
                </c:pt>
                <c:pt idx="17">
                  <c:v>-0.10823520000121789</c:v>
                </c:pt>
                <c:pt idx="18">
                  <c:v>7.1892799998749979E-2</c:v>
                </c:pt>
                <c:pt idx="19">
                  <c:v>3.7969600001815706E-2</c:v>
                </c:pt>
                <c:pt idx="20">
                  <c:v>0.11036640000384068</c:v>
                </c:pt>
                <c:pt idx="21">
                  <c:v>0.12741120000282535</c:v>
                </c:pt>
                <c:pt idx="22">
                  <c:v>2.352640000754036E-2</c:v>
                </c:pt>
                <c:pt idx="23">
                  <c:v>1.6756800003349781E-2</c:v>
                </c:pt>
                <c:pt idx="24">
                  <c:v>1.6719999985070899E-3</c:v>
                </c:pt>
                <c:pt idx="25">
                  <c:v>-1.3854400000127498E-2</c:v>
                </c:pt>
                <c:pt idx="26">
                  <c:v>-1.1060800003178883E-2</c:v>
                </c:pt>
                <c:pt idx="27">
                  <c:v>3.2136800000444055E-2</c:v>
                </c:pt>
                <c:pt idx="28">
                  <c:v>-3.0741599999601021E-2</c:v>
                </c:pt>
                <c:pt idx="29">
                  <c:v>1.7808799995691516E-2</c:v>
                </c:pt>
                <c:pt idx="30">
                  <c:v>-3.9592000000993721E-2</c:v>
                </c:pt>
                <c:pt idx="31">
                  <c:v>-8.7798400003521238E-2</c:v>
                </c:pt>
                <c:pt idx="32">
                  <c:v>-0.13276000000041677</c:v>
                </c:pt>
                <c:pt idx="33">
                  <c:v>-5.7152000008500181E-3</c:v>
                </c:pt>
                <c:pt idx="34">
                  <c:v>7.5291199995263014E-2</c:v>
                </c:pt>
                <c:pt idx="35">
                  <c:v>0.11429119999957038</c:v>
                </c:pt>
                <c:pt idx="36">
                  <c:v>5.6645600001502316E-2</c:v>
                </c:pt>
                <c:pt idx="37">
                  <c:v>1.4651200006483123E-2</c:v>
                </c:pt>
                <c:pt idx="38">
                  <c:v>4.3347200000425801E-2</c:v>
                </c:pt>
                <c:pt idx="39">
                  <c:v>1.6320000002451707E-2</c:v>
                </c:pt>
                <c:pt idx="40">
                  <c:v>1.9855999998981133E-2</c:v>
                </c:pt>
                <c:pt idx="41">
                  <c:v>1.0404799999378156E-2</c:v>
                </c:pt>
                <c:pt idx="42">
                  <c:v>1.0686399997211993E-2</c:v>
                </c:pt>
                <c:pt idx="43">
                  <c:v>2.7867199998581782E-2</c:v>
                </c:pt>
                <c:pt idx="44">
                  <c:v>3.5382400004891679E-2</c:v>
                </c:pt>
                <c:pt idx="45">
                  <c:v>3.3918399996764492E-2</c:v>
                </c:pt>
                <c:pt idx="46">
                  <c:v>3.4235200007969979E-2</c:v>
                </c:pt>
                <c:pt idx="47">
                  <c:v>3.2395199996244628E-2</c:v>
                </c:pt>
                <c:pt idx="48">
                  <c:v>4.2846400006965268E-2</c:v>
                </c:pt>
                <c:pt idx="49">
                  <c:v>3.3980800006247591E-2</c:v>
                </c:pt>
                <c:pt idx="51">
                  <c:v>4.5187200004875194E-2</c:v>
                </c:pt>
                <c:pt idx="55">
                  <c:v>4.7816799997235648E-2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AF-4FFC-9503-F237EC1E81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3">
                  <c:v>4.6420800004852936E-2</c:v>
                </c:pt>
                <c:pt idx="60">
                  <c:v>5.2504000006592833E-2</c:v>
                </c:pt>
                <c:pt idx="61">
                  <c:v>5.36255999977584E-2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AF-4FFC-9503-F237EC1E81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50">
                  <c:v>4.0386400003626477E-2</c:v>
                </c:pt>
                <c:pt idx="52">
                  <c:v>3.6537600004521664E-2</c:v>
                </c:pt>
                <c:pt idx="54">
                  <c:v>4.4423200000892393E-2</c:v>
                </c:pt>
                <c:pt idx="56">
                  <c:v>5.1328000001376495E-2</c:v>
                </c:pt>
                <c:pt idx="57">
                  <c:v>5.2348799996252637E-2</c:v>
                </c:pt>
                <c:pt idx="58">
                  <c:v>5.1204000010329764E-2</c:v>
                </c:pt>
                <c:pt idx="59">
                  <c:v>5.274880000797566E-2</c:v>
                </c:pt>
                <c:pt idx="62">
                  <c:v>5.6021600001258776E-2</c:v>
                </c:pt>
                <c:pt idx="63">
                  <c:v>5.7917199999792501E-2</c:v>
                </c:pt>
                <c:pt idx="64">
                  <c:v>5.9598400002869312E-2</c:v>
                </c:pt>
                <c:pt idx="65">
                  <c:v>6.1359999999694992E-2</c:v>
                </c:pt>
                <c:pt idx="66">
                  <c:v>6.1192000001028646E-2</c:v>
                </c:pt>
                <c:pt idx="67">
                  <c:v>6.2013600007048808E-2</c:v>
                </c:pt>
                <c:pt idx="68">
                  <c:v>5.6067200006509665E-2</c:v>
                </c:pt>
                <c:pt idx="69">
                  <c:v>5.6956000000354834E-2</c:v>
                </c:pt>
                <c:pt idx="70">
                  <c:v>5.7868800002324861E-2</c:v>
                </c:pt>
                <c:pt idx="71">
                  <c:v>5.9007200004998595E-2</c:v>
                </c:pt>
                <c:pt idx="72">
                  <c:v>5.8817600009206217E-2</c:v>
                </c:pt>
                <c:pt idx="73">
                  <c:v>6.3639200001489371E-2</c:v>
                </c:pt>
                <c:pt idx="74">
                  <c:v>6.3984000000345986E-2</c:v>
                </c:pt>
                <c:pt idx="75">
                  <c:v>6.7671200005861465E-2</c:v>
                </c:pt>
                <c:pt idx="76">
                  <c:v>6.8559999999706633E-2</c:v>
                </c:pt>
                <c:pt idx="77">
                  <c:v>6.3571200000296813E-2</c:v>
                </c:pt>
                <c:pt idx="78">
                  <c:v>6.3054400001419708E-2</c:v>
                </c:pt>
                <c:pt idx="79">
                  <c:v>6.2619999996968545E-2</c:v>
                </c:pt>
                <c:pt idx="80">
                  <c:v>6.403120000322815E-2</c:v>
                </c:pt>
                <c:pt idx="81">
                  <c:v>6.9635200001357589E-2</c:v>
                </c:pt>
                <c:pt idx="82">
                  <c:v>7.0124800004123244E-2</c:v>
                </c:pt>
                <c:pt idx="83">
                  <c:v>7.1052000006602611E-2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AF-4FFC-9503-F237EC1E81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AF-4FFC-9503-F237EC1E81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AF-4FFC-9503-F237EC1E81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AF-4FFC-9503-F237EC1E81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-4.1917738581382605E-2</c:v>
                </c:pt>
                <c:pt idx="1">
                  <c:v>-4.1801784689677483E-2</c:v>
                </c:pt>
                <c:pt idx="2">
                  <c:v>-4.0303303627642069E-2</c:v>
                </c:pt>
                <c:pt idx="3">
                  <c:v>-2.9287683915655532E-2</c:v>
                </c:pt>
                <c:pt idx="4">
                  <c:v>-2.9171730023950411E-2</c:v>
                </c:pt>
                <c:pt idx="5">
                  <c:v>-2.9073615192507615E-2</c:v>
                </c:pt>
                <c:pt idx="6">
                  <c:v>-2.9020098011720636E-2</c:v>
                </c:pt>
                <c:pt idx="7">
                  <c:v>-2.8832787878966211E-2</c:v>
                </c:pt>
                <c:pt idx="8">
                  <c:v>-2.8636558216080618E-2</c:v>
                </c:pt>
                <c:pt idx="9">
                  <c:v>-2.0644659218558403E-2</c:v>
                </c:pt>
                <c:pt idx="10">
                  <c:v>-1.8718040710227153E-2</c:v>
                </c:pt>
                <c:pt idx="11">
                  <c:v>-1.7772570516323857E-2</c:v>
                </c:pt>
                <c:pt idx="12">
                  <c:v>-1.7442547901470817E-2</c:v>
                </c:pt>
                <c:pt idx="13">
                  <c:v>-1.6390043345993564E-2</c:v>
                </c:pt>
                <c:pt idx="14">
                  <c:v>-1.5453492682221428E-2</c:v>
                </c:pt>
                <c:pt idx="15">
                  <c:v>-1.5266182549467001E-2</c:v>
                </c:pt>
                <c:pt idx="16">
                  <c:v>-1.4231517054252072E-2</c:v>
                </c:pt>
                <c:pt idx="17">
                  <c:v>-1.416908034333393E-2</c:v>
                </c:pt>
                <c:pt idx="18">
                  <c:v>-1.3990689740710665E-2</c:v>
                </c:pt>
                <c:pt idx="19">
                  <c:v>-1.3883655379136708E-2</c:v>
                </c:pt>
                <c:pt idx="20">
                  <c:v>-1.3330644511004588E-2</c:v>
                </c:pt>
                <c:pt idx="21">
                  <c:v>-1.3268207800086446E-2</c:v>
                </c:pt>
                <c:pt idx="22">
                  <c:v>-1.310765625772551E-2</c:v>
                </c:pt>
                <c:pt idx="23">
                  <c:v>-1.2786553173003635E-2</c:v>
                </c:pt>
                <c:pt idx="24">
                  <c:v>-1.1511060364247299E-2</c:v>
                </c:pt>
                <c:pt idx="25">
                  <c:v>-1.0851015134541224E-2</c:v>
                </c:pt>
                <c:pt idx="26">
                  <c:v>-9.7449933982769882E-3</c:v>
                </c:pt>
                <c:pt idx="27">
                  <c:v>-5.9854114479917057E-3</c:v>
                </c:pt>
                <c:pt idx="28">
                  <c:v>-5.8159403754996022E-3</c:v>
                </c:pt>
                <c:pt idx="29">
                  <c:v>-5.04886078421957E-3</c:v>
                </c:pt>
                <c:pt idx="30">
                  <c:v>-4.9106080671865414E-3</c:v>
                </c:pt>
                <c:pt idx="31">
                  <c:v>-3.8045863309223056E-3</c:v>
                </c:pt>
                <c:pt idx="32">
                  <c:v>-3.751069150135327E-3</c:v>
                </c:pt>
                <c:pt idx="33">
                  <c:v>-3.6886324392171842E-3</c:v>
                </c:pt>
                <c:pt idx="34">
                  <c:v>-3.6797129090860199E-3</c:v>
                </c:pt>
                <c:pt idx="35">
                  <c:v>-3.6797129090860199E-3</c:v>
                </c:pt>
                <c:pt idx="36">
                  <c:v>-2.4889556365757341E-3</c:v>
                </c:pt>
                <c:pt idx="37">
                  <c:v>1.2152453073728635E-2</c:v>
                </c:pt>
                <c:pt idx="38">
                  <c:v>1.4516128558486885E-2</c:v>
                </c:pt>
                <c:pt idx="39">
                  <c:v>1.5871897138423685E-2</c:v>
                </c:pt>
                <c:pt idx="40">
                  <c:v>1.801258436990285E-2</c:v>
                </c:pt>
                <c:pt idx="41">
                  <c:v>2.0171110661644343E-2</c:v>
                </c:pt>
                <c:pt idx="42">
                  <c:v>2.0563569987415521E-2</c:v>
                </c:pt>
                <c:pt idx="43">
                  <c:v>2.4996576462603629E-2</c:v>
                </c:pt>
                <c:pt idx="44">
                  <c:v>2.8501951804150757E-2</c:v>
                </c:pt>
                <c:pt idx="45">
                  <c:v>3.0642639035629929E-2</c:v>
                </c:pt>
                <c:pt idx="46">
                  <c:v>3.3871508943110994E-2</c:v>
                </c:pt>
                <c:pt idx="47">
                  <c:v>3.4094497196390079E-2</c:v>
                </c:pt>
                <c:pt idx="48">
                  <c:v>3.7510677236625579E-2</c:v>
                </c:pt>
                <c:pt idx="49">
                  <c:v>3.7697987369380008E-2</c:v>
                </c:pt>
                <c:pt idx="50">
                  <c:v>3.9517571516137294E-2</c:v>
                </c:pt>
                <c:pt idx="51">
                  <c:v>4.2166671965092765E-2</c:v>
                </c:pt>
                <c:pt idx="52">
                  <c:v>4.2933751556372794E-2</c:v>
                </c:pt>
                <c:pt idx="53">
                  <c:v>4.5279587980868723E-2</c:v>
                </c:pt>
                <c:pt idx="54">
                  <c:v>4.6537241729362723E-2</c:v>
                </c:pt>
                <c:pt idx="55">
                  <c:v>4.8758204732022366E-2</c:v>
                </c:pt>
                <c:pt idx="56">
                  <c:v>4.9052549226350751E-2</c:v>
                </c:pt>
                <c:pt idx="57">
                  <c:v>4.991774364907358E-2</c:v>
                </c:pt>
                <c:pt idx="58">
                  <c:v>5.0970248204550837E-2</c:v>
                </c:pt>
                <c:pt idx="59">
                  <c:v>5.1032684915468966E-2</c:v>
                </c:pt>
                <c:pt idx="60">
                  <c:v>5.3200130737341624E-2</c:v>
                </c:pt>
                <c:pt idx="61">
                  <c:v>5.3369601809833724E-2</c:v>
                </c:pt>
                <c:pt idx="62">
                  <c:v>5.5733277294591967E-2</c:v>
                </c:pt>
                <c:pt idx="63">
                  <c:v>5.7887343821267888E-2</c:v>
                </c:pt>
                <c:pt idx="64">
                  <c:v>5.8070194188956724E-2</c:v>
                </c:pt>
                <c:pt idx="65">
                  <c:v>5.9131618274565152E-2</c:v>
                </c:pt>
                <c:pt idx="66">
                  <c:v>5.9176215925220967E-2</c:v>
                </c:pt>
                <c:pt idx="67">
                  <c:v>5.9345686997713067E-2</c:v>
                </c:pt>
                <c:pt idx="68">
                  <c:v>6.0674696987256381E-2</c:v>
                </c:pt>
                <c:pt idx="69">
                  <c:v>6.1495293759323395E-2</c:v>
                </c:pt>
                <c:pt idx="70">
                  <c:v>6.1513132819585724E-2</c:v>
                </c:pt>
                <c:pt idx="71">
                  <c:v>6.1566650000372695E-2</c:v>
                </c:pt>
                <c:pt idx="72">
                  <c:v>6.2556717844931803E-2</c:v>
                </c:pt>
                <c:pt idx="73">
                  <c:v>6.2726188917423903E-2</c:v>
                </c:pt>
                <c:pt idx="74">
                  <c:v>6.278862562834206E-2</c:v>
                </c:pt>
                <c:pt idx="75">
                  <c:v>6.3885727834475131E-2</c:v>
                </c:pt>
                <c:pt idx="76">
                  <c:v>6.4706324606542132E-2</c:v>
                </c:pt>
                <c:pt idx="77">
                  <c:v>6.5000669100870517E-2</c:v>
                </c:pt>
                <c:pt idx="78">
                  <c:v>6.5116622992575646E-2</c:v>
                </c:pt>
                <c:pt idx="79">
                  <c:v>6.6044254126216617E-2</c:v>
                </c:pt>
                <c:pt idx="80">
                  <c:v>6.6338598620545003E-2</c:v>
                </c:pt>
                <c:pt idx="81">
                  <c:v>6.7319746934972946E-2</c:v>
                </c:pt>
                <c:pt idx="82">
                  <c:v>6.7444620356809232E-2</c:v>
                </c:pt>
                <c:pt idx="83">
                  <c:v>6.8318734309663232E-2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AF-4FFC-9503-F237EC1E8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16912"/>
        <c:axId val="1"/>
      </c:scatterChart>
      <c:valAx>
        <c:axId val="793416912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389027376603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16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63016746022324"/>
          <c:y val="0.92000129214617399"/>
          <c:w val="0.7001687351895084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KV Cyg - O-C Diagr.</a:t>
            </a:r>
          </a:p>
        </c:rich>
      </c:tx>
      <c:layout>
        <c:manualLayout>
          <c:xMode val="edge"/>
          <c:yMode val="edge"/>
          <c:x val="0.3712378093206576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4723926380368099"/>
          <c:w val="0.8026762406885588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CD-4581-806E-F74634F88B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  <c:pt idx="83">
                    <c:v>2.0000000000000001E-4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  <c:pt idx="73">
                    <c:v>2.0000000000000001E-4</c:v>
                  </c:pt>
                  <c:pt idx="74">
                    <c:v>1E-4</c:v>
                  </c:pt>
                  <c:pt idx="75">
                    <c:v>5.9999999999999995E-4</c:v>
                  </c:pt>
                  <c:pt idx="76">
                    <c:v>4.0000000000000002E-4</c:v>
                  </c:pt>
                  <c:pt idx="77">
                    <c:v>1E-4</c:v>
                  </c:pt>
                  <c:pt idx="78">
                    <c:v>2.9999999999999997E-4</c:v>
                  </c:pt>
                  <c:pt idx="79">
                    <c:v>4.0000000000000002E-4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2.0000000000000001E-4</c:v>
                  </c:pt>
                  <c:pt idx="8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3.5854400000971509E-2</c:v>
                </c:pt>
                <c:pt idx="1">
                  <c:v>4.8937600000499515E-2</c:v>
                </c:pt>
                <c:pt idx="2">
                  <c:v>-2.7987200002826285E-2</c:v>
                </c:pt>
                <c:pt idx="3">
                  <c:v>1.4916799998900387E-2</c:v>
                </c:pt>
                <c:pt idx="5">
                  <c:v>-1.9929599999159109E-2</c:v>
                </c:pt>
                <c:pt idx="6">
                  <c:v>-1.8891199997597141E-2</c:v>
                </c:pt>
                <c:pt idx="7">
                  <c:v>2.4243199997727061E-2</c:v>
                </c:pt>
                <c:pt idx="8">
                  <c:v>-1.461600000038743E-2</c:v>
                </c:pt>
                <c:pt idx="9">
                  <c:v>-3.0881599996064324E-2</c:v>
                </c:pt>
                <c:pt idx="10">
                  <c:v>5.0080000073648989E-4</c:v>
                </c:pt>
                <c:pt idx="11">
                  <c:v>9.1792000021087006E-3</c:v>
                </c:pt>
                <c:pt idx="12">
                  <c:v>-3.5840000055031851E-3</c:v>
                </c:pt>
                <c:pt idx="13">
                  <c:v>2.1712000016123056E-3</c:v>
                </c:pt>
                <c:pt idx="14">
                  <c:v>-5.156799998076167E-3</c:v>
                </c:pt>
                <c:pt idx="15">
                  <c:v>5.9977600001730025E-2</c:v>
                </c:pt>
                <c:pt idx="16">
                  <c:v>-1.2280000002647284E-2</c:v>
                </c:pt>
                <c:pt idx="17">
                  <c:v>-0.10823520000121789</c:v>
                </c:pt>
                <c:pt idx="18">
                  <c:v>7.1892799998749979E-2</c:v>
                </c:pt>
                <c:pt idx="19">
                  <c:v>3.7969600001815706E-2</c:v>
                </c:pt>
                <c:pt idx="20">
                  <c:v>0.11036640000384068</c:v>
                </c:pt>
                <c:pt idx="21">
                  <c:v>0.12741120000282535</c:v>
                </c:pt>
                <c:pt idx="22">
                  <c:v>2.352640000754036E-2</c:v>
                </c:pt>
                <c:pt idx="23">
                  <c:v>1.6756800003349781E-2</c:v>
                </c:pt>
                <c:pt idx="24">
                  <c:v>1.6719999985070899E-3</c:v>
                </c:pt>
                <c:pt idx="25">
                  <c:v>-1.3854400000127498E-2</c:v>
                </c:pt>
                <c:pt idx="26">
                  <c:v>-1.1060800003178883E-2</c:v>
                </c:pt>
                <c:pt idx="27">
                  <c:v>3.2136800000444055E-2</c:v>
                </c:pt>
                <c:pt idx="28">
                  <c:v>-3.0741599999601021E-2</c:v>
                </c:pt>
                <c:pt idx="29">
                  <c:v>1.7808799995691516E-2</c:v>
                </c:pt>
                <c:pt idx="30">
                  <c:v>-3.9592000000993721E-2</c:v>
                </c:pt>
                <c:pt idx="31">
                  <c:v>-8.7798400003521238E-2</c:v>
                </c:pt>
                <c:pt idx="32">
                  <c:v>-0.13276000000041677</c:v>
                </c:pt>
                <c:pt idx="33">
                  <c:v>-5.7152000008500181E-3</c:v>
                </c:pt>
                <c:pt idx="34">
                  <c:v>7.5291199995263014E-2</c:v>
                </c:pt>
                <c:pt idx="35">
                  <c:v>0.11429119999957038</c:v>
                </c:pt>
                <c:pt idx="36">
                  <c:v>5.6645600001502316E-2</c:v>
                </c:pt>
                <c:pt idx="37">
                  <c:v>1.4651200006483123E-2</c:v>
                </c:pt>
                <c:pt idx="38">
                  <c:v>4.3347200000425801E-2</c:v>
                </c:pt>
                <c:pt idx="39">
                  <c:v>1.6320000002451707E-2</c:v>
                </c:pt>
                <c:pt idx="40">
                  <c:v>1.9855999998981133E-2</c:v>
                </c:pt>
                <c:pt idx="41">
                  <c:v>1.0404799999378156E-2</c:v>
                </c:pt>
                <c:pt idx="42">
                  <c:v>1.0686399997211993E-2</c:v>
                </c:pt>
                <c:pt idx="43">
                  <c:v>2.7867199998581782E-2</c:v>
                </c:pt>
                <c:pt idx="44">
                  <c:v>3.5382400004891679E-2</c:v>
                </c:pt>
                <c:pt idx="45">
                  <c:v>3.3918399996764492E-2</c:v>
                </c:pt>
                <c:pt idx="46">
                  <c:v>3.4235200007969979E-2</c:v>
                </c:pt>
                <c:pt idx="47">
                  <c:v>3.2395199996244628E-2</c:v>
                </c:pt>
                <c:pt idx="48">
                  <c:v>4.2846400006965268E-2</c:v>
                </c:pt>
                <c:pt idx="49">
                  <c:v>3.3980800006247591E-2</c:v>
                </c:pt>
                <c:pt idx="51">
                  <c:v>4.5187200004875194E-2</c:v>
                </c:pt>
                <c:pt idx="55">
                  <c:v>4.7816799997235648E-2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CD-4581-806E-F74634F88B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3">
                  <c:v>4.6420800004852936E-2</c:v>
                </c:pt>
                <c:pt idx="60">
                  <c:v>5.2504000006592833E-2</c:v>
                </c:pt>
                <c:pt idx="61">
                  <c:v>5.36255999977584E-2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CD-4581-806E-F74634F88B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50">
                  <c:v>4.0386400003626477E-2</c:v>
                </c:pt>
                <c:pt idx="52">
                  <c:v>3.6537600004521664E-2</c:v>
                </c:pt>
                <c:pt idx="54">
                  <c:v>4.4423200000892393E-2</c:v>
                </c:pt>
                <c:pt idx="56">
                  <c:v>5.1328000001376495E-2</c:v>
                </c:pt>
                <c:pt idx="57">
                  <c:v>5.2348799996252637E-2</c:v>
                </c:pt>
                <c:pt idx="58">
                  <c:v>5.1204000010329764E-2</c:v>
                </c:pt>
                <c:pt idx="59">
                  <c:v>5.274880000797566E-2</c:v>
                </c:pt>
                <c:pt idx="62">
                  <c:v>5.6021600001258776E-2</c:v>
                </c:pt>
                <c:pt idx="63">
                  <c:v>5.7917199999792501E-2</c:v>
                </c:pt>
                <c:pt idx="64">
                  <c:v>5.9598400002869312E-2</c:v>
                </c:pt>
                <c:pt idx="65">
                  <c:v>6.1359999999694992E-2</c:v>
                </c:pt>
                <c:pt idx="66">
                  <c:v>6.1192000001028646E-2</c:v>
                </c:pt>
                <c:pt idx="67">
                  <c:v>6.2013600007048808E-2</c:v>
                </c:pt>
                <c:pt idx="68">
                  <c:v>5.6067200006509665E-2</c:v>
                </c:pt>
                <c:pt idx="69">
                  <c:v>5.6956000000354834E-2</c:v>
                </c:pt>
                <c:pt idx="70">
                  <c:v>5.7868800002324861E-2</c:v>
                </c:pt>
                <c:pt idx="71">
                  <c:v>5.9007200004998595E-2</c:v>
                </c:pt>
                <c:pt idx="72">
                  <c:v>5.8817600009206217E-2</c:v>
                </c:pt>
                <c:pt idx="73">
                  <c:v>6.3639200001489371E-2</c:v>
                </c:pt>
                <c:pt idx="74">
                  <c:v>6.3984000000345986E-2</c:v>
                </c:pt>
                <c:pt idx="75">
                  <c:v>6.7671200005861465E-2</c:v>
                </c:pt>
                <c:pt idx="76">
                  <c:v>6.8559999999706633E-2</c:v>
                </c:pt>
                <c:pt idx="77">
                  <c:v>6.3571200000296813E-2</c:v>
                </c:pt>
                <c:pt idx="78">
                  <c:v>6.3054400001419708E-2</c:v>
                </c:pt>
                <c:pt idx="79">
                  <c:v>6.2619999996968545E-2</c:v>
                </c:pt>
                <c:pt idx="80">
                  <c:v>6.403120000322815E-2</c:v>
                </c:pt>
                <c:pt idx="81">
                  <c:v>6.9635200001357589E-2</c:v>
                </c:pt>
                <c:pt idx="82">
                  <c:v>7.0124800004123244E-2</c:v>
                </c:pt>
                <c:pt idx="83">
                  <c:v>7.1052000006602611E-2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CD-4581-806E-F74634F88B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CD-4581-806E-F74634F88B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CD-4581-806E-F74634F88B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2.3E-3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6.9999999999999999E-4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2.9999999999999997E-4</c:v>
                  </c:pt>
                  <c:pt idx="58">
                    <c:v>2.9999999999999997E-4</c:v>
                  </c:pt>
                  <c:pt idx="59">
                    <c:v>2.9999999999999997E-4</c:v>
                  </c:pt>
                  <c:pt idx="60">
                    <c:v>1E-3</c:v>
                  </c:pt>
                  <c:pt idx="61">
                    <c:v>1.6999999999999999E-3</c:v>
                  </c:pt>
                  <c:pt idx="62">
                    <c:v>2.0000000000000001E-4</c:v>
                  </c:pt>
                  <c:pt idx="63">
                    <c:v>8.0000000000000004E-4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2.9999999999999997E-4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2.9999999999999997E-4</c:v>
                  </c:pt>
                  <c:pt idx="70">
                    <c:v>1E-4</c:v>
                  </c:pt>
                  <c:pt idx="71">
                    <c:v>1E-4</c:v>
                  </c:pt>
                  <c:pt idx="7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CD-4581-806E-F74634F88B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-1429</c:v>
                </c:pt>
                <c:pt idx="1">
                  <c:v>-1416</c:v>
                </c:pt>
                <c:pt idx="2">
                  <c:v>-1248</c:v>
                </c:pt>
                <c:pt idx="3">
                  <c:v>-13</c:v>
                </c:pt>
                <c:pt idx="4">
                  <c:v>0</c:v>
                </c:pt>
                <c:pt idx="5">
                  <c:v>11</c:v>
                </c:pt>
                <c:pt idx="6">
                  <c:v>17</c:v>
                </c:pt>
                <c:pt idx="7">
                  <c:v>38</c:v>
                </c:pt>
                <c:pt idx="8">
                  <c:v>60</c:v>
                </c:pt>
                <c:pt idx="9">
                  <c:v>956</c:v>
                </c:pt>
                <c:pt idx="10">
                  <c:v>1172</c:v>
                </c:pt>
                <c:pt idx="11">
                  <c:v>1278</c:v>
                </c:pt>
                <c:pt idx="12">
                  <c:v>1315</c:v>
                </c:pt>
                <c:pt idx="13">
                  <c:v>1433</c:v>
                </c:pt>
                <c:pt idx="14">
                  <c:v>1538</c:v>
                </c:pt>
                <c:pt idx="15">
                  <c:v>1559</c:v>
                </c:pt>
                <c:pt idx="16">
                  <c:v>1675</c:v>
                </c:pt>
                <c:pt idx="17">
                  <c:v>1682</c:v>
                </c:pt>
                <c:pt idx="18">
                  <c:v>1702</c:v>
                </c:pt>
                <c:pt idx="19">
                  <c:v>1714</c:v>
                </c:pt>
                <c:pt idx="20">
                  <c:v>1776</c:v>
                </c:pt>
                <c:pt idx="21">
                  <c:v>1783</c:v>
                </c:pt>
                <c:pt idx="22">
                  <c:v>1801</c:v>
                </c:pt>
                <c:pt idx="23">
                  <c:v>1837</c:v>
                </c:pt>
                <c:pt idx="24">
                  <c:v>1980</c:v>
                </c:pt>
                <c:pt idx="25">
                  <c:v>2054</c:v>
                </c:pt>
                <c:pt idx="26">
                  <c:v>2178</c:v>
                </c:pt>
                <c:pt idx="27">
                  <c:v>2599.5</c:v>
                </c:pt>
                <c:pt idx="28">
                  <c:v>2618.5</c:v>
                </c:pt>
                <c:pt idx="29">
                  <c:v>2704.5</c:v>
                </c:pt>
                <c:pt idx="30">
                  <c:v>2720</c:v>
                </c:pt>
                <c:pt idx="31">
                  <c:v>2844</c:v>
                </c:pt>
                <c:pt idx="32">
                  <c:v>2850</c:v>
                </c:pt>
                <c:pt idx="33">
                  <c:v>2857</c:v>
                </c:pt>
                <c:pt idx="34">
                  <c:v>2858</c:v>
                </c:pt>
                <c:pt idx="35">
                  <c:v>2858</c:v>
                </c:pt>
                <c:pt idx="36">
                  <c:v>2991.5</c:v>
                </c:pt>
                <c:pt idx="37">
                  <c:v>4633</c:v>
                </c:pt>
                <c:pt idx="38">
                  <c:v>4898</c:v>
                </c:pt>
                <c:pt idx="39">
                  <c:v>5050</c:v>
                </c:pt>
                <c:pt idx="40">
                  <c:v>5290</c:v>
                </c:pt>
                <c:pt idx="41">
                  <c:v>5532</c:v>
                </c:pt>
                <c:pt idx="42">
                  <c:v>5576</c:v>
                </c:pt>
                <c:pt idx="43">
                  <c:v>6073</c:v>
                </c:pt>
                <c:pt idx="44">
                  <c:v>6466</c:v>
                </c:pt>
                <c:pt idx="45">
                  <c:v>6706</c:v>
                </c:pt>
                <c:pt idx="46">
                  <c:v>7068</c:v>
                </c:pt>
                <c:pt idx="47">
                  <c:v>7093</c:v>
                </c:pt>
                <c:pt idx="48">
                  <c:v>7476</c:v>
                </c:pt>
                <c:pt idx="49">
                  <c:v>7497</c:v>
                </c:pt>
                <c:pt idx="50">
                  <c:v>7701</c:v>
                </c:pt>
                <c:pt idx="51">
                  <c:v>7998</c:v>
                </c:pt>
                <c:pt idx="52">
                  <c:v>8084</c:v>
                </c:pt>
                <c:pt idx="53">
                  <c:v>8347</c:v>
                </c:pt>
                <c:pt idx="54">
                  <c:v>8488</c:v>
                </c:pt>
                <c:pt idx="55">
                  <c:v>8737</c:v>
                </c:pt>
                <c:pt idx="56">
                  <c:v>8770</c:v>
                </c:pt>
                <c:pt idx="57">
                  <c:v>8867</c:v>
                </c:pt>
                <c:pt idx="58">
                  <c:v>8985</c:v>
                </c:pt>
                <c:pt idx="59">
                  <c:v>8992</c:v>
                </c:pt>
                <c:pt idx="60">
                  <c:v>9235</c:v>
                </c:pt>
                <c:pt idx="61">
                  <c:v>9254</c:v>
                </c:pt>
                <c:pt idx="62">
                  <c:v>9519</c:v>
                </c:pt>
                <c:pt idx="63">
                  <c:v>9760.5</c:v>
                </c:pt>
                <c:pt idx="64">
                  <c:v>9781</c:v>
                </c:pt>
                <c:pt idx="65">
                  <c:v>9900</c:v>
                </c:pt>
                <c:pt idx="66">
                  <c:v>9905</c:v>
                </c:pt>
                <c:pt idx="67">
                  <c:v>9924</c:v>
                </c:pt>
                <c:pt idx="68">
                  <c:v>10073</c:v>
                </c:pt>
                <c:pt idx="69">
                  <c:v>10165</c:v>
                </c:pt>
                <c:pt idx="70">
                  <c:v>10167</c:v>
                </c:pt>
                <c:pt idx="71">
                  <c:v>10173</c:v>
                </c:pt>
                <c:pt idx="72">
                  <c:v>10284</c:v>
                </c:pt>
                <c:pt idx="73">
                  <c:v>10303</c:v>
                </c:pt>
                <c:pt idx="74">
                  <c:v>10310</c:v>
                </c:pt>
                <c:pt idx="75">
                  <c:v>10433</c:v>
                </c:pt>
                <c:pt idx="76">
                  <c:v>10525</c:v>
                </c:pt>
                <c:pt idx="77">
                  <c:v>10558</c:v>
                </c:pt>
                <c:pt idx="78">
                  <c:v>10571</c:v>
                </c:pt>
                <c:pt idx="79">
                  <c:v>10675</c:v>
                </c:pt>
                <c:pt idx="80">
                  <c:v>10708</c:v>
                </c:pt>
                <c:pt idx="81">
                  <c:v>10818</c:v>
                </c:pt>
                <c:pt idx="82">
                  <c:v>10832</c:v>
                </c:pt>
                <c:pt idx="83">
                  <c:v>10930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-4.1917738581382605E-2</c:v>
                </c:pt>
                <c:pt idx="1">
                  <c:v>-4.1801784689677483E-2</c:v>
                </c:pt>
                <c:pt idx="2">
                  <c:v>-4.0303303627642069E-2</c:v>
                </c:pt>
                <c:pt idx="3">
                  <c:v>-2.9287683915655532E-2</c:v>
                </c:pt>
                <c:pt idx="4">
                  <c:v>-2.9171730023950411E-2</c:v>
                </c:pt>
                <c:pt idx="5">
                  <c:v>-2.9073615192507615E-2</c:v>
                </c:pt>
                <c:pt idx="6">
                  <c:v>-2.9020098011720636E-2</c:v>
                </c:pt>
                <c:pt idx="7">
                  <c:v>-2.8832787878966211E-2</c:v>
                </c:pt>
                <c:pt idx="8">
                  <c:v>-2.8636558216080618E-2</c:v>
                </c:pt>
                <c:pt idx="9">
                  <c:v>-2.0644659218558403E-2</c:v>
                </c:pt>
                <c:pt idx="10">
                  <c:v>-1.8718040710227153E-2</c:v>
                </c:pt>
                <c:pt idx="11">
                  <c:v>-1.7772570516323857E-2</c:v>
                </c:pt>
                <c:pt idx="12">
                  <c:v>-1.7442547901470817E-2</c:v>
                </c:pt>
                <c:pt idx="13">
                  <c:v>-1.6390043345993564E-2</c:v>
                </c:pt>
                <c:pt idx="14">
                  <c:v>-1.5453492682221428E-2</c:v>
                </c:pt>
                <c:pt idx="15">
                  <c:v>-1.5266182549467001E-2</c:v>
                </c:pt>
                <c:pt idx="16">
                  <c:v>-1.4231517054252072E-2</c:v>
                </c:pt>
                <c:pt idx="17">
                  <c:v>-1.416908034333393E-2</c:v>
                </c:pt>
                <c:pt idx="18">
                  <c:v>-1.3990689740710665E-2</c:v>
                </c:pt>
                <c:pt idx="19">
                  <c:v>-1.3883655379136708E-2</c:v>
                </c:pt>
                <c:pt idx="20">
                  <c:v>-1.3330644511004588E-2</c:v>
                </c:pt>
                <c:pt idx="21">
                  <c:v>-1.3268207800086446E-2</c:v>
                </c:pt>
                <c:pt idx="22">
                  <c:v>-1.310765625772551E-2</c:v>
                </c:pt>
                <c:pt idx="23">
                  <c:v>-1.2786553173003635E-2</c:v>
                </c:pt>
                <c:pt idx="24">
                  <c:v>-1.1511060364247299E-2</c:v>
                </c:pt>
                <c:pt idx="25">
                  <c:v>-1.0851015134541224E-2</c:v>
                </c:pt>
                <c:pt idx="26">
                  <c:v>-9.7449933982769882E-3</c:v>
                </c:pt>
                <c:pt idx="27">
                  <c:v>-5.9854114479917057E-3</c:v>
                </c:pt>
                <c:pt idx="28">
                  <c:v>-5.8159403754996022E-3</c:v>
                </c:pt>
                <c:pt idx="29">
                  <c:v>-5.04886078421957E-3</c:v>
                </c:pt>
                <c:pt idx="30">
                  <c:v>-4.9106080671865414E-3</c:v>
                </c:pt>
                <c:pt idx="31">
                  <c:v>-3.8045863309223056E-3</c:v>
                </c:pt>
                <c:pt idx="32">
                  <c:v>-3.751069150135327E-3</c:v>
                </c:pt>
                <c:pt idx="33">
                  <c:v>-3.6886324392171842E-3</c:v>
                </c:pt>
                <c:pt idx="34">
                  <c:v>-3.6797129090860199E-3</c:v>
                </c:pt>
                <c:pt idx="35">
                  <c:v>-3.6797129090860199E-3</c:v>
                </c:pt>
                <c:pt idx="36">
                  <c:v>-2.4889556365757341E-3</c:v>
                </c:pt>
                <c:pt idx="37">
                  <c:v>1.2152453073728635E-2</c:v>
                </c:pt>
                <c:pt idx="38">
                  <c:v>1.4516128558486885E-2</c:v>
                </c:pt>
                <c:pt idx="39">
                  <c:v>1.5871897138423685E-2</c:v>
                </c:pt>
                <c:pt idx="40">
                  <c:v>1.801258436990285E-2</c:v>
                </c:pt>
                <c:pt idx="41">
                  <c:v>2.0171110661644343E-2</c:v>
                </c:pt>
                <c:pt idx="42">
                  <c:v>2.0563569987415521E-2</c:v>
                </c:pt>
                <c:pt idx="43">
                  <c:v>2.4996576462603629E-2</c:v>
                </c:pt>
                <c:pt idx="44">
                  <c:v>2.8501951804150757E-2</c:v>
                </c:pt>
                <c:pt idx="45">
                  <c:v>3.0642639035629929E-2</c:v>
                </c:pt>
                <c:pt idx="46">
                  <c:v>3.3871508943110994E-2</c:v>
                </c:pt>
                <c:pt idx="47">
                  <c:v>3.4094497196390079E-2</c:v>
                </c:pt>
                <c:pt idx="48">
                  <c:v>3.7510677236625579E-2</c:v>
                </c:pt>
                <c:pt idx="49">
                  <c:v>3.7697987369380008E-2</c:v>
                </c:pt>
                <c:pt idx="50">
                  <c:v>3.9517571516137294E-2</c:v>
                </c:pt>
                <c:pt idx="51">
                  <c:v>4.2166671965092765E-2</c:v>
                </c:pt>
                <c:pt idx="52">
                  <c:v>4.2933751556372794E-2</c:v>
                </c:pt>
                <c:pt idx="53">
                  <c:v>4.5279587980868723E-2</c:v>
                </c:pt>
                <c:pt idx="54">
                  <c:v>4.6537241729362723E-2</c:v>
                </c:pt>
                <c:pt idx="55">
                  <c:v>4.8758204732022366E-2</c:v>
                </c:pt>
                <c:pt idx="56">
                  <c:v>4.9052549226350751E-2</c:v>
                </c:pt>
                <c:pt idx="57">
                  <c:v>4.991774364907358E-2</c:v>
                </c:pt>
                <c:pt idx="58">
                  <c:v>5.0970248204550837E-2</c:v>
                </c:pt>
                <c:pt idx="59">
                  <c:v>5.1032684915468966E-2</c:v>
                </c:pt>
                <c:pt idx="60">
                  <c:v>5.3200130737341624E-2</c:v>
                </c:pt>
                <c:pt idx="61">
                  <c:v>5.3369601809833724E-2</c:v>
                </c:pt>
                <c:pt idx="62">
                  <c:v>5.5733277294591967E-2</c:v>
                </c:pt>
                <c:pt idx="63">
                  <c:v>5.7887343821267888E-2</c:v>
                </c:pt>
                <c:pt idx="64">
                  <c:v>5.8070194188956724E-2</c:v>
                </c:pt>
                <c:pt idx="65">
                  <c:v>5.9131618274565152E-2</c:v>
                </c:pt>
                <c:pt idx="66">
                  <c:v>5.9176215925220967E-2</c:v>
                </c:pt>
                <c:pt idx="67">
                  <c:v>5.9345686997713067E-2</c:v>
                </c:pt>
                <c:pt idx="68">
                  <c:v>6.0674696987256381E-2</c:v>
                </c:pt>
                <c:pt idx="69">
                  <c:v>6.1495293759323395E-2</c:v>
                </c:pt>
                <c:pt idx="70">
                  <c:v>6.1513132819585724E-2</c:v>
                </c:pt>
                <c:pt idx="71">
                  <c:v>6.1566650000372695E-2</c:v>
                </c:pt>
                <c:pt idx="72">
                  <c:v>6.2556717844931803E-2</c:v>
                </c:pt>
                <c:pt idx="73">
                  <c:v>6.2726188917423903E-2</c:v>
                </c:pt>
                <c:pt idx="74">
                  <c:v>6.278862562834206E-2</c:v>
                </c:pt>
                <c:pt idx="75">
                  <c:v>6.3885727834475131E-2</c:v>
                </c:pt>
                <c:pt idx="76">
                  <c:v>6.4706324606542132E-2</c:v>
                </c:pt>
                <c:pt idx="77">
                  <c:v>6.5000669100870517E-2</c:v>
                </c:pt>
                <c:pt idx="78">
                  <c:v>6.5116622992575646E-2</c:v>
                </c:pt>
                <c:pt idx="79">
                  <c:v>6.6044254126216617E-2</c:v>
                </c:pt>
                <c:pt idx="80">
                  <c:v>6.6338598620545003E-2</c:v>
                </c:pt>
                <c:pt idx="81">
                  <c:v>6.7319746934972946E-2</c:v>
                </c:pt>
                <c:pt idx="82">
                  <c:v>6.7444620356809232E-2</c:v>
                </c:pt>
                <c:pt idx="83">
                  <c:v>6.8318734309663232E-2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CD-4581-806E-F74634F88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17568"/>
        <c:axId val="1"/>
      </c:scatterChart>
      <c:valAx>
        <c:axId val="793417568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1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32459027905791"/>
          <c:y val="0.92024539877300615"/>
          <c:w val="0.6989971822084112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1</xdr:rowOff>
    </xdr:from>
    <xdr:to>
      <xdr:col>17</xdr:col>
      <xdr:colOff>47625</xdr:colOff>
      <xdr:row>17</xdr:row>
      <xdr:rowOff>171451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E9B3D3C4-BAAF-FA69-7DDC-4B1E66F3A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238125</xdr:colOff>
      <xdr:row>0</xdr:row>
      <xdr:rowOff>9525</xdr:rowOff>
    </xdr:from>
    <xdr:to>
      <xdr:col>26</xdr:col>
      <xdr:colOff>600075</xdr:colOff>
      <xdr:row>17</xdr:row>
      <xdr:rowOff>133350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BB35CD57-CAC5-65D6-CACC-6E86A0D54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17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aavso.org/sites/default/files/jaavso/v36n2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7"/>
  <sheetViews>
    <sheetView tabSelected="1" workbookViewId="0">
      <pane xSplit="14" ySplit="22" topLeftCell="O9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5703125" customWidth="1"/>
    <col min="2" max="2" width="5.140625" customWidth="1"/>
    <col min="3" max="3" width="11.85546875" customWidth="1"/>
    <col min="4" max="4" width="9.42578125" customWidth="1"/>
    <col min="5" max="5" width="12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25</v>
      </c>
      <c r="B2" s="10" t="s">
        <v>32</v>
      </c>
    </row>
    <row r="4" spans="1:6" ht="14.25" thickTop="1" thickBot="1" x14ac:dyDescent="0.25">
      <c r="A4" s="7" t="s">
        <v>1</v>
      </c>
      <c r="C4" s="3">
        <v>29468.388999999999</v>
      </c>
      <c r="D4" s="4">
        <v>2.8389935999999998</v>
      </c>
    </row>
    <row r="5" spans="1:6" ht="13.5" thickTop="1" x14ac:dyDescent="0.2">
      <c r="A5" s="14" t="s">
        <v>34</v>
      </c>
      <c r="B5" s="15"/>
      <c r="C5" s="16">
        <v>-9.5</v>
      </c>
      <c r="D5" s="15" t="s">
        <v>35</v>
      </c>
    </row>
    <row r="6" spans="1:6" x14ac:dyDescent="0.2">
      <c r="A6" s="7" t="s">
        <v>2</v>
      </c>
    </row>
    <row r="7" spans="1:6" x14ac:dyDescent="0.2">
      <c r="A7" t="s">
        <v>3</v>
      </c>
      <c r="C7">
        <v>29468.388999999999</v>
      </c>
      <c r="D7" s="85" t="s">
        <v>300</v>
      </c>
    </row>
    <row r="8" spans="1:6" x14ac:dyDescent="0.2">
      <c r="A8" t="s">
        <v>4</v>
      </c>
      <c r="C8">
        <v>2.8389935999999998</v>
      </c>
      <c r="D8" s="85" t="s">
        <v>300</v>
      </c>
    </row>
    <row r="9" spans="1:6" x14ac:dyDescent="0.2">
      <c r="A9" s="27" t="s">
        <v>41</v>
      </c>
      <c r="B9" s="28">
        <v>67</v>
      </c>
      <c r="C9" s="18" t="str">
        <f>"F"&amp;B9</f>
        <v>F67</v>
      </c>
      <c r="D9" s="19" t="str">
        <f>"G"&amp;B9</f>
        <v>G67</v>
      </c>
    </row>
    <row r="10" spans="1:6" ht="13.5" thickBot="1" x14ac:dyDescent="0.25">
      <c r="A10" s="15"/>
      <c r="B10" s="15"/>
      <c r="C10" s="6" t="s">
        <v>21</v>
      </c>
      <c r="D10" s="6" t="s">
        <v>22</v>
      </c>
      <c r="E10" s="15"/>
    </row>
    <row r="11" spans="1:6" x14ac:dyDescent="0.2">
      <c r="A11" s="15" t="s">
        <v>17</v>
      </c>
      <c r="B11" s="15"/>
      <c r="C11" s="17">
        <f ca="1">INTERCEPT(INDIRECT($D$9):G988,INDIRECT($C$9):F988)</f>
        <v>-2.9171730023950411E-2</v>
      </c>
      <c r="D11" s="5"/>
      <c r="E11" s="15"/>
    </row>
    <row r="12" spans="1:6" x14ac:dyDescent="0.2">
      <c r="A12" s="15" t="s">
        <v>18</v>
      </c>
      <c r="B12" s="15"/>
      <c r="C12" s="17">
        <f ca="1">SLOPE(INDIRECT($D$9):G988,INDIRECT($C$9):F988)</f>
        <v>8.9195301311631877E-6</v>
      </c>
      <c r="D12" s="5"/>
      <c r="E12" s="79" t="s">
        <v>299</v>
      </c>
      <c r="F12" s="80" t="s">
        <v>298</v>
      </c>
    </row>
    <row r="13" spans="1:6" x14ac:dyDescent="0.2">
      <c r="A13" s="15" t="s">
        <v>20</v>
      </c>
      <c r="B13" s="15"/>
      <c r="C13" s="5" t="s">
        <v>15</v>
      </c>
      <c r="E13" s="77" t="s">
        <v>36</v>
      </c>
      <c r="F13" s="81">
        <v>1</v>
      </c>
    </row>
    <row r="14" spans="1:6" x14ac:dyDescent="0.2">
      <c r="A14" s="15"/>
      <c r="B14" s="15"/>
      <c r="C14" s="15"/>
      <c r="E14" s="77" t="s">
        <v>37</v>
      </c>
      <c r="F14" s="82">
        <f ca="1">NOW()+15018.5+$C$5/24</f>
        <v>60680.648099768514</v>
      </c>
    </row>
    <row r="15" spans="1:6" x14ac:dyDescent="0.2">
      <c r="A15" s="21" t="s">
        <v>19</v>
      </c>
      <c r="B15" s="15"/>
      <c r="C15" s="22">
        <f ca="1">(C7+C11)+(C8+C12)*INT(MAX(F21:F3529))</f>
        <v>60498.657366734304</v>
      </c>
      <c r="E15" s="77" t="s">
        <v>38</v>
      </c>
      <c r="F15" s="82">
        <f ca="1">ROUND(2*($F$14-$C$7)/$C$8,0)/2+$F$13</f>
        <v>10995</v>
      </c>
    </row>
    <row r="16" spans="1:6" x14ac:dyDescent="0.2">
      <c r="A16" s="23" t="s">
        <v>5</v>
      </c>
      <c r="B16" s="15"/>
      <c r="C16" s="24">
        <f ca="1">+C8+C12</f>
        <v>2.8390025195301312</v>
      </c>
      <c r="E16" s="77" t="s">
        <v>39</v>
      </c>
      <c r="F16" s="82">
        <f ca="1">ROUND(2*($F$14-$C$15)/$C$16,0)/2+$F$13</f>
        <v>65</v>
      </c>
    </row>
    <row r="17" spans="1:17" ht="13.5" thickBot="1" x14ac:dyDescent="0.25">
      <c r="A17" s="20" t="s">
        <v>40</v>
      </c>
      <c r="B17" s="15"/>
      <c r="C17" s="15">
        <f>COUNT(C21:C2187)</f>
        <v>84</v>
      </c>
      <c r="E17" s="77" t="s">
        <v>296</v>
      </c>
      <c r="F17" s="83">
        <f ca="1">+$C$15+$C$16*$F$16-15018.5-$C$5/24</f>
        <v>45665.088363837101</v>
      </c>
    </row>
    <row r="18" spans="1:17" ht="14.25" thickTop="1" thickBot="1" x14ac:dyDescent="0.25">
      <c r="A18" s="23" t="s">
        <v>6</v>
      </c>
      <c r="B18" s="15"/>
      <c r="C18" s="26">
        <f ca="1">+C15</f>
        <v>60498.657366734304</v>
      </c>
      <c r="D18" s="76">
        <f ca="1">+C16</f>
        <v>2.8390025195301312</v>
      </c>
      <c r="E18" s="78" t="s">
        <v>297</v>
      </c>
      <c r="F18" s="84">
        <f ca="1">+($C$15+$C$16*$F$16)-($C$16/2)-15018.5-$C$5/24</f>
        <v>45663.668862577339</v>
      </c>
    </row>
    <row r="19" spans="1:17" ht="13.5" thickTop="1" x14ac:dyDescent="0.2">
      <c r="E19" s="20"/>
      <c r="F19" s="25"/>
    </row>
    <row r="20" spans="1:17" ht="13.5" thickBot="1" x14ac:dyDescent="0.25">
      <c r="A20" s="6" t="s">
        <v>7</v>
      </c>
      <c r="B20" s="6" t="s">
        <v>8</v>
      </c>
      <c r="C20" s="6" t="s">
        <v>9</v>
      </c>
      <c r="D20" s="6" t="s">
        <v>14</v>
      </c>
      <c r="E20" s="6" t="s">
        <v>10</v>
      </c>
      <c r="F20" s="6" t="s">
        <v>11</v>
      </c>
      <c r="G20" s="6" t="s">
        <v>12</v>
      </c>
      <c r="H20" s="9" t="s">
        <v>53</v>
      </c>
      <c r="I20" s="9" t="s">
        <v>56</v>
      </c>
      <c r="J20" s="9" t="s">
        <v>50</v>
      </c>
      <c r="K20" s="9" t="s">
        <v>48</v>
      </c>
      <c r="L20" s="9" t="s">
        <v>26</v>
      </c>
      <c r="M20" s="9" t="s">
        <v>27</v>
      </c>
      <c r="N20" s="9" t="s">
        <v>28</v>
      </c>
      <c r="O20" s="9" t="s">
        <v>24</v>
      </c>
      <c r="P20" s="8" t="s">
        <v>23</v>
      </c>
      <c r="Q20" s="6" t="s">
        <v>16</v>
      </c>
    </row>
    <row r="21" spans="1:17" x14ac:dyDescent="0.2">
      <c r="A21" s="47" t="s">
        <v>63</v>
      </c>
      <c r="B21" s="48" t="s">
        <v>30</v>
      </c>
      <c r="C21" s="47">
        <v>25411.503000000001</v>
      </c>
      <c r="D21" s="47" t="s">
        <v>56</v>
      </c>
      <c r="E21">
        <f t="shared" ref="E21:E52" si="0">+(C21-C$7)/C$8</f>
        <v>-1428.9873707358829</v>
      </c>
      <c r="F21">
        <f t="shared" ref="F21:F52" si="1">ROUND(2*E21,0)/2</f>
        <v>-1429</v>
      </c>
      <c r="G21">
        <f t="shared" ref="G21:G52" si="2">+C21-(C$7+F21*C$8)</f>
        <v>3.5854400000971509E-2</v>
      </c>
      <c r="I21">
        <f>G21</f>
        <v>3.5854400000971509E-2</v>
      </c>
      <c r="O21">
        <f t="shared" ref="O21:O52" ca="1" si="3">+C$11+C$12*F21</f>
        <v>-4.1917738581382605E-2</v>
      </c>
      <c r="Q21" s="2">
        <f t="shared" ref="Q21:Q52" si="4">+C21-15018.5</f>
        <v>10393.003000000001</v>
      </c>
    </row>
    <row r="22" spans="1:17" x14ac:dyDescent="0.2">
      <c r="A22" s="47" t="s">
        <v>63</v>
      </c>
      <c r="B22" s="48" t="s">
        <v>30</v>
      </c>
      <c r="C22" s="47">
        <v>25448.422999999999</v>
      </c>
      <c r="D22" s="47" t="s">
        <v>56</v>
      </c>
      <c r="E22">
        <f t="shared" si="0"/>
        <v>-1415.9827623422611</v>
      </c>
      <c r="F22">
        <f t="shared" si="1"/>
        <v>-1416</v>
      </c>
      <c r="G22">
        <f t="shared" si="2"/>
        <v>4.8937600000499515E-2</v>
      </c>
      <c r="I22">
        <f>G22</f>
        <v>4.8937600000499515E-2</v>
      </c>
      <c r="O22">
        <f t="shared" ca="1" si="3"/>
        <v>-4.1801784689677483E-2</v>
      </c>
      <c r="Q22" s="2">
        <f t="shared" si="4"/>
        <v>10429.922999999999</v>
      </c>
    </row>
    <row r="23" spans="1:17" x14ac:dyDescent="0.2">
      <c r="A23" s="47" t="s">
        <v>63</v>
      </c>
      <c r="B23" s="48" t="s">
        <v>30</v>
      </c>
      <c r="C23" s="47">
        <v>25925.296999999999</v>
      </c>
      <c r="D23" s="47" t="s">
        <v>56</v>
      </c>
      <c r="E23">
        <f t="shared" si="0"/>
        <v>-1248.0098581412797</v>
      </c>
      <c r="F23">
        <f t="shared" si="1"/>
        <v>-1248</v>
      </c>
      <c r="G23">
        <f t="shared" si="2"/>
        <v>-2.7987200002826285E-2</v>
      </c>
      <c r="I23">
        <f>G23</f>
        <v>-2.7987200002826285E-2</v>
      </c>
      <c r="O23">
        <f t="shared" ca="1" si="3"/>
        <v>-4.0303303627642069E-2</v>
      </c>
      <c r="Q23" s="2">
        <f t="shared" si="4"/>
        <v>10906.796999999999</v>
      </c>
    </row>
    <row r="24" spans="1:17" x14ac:dyDescent="0.2">
      <c r="A24" s="47" t="s">
        <v>74</v>
      </c>
      <c r="B24" s="48" t="s">
        <v>30</v>
      </c>
      <c r="C24" s="47">
        <v>29431.496999999999</v>
      </c>
      <c r="D24" s="47" t="s">
        <v>56</v>
      </c>
      <c r="E24">
        <f t="shared" si="0"/>
        <v>-12.99474574370292</v>
      </c>
      <c r="F24">
        <f t="shared" si="1"/>
        <v>-13</v>
      </c>
      <c r="G24">
        <f t="shared" si="2"/>
        <v>1.4916799998900387E-2</v>
      </c>
      <c r="I24">
        <f>G24</f>
        <v>1.4916799998900387E-2</v>
      </c>
      <c r="O24">
        <f t="shared" ca="1" si="3"/>
        <v>-2.9287683915655532E-2</v>
      </c>
      <c r="Q24" s="2">
        <f t="shared" si="4"/>
        <v>14412.996999999999</v>
      </c>
    </row>
    <row r="25" spans="1:17" x14ac:dyDescent="0.2">
      <c r="A25" t="s">
        <v>13</v>
      </c>
      <c r="B25" s="5"/>
      <c r="C25" s="13">
        <v>29468.388999999999</v>
      </c>
      <c r="D25" s="13" t="s">
        <v>15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-2.9171730023950411E-2</v>
      </c>
      <c r="Q25" s="2">
        <f t="shared" si="4"/>
        <v>14449.888999999999</v>
      </c>
    </row>
    <row r="26" spans="1:17" x14ac:dyDescent="0.2">
      <c r="A26" s="47" t="s">
        <v>74</v>
      </c>
      <c r="B26" s="48" t="s">
        <v>30</v>
      </c>
      <c r="C26" s="47">
        <v>29499.598000000002</v>
      </c>
      <c r="D26" s="47" t="s">
        <v>56</v>
      </c>
      <c r="E26">
        <f t="shared" si="0"/>
        <v>10.992980047578326</v>
      </c>
      <c r="F26">
        <f t="shared" si="1"/>
        <v>11</v>
      </c>
      <c r="G26">
        <f t="shared" si="2"/>
        <v>-1.9929599999159109E-2</v>
      </c>
      <c r="I26">
        <f t="shared" ref="I26:I70" si="5">G26</f>
        <v>-1.9929599999159109E-2</v>
      </c>
      <c r="O26">
        <f t="shared" ca="1" si="3"/>
        <v>-2.9073615192507615E-2</v>
      </c>
      <c r="Q26" s="2">
        <f t="shared" si="4"/>
        <v>14481.098000000002</v>
      </c>
    </row>
    <row r="27" spans="1:17" x14ac:dyDescent="0.2">
      <c r="A27" s="47" t="s">
        <v>74</v>
      </c>
      <c r="B27" s="48" t="s">
        <v>30</v>
      </c>
      <c r="C27" s="47">
        <v>29516.633000000002</v>
      </c>
      <c r="D27" s="47" t="s">
        <v>56</v>
      </c>
      <c r="E27">
        <f t="shared" si="0"/>
        <v>16.993345810995283</v>
      </c>
      <c r="F27">
        <f t="shared" si="1"/>
        <v>17</v>
      </c>
      <c r="G27">
        <f t="shared" si="2"/>
        <v>-1.8891199997597141E-2</v>
      </c>
      <c r="I27">
        <f t="shared" si="5"/>
        <v>-1.8891199997597141E-2</v>
      </c>
      <c r="O27">
        <f t="shared" ca="1" si="3"/>
        <v>-2.9020098011720636E-2</v>
      </c>
      <c r="Q27" s="2">
        <f t="shared" si="4"/>
        <v>14498.133000000002</v>
      </c>
    </row>
    <row r="28" spans="1:17" x14ac:dyDescent="0.2">
      <c r="A28" s="47" t="s">
        <v>74</v>
      </c>
      <c r="B28" s="48" t="s">
        <v>30</v>
      </c>
      <c r="C28" s="47">
        <v>29576.294999999998</v>
      </c>
      <c r="D28" s="47" t="s">
        <v>56</v>
      </c>
      <c r="E28">
        <f t="shared" si="0"/>
        <v>38.008539364089813</v>
      </c>
      <c r="F28">
        <f t="shared" si="1"/>
        <v>38</v>
      </c>
      <c r="G28">
        <f t="shared" si="2"/>
        <v>2.4243199997727061E-2</v>
      </c>
      <c r="I28">
        <f t="shared" si="5"/>
        <v>2.4243199997727061E-2</v>
      </c>
      <c r="O28">
        <f t="shared" ca="1" si="3"/>
        <v>-2.8832787878966211E-2</v>
      </c>
      <c r="Q28" s="2">
        <f t="shared" si="4"/>
        <v>14557.794999999998</v>
      </c>
    </row>
    <row r="29" spans="1:17" x14ac:dyDescent="0.2">
      <c r="A29" s="47" t="s">
        <v>74</v>
      </c>
      <c r="B29" s="48" t="s">
        <v>30</v>
      </c>
      <c r="C29" s="47">
        <v>29638.714</v>
      </c>
      <c r="D29" s="47" t="s">
        <v>56</v>
      </c>
      <c r="E29">
        <f t="shared" si="0"/>
        <v>59.994851696742373</v>
      </c>
      <c r="F29">
        <f t="shared" si="1"/>
        <v>60</v>
      </c>
      <c r="G29">
        <f t="shared" si="2"/>
        <v>-1.461600000038743E-2</v>
      </c>
      <c r="I29">
        <f t="shared" si="5"/>
        <v>-1.461600000038743E-2</v>
      </c>
      <c r="O29">
        <f t="shared" ca="1" si="3"/>
        <v>-2.8636558216080618E-2</v>
      </c>
      <c r="Q29" s="2">
        <f t="shared" si="4"/>
        <v>14620.214</v>
      </c>
    </row>
    <row r="30" spans="1:17" x14ac:dyDescent="0.2">
      <c r="A30" s="47" t="s">
        <v>91</v>
      </c>
      <c r="B30" s="48" t="s">
        <v>30</v>
      </c>
      <c r="C30" s="47">
        <v>32182.436000000002</v>
      </c>
      <c r="D30" s="47" t="s">
        <v>56</v>
      </c>
      <c r="E30">
        <f t="shared" si="0"/>
        <v>955.98912234250986</v>
      </c>
      <c r="F30">
        <f t="shared" si="1"/>
        <v>956</v>
      </c>
      <c r="G30">
        <f t="shared" si="2"/>
        <v>-3.0881599996064324E-2</v>
      </c>
      <c r="I30">
        <f t="shared" si="5"/>
        <v>-3.0881599996064324E-2</v>
      </c>
      <c r="O30">
        <f t="shared" ca="1" si="3"/>
        <v>-2.0644659218558403E-2</v>
      </c>
      <c r="Q30" s="2">
        <f t="shared" si="4"/>
        <v>17163.936000000002</v>
      </c>
    </row>
    <row r="31" spans="1:17" x14ac:dyDescent="0.2">
      <c r="A31" s="47" t="s">
        <v>91</v>
      </c>
      <c r="B31" s="48" t="s">
        <v>30</v>
      </c>
      <c r="C31" s="47">
        <v>32795.69</v>
      </c>
      <c r="D31" s="47" t="s">
        <v>56</v>
      </c>
      <c r="E31">
        <f t="shared" si="0"/>
        <v>1172.0001764005397</v>
      </c>
      <c r="F31">
        <f t="shared" si="1"/>
        <v>1172</v>
      </c>
      <c r="G31">
        <f t="shared" si="2"/>
        <v>5.0080000073648989E-4</v>
      </c>
      <c r="I31">
        <f t="shared" si="5"/>
        <v>5.0080000073648989E-4</v>
      </c>
      <c r="O31">
        <f t="shared" ca="1" si="3"/>
        <v>-1.8718040710227153E-2</v>
      </c>
      <c r="Q31" s="2">
        <f t="shared" si="4"/>
        <v>17777.190000000002</v>
      </c>
    </row>
    <row r="32" spans="1:17" x14ac:dyDescent="0.2">
      <c r="A32" s="47" t="s">
        <v>91</v>
      </c>
      <c r="B32" s="48" t="s">
        <v>30</v>
      </c>
      <c r="C32" s="47">
        <v>33096.631999999998</v>
      </c>
      <c r="D32" s="47" t="s">
        <v>56</v>
      </c>
      <c r="E32">
        <f t="shared" si="0"/>
        <v>1278.0032332584331</v>
      </c>
      <c r="F32">
        <f t="shared" si="1"/>
        <v>1278</v>
      </c>
      <c r="G32">
        <f t="shared" si="2"/>
        <v>9.1792000021087006E-3</v>
      </c>
      <c r="I32">
        <f t="shared" si="5"/>
        <v>9.1792000021087006E-3</v>
      </c>
      <c r="O32">
        <f t="shared" ca="1" si="3"/>
        <v>-1.7772570516323857E-2</v>
      </c>
      <c r="Q32" s="2">
        <f t="shared" si="4"/>
        <v>18078.131999999998</v>
      </c>
    </row>
    <row r="33" spans="1:17" x14ac:dyDescent="0.2">
      <c r="A33" s="47" t="s">
        <v>91</v>
      </c>
      <c r="B33" s="48" t="s">
        <v>30</v>
      </c>
      <c r="C33" s="47">
        <v>33201.661999999997</v>
      </c>
      <c r="D33" s="47" t="s">
        <v>56</v>
      </c>
      <c r="E33">
        <f t="shared" si="0"/>
        <v>1314.9987375808096</v>
      </c>
      <c r="F33">
        <f t="shared" si="1"/>
        <v>1315</v>
      </c>
      <c r="G33">
        <f t="shared" si="2"/>
        <v>-3.5840000055031851E-3</v>
      </c>
      <c r="I33">
        <f t="shared" si="5"/>
        <v>-3.5840000055031851E-3</v>
      </c>
      <c r="O33">
        <f t="shared" ca="1" si="3"/>
        <v>-1.7442547901470817E-2</v>
      </c>
      <c r="Q33" s="2">
        <f t="shared" si="4"/>
        <v>18183.161999999997</v>
      </c>
    </row>
    <row r="34" spans="1:17" x14ac:dyDescent="0.2">
      <c r="A34" s="47" t="s">
        <v>91</v>
      </c>
      <c r="B34" s="48" t="s">
        <v>30</v>
      </c>
      <c r="C34" s="47">
        <v>33536.669000000002</v>
      </c>
      <c r="D34" s="47" t="s">
        <v>56</v>
      </c>
      <c r="E34">
        <f t="shared" si="0"/>
        <v>1433.0007647780546</v>
      </c>
      <c r="F34">
        <f t="shared" si="1"/>
        <v>1433</v>
      </c>
      <c r="G34">
        <f t="shared" si="2"/>
        <v>2.1712000016123056E-3</v>
      </c>
      <c r="I34">
        <f t="shared" si="5"/>
        <v>2.1712000016123056E-3</v>
      </c>
      <c r="O34">
        <f t="shared" ca="1" si="3"/>
        <v>-1.6390043345993564E-2</v>
      </c>
      <c r="Q34" s="2">
        <f t="shared" si="4"/>
        <v>18518.169000000002</v>
      </c>
    </row>
    <row r="35" spans="1:17" x14ac:dyDescent="0.2">
      <c r="A35" s="47" t="s">
        <v>91</v>
      </c>
      <c r="B35" s="48" t="s">
        <v>30</v>
      </c>
      <c r="C35" s="47">
        <v>33834.756000000001</v>
      </c>
      <c r="D35" s="47" t="s">
        <v>56</v>
      </c>
      <c r="E35">
        <f t="shared" si="0"/>
        <v>1537.9981835816757</v>
      </c>
      <c r="F35">
        <f t="shared" si="1"/>
        <v>1538</v>
      </c>
      <c r="G35">
        <f t="shared" si="2"/>
        <v>-5.156799998076167E-3</v>
      </c>
      <c r="I35">
        <f t="shared" si="5"/>
        <v>-5.156799998076167E-3</v>
      </c>
      <c r="O35">
        <f t="shared" ca="1" si="3"/>
        <v>-1.5453492682221428E-2</v>
      </c>
      <c r="Q35" s="2">
        <f t="shared" si="4"/>
        <v>18816.256000000001</v>
      </c>
    </row>
    <row r="36" spans="1:17" x14ac:dyDescent="0.2">
      <c r="A36" s="47" t="s">
        <v>111</v>
      </c>
      <c r="B36" s="48" t="s">
        <v>30</v>
      </c>
      <c r="C36" s="47">
        <v>33894.44</v>
      </c>
      <c r="D36" s="47" t="s">
        <v>56</v>
      </c>
      <c r="E36">
        <f t="shared" si="0"/>
        <v>1559.0211263597084</v>
      </c>
      <c r="F36">
        <f t="shared" si="1"/>
        <v>1559</v>
      </c>
      <c r="G36">
        <f t="shared" si="2"/>
        <v>5.9977600001730025E-2</v>
      </c>
      <c r="I36">
        <f t="shared" si="5"/>
        <v>5.9977600001730025E-2</v>
      </c>
      <c r="O36">
        <f t="shared" ca="1" si="3"/>
        <v>-1.5266182549467001E-2</v>
      </c>
      <c r="Q36" s="2">
        <f t="shared" si="4"/>
        <v>18875.940000000002</v>
      </c>
    </row>
    <row r="37" spans="1:17" x14ac:dyDescent="0.2">
      <c r="A37" s="47" t="s">
        <v>91</v>
      </c>
      <c r="B37" s="48" t="s">
        <v>30</v>
      </c>
      <c r="C37" s="47">
        <v>34223.690999999999</v>
      </c>
      <c r="D37" s="47" t="s">
        <v>56</v>
      </c>
      <c r="E37">
        <f t="shared" si="0"/>
        <v>1674.9956745235354</v>
      </c>
      <c r="F37">
        <f t="shared" si="1"/>
        <v>1675</v>
      </c>
      <c r="G37">
        <f t="shared" si="2"/>
        <v>-1.2280000002647284E-2</v>
      </c>
      <c r="I37">
        <f t="shared" si="5"/>
        <v>-1.2280000002647284E-2</v>
      </c>
      <c r="O37">
        <f t="shared" ca="1" si="3"/>
        <v>-1.4231517054252072E-2</v>
      </c>
      <c r="Q37" s="2">
        <f t="shared" si="4"/>
        <v>19205.190999999999</v>
      </c>
    </row>
    <row r="38" spans="1:17" x14ac:dyDescent="0.2">
      <c r="A38" s="47" t="s">
        <v>111</v>
      </c>
      <c r="B38" s="48" t="s">
        <v>30</v>
      </c>
      <c r="C38" s="47">
        <v>34243.468000000001</v>
      </c>
      <c r="D38" s="47" t="s">
        <v>56</v>
      </c>
      <c r="E38">
        <f t="shared" si="0"/>
        <v>1681.9618755040526</v>
      </c>
      <c r="F38">
        <f t="shared" si="1"/>
        <v>1682</v>
      </c>
      <c r="G38">
        <f t="shared" si="2"/>
        <v>-0.10823520000121789</v>
      </c>
      <c r="I38">
        <f t="shared" si="5"/>
        <v>-0.10823520000121789</v>
      </c>
      <c r="O38">
        <f t="shared" ca="1" si="3"/>
        <v>-1.416908034333393E-2</v>
      </c>
      <c r="Q38" s="2">
        <f t="shared" si="4"/>
        <v>19224.968000000001</v>
      </c>
    </row>
    <row r="39" spans="1:17" x14ac:dyDescent="0.2">
      <c r="A39" s="47" t="s">
        <v>111</v>
      </c>
      <c r="B39" s="48" t="s">
        <v>30</v>
      </c>
      <c r="C39" s="47">
        <v>34300.428</v>
      </c>
      <c r="D39" s="47" t="s">
        <v>56</v>
      </c>
      <c r="E39">
        <f t="shared" si="0"/>
        <v>1702.0253233399333</v>
      </c>
      <c r="F39">
        <f t="shared" si="1"/>
        <v>1702</v>
      </c>
      <c r="G39">
        <f t="shared" si="2"/>
        <v>7.1892799998749979E-2</v>
      </c>
      <c r="I39">
        <f t="shared" si="5"/>
        <v>7.1892799998749979E-2</v>
      </c>
      <c r="O39">
        <f t="shared" ca="1" si="3"/>
        <v>-1.3990689740710665E-2</v>
      </c>
      <c r="Q39" s="2">
        <f t="shared" si="4"/>
        <v>19281.928</v>
      </c>
    </row>
    <row r="40" spans="1:17" x14ac:dyDescent="0.2">
      <c r="A40" s="47" t="s">
        <v>91</v>
      </c>
      <c r="B40" s="48" t="s">
        <v>30</v>
      </c>
      <c r="C40" s="47">
        <v>34334.462</v>
      </c>
      <c r="D40" s="47" t="s">
        <v>56</v>
      </c>
      <c r="E40">
        <f t="shared" si="0"/>
        <v>1714.0133743168708</v>
      </c>
      <c r="F40">
        <f t="shared" si="1"/>
        <v>1714</v>
      </c>
      <c r="G40">
        <f t="shared" si="2"/>
        <v>3.7969600001815706E-2</v>
      </c>
      <c r="I40">
        <f t="shared" si="5"/>
        <v>3.7969600001815706E-2</v>
      </c>
      <c r="O40">
        <f t="shared" ca="1" si="3"/>
        <v>-1.3883655379136708E-2</v>
      </c>
      <c r="Q40" s="2">
        <f t="shared" si="4"/>
        <v>19315.962</v>
      </c>
    </row>
    <row r="41" spans="1:17" x14ac:dyDescent="0.2">
      <c r="A41" s="47" t="s">
        <v>111</v>
      </c>
      <c r="B41" s="48" t="s">
        <v>30</v>
      </c>
      <c r="C41" s="47">
        <v>34510.552000000003</v>
      </c>
      <c r="D41" s="47" t="s">
        <v>56</v>
      </c>
      <c r="E41">
        <f t="shared" si="0"/>
        <v>1776.0388751845037</v>
      </c>
      <c r="F41">
        <f t="shared" si="1"/>
        <v>1776</v>
      </c>
      <c r="G41">
        <f t="shared" si="2"/>
        <v>0.11036640000384068</v>
      </c>
      <c r="I41">
        <f t="shared" si="5"/>
        <v>0.11036640000384068</v>
      </c>
      <c r="O41">
        <f t="shared" ca="1" si="3"/>
        <v>-1.3330644511004588E-2</v>
      </c>
      <c r="Q41" s="2">
        <f t="shared" si="4"/>
        <v>19492.052000000003</v>
      </c>
    </row>
    <row r="42" spans="1:17" x14ac:dyDescent="0.2">
      <c r="A42" s="47" t="s">
        <v>111</v>
      </c>
      <c r="B42" s="48" t="s">
        <v>30</v>
      </c>
      <c r="C42" s="47">
        <v>34530.442000000003</v>
      </c>
      <c r="D42" s="47" t="s">
        <v>56</v>
      </c>
      <c r="E42">
        <f t="shared" si="0"/>
        <v>1783.0448790021942</v>
      </c>
      <c r="F42">
        <f t="shared" si="1"/>
        <v>1783</v>
      </c>
      <c r="G42">
        <f t="shared" si="2"/>
        <v>0.12741120000282535</v>
      </c>
      <c r="I42">
        <f t="shared" si="5"/>
        <v>0.12741120000282535</v>
      </c>
      <c r="O42">
        <f t="shared" ca="1" si="3"/>
        <v>-1.3268207800086446E-2</v>
      </c>
      <c r="Q42" s="2">
        <f t="shared" si="4"/>
        <v>19511.942000000003</v>
      </c>
    </row>
    <row r="43" spans="1:17" x14ac:dyDescent="0.2">
      <c r="A43" s="47" t="s">
        <v>111</v>
      </c>
      <c r="B43" s="48" t="s">
        <v>30</v>
      </c>
      <c r="C43" s="47">
        <v>34581.440000000002</v>
      </c>
      <c r="D43" s="47" t="s">
        <v>56</v>
      </c>
      <c r="E43">
        <f t="shared" si="0"/>
        <v>1801.0082868802535</v>
      </c>
      <c r="F43">
        <f t="shared" si="1"/>
        <v>1801</v>
      </c>
      <c r="G43">
        <f t="shared" si="2"/>
        <v>2.352640000754036E-2</v>
      </c>
      <c r="I43">
        <f t="shared" si="5"/>
        <v>2.352640000754036E-2</v>
      </c>
      <c r="O43">
        <f t="shared" ca="1" si="3"/>
        <v>-1.310765625772551E-2</v>
      </c>
      <c r="Q43" s="2">
        <f t="shared" si="4"/>
        <v>19562.940000000002</v>
      </c>
    </row>
    <row r="44" spans="1:17" x14ac:dyDescent="0.2">
      <c r="A44" s="47" t="s">
        <v>91</v>
      </c>
      <c r="B44" s="48" t="s">
        <v>30</v>
      </c>
      <c r="C44" s="47">
        <v>34683.637000000002</v>
      </c>
      <c r="D44" s="47" t="s">
        <v>56</v>
      </c>
      <c r="E44">
        <f t="shared" si="0"/>
        <v>1837.0059023732929</v>
      </c>
      <c r="F44">
        <f t="shared" si="1"/>
        <v>1837</v>
      </c>
      <c r="G44">
        <f t="shared" si="2"/>
        <v>1.6756800003349781E-2</v>
      </c>
      <c r="I44">
        <f t="shared" si="5"/>
        <v>1.6756800003349781E-2</v>
      </c>
      <c r="O44">
        <f t="shared" ca="1" si="3"/>
        <v>-1.2786553173003635E-2</v>
      </c>
      <c r="Q44" s="2">
        <f t="shared" si="4"/>
        <v>19665.137000000002</v>
      </c>
    </row>
    <row r="45" spans="1:17" x14ac:dyDescent="0.2">
      <c r="A45" s="47" t="s">
        <v>91</v>
      </c>
      <c r="B45" s="48" t="s">
        <v>30</v>
      </c>
      <c r="C45" s="47">
        <v>35089.597999999998</v>
      </c>
      <c r="D45" s="47" t="s">
        <v>56</v>
      </c>
      <c r="E45">
        <f t="shared" si="0"/>
        <v>1980.000588941095</v>
      </c>
      <c r="F45">
        <f t="shared" si="1"/>
        <v>1980</v>
      </c>
      <c r="G45">
        <f t="shared" si="2"/>
        <v>1.6719999985070899E-3</v>
      </c>
      <c r="I45">
        <f t="shared" si="5"/>
        <v>1.6719999985070899E-3</v>
      </c>
      <c r="O45">
        <f t="shared" ca="1" si="3"/>
        <v>-1.1511060364247299E-2</v>
      </c>
      <c r="Q45" s="2">
        <f t="shared" si="4"/>
        <v>20071.097999999998</v>
      </c>
    </row>
    <row r="46" spans="1:17" x14ac:dyDescent="0.2">
      <c r="A46" s="47" t="s">
        <v>91</v>
      </c>
      <c r="B46" s="48" t="s">
        <v>30</v>
      </c>
      <c r="C46" s="47">
        <v>35299.667999999998</v>
      </c>
      <c r="D46" s="47" t="s">
        <v>56</v>
      </c>
      <c r="E46">
        <f t="shared" si="0"/>
        <v>2053.9951199608195</v>
      </c>
      <c r="F46">
        <f t="shared" si="1"/>
        <v>2054</v>
      </c>
      <c r="G46">
        <f t="shared" si="2"/>
        <v>-1.3854400000127498E-2</v>
      </c>
      <c r="I46">
        <f t="shared" si="5"/>
        <v>-1.3854400000127498E-2</v>
      </c>
      <c r="O46">
        <f t="shared" ca="1" si="3"/>
        <v>-1.0851015134541224E-2</v>
      </c>
      <c r="Q46" s="2">
        <f t="shared" si="4"/>
        <v>20281.167999999998</v>
      </c>
    </row>
    <row r="47" spans="1:17" x14ac:dyDescent="0.2">
      <c r="A47" s="47" t="s">
        <v>91</v>
      </c>
      <c r="B47" s="48" t="s">
        <v>30</v>
      </c>
      <c r="C47" s="47">
        <v>35651.705999999998</v>
      </c>
      <c r="D47" s="47" t="s">
        <v>56</v>
      </c>
      <c r="E47">
        <f t="shared" si="0"/>
        <v>2177.9961039714917</v>
      </c>
      <c r="F47">
        <f t="shared" si="1"/>
        <v>2178</v>
      </c>
      <c r="G47">
        <f t="shared" si="2"/>
        <v>-1.1060800003178883E-2</v>
      </c>
      <c r="I47">
        <f t="shared" si="5"/>
        <v>-1.1060800003178883E-2</v>
      </c>
      <c r="O47">
        <f t="shared" ca="1" si="3"/>
        <v>-9.7449933982769882E-3</v>
      </c>
      <c r="Q47" s="2">
        <f t="shared" si="4"/>
        <v>20633.205999999998</v>
      </c>
    </row>
    <row r="48" spans="1:17" x14ac:dyDescent="0.2">
      <c r="A48" s="47" t="s">
        <v>147</v>
      </c>
      <c r="B48" s="48" t="s">
        <v>282</v>
      </c>
      <c r="C48" s="47">
        <v>36848.385000000002</v>
      </c>
      <c r="D48" s="47" t="s">
        <v>56</v>
      </c>
      <c r="E48">
        <f t="shared" si="0"/>
        <v>2599.5113197859987</v>
      </c>
      <c r="F48">
        <f t="shared" si="1"/>
        <v>2599.5</v>
      </c>
      <c r="G48">
        <f t="shared" si="2"/>
        <v>3.2136800000444055E-2</v>
      </c>
      <c r="I48">
        <f t="shared" si="5"/>
        <v>3.2136800000444055E-2</v>
      </c>
      <c r="O48">
        <f t="shared" ca="1" si="3"/>
        <v>-5.9854114479917057E-3</v>
      </c>
      <c r="Q48" s="2">
        <f t="shared" si="4"/>
        <v>21829.885000000002</v>
      </c>
    </row>
    <row r="49" spans="1:17" x14ac:dyDescent="0.2">
      <c r="A49" s="47" t="s">
        <v>147</v>
      </c>
      <c r="B49" s="48" t="s">
        <v>282</v>
      </c>
      <c r="C49" s="47">
        <v>36902.262999999999</v>
      </c>
      <c r="D49" s="47" t="s">
        <v>56</v>
      </c>
      <c r="E49">
        <f t="shared" si="0"/>
        <v>2618.4891716557586</v>
      </c>
      <c r="F49">
        <f t="shared" si="1"/>
        <v>2618.5</v>
      </c>
      <c r="G49">
        <f t="shared" si="2"/>
        <v>-3.0741599999601021E-2</v>
      </c>
      <c r="I49">
        <f t="shared" si="5"/>
        <v>-3.0741599999601021E-2</v>
      </c>
      <c r="O49">
        <f t="shared" ca="1" si="3"/>
        <v>-5.8159403754996022E-3</v>
      </c>
      <c r="Q49" s="2">
        <f t="shared" si="4"/>
        <v>21883.762999999999</v>
      </c>
    </row>
    <row r="50" spans="1:17" x14ac:dyDescent="0.2">
      <c r="A50" s="47" t="s">
        <v>147</v>
      </c>
      <c r="B50" s="48" t="s">
        <v>282</v>
      </c>
      <c r="C50" s="47">
        <v>37146.464999999997</v>
      </c>
      <c r="D50" s="47" t="s">
        <v>56</v>
      </c>
      <c r="E50">
        <f t="shared" si="0"/>
        <v>2704.5062729271381</v>
      </c>
      <c r="F50">
        <f t="shared" si="1"/>
        <v>2704.5</v>
      </c>
      <c r="G50">
        <f t="shared" si="2"/>
        <v>1.7808799995691516E-2</v>
      </c>
      <c r="I50">
        <f t="shared" si="5"/>
        <v>1.7808799995691516E-2</v>
      </c>
      <c r="O50">
        <f t="shared" ca="1" si="3"/>
        <v>-5.04886078421957E-3</v>
      </c>
      <c r="Q50" s="2">
        <f t="shared" si="4"/>
        <v>22127.964999999997</v>
      </c>
    </row>
    <row r="51" spans="1:17" x14ac:dyDescent="0.2">
      <c r="A51" s="47" t="s">
        <v>147</v>
      </c>
      <c r="B51" s="48" t="s">
        <v>30</v>
      </c>
      <c r="C51" s="47">
        <v>37190.411999999997</v>
      </c>
      <c r="D51" s="47" t="s">
        <v>56</v>
      </c>
      <c r="E51">
        <f t="shared" si="0"/>
        <v>2719.9860542130132</v>
      </c>
      <c r="F51">
        <f t="shared" si="1"/>
        <v>2720</v>
      </c>
      <c r="G51">
        <f t="shared" si="2"/>
        <v>-3.9592000000993721E-2</v>
      </c>
      <c r="I51">
        <f t="shared" si="5"/>
        <v>-3.9592000000993721E-2</v>
      </c>
      <c r="O51">
        <f t="shared" ca="1" si="3"/>
        <v>-4.9106080671865414E-3</v>
      </c>
      <c r="Q51" s="2">
        <f t="shared" si="4"/>
        <v>22171.911999999997</v>
      </c>
    </row>
    <row r="52" spans="1:17" x14ac:dyDescent="0.2">
      <c r="A52" s="47" t="s">
        <v>111</v>
      </c>
      <c r="B52" s="48" t="s">
        <v>30</v>
      </c>
      <c r="C52" s="47">
        <v>37542.398999999998</v>
      </c>
      <c r="D52" s="47" t="s">
        <v>56</v>
      </c>
      <c r="E52">
        <f t="shared" si="0"/>
        <v>2843.9690741113327</v>
      </c>
      <c r="F52">
        <f t="shared" si="1"/>
        <v>2844</v>
      </c>
      <c r="G52">
        <f t="shared" si="2"/>
        <v>-8.7798400003521238E-2</v>
      </c>
      <c r="I52">
        <f t="shared" si="5"/>
        <v>-8.7798400003521238E-2</v>
      </c>
      <c r="O52">
        <f t="shared" ca="1" si="3"/>
        <v>-3.8045863309223056E-3</v>
      </c>
      <c r="Q52" s="2">
        <f t="shared" si="4"/>
        <v>22523.898999999998</v>
      </c>
    </row>
    <row r="53" spans="1:17" x14ac:dyDescent="0.2">
      <c r="A53" s="47" t="s">
        <v>111</v>
      </c>
      <c r="B53" s="48" t="s">
        <v>30</v>
      </c>
      <c r="C53" s="47">
        <v>37559.387999999999</v>
      </c>
      <c r="D53" s="47" t="s">
        <v>56</v>
      </c>
      <c r="E53">
        <f t="shared" ref="E53:E84" si="6">+(C53-C$7)/C$8</f>
        <v>2849.9532369498825</v>
      </c>
      <c r="F53">
        <f t="shared" ref="F53:F84" si="7">ROUND(2*E53,0)/2</f>
        <v>2850</v>
      </c>
      <c r="G53">
        <f t="shared" ref="G53:G84" si="8">+C53-(C$7+F53*C$8)</f>
        <v>-0.13276000000041677</v>
      </c>
      <c r="I53">
        <f t="shared" si="5"/>
        <v>-0.13276000000041677</v>
      </c>
      <c r="O53">
        <f t="shared" ref="O53:O84" ca="1" si="9">+C$11+C$12*F53</f>
        <v>-3.751069150135327E-3</v>
      </c>
      <c r="Q53" s="2">
        <f t="shared" ref="Q53:Q84" si="10">+C53-15018.5</f>
        <v>22540.887999999999</v>
      </c>
    </row>
    <row r="54" spans="1:17" x14ac:dyDescent="0.2">
      <c r="A54" s="47" t="s">
        <v>147</v>
      </c>
      <c r="B54" s="48" t="s">
        <v>30</v>
      </c>
      <c r="C54" s="47">
        <v>37579.387999999999</v>
      </c>
      <c r="D54" s="47" t="s">
        <v>56</v>
      </c>
      <c r="E54">
        <f t="shared" si="6"/>
        <v>2856.9979868922564</v>
      </c>
      <c r="F54">
        <f t="shared" si="7"/>
        <v>2857</v>
      </c>
      <c r="G54">
        <f t="shared" si="8"/>
        <v>-5.7152000008500181E-3</v>
      </c>
      <c r="I54">
        <f t="shared" si="5"/>
        <v>-5.7152000008500181E-3</v>
      </c>
      <c r="O54">
        <f t="shared" ca="1" si="9"/>
        <v>-3.6886324392171842E-3</v>
      </c>
      <c r="Q54" s="2">
        <f t="shared" si="10"/>
        <v>22560.887999999999</v>
      </c>
    </row>
    <row r="55" spans="1:17" x14ac:dyDescent="0.2">
      <c r="A55" s="47" t="s">
        <v>147</v>
      </c>
      <c r="B55" s="48" t="s">
        <v>30</v>
      </c>
      <c r="C55" s="47">
        <v>37582.307999999997</v>
      </c>
      <c r="D55" s="47" t="s">
        <v>56</v>
      </c>
      <c r="E55">
        <f t="shared" si="6"/>
        <v>2858.0265203838426</v>
      </c>
      <c r="F55">
        <f t="shared" si="7"/>
        <v>2858</v>
      </c>
      <c r="G55">
        <f t="shared" si="8"/>
        <v>7.5291199995263014E-2</v>
      </c>
      <c r="I55">
        <f t="shared" si="5"/>
        <v>7.5291199995263014E-2</v>
      </c>
      <c r="O55">
        <f t="shared" ca="1" si="9"/>
        <v>-3.6797129090860199E-3</v>
      </c>
      <c r="Q55" s="2">
        <f t="shared" si="10"/>
        <v>22563.807999999997</v>
      </c>
    </row>
    <row r="56" spans="1:17" x14ac:dyDescent="0.2">
      <c r="A56" s="47" t="s">
        <v>111</v>
      </c>
      <c r="B56" s="48" t="s">
        <v>30</v>
      </c>
      <c r="C56" s="47">
        <v>37582.347000000002</v>
      </c>
      <c r="D56" s="47" t="s">
        <v>56</v>
      </c>
      <c r="E56">
        <f t="shared" si="6"/>
        <v>2858.0402576462316</v>
      </c>
      <c r="F56">
        <f t="shared" si="7"/>
        <v>2858</v>
      </c>
      <c r="G56">
        <f t="shared" si="8"/>
        <v>0.11429119999957038</v>
      </c>
      <c r="I56">
        <f t="shared" si="5"/>
        <v>0.11429119999957038</v>
      </c>
      <c r="O56">
        <f t="shared" ca="1" si="9"/>
        <v>-3.6797129090860199E-3</v>
      </c>
      <c r="Q56" s="2">
        <f t="shared" si="10"/>
        <v>22563.847000000002</v>
      </c>
    </row>
    <row r="57" spans="1:17" x14ac:dyDescent="0.2">
      <c r="A57" s="47" t="s">
        <v>147</v>
      </c>
      <c r="B57" s="48" t="s">
        <v>282</v>
      </c>
      <c r="C57" s="47">
        <v>37961.294999999998</v>
      </c>
      <c r="D57" s="47" t="s">
        <v>56</v>
      </c>
      <c r="E57">
        <f t="shared" si="6"/>
        <v>2991.5199527043665</v>
      </c>
      <c r="F57">
        <f t="shared" si="7"/>
        <v>2991.5</v>
      </c>
      <c r="G57">
        <f t="shared" si="8"/>
        <v>5.6645600001502316E-2</v>
      </c>
      <c r="I57">
        <f t="shared" si="5"/>
        <v>5.6645600001502316E-2</v>
      </c>
      <c r="O57">
        <f t="shared" ca="1" si="9"/>
        <v>-2.4889556365757341E-3</v>
      </c>
      <c r="Q57" s="2">
        <f t="shared" si="10"/>
        <v>22942.794999999998</v>
      </c>
    </row>
    <row r="58" spans="1:17" x14ac:dyDescent="0.2">
      <c r="A58" s="47" t="s">
        <v>177</v>
      </c>
      <c r="B58" s="48" t="s">
        <v>30</v>
      </c>
      <c r="C58" s="47">
        <v>42621.461000000003</v>
      </c>
      <c r="D58" s="47" t="s">
        <v>56</v>
      </c>
      <c r="E58">
        <f t="shared" si="6"/>
        <v>4633.0051607020196</v>
      </c>
      <c r="F58">
        <f t="shared" si="7"/>
        <v>4633</v>
      </c>
      <c r="G58">
        <f t="shared" si="8"/>
        <v>1.4651200006483123E-2</v>
      </c>
      <c r="I58">
        <f t="shared" si="5"/>
        <v>1.4651200006483123E-2</v>
      </c>
      <c r="O58">
        <f t="shared" ca="1" si="9"/>
        <v>1.2152453073728635E-2</v>
      </c>
      <c r="Q58" s="2">
        <f t="shared" si="10"/>
        <v>27602.961000000003</v>
      </c>
    </row>
    <row r="59" spans="1:17" x14ac:dyDescent="0.2">
      <c r="A59" s="47" t="s">
        <v>182</v>
      </c>
      <c r="B59" s="48" t="s">
        <v>30</v>
      </c>
      <c r="C59" s="47">
        <v>43373.822999999997</v>
      </c>
      <c r="D59" s="47" t="s">
        <v>56</v>
      </c>
      <c r="E59">
        <f t="shared" si="6"/>
        <v>4898.0152685092344</v>
      </c>
      <c r="F59">
        <f t="shared" si="7"/>
        <v>4898</v>
      </c>
      <c r="G59">
        <f t="shared" si="8"/>
        <v>4.3347200000425801E-2</v>
      </c>
      <c r="I59">
        <f t="shared" si="5"/>
        <v>4.3347200000425801E-2</v>
      </c>
      <c r="O59">
        <f t="shared" ca="1" si="9"/>
        <v>1.4516128558486885E-2</v>
      </c>
      <c r="Q59" s="2">
        <f t="shared" si="10"/>
        <v>28355.322999999997</v>
      </c>
    </row>
    <row r="60" spans="1:17" x14ac:dyDescent="0.2">
      <c r="A60" s="47" t="s">
        <v>187</v>
      </c>
      <c r="B60" s="48" t="s">
        <v>30</v>
      </c>
      <c r="C60" s="47">
        <v>43805.322999999997</v>
      </c>
      <c r="D60" s="47" t="s">
        <v>56</v>
      </c>
      <c r="E60">
        <f t="shared" si="6"/>
        <v>5050.0057485159523</v>
      </c>
      <c r="F60">
        <f t="shared" si="7"/>
        <v>5050</v>
      </c>
      <c r="G60">
        <f t="shared" si="8"/>
        <v>1.6320000002451707E-2</v>
      </c>
      <c r="I60">
        <f t="shared" si="5"/>
        <v>1.6320000002451707E-2</v>
      </c>
      <c r="O60">
        <f t="shared" ca="1" si="9"/>
        <v>1.5871897138423685E-2</v>
      </c>
      <c r="Q60" s="2">
        <f t="shared" si="10"/>
        <v>28786.822999999997</v>
      </c>
    </row>
    <row r="61" spans="1:17" x14ac:dyDescent="0.2">
      <c r="A61" s="47" t="s">
        <v>182</v>
      </c>
      <c r="B61" s="48" t="s">
        <v>30</v>
      </c>
      <c r="C61" s="47">
        <v>44486.684999999998</v>
      </c>
      <c r="D61" s="47" t="s">
        <v>56</v>
      </c>
      <c r="E61">
        <f t="shared" si="6"/>
        <v>5290.0069940277426</v>
      </c>
      <c r="F61">
        <f t="shared" si="7"/>
        <v>5290</v>
      </c>
      <c r="G61">
        <f t="shared" si="8"/>
        <v>1.9855999998981133E-2</v>
      </c>
      <c r="I61">
        <f t="shared" si="5"/>
        <v>1.9855999998981133E-2</v>
      </c>
      <c r="O61">
        <f t="shared" ca="1" si="9"/>
        <v>1.801258436990285E-2</v>
      </c>
      <c r="Q61" s="2">
        <f t="shared" si="10"/>
        <v>29468.184999999998</v>
      </c>
    </row>
    <row r="62" spans="1:17" x14ac:dyDescent="0.2">
      <c r="A62" s="47" t="s">
        <v>182</v>
      </c>
      <c r="B62" s="48" t="s">
        <v>30</v>
      </c>
      <c r="C62" s="47">
        <v>45173.712</v>
      </c>
      <c r="D62" s="47" t="s">
        <v>56</v>
      </c>
      <c r="E62">
        <f t="shared" si="6"/>
        <v>5532.0036649607109</v>
      </c>
      <c r="F62">
        <f t="shared" si="7"/>
        <v>5532</v>
      </c>
      <c r="G62">
        <f t="shared" si="8"/>
        <v>1.0404799999378156E-2</v>
      </c>
      <c r="I62">
        <f t="shared" si="5"/>
        <v>1.0404799999378156E-2</v>
      </c>
      <c r="O62">
        <f t="shared" ca="1" si="9"/>
        <v>2.0171110661644343E-2</v>
      </c>
      <c r="Q62" s="2">
        <f t="shared" si="10"/>
        <v>30155.212</v>
      </c>
    </row>
    <row r="63" spans="1:17" x14ac:dyDescent="0.2">
      <c r="A63" s="47" t="s">
        <v>182</v>
      </c>
      <c r="B63" s="48" t="s">
        <v>30</v>
      </c>
      <c r="C63" s="47">
        <v>45298.627999999997</v>
      </c>
      <c r="D63" s="47" t="s">
        <v>56</v>
      </c>
      <c r="E63">
        <f t="shared" si="6"/>
        <v>5576.0037641507888</v>
      </c>
      <c r="F63">
        <f t="shared" si="7"/>
        <v>5576</v>
      </c>
      <c r="G63">
        <f t="shared" si="8"/>
        <v>1.0686399997211993E-2</v>
      </c>
      <c r="I63">
        <f t="shared" si="5"/>
        <v>1.0686399997211993E-2</v>
      </c>
      <c r="O63">
        <f t="shared" ca="1" si="9"/>
        <v>2.0563569987415521E-2</v>
      </c>
      <c r="Q63" s="2">
        <f t="shared" si="10"/>
        <v>30280.127999999997</v>
      </c>
    </row>
    <row r="64" spans="1:17" x14ac:dyDescent="0.2">
      <c r="A64" s="47" t="s">
        <v>182</v>
      </c>
      <c r="B64" s="48" t="s">
        <v>30</v>
      </c>
      <c r="C64" s="47">
        <v>46709.625</v>
      </c>
      <c r="D64" s="47" t="s">
        <v>56</v>
      </c>
      <c r="E64">
        <f t="shared" si="6"/>
        <v>6073.0098158727806</v>
      </c>
      <c r="F64">
        <f t="shared" si="7"/>
        <v>6073</v>
      </c>
      <c r="G64">
        <f t="shared" si="8"/>
        <v>2.7867199998581782E-2</v>
      </c>
      <c r="I64">
        <f t="shared" si="5"/>
        <v>2.7867199998581782E-2</v>
      </c>
      <c r="O64">
        <f t="shared" ca="1" si="9"/>
        <v>2.4996576462603629E-2</v>
      </c>
      <c r="Q64" s="2">
        <f t="shared" si="10"/>
        <v>31691.125</v>
      </c>
    </row>
    <row r="65" spans="1:17" x14ac:dyDescent="0.2">
      <c r="A65" s="47" t="s">
        <v>205</v>
      </c>
      <c r="B65" s="48" t="s">
        <v>30</v>
      </c>
      <c r="C65" s="47">
        <v>47825.357000000004</v>
      </c>
      <c r="D65" s="47" t="s">
        <v>56</v>
      </c>
      <c r="E65">
        <f t="shared" si="6"/>
        <v>6466.0124630080199</v>
      </c>
      <c r="F65">
        <f t="shared" si="7"/>
        <v>6466</v>
      </c>
      <c r="G65">
        <f t="shared" si="8"/>
        <v>3.5382400004891679E-2</v>
      </c>
      <c r="I65">
        <f t="shared" si="5"/>
        <v>3.5382400004891679E-2</v>
      </c>
      <c r="O65">
        <f t="shared" ca="1" si="9"/>
        <v>2.8501951804150757E-2</v>
      </c>
      <c r="Q65" s="2">
        <f t="shared" si="10"/>
        <v>32806.857000000004</v>
      </c>
    </row>
    <row r="66" spans="1:17" x14ac:dyDescent="0.2">
      <c r="A66" s="47" t="s">
        <v>182</v>
      </c>
      <c r="B66" s="48" t="s">
        <v>30</v>
      </c>
      <c r="C66" s="47">
        <v>48506.714</v>
      </c>
      <c r="D66" s="47" t="s">
        <v>56</v>
      </c>
      <c r="E66">
        <f t="shared" si="6"/>
        <v>6706.011947332323</v>
      </c>
      <c r="F66">
        <f t="shared" si="7"/>
        <v>6706</v>
      </c>
      <c r="G66">
        <f t="shared" si="8"/>
        <v>3.3918399996764492E-2</v>
      </c>
      <c r="I66">
        <f t="shared" si="5"/>
        <v>3.3918399996764492E-2</v>
      </c>
      <c r="O66">
        <f t="shared" ca="1" si="9"/>
        <v>3.0642639035629929E-2</v>
      </c>
      <c r="Q66" s="2">
        <f t="shared" si="10"/>
        <v>33488.214</v>
      </c>
    </row>
    <row r="67" spans="1:17" x14ac:dyDescent="0.2">
      <c r="A67" s="47" t="s">
        <v>211</v>
      </c>
      <c r="B67" s="48" t="s">
        <v>30</v>
      </c>
      <c r="C67" s="47">
        <v>49534.43</v>
      </c>
      <c r="D67" s="47" t="s">
        <v>56</v>
      </c>
      <c r="E67">
        <f t="shared" si="6"/>
        <v>7068.012058921162</v>
      </c>
      <c r="F67">
        <f t="shared" si="7"/>
        <v>7068</v>
      </c>
      <c r="G67">
        <f t="shared" si="8"/>
        <v>3.4235200007969979E-2</v>
      </c>
      <c r="I67">
        <f t="shared" si="5"/>
        <v>3.4235200007969979E-2</v>
      </c>
      <c r="O67">
        <f t="shared" ca="1" si="9"/>
        <v>3.3871508943110994E-2</v>
      </c>
      <c r="Q67" s="2">
        <f t="shared" si="10"/>
        <v>34515.93</v>
      </c>
    </row>
    <row r="68" spans="1:17" x14ac:dyDescent="0.2">
      <c r="A68" s="47" t="s">
        <v>211</v>
      </c>
      <c r="B68" s="48" t="s">
        <v>30</v>
      </c>
      <c r="C68" s="47">
        <v>49605.402999999998</v>
      </c>
      <c r="D68" s="47" t="s">
        <v>56</v>
      </c>
      <c r="E68">
        <f t="shared" si="6"/>
        <v>7093.0114108041671</v>
      </c>
      <c r="F68">
        <f t="shared" si="7"/>
        <v>7093</v>
      </c>
      <c r="G68">
        <f t="shared" si="8"/>
        <v>3.2395199996244628E-2</v>
      </c>
      <c r="I68">
        <f t="shared" si="5"/>
        <v>3.2395199996244628E-2</v>
      </c>
      <c r="O68">
        <f t="shared" ca="1" si="9"/>
        <v>3.4094497196390079E-2</v>
      </c>
      <c r="Q68" s="2">
        <f t="shared" si="10"/>
        <v>34586.902999999998</v>
      </c>
    </row>
    <row r="69" spans="1:17" x14ac:dyDescent="0.2">
      <c r="A69" s="47" t="s">
        <v>182</v>
      </c>
      <c r="B69" s="48" t="s">
        <v>30</v>
      </c>
      <c r="C69" s="47">
        <v>50692.748</v>
      </c>
      <c r="D69" s="47" t="s">
        <v>56</v>
      </c>
      <c r="E69">
        <f t="shared" si="6"/>
        <v>7476.015092108697</v>
      </c>
      <c r="F69">
        <f t="shared" si="7"/>
        <v>7476</v>
      </c>
      <c r="G69">
        <f t="shared" si="8"/>
        <v>4.2846400006965268E-2</v>
      </c>
      <c r="I69">
        <f t="shared" si="5"/>
        <v>4.2846400006965268E-2</v>
      </c>
      <c r="O69">
        <f t="shared" ca="1" si="9"/>
        <v>3.7510677236625579E-2</v>
      </c>
      <c r="Q69" s="2">
        <f t="shared" si="10"/>
        <v>35674.248</v>
      </c>
    </row>
    <row r="70" spans="1:17" x14ac:dyDescent="0.2">
      <c r="A70" s="47" t="s">
        <v>218</v>
      </c>
      <c r="B70" s="48" t="s">
        <v>30</v>
      </c>
      <c r="C70" s="47">
        <v>50752.358</v>
      </c>
      <c r="D70" s="47" t="s">
        <v>56</v>
      </c>
      <c r="E70">
        <f t="shared" si="6"/>
        <v>7497.0119693119432</v>
      </c>
      <c r="F70">
        <f t="shared" si="7"/>
        <v>7497</v>
      </c>
      <c r="G70">
        <f t="shared" si="8"/>
        <v>3.3980800006247591E-2</v>
      </c>
      <c r="I70">
        <f t="shared" si="5"/>
        <v>3.3980800006247591E-2</v>
      </c>
      <c r="O70">
        <f t="shared" ca="1" si="9"/>
        <v>3.7697987369380008E-2</v>
      </c>
      <c r="Q70" s="2">
        <f t="shared" si="10"/>
        <v>35733.858</v>
      </c>
    </row>
    <row r="71" spans="1:17" x14ac:dyDescent="0.2">
      <c r="A71" t="s">
        <v>29</v>
      </c>
      <c r="B71" s="5" t="s">
        <v>30</v>
      </c>
      <c r="C71" s="13">
        <v>51331.519099999998</v>
      </c>
      <c r="D71" s="13">
        <v>2.3E-3</v>
      </c>
      <c r="E71">
        <f t="shared" si="6"/>
        <v>7701.0142256044537</v>
      </c>
      <c r="F71">
        <f t="shared" si="7"/>
        <v>7701</v>
      </c>
      <c r="G71">
        <f t="shared" si="8"/>
        <v>4.0386400003626477E-2</v>
      </c>
      <c r="K71">
        <f>G71</f>
        <v>4.0386400003626477E-2</v>
      </c>
      <c r="O71">
        <f t="shared" ca="1" si="9"/>
        <v>3.9517571516137294E-2</v>
      </c>
      <c r="Q71" s="2">
        <f t="shared" si="10"/>
        <v>36313.019099999998</v>
      </c>
    </row>
    <row r="72" spans="1:17" x14ac:dyDescent="0.2">
      <c r="A72" s="47" t="s">
        <v>182</v>
      </c>
      <c r="B72" s="48" t="s">
        <v>30</v>
      </c>
      <c r="C72" s="47">
        <v>52174.705000000002</v>
      </c>
      <c r="D72" s="47" t="s">
        <v>56</v>
      </c>
      <c r="E72">
        <f t="shared" si="6"/>
        <v>7998.015916626231</v>
      </c>
      <c r="F72">
        <f t="shared" si="7"/>
        <v>7998</v>
      </c>
      <c r="G72">
        <f t="shared" si="8"/>
        <v>4.5187200004875194E-2</v>
      </c>
      <c r="I72">
        <f>G72</f>
        <v>4.5187200004875194E-2</v>
      </c>
      <c r="O72">
        <f t="shared" ca="1" si="9"/>
        <v>4.2166671965092765E-2</v>
      </c>
      <c r="Q72" s="2">
        <f t="shared" si="10"/>
        <v>37156.205000000002</v>
      </c>
    </row>
    <row r="73" spans="1:17" x14ac:dyDescent="0.2">
      <c r="A73" s="47" t="s">
        <v>182</v>
      </c>
      <c r="B73" s="48" t="s">
        <v>30</v>
      </c>
      <c r="C73" s="47">
        <v>52418.849800000004</v>
      </c>
      <c r="D73" s="47" t="s">
        <v>56</v>
      </c>
      <c r="E73">
        <f t="shared" si="6"/>
        <v>8084.0128699127772</v>
      </c>
      <c r="F73">
        <f t="shared" si="7"/>
        <v>8084</v>
      </c>
      <c r="G73">
        <f t="shared" si="8"/>
        <v>3.6537600004521664E-2</v>
      </c>
      <c r="K73">
        <f>G73</f>
        <v>3.6537600004521664E-2</v>
      </c>
      <c r="O73">
        <f t="shared" ca="1" si="9"/>
        <v>4.2933751556372794E-2</v>
      </c>
      <c r="Q73" s="2">
        <f t="shared" si="10"/>
        <v>37400.349800000004</v>
      </c>
    </row>
    <row r="74" spans="1:17" x14ac:dyDescent="0.2">
      <c r="A74" s="11" t="s">
        <v>33</v>
      </c>
      <c r="B74" s="12"/>
      <c r="C74" s="13">
        <v>53165.514999999999</v>
      </c>
      <c r="D74" s="13">
        <v>6.9999999999999999E-4</v>
      </c>
      <c r="E74">
        <f t="shared" si="6"/>
        <v>8347.016351146407</v>
      </c>
      <c r="F74">
        <f t="shared" si="7"/>
        <v>8347</v>
      </c>
      <c r="G74">
        <f t="shared" si="8"/>
        <v>4.6420800004852936E-2</v>
      </c>
      <c r="J74">
        <f>G74</f>
        <v>4.6420800004852936E-2</v>
      </c>
      <c r="O74">
        <f t="shared" ca="1" si="9"/>
        <v>4.5279587980868723E-2</v>
      </c>
      <c r="Q74" s="2">
        <f t="shared" si="10"/>
        <v>38147.014999999999</v>
      </c>
    </row>
    <row r="75" spans="1:17" x14ac:dyDescent="0.2">
      <c r="A75" s="47" t="s">
        <v>182</v>
      </c>
      <c r="B75" s="48" t="s">
        <v>30</v>
      </c>
      <c r="C75" s="47">
        <v>53565.811099999999</v>
      </c>
      <c r="D75" s="47" t="s">
        <v>56</v>
      </c>
      <c r="E75">
        <f t="shared" si="6"/>
        <v>8488.0156475167823</v>
      </c>
      <c r="F75">
        <f t="shared" si="7"/>
        <v>8488</v>
      </c>
      <c r="G75">
        <f t="shared" si="8"/>
        <v>4.4423200000892393E-2</v>
      </c>
      <c r="K75">
        <f>G75</f>
        <v>4.4423200000892393E-2</v>
      </c>
      <c r="O75">
        <f t="shared" ca="1" si="9"/>
        <v>4.6537241729362723E-2</v>
      </c>
      <c r="Q75" s="2">
        <f t="shared" si="10"/>
        <v>38547.311099999999</v>
      </c>
    </row>
    <row r="76" spans="1:17" x14ac:dyDescent="0.2">
      <c r="A76" s="47" t="s">
        <v>249</v>
      </c>
      <c r="B76" s="48" t="s">
        <v>30</v>
      </c>
      <c r="C76" s="47">
        <v>54272.723899999997</v>
      </c>
      <c r="D76" s="47" t="s">
        <v>56</v>
      </c>
      <c r="E76">
        <f t="shared" si="6"/>
        <v>8737.0168428699526</v>
      </c>
      <c r="F76">
        <f t="shared" si="7"/>
        <v>8737</v>
      </c>
      <c r="G76">
        <f t="shared" si="8"/>
        <v>4.7816799997235648E-2</v>
      </c>
      <c r="I76">
        <f>G76</f>
        <v>4.7816799997235648E-2</v>
      </c>
      <c r="O76">
        <f t="shared" ca="1" si="9"/>
        <v>4.8758204732022366E-2</v>
      </c>
      <c r="Q76" s="2">
        <f t="shared" si="10"/>
        <v>39254.223899999997</v>
      </c>
    </row>
    <row r="77" spans="1:17" x14ac:dyDescent="0.2">
      <c r="A77" s="47" t="s">
        <v>254</v>
      </c>
      <c r="B77" s="48" t="s">
        <v>30</v>
      </c>
      <c r="C77" s="47">
        <v>54366.414199999999</v>
      </c>
      <c r="D77" s="47" t="s">
        <v>56</v>
      </c>
      <c r="E77">
        <f t="shared" si="6"/>
        <v>8770.0180796462537</v>
      </c>
      <c r="F77">
        <f t="shared" si="7"/>
        <v>8770</v>
      </c>
      <c r="G77">
        <f t="shared" si="8"/>
        <v>5.1328000001376495E-2</v>
      </c>
      <c r="K77">
        <f>G77</f>
        <v>5.1328000001376495E-2</v>
      </c>
      <c r="O77">
        <f t="shared" ca="1" si="9"/>
        <v>4.9052549226350751E-2</v>
      </c>
      <c r="Q77" s="2">
        <f t="shared" si="10"/>
        <v>39347.914199999999</v>
      </c>
    </row>
    <row r="78" spans="1:17" x14ac:dyDescent="0.2">
      <c r="A78" s="31" t="s">
        <v>44</v>
      </c>
      <c r="B78" s="32" t="s">
        <v>30</v>
      </c>
      <c r="C78" s="33">
        <v>54641.797599999998</v>
      </c>
      <c r="D78" s="33">
        <v>2.9999999999999997E-4</v>
      </c>
      <c r="E78">
        <f t="shared" si="6"/>
        <v>8867.0184392102892</v>
      </c>
      <c r="F78">
        <f t="shared" si="7"/>
        <v>8867</v>
      </c>
      <c r="G78">
        <f t="shared" si="8"/>
        <v>5.2348799996252637E-2</v>
      </c>
      <c r="K78">
        <f>G78</f>
        <v>5.2348799996252637E-2</v>
      </c>
      <c r="O78">
        <f t="shared" ca="1" si="9"/>
        <v>4.991774364907358E-2</v>
      </c>
      <c r="Q78" s="2">
        <f t="shared" si="10"/>
        <v>39623.297599999998</v>
      </c>
    </row>
    <row r="79" spans="1:17" x14ac:dyDescent="0.2">
      <c r="A79" s="31" t="s">
        <v>43</v>
      </c>
      <c r="B79" s="32" t="s">
        <v>30</v>
      </c>
      <c r="C79" s="33">
        <v>54976.797700000003</v>
      </c>
      <c r="D79" s="33">
        <v>2.9999999999999997E-4</v>
      </c>
      <c r="E79">
        <f t="shared" si="6"/>
        <v>8985.0180359688038</v>
      </c>
      <c r="F79">
        <f t="shared" si="7"/>
        <v>8985</v>
      </c>
      <c r="G79">
        <f t="shared" si="8"/>
        <v>5.1204000010329764E-2</v>
      </c>
      <c r="K79">
        <f>G79</f>
        <v>5.1204000010329764E-2</v>
      </c>
      <c r="O79">
        <f t="shared" ca="1" si="9"/>
        <v>5.0970248204550837E-2</v>
      </c>
      <c r="Q79" s="2">
        <f t="shared" si="10"/>
        <v>39958.297700000003</v>
      </c>
    </row>
    <row r="80" spans="1:17" x14ac:dyDescent="0.2">
      <c r="A80" s="31" t="s">
        <v>43</v>
      </c>
      <c r="B80" s="32" t="s">
        <v>30</v>
      </c>
      <c r="C80" s="33">
        <v>54996.672200000001</v>
      </c>
      <c r="D80" s="33">
        <v>2.9999999999999997E-4</v>
      </c>
      <c r="E80">
        <f t="shared" si="6"/>
        <v>8992.0185801052885</v>
      </c>
      <c r="F80">
        <f t="shared" si="7"/>
        <v>8992</v>
      </c>
      <c r="G80">
        <f t="shared" si="8"/>
        <v>5.274880000797566E-2</v>
      </c>
      <c r="K80">
        <f>G80</f>
        <v>5.274880000797566E-2</v>
      </c>
      <c r="O80">
        <f t="shared" ca="1" si="9"/>
        <v>5.1032684915468966E-2</v>
      </c>
      <c r="Q80" s="2">
        <f t="shared" si="10"/>
        <v>39978.172200000001</v>
      </c>
    </row>
    <row r="81" spans="1:17" x14ac:dyDescent="0.2">
      <c r="A81" s="29" t="s">
        <v>42</v>
      </c>
      <c r="B81" s="30" t="s">
        <v>30</v>
      </c>
      <c r="C81" s="29">
        <v>55686.547400000003</v>
      </c>
      <c r="D81" s="29">
        <v>1E-3</v>
      </c>
      <c r="E81">
        <f t="shared" si="6"/>
        <v>9235.018493877551</v>
      </c>
      <c r="F81">
        <f t="shared" si="7"/>
        <v>9235</v>
      </c>
      <c r="G81">
        <f t="shared" si="8"/>
        <v>5.2504000006592833E-2</v>
      </c>
      <c r="J81">
        <f>G81</f>
        <v>5.2504000006592833E-2</v>
      </c>
      <c r="O81">
        <f t="shared" ca="1" si="9"/>
        <v>5.3200130737341624E-2</v>
      </c>
      <c r="Q81" s="2">
        <f t="shared" si="10"/>
        <v>40668.047400000003</v>
      </c>
    </row>
    <row r="82" spans="1:17" x14ac:dyDescent="0.2">
      <c r="A82" s="29" t="s">
        <v>42</v>
      </c>
      <c r="B82" s="30" t="s">
        <v>30</v>
      </c>
      <c r="C82" s="29">
        <v>55740.489399999999</v>
      </c>
      <c r="D82" s="29">
        <v>1.6999999999999999E-3</v>
      </c>
      <c r="E82">
        <f t="shared" si="6"/>
        <v>9254.0188889471265</v>
      </c>
      <c r="F82">
        <f t="shared" si="7"/>
        <v>9254</v>
      </c>
      <c r="G82">
        <f t="shared" si="8"/>
        <v>5.36255999977584E-2</v>
      </c>
      <c r="J82">
        <f>G82</f>
        <v>5.36255999977584E-2</v>
      </c>
      <c r="O82">
        <f t="shared" ca="1" si="9"/>
        <v>5.3369601809833724E-2</v>
      </c>
      <c r="Q82" s="2">
        <f t="shared" si="10"/>
        <v>40721.989399999999</v>
      </c>
    </row>
    <row r="83" spans="1:17" x14ac:dyDescent="0.2">
      <c r="A83" s="49" t="s">
        <v>45</v>
      </c>
      <c r="B83" s="50" t="s">
        <v>30</v>
      </c>
      <c r="C83" s="51">
        <v>56492.825100000002</v>
      </c>
      <c r="D83" s="51">
        <v>2.0000000000000001E-4</v>
      </c>
      <c r="E83">
        <f t="shared" si="6"/>
        <v>9519.0197329081711</v>
      </c>
      <c r="F83">
        <f t="shared" si="7"/>
        <v>9519</v>
      </c>
      <c r="G83">
        <f t="shared" si="8"/>
        <v>5.6021600001258776E-2</v>
      </c>
      <c r="K83">
        <f t="shared" ref="K83:K100" si="11">G83</f>
        <v>5.6021600001258776E-2</v>
      </c>
      <c r="O83">
        <f t="shared" ca="1" si="9"/>
        <v>5.5733277294591967E-2</v>
      </c>
      <c r="Q83" s="2">
        <f t="shared" si="10"/>
        <v>41474.325100000002</v>
      </c>
    </row>
    <row r="84" spans="1:17" x14ac:dyDescent="0.2">
      <c r="A84" s="52" t="s">
        <v>283</v>
      </c>
      <c r="B84" s="53" t="s">
        <v>282</v>
      </c>
      <c r="C84" s="54">
        <v>57178.443950000001</v>
      </c>
      <c r="D84" s="54">
        <v>8.0000000000000004E-4</v>
      </c>
      <c r="E84">
        <f t="shared" si="6"/>
        <v>9760.5204006095701</v>
      </c>
      <c r="F84">
        <f t="shared" si="7"/>
        <v>9760.5</v>
      </c>
      <c r="G84">
        <f t="shared" si="8"/>
        <v>5.7917199999792501E-2</v>
      </c>
      <c r="K84">
        <f t="shared" si="11"/>
        <v>5.7917199999792501E-2</v>
      </c>
      <c r="O84">
        <f t="shared" ca="1" si="9"/>
        <v>5.7887343821267888E-2</v>
      </c>
      <c r="Q84" s="2">
        <f t="shared" si="10"/>
        <v>42159.943950000001</v>
      </c>
    </row>
    <row r="85" spans="1:17" x14ac:dyDescent="0.2">
      <c r="A85" s="58" t="s">
        <v>284</v>
      </c>
      <c r="B85" s="59" t="s">
        <v>30</v>
      </c>
      <c r="C85" s="60">
        <v>57236.644999999997</v>
      </c>
      <c r="D85" s="60">
        <v>2.0000000000000001E-4</v>
      </c>
      <c r="E85">
        <f t="shared" ref="E85:E100" si="12">+(C85-C$7)/C$8</f>
        <v>9781.0209927912474</v>
      </c>
      <c r="F85">
        <f t="shared" ref="F85:F100" si="13">ROUND(2*E85,0)/2</f>
        <v>9781</v>
      </c>
      <c r="G85">
        <f t="shared" ref="G85:G100" si="14">+C85-(C$7+F85*C$8)</f>
        <v>5.9598400002869312E-2</v>
      </c>
      <c r="K85">
        <f t="shared" si="11"/>
        <v>5.9598400002869312E-2</v>
      </c>
      <c r="O85">
        <f t="shared" ref="O85:O100" ca="1" si="15">+C$11+C$12*F85</f>
        <v>5.8070194188956724E-2</v>
      </c>
      <c r="Q85" s="2">
        <f t="shared" ref="Q85:Q100" si="16">+C85-15018.5</f>
        <v>42218.144999999997</v>
      </c>
    </row>
    <row r="86" spans="1:17" x14ac:dyDescent="0.2">
      <c r="A86" s="55" t="s">
        <v>0</v>
      </c>
      <c r="B86" s="56" t="s">
        <v>30</v>
      </c>
      <c r="C86" s="57">
        <v>57574.487000000001</v>
      </c>
      <c r="D86" s="57">
        <v>5.0000000000000001E-4</v>
      </c>
      <c r="E86">
        <f t="shared" si="12"/>
        <v>9900.0216132928254</v>
      </c>
      <c r="F86">
        <f t="shared" si="13"/>
        <v>9900</v>
      </c>
      <c r="G86">
        <f t="shared" si="14"/>
        <v>6.1359999999694992E-2</v>
      </c>
      <c r="K86">
        <f t="shared" si="11"/>
        <v>6.1359999999694992E-2</v>
      </c>
      <c r="O86">
        <f t="shared" ca="1" si="15"/>
        <v>5.9131618274565152E-2</v>
      </c>
      <c r="Q86" s="2">
        <f t="shared" si="16"/>
        <v>42555.987000000001</v>
      </c>
    </row>
    <row r="87" spans="1:17" x14ac:dyDescent="0.2">
      <c r="A87" s="58" t="s">
        <v>285</v>
      </c>
      <c r="B87" s="59" t="s">
        <v>30</v>
      </c>
      <c r="C87" s="60">
        <v>57588.681799999998</v>
      </c>
      <c r="D87" s="60">
        <v>2.9999999999999997E-4</v>
      </c>
      <c r="E87">
        <f t="shared" si="12"/>
        <v>9905.0215541169237</v>
      </c>
      <c r="F87">
        <f t="shared" si="13"/>
        <v>9905</v>
      </c>
      <c r="G87">
        <f t="shared" si="14"/>
        <v>6.1192000001028646E-2</v>
      </c>
      <c r="K87">
        <f t="shared" si="11"/>
        <v>6.1192000001028646E-2</v>
      </c>
      <c r="O87">
        <f t="shared" ca="1" si="15"/>
        <v>5.9176215925220967E-2</v>
      </c>
      <c r="Q87" s="2">
        <f t="shared" si="16"/>
        <v>42570.181799999998</v>
      </c>
    </row>
    <row r="88" spans="1:17" x14ac:dyDescent="0.2">
      <c r="A88" s="58" t="s">
        <v>286</v>
      </c>
      <c r="B88" s="59" t="s">
        <v>30</v>
      </c>
      <c r="C88" s="60">
        <v>57642.623500000002</v>
      </c>
      <c r="D88" s="60">
        <v>2.0000000000000001E-4</v>
      </c>
      <c r="E88">
        <f t="shared" si="12"/>
        <v>9924.0218435152528</v>
      </c>
      <c r="F88">
        <f t="shared" si="13"/>
        <v>9924</v>
      </c>
      <c r="G88">
        <f t="shared" si="14"/>
        <v>6.2013600007048808E-2</v>
      </c>
      <c r="K88">
        <f t="shared" si="11"/>
        <v>6.2013600007048808E-2</v>
      </c>
      <c r="O88">
        <f t="shared" ca="1" si="15"/>
        <v>5.9345686997713067E-2</v>
      </c>
      <c r="Q88" s="2">
        <f t="shared" si="16"/>
        <v>42624.123500000002</v>
      </c>
    </row>
    <row r="89" spans="1:17" x14ac:dyDescent="0.2">
      <c r="A89" s="61" t="s">
        <v>287</v>
      </c>
      <c r="B89" s="62" t="s">
        <v>30</v>
      </c>
      <c r="C89" s="63">
        <v>58065.6276</v>
      </c>
      <c r="D89" s="63">
        <v>2.0000000000000001E-4</v>
      </c>
      <c r="E89">
        <f t="shared" si="12"/>
        <v>10073.019748970199</v>
      </c>
      <c r="F89">
        <f t="shared" si="13"/>
        <v>10073</v>
      </c>
      <c r="G89">
        <f t="shared" si="14"/>
        <v>5.6067200006509665E-2</v>
      </c>
      <c r="K89">
        <f t="shared" si="11"/>
        <v>5.6067200006509665E-2</v>
      </c>
      <c r="O89">
        <f t="shared" ca="1" si="15"/>
        <v>6.0674696987256381E-2</v>
      </c>
      <c r="Q89" s="2">
        <f t="shared" si="16"/>
        <v>43047.1276</v>
      </c>
    </row>
    <row r="90" spans="1:17" x14ac:dyDescent="0.2">
      <c r="A90" s="61" t="s">
        <v>287</v>
      </c>
      <c r="B90" s="62" t="s">
        <v>30</v>
      </c>
      <c r="C90" s="63">
        <v>58326.815900000001</v>
      </c>
      <c r="D90" s="63">
        <v>2.9999999999999997E-4</v>
      </c>
      <c r="E90">
        <f t="shared" si="12"/>
        <v>10165.020062038888</v>
      </c>
      <c r="F90">
        <f t="shared" si="13"/>
        <v>10165</v>
      </c>
      <c r="G90">
        <f t="shared" si="14"/>
        <v>5.6956000000354834E-2</v>
      </c>
      <c r="K90">
        <f t="shared" si="11"/>
        <v>5.6956000000354834E-2</v>
      </c>
      <c r="O90">
        <f t="shared" ca="1" si="15"/>
        <v>6.1495293759323395E-2</v>
      </c>
      <c r="Q90" s="2">
        <f t="shared" si="16"/>
        <v>43308.315900000001</v>
      </c>
    </row>
    <row r="91" spans="1:17" x14ac:dyDescent="0.2">
      <c r="A91" s="61" t="s">
        <v>287</v>
      </c>
      <c r="B91" s="62" t="s">
        <v>30</v>
      </c>
      <c r="C91" s="63">
        <v>58332.4948</v>
      </c>
      <c r="D91" s="63">
        <v>1E-4</v>
      </c>
      <c r="E91">
        <f t="shared" si="12"/>
        <v>10167.020383561274</v>
      </c>
      <c r="F91">
        <f t="shared" si="13"/>
        <v>10167</v>
      </c>
      <c r="G91">
        <f t="shared" si="14"/>
        <v>5.7868800002324861E-2</v>
      </c>
      <c r="K91">
        <f t="shared" si="11"/>
        <v>5.7868800002324861E-2</v>
      </c>
      <c r="O91">
        <f t="shared" ca="1" si="15"/>
        <v>6.1513132819585724E-2</v>
      </c>
      <c r="Q91" s="2">
        <f t="shared" si="16"/>
        <v>43313.9948</v>
      </c>
    </row>
    <row r="92" spans="1:17" x14ac:dyDescent="0.2">
      <c r="A92" s="61" t="s">
        <v>287</v>
      </c>
      <c r="B92" s="62" t="s">
        <v>30</v>
      </c>
      <c r="C92" s="63">
        <v>58349.529900000001</v>
      </c>
      <c r="D92" s="63">
        <v>1E-4</v>
      </c>
      <c r="E92">
        <f t="shared" si="12"/>
        <v>10173.020784548442</v>
      </c>
      <c r="F92">
        <f t="shared" si="13"/>
        <v>10173</v>
      </c>
      <c r="G92">
        <f t="shared" si="14"/>
        <v>5.9007200004998595E-2</v>
      </c>
      <c r="K92">
        <f t="shared" si="11"/>
        <v>5.9007200004998595E-2</v>
      </c>
      <c r="O92">
        <f t="shared" ca="1" si="15"/>
        <v>6.1566650000372695E-2</v>
      </c>
      <c r="Q92" s="2">
        <f t="shared" si="16"/>
        <v>43331.029900000001</v>
      </c>
    </row>
    <row r="93" spans="1:17" x14ac:dyDescent="0.2">
      <c r="A93" s="61" t="s">
        <v>288</v>
      </c>
      <c r="B93" s="62" t="s">
        <v>30</v>
      </c>
      <c r="C93" s="63">
        <v>58664.658000000003</v>
      </c>
      <c r="D93" s="63">
        <v>4.0000000000000002E-4</v>
      </c>
      <c r="E93">
        <f t="shared" si="12"/>
        <v>10284.020717764213</v>
      </c>
      <c r="F93">
        <f t="shared" si="13"/>
        <v>10284</v>
      </c>
      <c r="G93">
        <f t="shared" si="14"/>
        <v>5.8817600009206217E-2</v>
      </c>
      <c r="K93">
        <f t="shared" si="11"/>
        <v>5.8817600009206217E-2</v>
      </c>
      <c r="O93">
        <f t="shared" ca="1" si="15"/>
        <v>6.2556717844931803E-2</v>
      </c>
      <c r="Q93" s="2">
        <f t="shared" si="16"/>
        <v>43646.158000000003</v>
      </c>
    </row>
    <row r="94" spans="1:17" x14ac:dyDescent="0.2">
      <c r="A94" s="64" t="s">
        <v>289</v>
      </c>
      <c r="B94" s="65" t="s">
        <v>30</v>
      </c>
      <c r="C94" s="66">
        <v>58718.6037</v>
      </c>
      <c r="D94" s="66">
        <v>2.0000000000000001E-4</v>
      </c>
      <c r="E94">
        <f t="shared" si="12"/>
        <v>10303.022416112528</v>
      </c>
      <c r="F94">
        <f t="shared" si="13"/>
        <v>10303</v>
      </c>
      <c r="G94">
        <f t="shared" si="14"/>
        <v>6.3639200001489371E-2</v>
      </c>
      <c r="K94">
        <f t="shared" si="11"/>
        <v>6.3639200001489371E-2</v>
      </c>
      <c r="O94">
        <f t="shared" ca="1" si="15"/>
        <v>6.2726188917423903E-2</v>
      </c>
      <c r="Q94" s="2">
        <f t="shared" si="16"/>
        <v>43700.1037</v>
      </c>
    </row>
    <row r="95" spans="1:17" ht="12" customHeight="1" x14ac:dyDescent="0.2">
      <c r="A95" s="64" t="s">
        <v>289</v>
      </c>
      <c r="B95" s="65" t="s">
        <v>30</v>
      </c>
      <c r="C95" s="66">
        <v>58738.476999999999</v>
      </c>
      <c r="D95" s="66">
        <v>1E-4</v>
      </c>
      <c r="E95">
        <f t="shared" si="12"/>
        <v>10310.022537564017</v>
      </c>
      <c r="F95">
        <f t="shared" si="13"/>
        <v>10310</v>
      </c>
      <c r="G95">
        <f t="shared" si="14"/>
        <v>6.3984000000345986E-2</v>
      </c>
      <c r="K95">
        <f t="shared" si="11"/>
        <v>6.3984000000345986E-2</v>
      </c>
      <c r="O95">
        <f t="shared" ca="1" si="15"/>
        <v>6.278862562834206E-2</v>
      </c>
      <c r="Q95" s="2">
        <f t="shared" si="16"/>
        <v>43719.976999999999</v>
      </c>
    </row>
    <row r="96" spans="1:17" ht="12" customHeight="1" x14ac:dyDescent="0.2">
      <c r="A96" s="67" t="s">
        <v>290</v>
      </c>
      <c r="B96" s="62" t="s">
        <v>30</v>
      </c>
      <c r="C96" s="63">
        <v>59087.676899999999</v>
      </c>
      <c r="D96" s="63">
        <v>5.9999999999999995E-4</v>
      </c>
      <c r="E96">
        <f t="shared" si="12"/>
        <v>10433.023836334116</v>
      </c>
      <c r="F96">
        <f t="shared" si="13"/>
        <v>10433</v>
      </c>
      <c r="G96">
        <f t="shared" si="14"/>
        <v>6.7671200005861465E-2</v>
      </c>
      <c r="K96">
        <f t="shared" si="11"/>
        <v>6.7671200005861465E-2</v>
      </c>
      <c r="O96">
        <f t="shared" ca="1" si="15"/>
        <v>6.3885727834475131E-2</v>
      </c>
      <c r="Q96" s="2">
        <f t="shared" si="16"/>
        <v>44069.176899999999</v>
      </c>
    </row>
    <row r="97" spans="1:17" ht="12" customHeight="1" x14ac:dyDescent="0.2">
      <c r="A97" s="67" t="s">
        <v>291</v>
      </c>
      <c r="B97" s="62" t="s">
        <v>30</v>
      </c>
      <c r="C97" s="63">
        <v>59348.8652</v>
      </c>
      <c r="D97" s="63">
        <v>4.0000000000000002E-4</v>
      </c>
      <c r="E97">
        <f t="shared" si="12"/>
        <v>10525.024149402803</v>
      </c>
      <c r="F97">
        <f t="shared" si="13"/>
        <v>10525</v>
      </c>
      <c r="G97">
        <f t="shared" si="14"/>
        <v>6.8559999999706633E-2</v>
      </c>
      <c r="K97">
        <f t="shared" si="11"/>
        <v>6.8559999999706633E-2</v>
      </c>
      <c r="O97">
        <f t="shared" ca="1" si="15"/>
        <v>6.4706324606542132E-2</v>
      </c>
      <c r="Q97" s="2">
        <f t="shared" si="16"/>
        <v>44330.3652</v>
      </c>
    </row>
    <row r="98" spans="1:17" ht="12" customHeight="1" x14ac:dyDescent="0.2">
      <c r="A98" s="68" t="s">
        <v>292</v>
      </c>
      <c r="B98" s="69" t="s">
        <v>30</v>
      </c>
      <c r="C98" s="73">
        <v>59442.546999999999</v>
      </c>
      <c r="D98" s="68">
        <v>1E-4</v>
      </c>
      <c r="E98">
        <f t="shared" si="12"/>
        <v>10558.022392160377</v>
      </c>
      <c r="F98">
        <f t="shared" si="13"/>
        <v>10558</v>
      </c>
      <c r="G98">
        <f t="shared" si="14"/>
        <v>6.3571200000296813E-2</v>
      </c>
      <c r="K98">
        <f t="shared" si="11"/>
        <v>6.3571200000296813E-2</v>
      </c>
      <c r="O98">
        <f t="shared" ca="1" si="15"/>
        <v>6.5000669100870517E-2</v>
      </c>
      <c r="Q98" s="2">
        <f t="shared" si="16"/>
        <v>44424.046999999999</v>
      </c>
    </row>
    <row r="99" spans="1:17" ht="12" customHeight="1" x14ac:dyDescent="0.2">
      <c r="A99" s="68" t="s">
        <v>292</v>
      </c>
      <c r="B99" s="69" t="s">
        <v>30</v>
      </c>
      <c r="C99" s="73">
        <v>59479.453399999999</v>
      </c>
      <c r="D99" s="68">
        <v>2.9999999999999997E-4</v>
      </c>
      <c r="E99">
        <f t="shared" si="12"/>
        <v>10571.02221012404</v>
      </c>
      <c r="F99">
        <f t="shared" si="13"/>
        <v>10571</v>
      </c>
      <c r="G99">
        <f t="shared" si="14"/>
        <v>6.3054400001419708E-2</v>
      </c>
      <c r="K99">
        <f t="shared" si="11"/>
        <v>6.3054400001419708E-2</v>
      </c>
      <c r="O99">
        <f t="shared" ca="1" si="15"/>
        <v>6.5116622992575646E-2</v>
      </c>
      <c r="Q99" s="2">
        <f t="shared" si="16"/>
        <v>44460.953399999999</v>
      </c>
    </row>
    <row r="100" spans="1:17" ht="12" customHeight="1" x14ac:dyDescent="0.2">
      <c r="A100" s="70" t="s">
        <v>293</v>
      </c>
      <c r="B100" s="69" t="s">
        <v>30</v>
      </c>
      <c r="C100" s="73">
        <v>59774.708299999998</v>
      </c>
      <c r="D100" s="68">
        <v>4.0000000000000002E-4</v>
      </c>
      <c r="E100">
        <f t="shared" si="12"/>
        <v>10675.02205711207</v>
      </c>
      <c r="F100">
        <f t="shared" si="13"/>
        <v>10675</v>
      </c>
      <c r="G100">
        <f t="shared" si="14"/>
        <v>6.2619999996968545E-2</v>
      </c>
      <c r="K100">
        <f t="shared" si="11"/>
        <v>6.2619999996968545E-2</v>
      </c>
      <c r="O100">
        <f t="shared" ca="1" si="15"/>
        <v>6.6044254126216617E-2</v>
      </c>
      <c r="Q100" s="2">
        <f t="shared" si="16"/>
        <v>44756.208299999998</v>
      </c>
    </row>
    <row r="101" spans="1:17" ht="12" customHeight="1" x14ac:dyDescent="0.2">
      <c r="A101" s="71" t="s">
        <v>294</v>
      </c>
      <c r="B101" s="72" t="s">
        <v>30</v>
      </c>
      <c r="C101" s="73">
        <v>59868.396500000003</v>
      </c>
      <c r="D101" s="68">
        <v>2.0000000000000001E-4</v>
      </c>
      <c r="E101">
        <f t="shared" ref="E101" si="17">+(C101-C$7)/C$8</f>
        <v>10708.022554189627</v>
      </c>
      <c r="F101">
        <f t="shared" ref="F101" si="18">ROUND(2*E101,0)/2</f>
        <v>10708</v>
      </c>
      <c r="G101">
        <f t="shared" ref="G101" si="19">+C101-(C$7+F101*C$8)</f>
        <v>6.403120000322815E-2</v>
      </c>
      <c r="K101">
        <f t="shared" ref="K101" si="20">G101</f>
        <v>6.403120000322815E-2</v>
      </c>
      <c r="O101">
        <f t="shared" ref="O101" ca="1" si="21">+C$11+C$12*F101</f>
        <v>6.6338598620545003E-2</v>
      </c>
      <c r="Q101" s="2">
        <f t="shared" ref="Q101" si="22">+C101-15018.5</f>
        <v>44849.896500000003</v>
      </c>
    </row>
    <row r="102" spans="1:17" x14ac:dyDescent="0.2">
      <c r="A102" s="71" t="s">
        <v>295</v>
      </c>
      <c r="B102" s="74" t="s">
        <v>30</v>
      </c>
      <c r="C102" s="75">
        <v>60180.691400000003</v>
      </c>
      <c r="D102" s="75">
        <v>2.9999999999999997E-4</v>
      </c>
      <c r="E102">
        <f t="shared" ref="E102:E103" si="23">+(C102-C$7)/C$8</f>
        <v>10818.024528128562</v>
      </c>
      <c r="F102">
        <f t="shared" ref="F102:F103" si="24">ROUND(2*E102,0)/2</f>
        <v>10818</v>
      </c>
      <c r="G102">
        <f t="shared" ref="G102:G103" si="25">+C102-(C$7+F102*C$8)</f>
        <v>6.9635200001357589E-2</v>
      </c>
      <c r="K102">
        <f t="shared" ref="K102:K103" si="26">G102</f>
        <v>6.9635200001357589E-2</v>
      </c>
      <c r="O102">
        <f t="shared" ref="O102:O103" ca="1" si="27">+C$11+C$12*F102</f>
        <v>6.7319746934972946E-2</v>
      </c>
      <c r="Q102" s="2">
        <f t="shared" ref="Q102:Q103" si="28">+C102-15018.5</f>
        <v>45162.191400000003</v>
      </c>
    </row>
    <row r="103" spans="1:17" x14ac:dyDescent="0.2">
      <c r="A103" s="71" t="s">
        <v>295</v>
      </c>
      <c r="B103" s="74" t="s">
        <v>30</v>
      </c>
      <c r="C103" s="75">
        <v>60220.4378</v>
      </c>
      <c r="D103" s="75">
        <v>2.0000000000000001E-4</v>
      </c>
      <c r="E103">
        <f t="shared" si="23"/>
        <v>10832.024700584039</v>
      </c>
      <c r="F103">
        <f t="shared" si="24"/>
        <v>10832</v>
      </c>
      <c r="G103">
        <f t="shared" si="25"/>
        <v>7.0124800004123244E-2</v>
      </c>
      <c r="K103">
        <f t="shared" si="26"/>
        <v>7.0124800004123244E-2</v>
      </c>
      <c r="O103">
        <f t="shared" ca="1" si="27"/>
        <v>6.7444620356809232E-2</v>
      </c>
      <c r="Q103" s="2">
        <f t="shared" si="28"/>
        <v>45201.9378</v>
      </c>
    </row>
    <row r="104" spans="1:17" x14ac:dyDescent="0.2">
      <c r="A104" s="70" t="s">
        <v>301</v>
      </c>
      <c r="B104" s="86" t="s">
        <v>30</v>
      </c>
      <c r="C104" s="88">
        <v>60498.660100000001</v>
      </c>
      <c r="D104" s="87">
        <v>2.0000000000000001E-4</v>
      </c>
      <c r="E104">
        <f t="shared" ref="E104" si="29">+(C104-C$7)/C$8</f>
        <v>10930.025027178646</v>
      </c>
      <c r="F104">
        <f t="shared" ref="F104" si="30">ROUND(2*E104,0)/2</f>
        <v>10930</v>
      </c>
      <c r="G104">
        <f t="shared" ref="G104" si="31">+C104-(C$7+F104*C$8)</f>
        <v>7.1052000006602611E-2</v>
      </c>
      <c r="K104">
        <f t="shared" ref="K104" si="32">G104</f>
        <v>7.1052000006602611E-2</v>
      </c>
      <c r="O104">
        <f t="shared" ref="O104" ca="1" si="33">+C$11+C$12*F104</f>
        <v>6.8318734309663232E-2</v>
      </c>
      <c r="Q104" s="2">
        <f t="shared" ref="Q104" si="34">+C104-15018.5</f>
        <v>45480.160100000001</v>
      </c>
    </row>
    <row r="105" spans="1:17" x14ac:dyDescent="0.2">
      <c r="B105" s="5"/>
      <c r="C105" s="13"/>
      <c r="D105" s="13"/>
    </row>
    <row r="106" spans="1:17" x14ac:dyDescent="0.2">
      <c r="B106" s="5"/>
      <c r="C106" s="13"/>
      <c r="D106" s="13"/>
    </row>
    <row r="107" spans="1:17" x14ac:dyDescent="0.2">
      <c r="B107" s="5"/>
      <c r="C107" s="13"/>
      <c r="D107" s="13"/>
    </row>
    <row r="108" spans="1:17" x14ac:dyDescent="0.2">
      <c r="B108" s="5"/>
      <c r="C108" s="13"/>
      <c r="D108" s="13"/>
    </row>
    <row r="109" spans="1:17" x14ac:dyDescent="0.2">
      <c r="B109" s="5"/>
      <c r="C109" s="13"/>
      <c r="D109" s="13"/>
    </row>
    <row r="110" spans="1:17" x14ac:dyDescent="0.2">
      <c r="B110" s="5"/>
      <c r="C110" s="13"/>
      <c r="D110" s="13"/>
    </row>
    <row r="111" spans="1:17" x14ac:dyDescent="0.2">
      <c r="B111" s="5"/>
      <c r="C111" s="13"/>
      <c r="D111" s="13"/>
    </row>
    <row r="112" spans="1:17" x14ac:dyDescent="0.2">
      <c r="B112" s="5"/>
      <c r="C112" s="13"/>
      <c r="D112" s="13"/>
    </row>
    <row r="113" spans="2:4" x14ac:dyDescent="0.2">
      <c r="B113" s="5"/>
      <c r="C113" s="13"/>
      <c r="D113" s="13"/>
    </row>
    <row r="114" spans="2:4" x14ac:dyDescent="0.2">
      <c r="B114" s="5"/>
      <c r="C114" s="13"/>
      <c r="D114" s="13"/>
    </row>
    <row r="115" spans="2:4" x14ac:dyDescent="0.2">
      <c r="B115" s="5"/>
      <c r="C115" s="13"/>
      <c r="D115" s="13"/>
    </row>
    <row r="116" spans="2:4" x14ac:dyDescent="0.2">
      <c r="B116" s="5"/>
      <c r="C116" s="13"/>
      <c r="D116" s="13"/>
    </row>
    <row r="117" spans="2:4" x14ac:dyDescent="0.2">
      <c r="B117" s="5"/>
      <c r="C117" s="13"/>
      <c r="D117" s="13"/>
    </row>
    <row r="118" spans="2:4" x14ac:dyDescent="0.2">
      <c r="B118" s="5"/>
      <c r="C118" s="13"/>
      <c r="D118" s="13"/>
    </row>
    <row r="119" spans="2:4" x14ac:dyDescent="0.2">
      <c r="B119" s="5"/>
      <c r="C119" s="13"/>
      <c r="D119" s="13"/>
    </row>
    <row r="120" spans="2:4" x14ac:dyDescent="0.2">
      <c r="B120" s="5"/>
      <c r="C120" s="13"/>
      <c r="D120" s="13"/>
    </row>
    <row r="121" spans="2:4" x14ac:dyDescent="0.2">
      <c r="B121" s="5"/>
      <c r="C121" s="13"/>
      <c r="D121" s="13"/>
    </row>
    <row r="122" spans="2:4" x14ac:dyDescent="0.2">
      <c r="B122" s="5"/>
      <c r="C122" s="13"/>
      <c r="D122" s="13"/>
    </row>
    <row r="123" spans="2:4" x14ac:dyDescent="0.2">
      <c r="B123" s="5"/>
      <c r="C123" s="13"/>
      <c r="D123" s="13"/>
    </row>
    <row r="124" spans="2:4" x14ac:dyDescent="0.2">
      <c r="B124" s="5"/>
      <c r="C124" s="13"/>
      <c r="D124" s="13"/>
    </row>
    <row r="125" spans="2:4" x14ac:dyDescent="0.2">
      <c r="B125" s="5"/>
      <c r="C125" s="13"/>
      <c r="D125" s="13"/>
    </row>
    <row r="126" spans="2:4" x14ac:dyDescent="0.2">
      <c r="B126" s="5"/>
      <c r="C126" s="13"/>
      <c r="D126" s="13"/>
    </row>
    <row r="127" spans="2:4" x14ac:dyDescent="0.2">
      <c r="B127" s="5"/>
      <c r="C127" s="13"/>
      <c r="D127" s="13"/>
    </row>
    <row r="128" spans="2:4" x14ac:dyDescent="0.2">
      <c r="B128" s="5"/>
      <c r="C128" s="13"/>
      <c r="D128" s="13"/>
    </row>
    <row r="129" spans="2:4" x14ac:dyDescent="0.2">
      <c r="B129" s="5"/>
      <c r="C129" s="13"/>
      <c r="D129" s="13"/>
    </row>
    <row r="130" spans="2:4" x14ac:dyDescent="0.2">
      <c r="B130" s="5"/>
      <c r="C130" s="13"/>
      <c r="D130" s="13"/>
    </row>
    <row r="131" spans="2:4" x14ac:dyDescent="0.2">
      <c r="B131" s="5"/>
      <c r="C131" s="13"/>
      <c r="D131" s="13"/>
    </row>
    <row r="132" spans="2:4" x14ac:dyDescent="0.2">
      <c r="B132" s="5"/>
      <c r="C132" s="13"/>
      <c r="D132" s="13"/>
    </row>
    <row r="133" spans="2:4" x14ac:dyDescent="0.2">
      <c r="B133" s="5"/>
      <c r="C133" s="13"/>
      <c r="D133" s="13"/>
    </row>
    <row r="134" spans="2:4" x14ac:dyDescent="0.2">
      <c r="B134" s="5"/>
      <c r="C134" s="13"/>
      <c r="D134" s="13"/>
    </row>
    <row r="135" spans="2:4" x14ac:dyDescent="0.2">
      <c r="B135" s="5"/>
      <c r="C135" s="13"/>
      <c r="D135" s="13"/>
    </row>
    <row r="136" spans="2:4" x14ac:dyDescent="0.2">
      <c r="B136" s="5"/>
      <c r="C136" s="13"/>
      <c r="D136" s="13"/>
    </row>
    <row r="137" spans="2:4" x14ac:dyDescent="0.2">
      <c r="B137" s="5"/>
      <c r="C137" s="13"/>
      <c r="D137" s="13"/>
    </row>
    <row r="138" spans="2:4" x14ac:dyDescent="0.2">
      <c r="B138" s="5"/>
      <c r="C138" s="13"/>
      <c r="D138" s="13"/>
    </row>
    <row r="139" spans="2:4" x14ac:dyDescent="0.2">
      <c r="B139" s="5"/>
      <c r="C139" s="13"/>
      <c r="D139" s="13"/>
    </row>
    <row r="140" spans="2:4" x14ac:dyDescent="0.2">
      <c r="B140" s="5"/>
      <c r="C140" s="13"/>
      <c r="D140" s="13"/>
    </row>
    <row r="141" spans="2:4" x14ac:dyDescent="0.2">
      <c r="B141" s="5"/>
      <c r="C141" s="13"/>
      <c r="D141" s="13"/>
    </row>
    <row r="142" spans="2:4" x14ac:dyDescent="0.2">
      <c r="B142" s="5"/>
      <c r="C142" s="13"/>
      <c r="D142" s="13"/>
    </row>
    <row r="143" spans="2:4" x14ac:dyDescent="0.2">
      <c r="B143" s="5"/>
      <c r="C143" s="13"/>
      <c r="D143" s="13"/>
    </row>
    <row r="144" spans="2:4" x14ac:dyDescent="0.2">
      <c r="B144" s="5"/>
      <c r="C144" s="13"/>
      <c r="D144" s="13"/>
    </row>
    <row r="145" spans="2:4" x14ac:dyDescent="0.2">
      <c r="B145" s="5"/>
      <c r="C145" s="13"/>
      <c r="D145" s="13"/>
    </row>
    <row r="146" spans="2:4" x14ac:dyDescent="0.2">
      <c r="B146" s="5"/>
      <c r="C146" s="13"/>
      <c r="D146" s="13"/>
    </row>
    <row r="147" spans="2:4" x14ac:dyDescent="0.2">
      <c r="B147" s="5"/>
      <c r="C147" s="13"/>
      <c r="D147" s="13"/>
    </row>
    <row r="148" spans="2:4" x14ac:dyDescent="0.2">
      <c r="B148" s="5"/>
      <c r="C148" s="13"/>
      <c r="D148" s="13"/>
    </row>
    <row r="149" spans="2:4" x14ac:dyDescent="0.2">
      <c r="B149" s="5"/>
      <c r="C149" s="13"/>
      <c r="D149" s="13"/>
    </row>
    <row r="150" spans="2:4" x14ac:dyDescent="0.2">
      <c r="B150" s="5"/>
      <c r="C150" s="13"/>
      <c r="D150" s="13"/>
    </row>
    <row r="151" spans="2:4" x14ac:dyDescent="0.2">
      <c r="B151" s="5"/>
      <c r="C151" s="13"/>
      <c r="D151" s="13"/>
    </row>
    <row r="152" spans="2:4" x14ac:dyDescent="0.2">
      <c r="B152" s="5"/>
      <c r="C152" s="13"/>
      <c r="D152" s="13"/>
    </row>
    <row r="153" spans="2:4" x14ac:dyDescent="0.2">
      <c r="B153" s="5"/>
      <c r="C153" s="13"/>
      <c r="D153" s="13"/>
    </row>
    <row r="154" spans="2:4" x14ac:dyDescent="0.2">
      <c r="B154" s="5"/>
      <c r="C154" s="13"/>
      <c r="D154" s="13"/>
    </row>
    <row r="155" spans="2:4" x14ac:dyDescent="0.2">
      <c r="B155" s="5"/>
      <c r="C155" s="13"/>
      <c r="D155" s="13"/>
    </row>
    <row r="156" spans="2:4" x14ac:dyDescent="0.2">
      <c r="B156" s="5"/>
      <c r="C156" s="13"/>
      <c r="D156" s="13"/>
    </row>
    <row r="157" spans="2:4" x14ac:dyDescent="0.2">
      <c r="B157" s="5"/>
      <c r="C157" s="13"/>
      <c r="D157" s="13"/>
    </row>
    <row r="158" spans="2:4" x14ac:dyDescent="0.2">
      <c r="B158" s="5"/>
      <c r="C158" s="13"/>
      <c r="D158" s="13"/>
    </row>
    <row r="159" spans="2:4" x14ac:dyDescent="0.2">
      <c r="B159" s="5"/>
      <c r="C159" s="13"/>
      <c r="D159" s="13"/>
    </row>
    <row r="160" spans="2:4" x14ac:dyDescent="0.2">
      <c r="B160" s="5"/>
      <c r="C160" s="13"/>
      <c r="D160" s="13"/>
    </row>
    <row r="161" spans="2:4" x14ac:dyDescent="0.2">
      <c r="B161" s="5"/>
      <c r="C161" s="13"/>
      <c r="D161" s="13"/>
    </row>
    <row r="162" spans="2:4" x14ac:dyDescent="0.2">
      <c r="B162" s="5"/>
      <c r="C162" s="13"/>
      <c r="D162" s="13"/>
    </row>
    <row r="163" spans="2:4" x14ac:dyDescent="0.2">
      <c r="B163" s="5"/>
      <c r="C163" s="13"/>
      <c r="D163" s="13"/>
    </row>
    <row r="164" spans="2:4" x14ac:dyDescent="0.2">
      <c r="B164" s="5"/>
      <c r="C164" s="13"/>
      <c r="D164" s="13"/>
    </row>
    <row r="165" spans="2:4" x14ac:dyDescent="0.2">
      <c r="B165" s="5"/>
      <c r="C165" s="13"/>
      <c r="D165" s="13"/>
    </row>
    <row r="166" spans="2:4" x14ac:dyDescent="0.2">
      <c r="B166" s="5"/>
      <c r="C166" s="13"/>
      <c r="D166" s="13"/>
    </row>
    <row r="167" spans="2:4" x14ac:dyDescent="0.2">
      <c r="B167" s="5"/>
      <c r="C167" s="13"/>
      <c r="D167" s="13"/>
    </row>
    <row r="168" spans="2:4" x14ac:dyDescent="0.2">
      <c r="B168" s="5"/>
      <c r="C168" s="13"/>
      <c r="D168" s="13"/>
    </row>
    <row r="169" spans="2:4" x14ac:dyDescent="0.2">
      <c r="B169" s="5"/>
      <c r="C169" s="13"/>
      <c r="D169" s="13"/>
    </row>
    <row r="170" spans="2:4" x14ac:dyDescent="0.2">
      <c r="B170" s="5"/>
      <c r="C170" s="13"/>
      <c r="D170" s="13"/>
    </row>
    <row r="171" spans="2:4" x14ac:dyDescent="0.2">
      <c r="B171" s="5"/>
      <c r="C171" s="13"/>
      <c r="D171" s="13"/>
    </row>
    <row r="172" spans="2:4" x14ac:dyDescent="0.2">
      <c r="B172" s="5"/>
      <c r="C172" s="13"/>
      <c r="D172" s="13"/>
    </row>
    <row r="173" spans="2:4" x14ac:dyDescent="0.2">
      <c r="B173" s="5"/>
      <c r="C173" s="13"/>
      <c r="D173" s="13"/>
    </row>
    <row r="174" spans="2:4" x14ac:dyDescent="0.2">
      <c r="B174" s="5"/>
      <c r="C174" s="13"/>
      <c r="D174" s="13"/>
    </row>
    <row r="175" spans="2:4" x14ac:dyDescent="0.2">
      <c r="B175" s="5"/>
      <c r="C175" s="13"/>
      <c r="D175" s="13"/>
    </row>
    <row r="176" spans="2:4" x14ac:dyDescent="0.2">
      <c r="B176" s="5"/>
      <c r="C176" s="13"/>
      <c r="D176" s="13"/>
    </row>
    <row r="177" spans="2:4" x14ac:dyDescent="0.2">
      <c r="B177" s="5"/>
      <c r="C177" s="13"/>
      <c r="D177" s="13"/>
    </row>
    <row r="178" spans="2:4" x14ac:dyDescent="0.2">
      <c r="B178" s="5"/>
      <c r="C178" s="13"/>
      <c r="D178" s="13"/>
    </row>
    <row r="179" spans="2:4" x14ac:dyDescent="0.2">
      <c r="B179" s="5"/>
      <c r="C179" s="13"/>
      <c r="D179" s="13"/>
    </row>
    <row r="180" spans="2:4" x14ac:dyDescent="0.2">
      <c r="B180" s="5"/>
      <c r="C180" s="13"/>
      <c r="D180" s="13"/>
    </row>
    <row r="181" spans="2:4" x14ac:dyDescent="0.2">
      <c r="B181" s="5"/>
      <c r="C181" s="13"/>
      <c r="D181" s="13"/>
    </row>
    <row r="182" spans="2:4" x14ac:dyDescent="0.2">
      <c r="B182" s="5"/>
      <c r="C182" s="13"/>
      <c r="D182" s="13"/>
    </row>
    <row r="183" spans="2:4" x14ac:dyDescent="0.2">
      <c r="B183" s="5"/>
      <c r="C183" s="13"/>
      <c r="D183" s="13"/>
    </row>
    <row r="184" spans="2:4" x14ac:dyDescent="0.2">
      <c r="B184" s="5"/>
      <c r="C184" s="13"/>
      <c r="D184" s="13"/>
    </row>
    <row r="185" spans="2:4" x14ac:dyDescent="0.2">
      <c r="B185" s="5"/>
      <c r="C185" s="13"/>
      <c r="D185" s="13"/>
    </row>
    <row r="186" spans="2:4" x14ac:dyDescent="0.2">
      <c r="B186" s="5"/>
      <c r="C186" s="13"/>
      <c r="D186" s="13"/>
    </row>
    <row r="187" spans="2:4" x14ac:dyDescent="0.2">
      <c r="B187" s="5"/>
      <c r="C187" s="13"/>
      <c r="D187" s="13"/>
    </row>
    <row r="188" spans="2:4" x14ac:dyDescent="0.2">
      <c r="B188" s="5"/>
      <c r="C188" s="13"/>
      <c r="D188" s="13"/>
    </row>
    <row r="189" spans="2:4" x14ac:dyDescent="0.2">
      <c r="B189" s="5"/>
      <c r="C189" s="13"/>
      <c r="D189" s="13"/>
    </row>
    <row r="190" spans="2:4" x14ac:dyDescent="0.2">
      <c r="B190" s="5"/>
      <c r="C190" s="13"/>
      <c r="D190" s="13"/>
    </row>
    <row r="191" spans="2:4" x14ac:dyDescent="0.2">
      <c r="B191" s="5"/>
      <c r="C191" s="13"/>
      <c r="D191" s="13"/>
    </row>
    <row r="192" spans="2:4" x14ac:dyDescent="0.2">
      <c r="B192" s="5"/>
      <c r="C192" s="13"/>
      <c r="D192" s="13"/>
    </row>
    <row r="193" spans="2:4" x14ac:dyDescent="0.2">
      <c r="B193" s="5"/>
      <c r="C193" s="13"/>
      <c r="D193" s="13"/>
    </row>
    <row r="194" spans="2:4" x14ac:dyDescent="0.2">
      <c r="B194" s="5"/>
      <c r="C194" s="13"/>
      <c r="D194" s="13"/>
    </row>
    <row r="195" spans="2:4" x14ac:dyDescent="0.2">
      <c r="B195" s="5"/>
      <c r="C195" s="13"/>
      <c r="D195" s="13"/>
    </row>
    <row r="196" spans="2:4" x14ac:dyDescent="0.2">
      <c r="B196" s="5"/>
      <c r="C196" s="13"/>
      <c r="D196" s="13"/>
    </row>
    <row r="197" spans="2:4" x14ac:dyDescent="0.2">
      <c r="B197" s="5"/>
      <c r="C197" s="13"/>
      <c r="D197" s="13"/>
    </row>
    <row r="198" spans="2:4" x14ac:dyDescent="0.2">
      <c r="B198" s="5"/>
      <c r="C198" s="13"/>
      <c r="D198" s="13"/>
    </row>
    <row r="199" spans="2:4" x14ac:dyDescent="0.2">
      <c r="B199" s="5"/>
      <c r="C199" s="13"/>
      <c r="D199" s="13"/>
    </row>
    <row r="200" spans="2:4" x14ac:dyDescent="0.2">
      <c r="B200" s="5"/>
      <c r="C200" s="13"/>
      <c r="D200" s="13"/>
    </row>
    <row r="201" spans="2:4" x14ac:dyDescent="0.2">
      <c r="B201" s="5"/>
      <c r="C201" s="13"/>
      <c r="D201" s="13"/>
    </row>
    <row r="202" spans="2:4" x14ac:dyDescent="0.2">
      <c r="B202" s="5"/>
      <c r="C202" s="13"/>
      <c r="D202" s="13"/>
    </row>
    <row r="203" spans="2:4" x14ac:dyDescent="0.2">
      <c r="B203" s="5"/>
      <c r="C203" s="13"/>
      <c r="D203" s="13"/>
    </row>
    <row r="204" spans="2:4" x14ac:dyDescent="0.2">
      <c r="B204" s="5"/>
      <c r="C204" s="13"/>
      <c r="D204" s="13"/>
    </row>
    <row r="205" spans="2:4" x14ac:dyDescent="0.2">
      <c r="B205" s="5"/>
      <c r="C205" s="13"/>
      <c r="D205" s="13"/>
    </row>
    <row r="206" spans="2:4" x14ac:dyDescent="0.2">
      <c r="B206" s="5"/>
      <c r="C206" s="13"/>
      <c r="D206" s="13"/>
    </row>
    <row r="207" spans="2:4" x14ac:dyDescent="0.2">
      <c r="C207" s="13"/>
      <c r="D207" s="13"/>
    </row>
  </sheetData>
  <protectedRanges>
    <protectedRange sqref="A89:D94" name="Range1"/>
  </protectedRanges>
  <sortState xmlns:xlrd2="http://schemas.microsoft.com/office/spreadsheetml/2017/richdata2" ref="A21:Q100">
    <sortCondition ref="C21:C100"/>
  </sortState>
  <phoneticPr fontId="8" type="noConversion"/>
  <hyperlinks>
    <hyperlink ref="H112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2"/>
  <sheetViews>
    <sheetView topLeftCell="A25" workbookViewId="0">
      <selection activeCell="A19" sqref="A19:D72"/>
    </sheetView>
  </sheetViews>
  <sheetFormatPr defaultRowHeight="12.75" x14ac:dyDescent="0.2"/>
  <cols>
    <col min="1" max="1" width="19.7109375" style="13" customWidth="1"/>
    <col min="2" max="2" width="4.42578125" style="15" customWidth="1"/>
    <col min="3" max="3" width="12.7109375" style="13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3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34" t="s">
        <v>46</v>
      </c>
      <c r="I1" s="35" t="s">
        <v>47</v>
      </c>
      <c r="J1" s="36" t="s">
        <v>48</v>
      </c>
    </row>
    <row r="2" spans="1:16" x14ac:dyDescent="0.2">
      <c r="I2" s="37" t="s">
        <v>49</v>
      </c>
      <c r="J2" s="38" t="s">
        <v>50</v>
      </c>
    </row>
    <row r="3" spans="1:16" x14ac:dyDescent="0.2">
      <c r="A3" s="39" t="s">
        <v>51</v>
      </c>
      <c r="I3" s="37" t="s">
        <v>52</v>
      </c>
      <c r="J3" s="38" t="s">
        <v>53</v>
      </c>
    </row>
    <row r="4" spans="1:16" x14ac:dyDescent="0.2">
      <c r="I4" s="37" t="s">
        <v>54</v>
      </c>
      <c r="J4" s="38" t="s">
        <v>53</v>
      </c>
    </row>
    <row r="5" spans="1:16" ht="13.5" thickBot="1" x14ac:dyDescent="0.25">
      <c r="I5" s="40" t="s">
        <v>55</v>
      </c>
      <c r="J5" s="41" t="s">
        <v>56</v>
      </c>
    </row>
    <row r="10" spans="1:16" ht="13.5" thickBot="1" x14ac:dyDescent="0.25"/>
    <row r="11" spans="1:16" ht="12.75" customHeight="1" thickBot="1" x14ac:dyDescent="0.25">
      <c r="A11" s="13" t="str">
        <f t="shared" ref="A11:A42" si="0">P11</f>
        <v>IBVS 5263 </v>
      </c>
      <c r="B11" s="5" t="str">
        <f t="shared" ref="B11:B42" si="1">IF(H11=INT(H11),"I","II")</f>
        <v>I</v>
      </c>
      <c r="C11" s="13">
        <f t="shared" ref="C11:C42" si="2">1*G11</f>
        <v>51331.519099999998</v>
      </c>
      <c r="D11" s="15" t="str">
        <f t="shared" ref="D11:D42" si="3">VLOOKUP(F11,I$1:J$5,2,FALSE)</f>
        <v>vis</v>
      </c>
      <c r="E11" s="42">
        <f>VLOOKUP(C11,Active!C$21:E$969,3,FALSE)</f>
        <v>7701.0142256044537</v>
      </c>
      <c r="F11" s="5" t="s">
        <v>55</v>
      </c>
      <c r="G11" s="15" t="str">
        <f t="shared" ref="G11:G42" si="4">MID(I11,3,LEN(I11)-3)</f>
        <v>51331.5191</v>
      </c>
      <c r="H11" s="13">
        <f t="shared" ref="H11:H42" si="5">1*K11</f>
        <v>7701</v>
      </c>
      <c r="I11" s="43" t="s">
        <v>219</v>
      </c>
      <c r="J11" s="44" t="s">
        <v>220</v>
      </c>
      <c r="K11" s="43">
        <v>7701</v>
      </c>
      <c r="L11" s="43" t="s">
        <v>221</v>
      </c>
      <c r="M11" s="44" t="s">
        <v>222</v>
      </c>
      <c r="N11" s="44" t="s">
        <v>223</v>
      </c>
      <c r="O11" s="45" t="s">
        <v>224</v>
      </c>
      <c r="P11" s="46" t="s">
        <v>225</v>
      </c>
    </row>
    <row r="12" spans="1:16" ht="12.75" customHeight="1" thickBot="1" x14ac:dyDescent="0.25">
      <c r="A12" s="13" t="str">
        <f t="shared" si="0"/>
        <v>BAVM 173 </v>
      </c>
      <c r="B12" s="5" t="str">
        <f t="shared" si="1"/>
        <v>I</v>
      </c>
      <c r="C12" s="13">
        <f t="shared" si="2"/>
        <v>53165.514999999999</v>
      </c>
      <c r="D12" s="15" t="str">
        <f t="shared" si="3"/>
        <v>vis</v>
      </c>
      <c r="E12" s="42">
        <f>VLOOKUP(C12,Active!C$21:E$969,3,FALSE)</f>
        <v>8347.016351146407</v>
      </c>
      <c r="F12" s="5" t="s">
        <v>55</v>
      </c>
      <c r="G12" s="15" t="str">
        <f t="shared" si="4"/>
        <v>53165.5150</v>
      </c>
      <c r="H12" s="13">
        <f t="shared" si="5"/>
        <v>8347</v>
      </c>
      <c r="I12" s="43" t="s">
        <v>236</v>
      </c>
      <c r="J12" s="44" t="s">
        <v>237</v>
      </c>
      <c r="K12" s="43">
        <v>8347</v>
      </c>
      <c r="L12" s="43" t="s">
        <v>238</v>
      </c>
      <c r="M12" s="44" t="s">
        <v>222</v>
      </c>
      <c r="N12" s="44" t="s">
        <v>239</v>
      </c>
      <c r="O12" s="45" t="s">
        <v>240</v>
      </c>
      <c r="P12" s="46" t="s">
        <v>241</v>
      </c>
    </row>
    <row r="13" spans="1:16" ht="12.75" customHeight="1" thickBot="1" x14ac:dyDescent="0.25">
      <c r="A13" s="13" t="str">
        <f t="shared" si="0"/>
        <v>JAAVSO 36(2);186 </v>
      </c>
      <c r="B13" s="5" t="str">
        <f t="shared" si="1"/>
        <v>I</v>
      </c>
      <c r="C13" s="13">
        <f t="shared" si="2"/>
        <v>54641.797599999998</v>
      </c>
      <c r="D13" s="15" t="str">
        <f t="shared" si="3"/>
        <v>vis</v>
      </c>
      <c r="E13" s="42">
        <f>VLOOKUP(C13,Active!C$21:E$969,3,FALSE)</f>
        <v>8867.0184392102892</v>
      </c>
      <c r="F13" s="5" t="s">
        <v>55</v>
      </c>
      <c r="G13" s="15" t="str">
        <f t="shared" si="4"/>
        <v>54641.7976</v>
      </c>
      <c r="H13" s="13">
        <f t="shared" si="5"/>
        <v>8867</v>
      </c>
      <c r="I13" s="43" t="s">
        <v>255</v>
      </c>
      <c r="J13" s="44" t="s">
        <v>256</v>
      </c>
      <c r="K13" s="43">
        <v>8867</v>
      </c>
      <c r="L13" s="43" t="s">
        <v>257</v>
      </c>
      <c r="M13" s="44" t="s">
        <v>229</v>
      </c>
      <c r="N13" s="44" t="s">
        <v>239</v>
      </c>
      <c r="O13" s="45" t="s">
        <v>248</v>
      </c>
      <c r="P13" s="46" t="s">
        <v>258</v>
      </c>
    </row>
    <row r="14" spans="1:16" ht="12.75" customHeight="1" thickBot="1" x14ac:dyDescent="0.25">
      <c r="A14" s="13" t="str">
        <f t="shared" si="0"/>
        <v> JAAVSO 38;85 </v>
      </c>
      <c r="B14" s="5" t="str">
        <f t="shared" si="1"/>
        <v>I</v>
      </c>
      <c r="C14" s="13">
        <f t="shared" si="2"/>
        <v>54976.797700000003</v>
      </c>
      <c r="D14" s="15" t="str">
        <f t="shared" si="3"/>
        <v>vis</v>
      </c>
      <c r="E14" s="42">
        <f>VLOOKUP(C14,Active!C$21:E$969,3,FALSE)</f>
        <v>8985.0180359688038</v>
      </c>
      <c r="F14" s="5" t="s">
        <v>55</v>
      </c>
      <c r="G14" s="15" t="str">
        <f t="shared" si="4"/>
        <v>54976.7977</v>
      </c>
      <c r="H14" s="13">
        <f t="shared" si="5"/>
        <v>8985</v>
      </c>
      <c r="I14" s="43" t="s">
        <v>259</v>
      </c>
      <c r="J14" s="44" t="s">
        <v>260</v>
      </c>
      <c r="K14" s="43">
        <v>8985</v>
      </c>
      <c r="L14" s="43" t="s">
        <v>261</v>
      </c>
      <c r="M14" s="44" t="s">
        <v>229</v>
      </c>
      <c r="N14" s="44" t="s">
        <v>230</v>
      </c>
      <c r="O14" s="45" t="s">
        <v>262</v>
      </c>
      <c r="P14" s="45" t="s">
        <v>263</v>
      </c>
    </row>
    <row r="15" spans="1:16" ht="12.75" customHeight="1" thickBot="1" x14ac:dyDescent="0.25">
      <c r="A15" s="13" t="str">
        <f t="shared" si="0"/>
        <v> JAAVSO 38;85 </v>
      </c>
      <c r="B15" s="5" t="str">
        <f t="shared" si="1"/>
        <v>I</v>
      </c>
      <c r="C15" s="13">
        <f t="shared" si="2"/>
        <v>54996.672200000001</v>
      </c>
      <c r="D15" s="15" t="str">
        <f t="shared" si="3"/>
        <v>vis</v>
      </c>
      <c r="E15" s="42">
        <f>VLOOKUP(C15,Active!C$21:E$969,3,FALSE)</f>
        <v>8992.0185801052885</v>
      </c>
      <c r="F15" s="5" t="s">
        <v>55</v>
      </c>
      <c r="G15" s="15" t="str">
        <f t="shared" si="4"/>
        <v>54996.6722</v>
      </c>
      <c r="H15" s="13">
        <f t="shared" si="5"/>
        <v>8992</v>
      </c>
      <c r="I15" s="43" t="s">
        <v>264</v>
      </c>
      <c r="J15" s="44" t="s">
        <v>265</v>
      </c>
      <c r="K15" s="43">
        <v>8992</v>
      </c>
      <c r="L15" s="43" t="s">
        <v>266</v>
      </c>
      <c r="M15" s="44" t="s">
        <v>229</v>
      </c>
      <c r="N15" s="44" t="s">
        <v>230</v>
      </c>
      <c r="O15" s="45" t="s">
        <v>195</v>
      </c>
      <c r="P15" s="45" t="s">
        <v>263</v>
      </c>
    </row>
    <row r="16" spans="1:16" ht="12.75" customHeight="1" thickBot="1" x14ac:dyDescent="0.25">
      <c r="A16" s="13" t="str">
        <f t="shared" si="0"/>
        <v>BAVM 220 </v>
      </c>
      <c r="B16" s="5" t="str">
        <f t="shared" si="1"/>
        <v>I</v>
      </c>
      <c r="C16" s="13">
        <f t="shared" si="2"/>
        <v>55686.547400000003</v>
      </c>
      <c r="D16" s="15" t="str">
        <f t="shared" si="3"/>
        <v>vis</v>
      </c>
      <c r="E16" s="42">
        <f>VLOOKUP(C16,Active!C$21:E$969,3,FALSE)</f>
        <v>9235.018493877551</v>
      </c>
      <c r="F16" s="5" t="s">
        <v>55</v>
      </c>
      <c r="G16" s="15" t="str">
        <f t="shared" si="4"/>
        <v>55686.5474</v>
      </c>
      <c r="H16" s="13">
        <f t="shared" si="5"/>
        <v>9235</v>
      </c>
      <c r="I16" s="43" t="s">
        <v>267</v>
      </c>
      <c r="J16" s="44" t="s">
        <v>268</v>
      </c>
      <c r="K16" s="43">
        <v>9235</v>
      </c>
      <c r="L16" s="43" t="s">
        <v>269</v>
      </c>
      <c r="M16" s="44" t="s">
        <v>229</v>
      </c>
      <c r="N16" s="44" t="s">
        <v>270</v>
      </c>
      <c r="O16" s="45" t="s">
        <v>271</v>
      </c>
      <c r="P16" s="46" t="s">
        <v>272</v>
      </c>
    </row>
    <row r="17" spans="1:16" ht="12.75" customHeight="1" thickBot="1" x14ac:dyDescent="0.25">
      <c r="A17" s="13" t="str">
        <f t="shared" si="0"/>
        <v>BAVM 220 </v>
      </c>
      <c r="B17" s="5" t="str">
        <f t="shared" si="1"/>
        <v>I</v>
      </c>
      <c r="C17" s="13">
        <f t="shared" si="2"/>
        <v>55740.489399999999</v>
      </c>
      <c r="D17" s="15" t="str">
        <f t="shared" si="3"/>
        <v>vis</v>
      </c>
      <c r="E17" s="42">
        <f>VLOOKUP(C17,Active!C$21:E$969,3,FALSE)</f>
        <v>9254.0188889471265</v>
      </c>
      <c r="F17" s="5" t="s">
        <v>55</v>
      </c>
      <c r="G17" s="15" t="str">
        <f t="shared" si="4"/>
        <v>55740.4894</v>
      </c>
      <c r="H17" s="13">
        <f t="shared" si="5"/>
        <v>9254</v>
      </c>
      <c r="I17" s="43" t="s">
        <v>273</v>
      </c>
      <c r="J17" s="44" t="s">
        <v>274</v>
      </c>
      <c r="K17" s="43" t="s">
        <v>275</v>
      </c>
      <c r="L17" s="43" t="s">
        <v>276</v>
      </c>
      <c r="M17" s="44" t="s">
        <v>229</v>
      </c>
      <c r="N17" s="44" t="s">
        <v>270</v>
      </c>
      <c r="O17" s="45" t="s">
        <v>271</v>
      </c>
      <c r="P17" s="46" t="s">
        <v>272</v>
      </c>
    </row>
    <row r="18" spans="1:16" ht="12.75" customHeight="1" thickBot="1" x14ac:dyDescent="0.25">
      <c r="A18" s="13" t="str">
        <f t="shared" si="0"/>
        <v> JAAVSO 41;328 </v>
      </c>
      <c r="B18" s="5" t="str">
        <f t="shared" si="1"/>
        <v>I</v>
      </c>
      <c r="C18" s="13">
        <f t="shared" si="2"/>
        <v>56492.825100000002</v>
      </c>
      <c r="D18" s="15" t="str">
        <f t="shared" si="3"/>
        <v>vis</v>
      </c>
      <c r="E18" s="42">
        <f>VLOOKUP(C18,Active!C$21:E$969,3,FALSE)</f>
        <v>9519.0197329081711</v>
      </c>
      <c r="F18" s="5" t="s">
        <v>55</v>
      </c>
      <c r="G18" s="15" t="str">
        <f t="shared" si="4"/>
        <v>56492.8251</v>
      </c>
      <c r="H18" s="13">
        <f t="shared" si="5"/>
        <v>9519</v>
      </c>
      <c r="I18" s="43" t="s">
        <v>277</v>
      </c>
      <c r="J18" s="44" t="s">
        <v>278</v>
      </c>
      <c r="K18" s="43" t="s">
        <v>279</v>
      </c>
      <c r="L18" s="43" t="s">
        <v>280</v>
      </c>
      <c r="M18" s="44" t="s">
        <v>229</v>
      </c>
      <c r="N18" s="44" t="s">
        <v>55</v>
      </c>
      <c r="O18" s="45" t="s">
        <v>195</v>
      </c>
      <c r="P18" s="45" t="s">
        <v>281</v>
      </c>
    </row>
    <row r="19" spans="1:16" ht="12.75" customHeight="1" thickBot="1" x14ac:dyDescent="0.25">
      <c r="A19" s="13" t="str">
        <f t="shared" si="0"/>
        <v> KVBB 24.89 </v>
      </c>
      <c r="B19" s="5" t="str">
        <f t="shared" si="1"/>
        <v>I</v>
      </c>
      <c r="C19" s="13">
        <f t="shared" si="2"/>
        <v>25411.503000000001</v>
      </c>
      <c r="D19" s="15" t="str">
        <f t="shared" si="3"/>
        <v>vis</v>
      </c>
      <c r="E19" s="42">
        <f>VLOOKUP(C19,Active!C$21:E$969,3,FALSE)</f>
        <v>-1428.9873707358829</v>
      </c>
      <c r="F19" s="5" t="s">
        <v>55</v>
      </c>
      <c r="G19" s="15" t="str">
        <f t="shared" si="4"/>
        <v>25411.503</v>
      </c>
      <c r="H19" s="13">
        <f t="shared" si="5"/>
        <v>-1429</v>
      </c>
      <c r="I19" s="43" t="s">
        <v>58</v>
      </c>
      <c r="J19" s="44" t="s">
        <v>59</v>
      </c>
      <c r="K19" s="43">
        <v>-1429</v>
      </c>
      <c r="L19" s="43" t="s">
        <v>60</v>
      </c>
      <c r="M19" s="44" t="s">
        <v>61</v>
      </c>
      <c r="N19" s="44"/>
      <c r="O19" s="45" t="s">
        <v>62</v>
      </c>
      <c r="P19" s="45" t="s">
        <v>63</v>
      </c>
    </row>
    <row r="20" spans="1:16" ht="12.75" customHeight="1" thickBot="1" x14ac:dyDescent="0.25">
      <c r="A20" s="13" t="str">
        <f t="shared" si="0"/>
        <v> KVBB 24.89 </v>
      </c>
      <c r="B20" s="5" t="str">
        <f t="shared" si="1"/>
        <v>I</v>
      </c>
      <c r="C20" s="13">
        <f t="shared" si="2"/>
        <v>25448.422999999999</v>
      </c>
      <c r="D20" s="15" t="str">
        <f t="shared" si="3"/>
        <v>vis</v>
      </c>
      <c r="E20" s="42">
        <f>VLOOKUP(C20,Active!C$21:E$969,3,FALSE)</f>
        <v>-1415.9827623422611</v>
      </c>
      <c r="F20" s="5" t="s">
        <v>55</v>
      </c>
      <c r="G20" s="15" t="str">
        <f t="shared" si="4"/>
        <v>25448.423</v>
      </c>
      <c r="H20" s="13">
        <f t="shared" si="5"/>
        <v>-1416</v>
      </c>
      <c r="I20" s="43" t="s">
        <v>64</v>
      </c>
      <c r="J20" s="44" t="s">
        <v>65</v>
      </c>
      <c r="K20" s="43">
        <v>-1416</v>
      </c>
      <c r="L20" s="43" t="s">
        <v>66</v>
      </c>
      <c r="M20" s="44" t="s">
        <v>61</v>
      </c>
      <c r="N20" s="44"/>
      <c r="O20" s="45" t="s">
        <v>62</v>
      </c>
      <c r="P20" s="45" t="s">
        <v>63</v>
      </c>
    </row>
    <row r="21" spans="1:16" ht="12.75" customHeight="1" thickBot="1" x14ac:dyDescent="0.25">
      <c r="A21" s="13" t="str">
        <f t="shared" si="0"/>
        <v> KVBB 24.89 </v>
      </c>
      <c r="B21" s="5" t="str">
        <f t="shared" si="1"/>
        <v>I</v>
      </c>
      <c r="C21" s="13">
        <f t="shared" si="2"/>
        <v>25925.296999999999</v>
      </c>
      <c r="D21" s="15" t="str">
        <f t="shared" si="3"/>
        <v>vis</v>
      </c>
      <c r="E21" s="42">
        <f>VLOOKUP(C21,Active!C$21:E$969,3,FALSE)</f>
        <v>-1248.0098581412797</v>
      </c>
      <c r="F21" s="5" t="s">
        <v>55</v>
      </c>
      <c r="G21" s="15" t="str">
        <f t="shared" si="4"/>
        <v>25925.297</v>
      </c>
      <c r="H21" s="13">
        <f t="shared" si="5"/>
        <v>-1248</v>
      </c>
      <c r="I21" s="43" t="s">
        <v>67</v>
      </c>
      <c r="J21" s="44" t="s">
        <v>68</v>
      </c>
      <c r="K21" s="43">
        <v>-1248</v>
      </c>
      <c r="L21" s="43" t="s">
        <v>69</v>
      </c>
      <c r="M21" s="44" t="s">
        <v>61</v>
      </c>
      <c r="N21" s="44"/>
      <c r="O21" s="45" t="s">
        <v>62</v>
      </c>
      <c r="P21" s="45" t="s">
        <v>63</v>
      </c>
    </row>
    <row r="22" spans="1:16" ht="12.75" customHeight="1" thickBot="1" x14ac:dyDescent="0.25">
      <c r="A22" s="13" t="str">
        <f t="shared" si="0"/>
        <v> NAZ 7.34 </v>
      </c>
      <c r="B22" s="5" t="str">
        <f t="shared" si="1"/>
        <v>I</v>
      </c>
      <c r="C22" s="13">
        <f t="shared" si="2"/>
        <v>29431.496999999999</v>
      </c>
      <c r="D22" s="15" t="str">
        <f t="shared" si="3"/>
        <v>vis</v>
      </c>
      <c r="E22" s="42">
        <f>VLOOKUP(C22,Active!C$21:E$969,3,FALSE)</f>
        <v>-12.99474574370292</v>
      </c>
      <c r="F22" s="5" t="s">
        <v>55</v>
      </c>
      <c r="G22" s="15" t="str">
        <f t="shared" si="4"/>
        <v>29431.497</v>
      </c>
      <c r="H22" s="13">
        <f t="shared" si="5"/>
        <v>-13</v>
      </c>
      <c r="I22" s="43" t="s">
        <v>70</v>
      </c>
      <c r="J22" s="44" t="s">
        <v>71</v>
      </c>
      <c r="K22" s="43">
        <v>-13</v>
      </c>
      <c r="L22" s="43" t="s">
        <v>72</v>
      </c>
      <c r="M22" s="44" t="s">
        <v>73</v>
      </c>
      <c r="N22" s="44"/>
      <c r="O22" s="45" t="s">
        <v>62</v>
      </c>
      <c r="P22" s="45" t="s">
        <v>74</v>
      </c>
    </row>
    <row r="23" spans="1:16" ht="12.75" customHeight="1" thickBot="1" x14ac:dyDescent="0.25">
      <c r="A23" s="13" t="str">
        <f t="shared" si="0"/>
        <v> NAZ 7.34 </v>
      </c>
      <c r="B23" s="5" t="str">
        <f t="shared" si="1"/>
        <v>I</v>
      </c>
      <c r="C23" s="13">
        <f t="shared" si="2"/>
        <v>29499.598000000002</v>
      </c>
      <c r="D23" s="15" t="str">
        <f t="shared" si="3"/>
        <v>vis</v>
      </c>
      <c r="E23" s="42">
        <f>VLOOKUP(C23,Active!C$21:E$969,3,FALSE)</f>
        <v>10.992980047578326</v>
      </c>
      <c r="F23" s="5" t="s">
        <v>55</v>
      </c>
      <c r="G23" s="15" t="str">
        <f t="shared" si="4"/>
        <v>29499.598</v>
      </c>
      <c r="H23" s="13">
        <f t="shared" si="5"/>
        <v>11</v>
      </c>
      <c r="I23" s="43" t="s">
        <v>75</v>
      </c>
      <c r="J23" s="44" t="s">
        <v>76</v>
      </c>
      <c r="K23" s="43">
        <v>11</v>
      </c>
      <c r="L23" s="43" t="s">
        <v>77</v>
      </c>
      <c r="M23" s="44" t="s">
        <v>73</v>
      </c>
      <c r="N23" s="44"/>
      <c r="O23" s="45" t="s">
        <v>62</v>
      </c>
      <c r="P23" s="45" t="s">
        <v>74</v>
      </c>
    </row>
    <row r="24" spans="1:16" ht="12.75" customHeight="1" thickBot="1" x14ac:dyDescent="0.25">
      <c r="A24" s="13" t="str">
        <f t="shared" si="0"/>
        <v> NAZ 7.34 </v>
      </c>
      <c r="B24" s="5" t="str">
        <f t="shared" si="1"/>
        <v>I</v>
      </c>
      <c r="C24" s="13">
        <f t="shared" si="2"/>
        <v>29516.633000000002</v>
      </c>
      <c r="D24" s="15" t="str">
        <f t="shared" si="3"/>
        <v>vis</v>
      </c>
      <c r="E24" s="42">
        <f>VLOOKUP(C24,Active!C$21:E$969,3,FALSE)</f>
        <v>16.993345810995283</v>
      </c>
      <c r="F24" s="5" t="s">
        <v>55</v>
      </c>
      <c r="G24" s="15" t="str">
        <f t="shared" si="4"/>
        <v>29516.633</v>
      </c>
      <c r="H24" s="13">
        <f t="shared" si="5"/>
        <v>17</v>
      </c>
      <c r="I24" s="43" t="s">
        <v>78</v>
      </c>
      <c r="J24" s="44" t="s">
        <v>79</v>
      </c>
      <c r="K24" s="43">
        <v>17</v>
      </c>
      <c r="L24" s="43" t="s">
        <v>80</v>
      </c>
      <c r="M24" s="44" t="s">
        <v>73</v>
      </c>
      <c r="N24" s="44"/>
      <c r="O24" s="45" t="s">
        <v>62</v>
      </c>
      <c r="P24" s="45" t="s">
        <v>74</v>
      </c>
    </row>
    <row r="25" spans="1:16" ht="12.75" customHeight="1" thickBot="1" x14ac:dyDescent="0.25">
      <c r="A25" s="13" t="str">
        <f t="shared" si="0"/>
        <v> NAZ 7.34 </v>
      </c>
      <c r="B25" s="5" t="str">
        <f t="shared" si="1"/>
        <v>I</v>
      </c>
      <c r="C25" s="13">
        <f t="shared" si="2"/>
        <v>29576.294999999998</v>
      </c>
      <c r="D25" s="15" t="str">
        <f t="shared" si="3"/>
        <v>vis</v>
      </c>
      <c r="E25" s="42">
        <f>VLOOKUP(C25,Active!C$21:E$969,3,FALSE)</f>
        <v>38.008539364089813</v>
      </c>
      <c r="F25" s="5" t="s">
        <v>55</v>
      </c>
      <c r="G25" s="15" t="str">
        <f t="shared" si="4"/>
        <v>29576.295</v>
      </c>
      <c r="H25" s="13">
        <f t="shared" si="5"/>
        <v>38</v>
      </c>
      <c r="I25" s="43" t="s">
        <v>81</v>
      </c>
      <c r="J25" s="44" t="s">
        <v>82</v>
      </c>
      <c r="K25" s="43">
        <v>38</v>
      </c>
      <c r="L25" s="43" t="s">
        <v>83</v>
      </c>
      <c r="M25" s="44" t="s">
        <v>73</v>
      </c>
      <c r="N25" s="44"/>
      <c r="O25" s="45" t="s">
        <v>62</v>
      </c>
      <c r="P25" s="45" t="s">
        <v>74</v>
      </c>
    </row>
    <row r="26" spans="1:16" ht="12.75" customHeight="1" thickBot="1" x14ac:dyDescent="0.25">
      <c r="A26" s="13" t="str">
        <f t="shared" si="0"/>
        <v> NAZ 7.34 </v>
      </c>
      <c r="B26" s="5" t="str">
        <f t="shared" si="1"/>
        <v>I</v>
      </c>
      <c r="C26" s="13">
        <f t="shared" si="2"/>
        <v>29638.714</v>
      </c>
      <c r="D26" s="15" t="str">
        <f t="shared" si="3"/>
        <v>vis</v>
      </c>
      <c r="E26" s="42">
        <f>VLOOKUP(C26,Active!C$21:E$969,3,FALSE)</f>
        <v>59.994851696742373</v>
      </c>
      <c r="F26" s="5" t="s">
        <v>55</v>
      </c>
      <c r="G26" s="15" t="str">
        <f t="shared" si="4"/>
        <v>29638.714</v>
      </c>
      <c r="H26" s="13">
        <f t="shared" si="5"/>
        <v>60</v>
      </c>
      <c r="I26" s="43" t="s">
        <v>84</v>
      </c>
      <c r="J26" s="44" t="s">
        <v>85</v>
      </c>
      <c r="K26" s="43">
        <v>60</v>
      </c>
      <c r="L26" s="43" t="s">
        <v>86</v>
      </c>
      <c r="M26" s="44" t="s">
        <v>73</v>
      </c>
      <c r="N26" s="44"/>
      <c r="O26" s="45" t="s">
        <v>62</v>
      </c>
      <c r="P26" s="45" t="s">
        <v>74</v>
      </c>
    </row>
    <row r="27" spans="1:16" ht="12.75" customHeight="1" thickBot="1" x14ac:dyDescent="0.25">
      <c r="A27" s="13" t="str">
        <f t="shared" si="0"/>
        <v> AJ 64.263 </v>
      </c>
      <c r="B27" s="5" t="str">
        <f t="shared" si="1"/>
        <v>I</v>
      </c>
      <c r="C27" s="13">
        <f t="shared" si="2"/>
        <v>32182.436000000002</v>
      </c>
      <c r="D27" s="15" t="str">
        <f t="shared" si="3"/>
        <v>vis</v>
      </c>
      <c r="E27" s="42">
        <f>VLOOKUP(C27,Active!C$21:E$969,3,FALSE)</f>
        <v>955.98912234250986</v>
      </c>
      <c r="F27" s="5" t="s">
        <v>55</v>
      </c>
      <c r="G27" s="15" t="str">
        <f t="shared" si="4"/>
        <v>32182.436</v>
      </c>
      <c r="H27" s="13">
        <f t="shared" si="5"/>
        <v>956</v>
      </c>
      <c r="I27" s="43" t="s">
        <v>87</v>
      </c>
      <c r="J27" s="44" t="s">
        <v>88</v>
      </c>
      <c r="K27" s="43">
        <v>956</v>
      </c>
      <c r="L27" s="43" t="s">
        <v>89</v>
      </c>
      <c r="M27" s="44" t="s">
        <v>57</v>
      </c>
      <c r="N27" s="44"/>
      <c r="O27" s="45" t="s">
        <v>90</v>
      </c>
      <c r="P27" s="45" t="s">
        <v>91</v>
      </c>
    </row>
    <row r="28" spans="1:16" ht="12.75" customHeight="1" thickBot="1" x14ac:dyDescent="0.25">
      <c r="A28" s="13" t="str">
        <f t="shared" si="0"/>
        <v> AJ 64.263 </v>
      </c>
      <c r="B28" s="5" t="str">
        <f t="shared" si="1"/>
        <v>I</v>
      </c>
      <c r="C28" s="13">
        <f t="shared" si="2"/>
        <v>32795.69</v>
      </c>
      <c r="D28" s="15" t="str">
        <f t="shared" si="3"/>
        <v>vis</v>
      </c>
      <c r="E28" s="42">
        <f>VLOOKUP(C28,Active!C$21:E$969,3,FALSE)</f>
        <v>1172.0001764005397</v>
      </c>
      <c r="F28" s="5" t="s">
        <v>55</v>
      </c>
      <c r="G28" s="15" t="str">
        <f t="shared" si="4"/>
        <v>32795.690</v>
      </c>
      <c r="H28" s="13">
        <f t="shared" si="5"/>
        <v>1172</v>
      </c>
      <c r="I28" s="43" t="s">
        <v>92</v>
      </c>
      <c r="J28" s="44" t="s">
        <v>93</v>
      </c>
      <c r="K28" s="43">
        <v>1172</v>
      </c>
      <c r="L28" s="43" t="s">
        <v>94</v>
      </c>
      <c r="M28" s="44" t="s">
        <v>57</v>
      </c>
      <c r="N28" s="44"/>
      <c r="O28" s="45" t="s">
        <v>90</v>
      </c>
      <c r="P28" s="45" t="s">
        <v>91</v>
      </c>
    </row>
    <row r="29" spans="1:16" ht="12.75" customHeight="1" thickBot="1" x14ac:dyDescent="0.25">
      <c r="A29" s="13" t="str">
        <f t="shared" si="0"/>
        <v> AJ 64.263 </v>
      </c>
      <c r="B29" s="5" t="str">
        <f t="shared" si="1"/>
        <v>I</v>
      </c>
      <c r="C29" s="13">
        <f t="shared" si="2"/>
        <v>33096.631999999998</v>
      </c>
      <c r="D29" s="15" t="str">
        <f t="shared" si="3"/>
        <v>vis</v>
      </c>
      <c r="E29" s="42">
        <f>VLOOKUP(C29,Active!C$21:E$969,3,FALSE)</f>
        <v>1278.0032332584331</v>
      </c>
      <c r="F29" s="5" t="s">
        <v>55</v>
      </c>
      <c r="G29" s="15" t="str">
        <f t="shared" si="4"/>
        <v>33096.632</v>
      </c>
      <c r="H29" s="13">
        <f t="shared" si="5"/>
        <v>1278</v>
      </c>
      <c r="I29" s="43" t="s">
        <v>95</v>
      </c>
      <c r="J29" s="44" t="s">
        <v>96</v>
      </c>
      <c r="K29" s="43">
        <v>1278</v>
      </c>
      <c r="L29" s="43" t="s">
        <v>97</v>
      </c>
      <c r="M29" s="44" t="s">
        <v>57</v>
      </c>
      <c r="N29" s="44"/>
      <c r="O29" s="45" t="s">
        <v>90</v>
      </c>
      <c r="P29" s="45" t="s">
        <v>91</v>
      </c>
    </row>
    <row r="30" spans="1:16" ht="12.75" customHeight="1" thickBot="1" x14ac:dyDescent="0.25">
      <c r="A30" s="13" t="str">
        <f t="shared" si="0"/>
        <v> AJ 64.263 </v>
      </c>
      <c r="B30" s="5" t="str">
        <f t="shared" si="1"/>
        <v>I</v>
      </c>
      <c r="C30" s="13">
        <f t="shared" si="2"/>
        <v>33201.661999999997</v>
      </c>
      <c r="D30" s="15" t="str">
        <f t="shared" si="3"/>
        <v>vis</v>
      </c>
      <c r="E30" s="42">
        <f>VLOOKUP(C30,Active!C$21:E$969,3,FALSE)</f>
        <v>1314.9987375808096</v>
      </c>
      <c r="F30" s="5" t="s">
        <v>55</v>
      </c>
      <c r="G30" s="15" t="str">
        <f t="shared" si="4"/>
        <v>33201.662</v>
      </c>
      <c r="H30" s="13">
        <f t="shared" si="5"/>
        <v>1315</v>
      </c>
      <c r="I30" s="43" t="s">
        <v>98</v>
      </c>
      <c r="J30" s="44" t="s">
        <v>99</v>
      </c>
      <c r="K30" s="43">
        <v>1315</v>
      </c>
      <c r="L30" s="43" t="s">
        <v>100</v>
      </c>
      <c r="M30" s="44" t="s">
        <v>57</v>
      </c>
      <c r="N30" s="44"/>
      <c r="O30" s="45" t="s">
        <v>90</v>
      </c>
      <c r="P30" s="45" t="s">
        <v>91</v>
      </c>
    </row>
    <row r="31" spans="1:16" ht="12.75" customHeight="1" thickBot="1" x14ac:dyDescent="0.25">
      <c r="A31" s="13" t="str">
        <f t="shared" si="0"/>
        <v> AJ 64.263 </v>
      </c>
      <c r="B31" s="5" t="str">
        <f t="shared" si="1"/>
        <v>I</v>
      </c>
      <c r="C31" s="13">
        <f t="shared" si="2"/>
        <v>33536.669000000002</v>
      </c>
      <c r="D31" s="15" t="str">
        <f t="shared" si="3"/>
        <v>vis</v>
      </c>
      <c r="E31" s="42">
        <f>VLOOKUP(C31,Active!C$21:E$969,3,FALSE)</f>
        <v>1433.0007647780546</v>
      </c>
      <c r="F31" s="5" t="s">
        <v>55</v>
      </c>
      <c r="G31" s="15" t="str">
        <f t="shared" si="4"/>
        <v>33536.669</v>
      </c>
      <c r="H31" s="13">
        <f t="shared" si="5"/>
        <v>1433</v>
      </c>
      <c r="I31" s="43" t="s">
        <v>101</v>
      </c>
      <c r="J31" s="44" t="s">
        <v>102</v>
      </c>
      <c r="K31" s="43">
        <v>1433</v>
      </c>
      <c r="L31" s="43" t="s">
        <v>103</v>
      </c>
      <c r="M31" s="44" t="s">
        <v>57</v>
      </c>
      <c r="N31" s="44"/>
      <c r="O31" s="45" t="s">
        <v>90</v>
      </c>
      <c r="P31" s="45" t="s">
        <v>91</v>
      </c>
    </row>
    <row r="32" spans="1:16" ht="12.75" customHeight="1" thickBot="1" x14ac:dyDescent="0.25">
      <c r="A32" s="13" t="str">
        <f t="shared" si="0"/>
        <v> AJ 64.263 </v>
      </c>
      <c r="B32" s="5" t="str">
        <f t="shared" si="1"/>
        <v>I</v>
      </c>
      <c r="C32" s="13">
        <f t="shared" si="2"/>
        <v>33834.756000000001</v>
      </c>
      <c r="D32" s="15" t="str">
        <f t="shared" si="3"/>
        <v>vis</v>
      </c>
      <c r="E32" s="42">
        <f>VLOOKUP(C32,Active!C$21:E$969,3,FALSE)</f>
        <v>1537.9981835816757</v>
      </c>
      <c r="F32" s="5" t="s">
        <v>55</v>
      </c>
      <c r="G32" s="15" t="str">
        <f t="shared" si="4"/>
        <v>33834.756</v>
      </c>
      <c r="H32" s="13">
        <f t="shared" si="5"/>
        <v>1538</v>
      </c>
      <c r="I32" s="43" t="s">
        <v>104</v>
      </c>
      <c r="J32" s="44" t="s">
        <v>105</v>
      </c>
      <c r="K32" s="43">
        <v>1538</v>
      </c>
      <c r="L32" s="43" t="s">
        <v>106</v>
      </c>
      <c r="M32" s="44" t="s">
        <v>57</v>
      </c>
      <c r="N32" s="44"/>
      <c r="O32" s="45" t="s">
        <v>90</v>
      </c>
      <c r="P32" s="45" t="s">
        <v>91</v>
      </c>
    </row>
    <row r="33" spans="1:16" ht="12.75" customHeight="1" thickBot="1" x14ac:dyDescent="0.25">
      <c r="A33" s="13" t="str">
        <f t="shared" si="0"/>
        <v> MSAI 40.385 </v>
      </c>
      <c r="B33" s="5" t="str">
        <f t="shared" si="1"/>
        <v>I</v>
      </c>
      <c r="C33" s="13">
        <f t="shared" si="2"/>
        <v>33894.44</v>
      </c>
      <c r="D33" s="15" t="str">
        <f t="shared" si="3"/>
        <v>vis</v>
      </c>
      <c r="E33" s="42">
        <f>VLOOKUP(C33,Active!C$21:E$969,3,FALSE)</f>
        <v>1559.0211263597084</v>
      </c>
      <c r="F33" s="5" t="s">
        <v>55</v>
      </c>
      <c r="G33" s="15" t="str">
        <f t="shared" si="4"/>
        <v>33894.440</v>
      </c>
      <c r="H33" s="13">
        <f t="shared" si="5"/>
        <v>1559</v>
      </c>
      <c r="I33" s="43" t="s">
        <v>107</v>
      </c>
      <c r="J33" s="44" t="s">
        <v>108</v>
      </c>
      <c r="K33" s="43">
        <v>1559</v>
      </c>
      <c r="L33" s="43" t="s">
        <v>109</v>
      </c>
      <c r="M33" s="44" t="s">
        <v>61</v>
      </c>
      <c r="N33" s="44"/>
      <c r="O33" s="45" t="s">
        <v>110</v>
      </c>
      <c r="P33" s="45" t="s">
        <v>111</v>
      </c>
    </row>
    <row r="34" spans="1:16" ht="12.75" customHeight="1" thickBot="1" x14ac:dyDescent="0.25">
      <c r="A34" s="13" t="str">
        <f t="shared" si="0"/>
        <v> AJ 64.263 </v>
      </c>
      <c r="B34" s="5" t="str">
        <f t="shared" si="1"/>
        <v>I</v>
      </c>
      <c r="C34" s="13">
        <f t="shared" si="2"/>
        <v>34223.690999999999</v>
      </c>
      <c r="D34" s="15" t="str">
        <f t="shared" si="3"/>
        <v>vis</v>
      </c>
      <c r="E34" s="42">
        <f>VLOOKUP(C34,Active!C$21:E$969,3,FALSE)</f>
        <v>1674.9956745235354</v>
      </c>
      <c r="F34" s="5" t="s">
        <v>55</v>
      </c>
      <c r="G34" s="15" t="str">
        <f t="shared" si="4"/>
        <v>34223.691</v>
      </c>
      <c r="H34" s="13">
        <f t="shared" si="5"/>
        <v>1675</v>
      </c>
      <c r="I34" s="43" t="s">
        <v>112</v>
      </c>
      <c r="J34" s="44" t="s">
        <v>113</v>
      </c>
      <c r="K34" s="43">
        <v>1675</v>
      </c>
      <c r="L34" s="43" t="s">
        <v>114</v>
      </c>
      <c r="M34" s="44" t="s">
        <v>57</v>
      </c>
      <c r="N34" s="44"/>
      <c r="O34" s="45" t="s">
        <v>90</v>
      </c>
      <c r="P34" s="45" t="s">
        <v>91</v>
      </c>
    </row>
    <row r="35" spans="1:16" ht="12.75" customHeight="1" thickBot="1" x14ac:dyDescent="0.25">
      <c r="A35" s="13" t="str">
        <f t="shared" si="0"/>
        <v> MSAI 40.385 </v>
      </c>
      <c r="B35" s="5" t="str">
        <f t="shared" si="1"/>
        <v>I</v>
      </c>
      <c r="C35" s="13">
        <f t="shared" si="2"/>
        <v>34243.468000000001</v>
      </c>
      <c r="D35" s="15" t="str">
        <f t="shared" si="3"/>
        <v>vis</v>
      </c>
      <c r="E35" s="42">
        <f>VLOOKUP(C35,Active!C$21:E$969,3,FALSE)</f>
        <v>1681.9618755040526</v>
      </c>
      <c r="F35" s="5" t="s">
        <v>55</v>
      </c>
      <c r="G35" s="15" t="str">
        <f t="shared" si="4"/>
        <v>34243.468</v>
      </c>
      <c r="H35" s="13">
        <f t="shared" si="5"/>
        <v>1682</v>
      </c>
      <c r="I35" s="43" t="s">
        <v>115</v>
      </c>
      <c r="J35" s="44" t="s">
        <v>116</v>
      </c>
      <c r="K35" s="43">
        <v>1682</v>
      </c>
      <c r="L35" s="43" t="s">
        <v>117</v>
      </c>
      <c r="M35" s="44" t="s">
        <v>61</v>
      </c>
      <c r="N35" s="44"/>
      <c r="O35" s="45" t="s">
        <v>110</v>
      </c>
      <c r="P35" s="45" t="s">
        <v>111</v>
      </c>
    </row>
    <row r="36" spans="1:16" ht="12.75" customHeight="1" thickBot="1" x14ac:dyDescent="0.25">
      <c r="A36" s="13" t="str">
        <f t="shared" si="0"/>
        <v> MSAI 40.385 </v>
      </c>
      <c r="B36" s="5" t="str">
        <f t="shared" si="1"/>
        <v>I</v>
      </c>
      <c r="C36" s="13">
        <f t="shared" si="2"/>
        <v>34300.428</v>
      </c>
      <c r="D36" s="15" t="str">
        <f t="shared" si="3"/>
        <v>vis</v>
      </c>
      <c r="E36" s="42">
        <f>VLOOKUP(C36,Active!C$21:E$969,3,FALSE)</f>
        <v>1702.0253233399333</v>
      </c>
      <c r="F36" s="5" t="s">
        <v>55</v>
      </c>
      <c r="G36" s="15" t="str">
        <f t="shared" si="4"/>
        <v>34300.428</v>
      </c>
      <c r="H36" s="13">
        <f t="shared" si="5"/>
        <v>1702</v>
      </c>
      <c r="I36" s="43" t="s">
        <v>118</v>
      </c>
      <c r="J36" s="44" t="s">
        <v>119</v>
      </c>
      <c r="K36" s="43">
        <v>1702</v>
      </c>
      <c r="L36" s="43" t="s">
        <v>120</v>
      </c>
      <c r="M36" s="44" t="s">
        <v>61</v>
      </c>
      <c r="N36" s="44"/>
      <c r="O36" s="45" t="s">
        <v>110</v>
      </c>
      <c r="P36" s="45" t="s">
        <v>111</v>
      </c>
    </row>
    <row r="37" spans="1:16" ht="12.75" customHeight="1" thickBot="1" x14ac:dyDescent="0.25">
      <c r="A37" s="13" t="str">
        <f t="shared" si="0"/>
        <v> AJ 64.263 </v>
      </c>
      <c r="B37" s="5" t="str">
        <f t="shared" si="1"/>
        <v>I</v>
      </c>
      <c r="C37" s="13">
        <f t="shared" si="2"/>
        <v>34334.462</v>
      </c>
      <c r="D37" s="15" t="str">
        <f t="shared" si="3"/>
        <v>vis</v>
      </c>
      <c r="E37" s="42">
        <f>VLOOKUP(C37,Active!C$21:E$969,3,FALSE)</f>
        <v>1714.0133743168708</v>
      </c>
      <c r="F37" s="5" t="s">
        <v>55</v>
      </c>
      <c r="G37" s="15" t="str">
        <f t="shared" si="4"/>
        <v>34334.462</v>
      </c>
      <c r="H37" s="13">
        <f t="shared" si="5"/>
        <v>1714</v>
      </c>
      <c r="I37" s="43" t="s">
        <v>121</v>
      </c>
      <c r="J37" s="44" t="s">
        <v>122</v>
      </c>
      <c r="K37" s="43">
        <v>1714</v>
      </c>
      <c r="L37" s="43" t="s">
        <v>123</v>
      </c>
      <c r="M37" s="44" t="s">
        <v>57</v>
      </c>
      <c r="N37" s="44"/>
      <c r="O37" s="45" t="s">
        <v>90</v>
      </c>
      <c r="P37" s="45" t="s">
        <v>91</v>
      </c>
    </row>
    <row r="38" spans="1:16" ht="12.75" customHeight="1" thickBot="1" x14ac:dyDescent="0.25">
      <c r="A38" s="13" t="str">
        <f t="shared" si="0"/>
        <v> MSAI 40.385 </v>
      </c>
      <c r="B38" s="5" t="str">
        <f t="shared" si="1"/>
        <v>I</v>
      </c>
      <c r="C38" s="13">
        <f t="shared" si="2"/>
        <v>34510.552000000003</v>
      </c>
      <c r="D38" s="15" t="str">
        <f t="shared" si="3"/>
        <v>vis</v>
      </c>
      <c r="E38" s="42">
        <f>VLOOKUP(C38,Active!C$21:E$969,3,FALSE)</f>
        <v>1776.0388751845037</v>
      </c>
      <c r="F38" s="5" t="s">
        <v>55</v>
      </c>
      <c r="G38" s="15" t="str">
        <f t="shared" si="4"/>
        <v>34510.552</v>
      </c>
      <c r="H38" s="13">
        <f t="shared" si="5"/>
        <v>1776</v>
      </c>
      <c r="I38" s="43" t="s">
        <v>124</v>
      </c>
      <c r="J38" s="44" t="s">
        <v>125</v>
      </c>
      <c r="K38" s="43">
        <v>1776</v>
      </c>
      <c r="L38" s="43" t="s">
        <v>126</v>
      </c>
      <c r="M38" s="44" t="s">
        <v>61</v>
      </c>
      <c r="N38" s="44"/>
      <c r="O38" s="45" t="s">
        <v>110</v>
      </c>
      <c r="P38" s="45" t="s">
        <v>111</v>
      </c>
    </row>
    <row r="39" spans="1:16" ht="12.75" customHeight="1" thickBot="1" x14ac:dyDescent="0.25">
      <c r="A39" s="13" t="str">
        <f t="shared" si="0"/>
        <v> MSAI 40.385 </v>
      </c>
      <c r="B39" s="5" t="str">
        <f t="shared" si="1"/>
        <v>I</v>
      </c>
      <c r="C39" s="13">
        <f t="shared" si="2"/>
        <v>34530.442000000003</v>
      </c>
      <c r="D39" s="15" t="str">
        <f t="shared" si="3"/>
        <v>vis</v>
      </c>
      <c r="E39" s="42">
        <f>VLOOKUP(C39,Active!C$21:E$969,3,FALSE)</f>
        <v>1783.0448790021942</v>
      </c>
      <c r="F39" s="5" t="s">
        <v>55</v>
      </c>
      <c r="G39" s="15" t="str">
        <f t="shared" si="4"/>
        <v>34530.442</v>
      </c>
      <c r="H39" s="13">
        <f t="shared" si="5"/>
        <v>1783</v>
      </c>
      <c r="I39" s="43" t="s">
        <v>127</v>
      </c>
      <c r="J39" s="44" t="s">
        <v>128</v>
      </c>
      <c r="K39" s="43">
        <v>1783</v>
      </c>
      <c r="L39" s="43" t="s">
        <v>129</v>
      </c>
      <c r="M39" s="44" t="s">
        <v>61</v>
      </c>
      <c r="N39" s="44"/>
      <c r="O39" s="45" t="s">
        <v>110</v>
      </c>
      <c r="P39" s="45" t="s">
        <v>111</v>
      </c>
    </row>
    <row r="40" spans="1:16" ht="12.75" customHeight="1" thickBot="1" x14ac:dyDescent="0.25">
      <c r="A40" s="13" t="str">
        <f t="shared" si="0"/>
        <v> MSAI 40.385 </v>
      </c>
      <c r="B40" s="5" t="str">
        <f t="shared" si="1"/>
        <v>I</v>
      </c>
      <c r="C40" s="13">
        <f t="shared" si="2"/>
        <v>34581.440000000002</v>
      </c>
      <c r="D40" s="15" t="str">
        <f t="shared" si="3"/>
        <v>vis</v>
      </c>
      <c r="E40" s="42">
        <f>VLOOKUP(C40,Active!C$21:E$969,3,FALSE)</f>
        <v>1801.0082868802535</v>
      </c>
      <c r="F40" s="5" t="s">
        <v>55</v>
      </c>
      <c r="G40" s="15" t="str">
        <f t="shared" si="4"/>
        <v>34581.440</v>
      </c>
      <c r="H40" s="13">
        <f t="shared" si="5"/>
        <v>1801</v>
      </c>
      <c r="I40" s="43" t="s">
        <v>130</v>
      </c>
      <c r="J40" s="44" t="s">
        <v>131</v>
      </c>
      <c r="K40" s="43">
        <v>1801</v>
      </c>
      <c r="L40" s="43" t="s">
        <v>83</v>
      </c>
      <c r="M40" s="44" t="s">
        <v>61</v>
      </c>
      <c r="N40" s="44"/>
      <c r="O40" s="45" t="s">
        <v>110</v>
      </c>
      <c r="P40" s="45" t="s">
        <v>111</v>
      </c>
    </row>
    <row r="41" spans="1:16" ht="12.75" customHeight="1" thickBot="1" x14ac:dyDescent="0.25">
      <c r="A41" s="13" t="str">
        <f t="shared" si="0"/>
        <v> AJ 64.263 </v>
      </c>
      <c r="B41" s="5" t="str">
        <f t="shared" si="1"/>
        <v>I</v>
      </c>
      <c r="C41" s="13">
        <f t="shared" si="2"/>
        <v>34683.637000000002</v>
      </c>
      <c r="D41" s="15" t="str">
        <f t="shared" si="3"/>
        <v>vis</v>
      </c>
      <c r="E41" s="42">
        <f>VLOOKUP(C41,Active!C$21:E$969,3,FALSE)</f>
        <v>1837.0059023732929</v>
      </c>
      <c r="F41" s="5" t="s">
        <v>55</v>
      </c>
      <c r="G41" s="15" t="str">
        <f t="shared" si="4"/>
        <v>34683.637</v>
      </c>
      <c r="H41" s="13">
        <f t="shared" si="5"/>
        <v>1837</v>
      </c>
      <c r="I41" s="43" t="s">
        <v>132</v>
      </c>
      <c r="J41" s="44" t="s">
        <v>133</v>
      </c>
      <c r="K41" s="43">
        <v>1837</v>
      </c>
      <c r="L41" s="43" t="s">
        <v>134</v>
      </c>
      <c r="M41" s="44" t="s">
        <v>57</v>
      </c>
      <c r="N41" s="44"/>
      <c r="O41" s="45" t="s">
        <v>90</v>
      </c>
      <c r="P41" s="45" t="s">
        <v>91</v>
      </c>
    </row>
    <row r="42" spans="1:16" ht="12.75" customHeight="1" thickBot="1" x14ac:dyDescent="0.25">
      <c r="A42" s="13" t="str">
        <f t="shared" si="0"/>
        <v> AJ 64.263 </v>
      </c>
      <c r="B42" s="5" t="str">
        <f t="shared" si="1"/>
        <v>I</v>
      </c>
      <c r="C42" s="13">
        <f t="shared" si="2"/>
        <v>35089.597999999998</v>
      </c>
      <c r="D42" s="15" t="str">
        <f t="shared" si="3"/>
        <v>vis</v>
      </c>
      <c r="E42" s="42">
        <f>VLOOKUP(C42,Active!C$21:E$969,3,FALSE)</f>
        <v>1980.000588941095</v>
      </c>
      <c r="F42" s="5" t="s">
        <v>55</v>
      </c>
      <c r="G42" s="15" t="str">
        <f t="shared" si="4"/>
        <v>35089.598</v>
      </c>
      <c r="H42" s="13">
        <f t="shared" si="5"/>
        <v>1980</v>
      </c>
      <c r="I42" s="43" t="s">
        <v>135</v>
      </c>
      <c r="J42" s="44" t="s">
        <v>136</v>
      </c>
      <c r="K42" s="43">
        <v>1980</v>
      </c>
      <c r="L42" s="43" t="s">
        <v>103</v>
      </c>
      <c r="M42" s="44" t="s">
        <v>57</v>
      </c>
      <c r="N42" s="44"/>
      <c r="O42" s="45" t="s">
        <v>90</v>
      </c>
      <c r="P42" s="45" t="s">
        <v>91</v>
      </c>
    </row>
    <row r="43" spans="1:16" ht="12.75" customHeight="1" thickBot="1" x14ac:dyDescent="0.25">
      <c r="A43" s="13" t="str">
        <f t="shared" ref="A43:A72" si="6">P43</f>
        <v> AJ 64.263 </v>
      </c>
      <c r="B43" s="5" t="str">
        <f t="shared" ref="B43:B72" si="7">IF(H43=INT(H43),"I","II")</f>
        <v>I</v>
      </c>
      <c r="C43" s="13">
        <f t="shared" ref="C43:C72" si="8">1*G43</f>
        <v>35299.667999999998</v>
      </c>
      <c r="D43" s="15" t="str">
        <f t="shared" ref="D43:D72" si="9">VLOOKUP(F43,I$1:J$5,2,FALSE)</f>
        <v>vis</v>
      </c>
      <c r="E43" s="42">
        <f>VLOOKUP(C43,Active!C$21:E$969,3,FALSE)</f>
        <v>2053.9951199608195</v>
      </c>
      <c r="F43" s="5" t="s">
        <v>55</v>
      </c>
      <c r="G43" s="15" t="str">
        <f t="shared" ref="G43:G72" si="10">MID(I43,3,LEN(I43)-3)</f>
        <v>35299.668</v>
      </c>
      <c r="H43" s="13">
        <f t="shared" ref="H43:H72" si="11">1*K43</f>
        <v>2054</v>
      </c>
      <c r="I43" s="43" t="s">
        <v>137</v>
      </c>
      <c r="J43" s="44" t="s">
        <v>138</v>
      </c>
      <c r="K43" s="43">
        <v>2054</v>
      </c>
      <c r="L43" s="43" t="s">
        <v>139</v>
      </c>
      <c r="M43" s="44" t="s">
        <v>57</v>
      </c>
      <c r="N43" s="44"/>
      <c r="O43" s="45" t="s">
        <v>90</v>
      </c>
      <c r="P43" s="45" t="s">
        <v>91</v>
      </c>
    </row>
    <row r="44" spans="1:16" ht="12.75" customHeight="1" thickBot="1" x14ac:dyDescent="0.25">
      <c r="A44" s="13" t="str">
        <f t="shared" si="6"/>
        <v> AJ 64.263 </v>
      </c>
      <c r="B44" s="5" t="str">
        <f t="shared" si="7"/>
        <v>I</v>
      </c>
      <c r="C44" s="13">
        <f t="shared" si="8"/>
        <v>35651.705999999998</v>
      </c>
      <c r="D44" s="15" t="str">
        <f t="shared" si="9"/>
        <v>vis</v>
      </c>
      <c r="E44" s="42">
        <f>VLOOKUP(C44,Active!C$21:E$969,3,FALSE)</f>
        <v>2177.9961039714917</v>
      </c>
      <c r="F44" s="5" t="s">
        <v>55</v>
      </c>
      <c r="G44" s="15" t="str">
        <f t="shared" si="10"/>
        <v>35651.706</v>
      </c>
      <c r="H44" s="13">
        <f t="shared" si="11"/>
        <v>2178</v>
      </c>
      <c r="I44" s="43" t="s">
        <v>140</v>
      </c>
      <c r="J44" s="44" t="s">
        <v>141</v>
      </c>
      <c r="K44" s="43">
        <v>2178</v>
      </c>
      <c r="L44" s="43" t="s">
        <v>142</v>
      </c>
      <c r="M44" s="44" t="s">
        <v>57</v>
      </c>
      <c r="N44" s="44"/>
      <c r="O44" s="45" t="s">
        <v>90</v>
      </c>
      <c r="P44" s="45" t="s">
        <v>91</v>
      </c>
    </row>
    <row r="45" spans="1:16" ht="12.75" customHeight="1" thickBot="1" x14ac:dyDescent="0.25">
      <c r="A45" s="13" t="str">
        <f t="shared" si="6"/>
        <v> HABZ 38 </v>
      </c>
      <c r="B45" s="5" t="str">
        <f t="shared" si="7"/>
        <v>II</v>
      </c>
      <c r="C45" s="13">
        <f t="shared" si="8"/>
        <v>36848.385000000002</v>
      </c>
      <c r="D45" s="15" t="str">
        <f t="shared" si="9"/>
        <v>vis</v>
      </c>
      <c r="E45" s="42">
        <f>VLOOKUP(C45,Active!C$21:E$969,3,FALSE)</f>
        <v>2599.5113197859987</v>
      </c>
      <c r="F45" s="5" t="s">
        <v>55</v>
      </c>
      <c r="G45" s="15" t="str">
        <f t="shared" si="10"/>
        <v>36848.385</v>
      </c>
      <c r="H45" s="13">
        <f t="shared" si="11"/>
        <v>2599.5</v>
      </c>
      <c r="I45" s="43" t="s">
        <v>143</v>
      </c>
      <c r="J45" s="44" t="s">
        <v>144</v>
      </c>
      <c r="K45" s="43">
        <v>2599.5</v>
      </c>
      <c r="L45" s="43" t="s">
        <v>145</v>
      </c>
      <c r="M45" s="44" t="s">
        <v>61</v>
      </c>
      <c r="N45" s="44"/>
      <c r="O45" s="45" t="s">
        <v>146</v>
      </c>
      <c r="P45" s="45" t="s">
        <v>147</v>
      </c>
    </row>
    <row r="46" spans="1:16" ht="12.75" customHeight="1" thickBot="1" x14ac:dyDescent="0.25">
      <c r="A46" s="13" t="str">
        <f t="shared" si="6"/>
        <v> HABZ 38 </v>
      </c>
      <c r="B46" s="5" t="str">
        <f t="shared" si="7"/>
        <v>II</v>
      </c>
      <c r="C46" s="13">
        <f t="shared" si="8"/>
        <v>36902.262999999999</v>
      </c>
      <c r="D46" s="15" t="str">
        <f t="shared" si="9"/>
        <v>vis</v>
      </c>
      <c r="E46" s="42">
        <f>VLOOKUP(C46,Active!C$21:E$969,3,FALSE)</f>
        <v>2618.4891716557586</v>
      </c>
      <c r="F46" s="5" t="s">
        <v>55</v>
      </c>
      <c r="G46" s="15" t="str">
        <f t="shared" si="10"/>
        <v>36902.263</v>
      </c>
      <c r="H46" s="13">
        <f t="shared" si="11"/>
        <v>2618.5</v>
      </c>
      <c r="I46" s="43" t="s">
        <v>148</v>
      </c>
      <c r="J46" s="44" t="s">
        <v>149</v>
      </c>
      <c r="K46" s="43">
        <v>2618.5</v>
      </c>
      <c r="L46" s="43" t="s">
        <v>89</v>
      </c>
      <c r="M46" s="44" t="s">
        <v>61</v>
      </c>
      <c r="N46" s="44"/>
      <c r="O46" s="45" t="s">
        <v>146</v>
      </c>
      <c r="P46" s="45" t="s">
        <v>147</v>
      </c>
    </row>
    <row r="47" spans="1:16" ht="12.75" customHeight="1" thickBot="1" x14ac:dyDescent="0.25">
      <c r="A47" s="13" t="str">
        <f t="shared" si="6"/>
        <v> HABZ 38 </v>
      </c>
      <c r="B47" s="5" t="str">
        <f t="shared" si="7"/>
        <v>II</v>
      </c>
      <c r="C47" s="13">
        <f t="shared" si="8"/>
        <v>37146.464999999997</v>
      </c>
      <c r="D47" s="15" t="str">
        <f t="shared" si="9"/>
        <v>vis</v>
      </c>
      <c r="E47" s="42">
        <f>VLOOKUP(C47,Active!C$21:E$969,3,FALSE)</f>
        <v>2704.5062729271381</v>
      </c>
      <c r="F47" s="5" t="s">
        <v>55</v>
      </c>
      <c r="G47" s="15" t="str">
        <f t="shared" si="10"/>
        <v>37146.465</v>
      </c>
      <c r="H47" s="13">
        <f t="shared" si="11"/>
        <v>2704.5</v>
      </c>
      <c r="I47" s="43" t="s">
        <v>150</v>
      </c>
      <c r="J47" s="44" t="s">
        <v>151</v>
      </c>
      <c r="K47" s="43">
        <v>2704.5</v>
      </c>
      <c r="L47" s="43" t="s">
        <v>152</v>
      </c>
      <c r="M47" s="44" t="s">
        <v>61</v>
      </c>
      <c r="N47" s="44"/>
      <c r="O47" s="45" t="s">
        <v>146</v>
      </c>
      <c r="P47" s="45" t="s">
        <v>147</v>
      </c>
    </row>
    <row r="48" spans="1:16" ht="12.75" customHeight="1" thickBot="1" x14ac:dyDescent="0.25">
      <c r="A48" s="13" t="str">
        <f t="shared" si="6"/>
        <v> HABZ 38 </v>
      </c>
      <c r="B48" s="5" t="str">
        <f t="shared" si="7"/>
        <v>I</v>
      </c>
      <c r="C48" s="13">
        <f t="shared" si="8"/>
        <v>37190.411999999997</v>
      </c>
      <c r="D48" s="15" t="str">
        <f t="shared" si="9"/>
        <v>vis</v>
      </c>
      <c r="E48" s="42">
        <f>VLOOKUP(C48,Active!C$21:E$969,3,FALSE)</f>
        <v>2719.9860542130132</v>
      </c>
      <c r="F48" s="5" t="s">
        <v>55</v>
      </c>
      <c r="G48" s="15" t="str">
        <f t="shared" si="10"/>
        <v>37190.412</v>
      </c>
      <c r="H48" s="13">
        <f t="shared" si="11"/>
        <v>2720</v>
      </c>
      <c r="I48" s="43" t="s">
        <v>153</v>
      </c>
      <c r="J48" s="44" t="s">
        <v>154</v>
      </c>
      <c r="K48" s="43">
        <v>2720</v>
      </c>
      <c r="L48" s="43" t="s">
        <v>155</v>
      </c>
      <c r="M48" s="44" t="s">
        <v>61</v>
      </c>
      <c r="N48" s="44"/>
      <c r="O48" s="45" t="s">
        <v>146</v>
      </c>
      <c r="P48" s="45" t="s">
        <v>147</v>
      </c>
    </row>
    <row r="49" spans="1:16" ht="12.75" customHeight="1" thickBot="1" x14ac:dyDescent="0.25">
      <c r="A49" s="13" t="str">
        <f t="shared" si="6"/>
        <v> MSAI 40.385 </v>
      </c>
      <c r="B49" s="5" t="str">
        <f t="shared" si="7"/>
        <v>I</v>
      </c>
      <c r="C49" s="13">
        <f t="shared" si="8"/>
        <v>37542.398999999998</v>
      </c>
      <c r="D49" s="15" t="str">
        <f t="shared" si="9"/>
        <v>vis</v>
      </c>
      <c r="E49" s="42">
        <f>VLOOKUP(C49,Active!C$21:E$969,3,FALSE)</f>
        <v>2843.9690741113327</v>
      </c>
      <c r="F49" s="5" t="s">
        <v>55</v>
      </c>
      <c r="G49" s="15" t="str">
        <f t="shared" si="10"/>
        <v>37542.399</v>
      </c>
      <c r="H49" s="13">
        <f t="shared" si="11"/>
        <v>2844</v>
      </c>
      <c r="I49" s="43" t="s">
        <v>156</v>
      </c>
      <c r="J49" s="44" t="s">
        <v>157</v>
      </c>
      <c r="K49" s="43">
        <v>2844</v>
      </c>
      <c r="L49" s="43" t="s">
        <v>158</v>
      </c>
      <c r="M49" s="44" t="s">
        <v>61</v>
      </c>
      <c r="N49" s="44"/>
      <c r="O49" s="45" t="s">
        <v>110</v>
      </c>
      <c r="P49" s="45" t="s">
        <v>111</v>
      </c>
    </row>
    <row r="50" spans="1:16" ht="12.75" customHeight="1" thickBot="1" x14ac:dyDescent="0.25">
      <c r="A50" s="13" t="str">
        <f t="shared" si="6"/>
        <v> MSAI 40.385 </v>
      </c>
      <c r="B50" s="5" t="str">
        <f t="shared" si="7"/>
        <v>I</v>
      </c>
      <c r="C50" s="13">
        <f t="shared" si="8"/>
        <v>37559.387999999999</v>
      </c>
      <c r="D50" s="15" t="str">
        <f t="shared" si="9"/>
        <v>vis</v>
      </c>
      <c r="E50" s="42">
        <f>VLOOKUP(C50,Active!C$21:E$969,3,FALSE)</f>
        <v>2849.9532369498825</v>
      </c>
      <c r="F50" s="5" t="s">
        <v>55</v>
      </c>
      <c r="G50" s="15" t="str">
        <f t="shared" si="10"/>
        <v>37559.388</v>
      </c>
      <c r="H50" s="13">
        <f t="shared" si="11"/>
        <v>2850</v>
      </c>
      <c r="I50" s="43" t="s">
        <v>159</v>
      </c>
      <c r="J50" s="44" t="s">
        <v>160</v>
      </c>
      <c r="K50" s="43">
        <v>2850</v>
      </c>
      <c r="L50" s="43" t="s">
        <v>161</v>
      </c>
      <c r="M50" s="44" t="s">
        <v>61</v>
      </c>
      <c r="N50" s="44"/>
      <c r="O50" s="45" t="s">
        <v>110</v>
      </c>
      <c r="P50" s="45" t="s">
        <v>111</v>
      </c>
    </row>
    <row r="51" spans="1:16" ht="12.75" customHeight="1" thickBot="1" x14ac:dyDescent="0.25">
      <c r="A51" s="13" t="str">
        <f t="shared" si="6"/>
        <v> HABZ 38 </v>
      </c>
      <c r="B51" s="5" t="str">
        <f t="shared" si="7"/>
        <v>I</v>
      </c>
      <c r="C51" s="13">
        <f t="shared" si="8"/>
        <v>37579.387999999999</v>
      </c>
      <c r="D51" s="15" t="str">
        <f t="shared" si="9"/>
        <v>vis</v>
      </c>
      <c r="E51" s="42">
        <f>VLOOKUP(C51,Active!C$21:E$969,3,FALSE)</f>
        <v>2856.9979868922564</v>
      </c>
      <c r="F51" s="5" t="s">
        <v>55</v>
      </c>
      <c r="G51" s="15" t="str">
        <f t="shared" si="10"/>
        <v>37579.388</v>
      </c>
      <c r="H51" s="13">
        <f t="shared" si="11"/>
        <v>2857</v>
      </c>
      <c r="I51" s="43" t="s">
        <v>162</v>
      </c>
      <c r="J51" s="44" t="s">
        <v>163</v>
      </c>
      <c r="K51" s="43">
        <v>2857</v>
      </c>
      <c r="L51" s="43" t="s">
        <v>164</v>
      </c>
      <c r="M51" s="44" t="s">
        <v>61</v>
      </c>
      <c r="N51" s="44"/>
      <c r="O51" s="45" t="s">
        <v>146</v>
      </c>
      <c r="P51" s="45" t="s">
        <v>147</v>
      </c>
    </row>
    <row r="52" spans="1:16" ht="12.75" customHeight="1" thickBot="1" x14ac:dyDescent="0.25">
      <c r="A52" s="13" t="str">
        <f t="shared" si="6"/>
        <v> HABZ 38 </v>
      </c>
      <c r="B52" s="5" t="str">
        <f t="shared" si="7"/>
        <v>I</v>
      </c>
      <c r="C52" s="13">
        <f t="shared" si="8"/>
        <v>37582.307999999997</v>
      </c>
      <c r="D52" s="15" t="str">
        <f t="shared" si="9"/>
        <v>vis</v>
      </c>
      <c r="E52" s="42">
        <f>VLOOKUP(C52,Active!C$21:E$969,3,FALSE)</f>
        <v>2858.0265203838426</v>
      </c>
      <c r="F52" s="5" t="s">
        <v>55</v>
      </c>
      <c r="G52" s="15" t="str">
        <f t="shared" si="10"/>
        <v>37582.308</v>
      </c>
      <c r="H52" s="13">
        <f t="shared" si="11"/>
        <v>2858</v>
      </c>
      <c r="I52" s="43" t="s">
        <v>165</v>
      </c>
      <c r="J52" s="44" t="s">
        <v>166</v>
      </c>
      <c r="K52" s="43">
        <v>2858</v>
      </c>
      <c r="L52" s="43" t="s">
        <v>167</v>
      </c>
      <c r="M52" s="44" t="s">
        <v>61</v>
      </c>
      <c r="N52" s="44"/>
      <c r="O52" s="45" t="s">
        <v>146</v>
      </c>
      <c r="P52" s="45" t="s">
        <v>147</v>
      </c>
    </row>
    <row r="53" spans="1:16" ht="12.75" customHeight="1" thickBot="1" x14ac:dyDescent="0.25">
      <c r="A53" s="13" t="str">
        <f t="shared" si="6"/>
        <v> MSAI 40.385 </v>
      </c>
      <c r="B53" s="5" t="str">
        <f t="shared" si="7"/>
        <v>I</v>
      </c>
      <c r="C53" s="13">
        <f t="shared" si="8"/>
        <v>37582.347000000002</v>
      </c>
      <c r="D53" s="15" t="str">
        <f t="shared" si="9"/>
        <v>vis</v>
      </c>
      <c r="E53" s="42">
        <f>VLOOKUP(C53,Active!C$21:E$969,3,FALSE)</f>
        <v>2858.0402576462316</v>
      </c>
      <c r="F53" s="5" t="s">
        <v>55</v>
      </c>
      <c r="G53" s="15" t="str">
        <f t="shared" si="10"/>
        <v>37582.347</v>
      </c>
      <c r="H53" s="13">
        <f t="shared" si="11"/>
        <v>2858</v>
      </c>
      <c r="I53" s="43" t="s">
        <v>168</v>
      </c>
      <c r="J53" s="44" t="s">
        <v>169</v>
      </c>
      <c r="K53" s="43">
        <v>2858</v>
      </c>
      <c r="L53" s="43" t="s">
        <v>170</v>
      </c>
      <c r="M53" s="44" t="s">
        <v>61</v>
      </c>
      <c r="N53" s="44"/>
      <c r="O53" s="45" t="s">
        <v>110</v>
      </c>
      <c r="P53" s="45" t="s">
        <v>111</v>
      </c>
    </row>
    <row r="54" spans="1:16" ht="12.75" customHeight="1" thickBot="1" x14ac:dyDescent="0.25">
      <c r="A54" s="13" t="str">
        <f t="shared" si="6"/>
        <v> HABZ 38 </v>
      </c>
      <c r="B54" s="5" t="str">
        <f t="shared" si="7"/>
        <v>II</v>
      </c>
      <c r="C54" s="13">
        <f t="shared" si="8"/>
        <v>37961.294999999998</v>
      </c>
      <c r="D54" s="15" t="str">
        <f t="shared" si="9"/>
        <v>vis</v>
      </c>
      <c r="E54" s="42">
        <f>VLOOKUP(C54,Active!C$21:E$969,3,FALSE)</f>
        <v>2991.5199527043665</v>
      </c>
      <c r="F54" s="5" t="s">
        <v>55</v>
      </c>
      <c r="G54" s="15" t="str">
        <f t="shared" si="10"/>
        <v>37961.295</v>
      </c>
      <c r="H54" s="13">
        <f t="shared" si="11"/>
        <v>2991.5</v>
      </c>
      <c r="I54" s="43" t="s">
        <v>171</v>
      </c>
      <c r="J54" s="44" t="s">
        <v>172</v>
      </c>
      <c r="K54" s="43">
        <v>2991.5</v>
      </c>
      <c r="L54" s="43" t="s">
        <v>173</v>
      </c>
      <c r="M54" s="44" t="s">
        <v>61</v>
      </c>
      <c r="N54" s="44"/>
      <c r="O54" s="45" t="s">
        <v>146</v>
      </c>
      <c r="P54" s="45" t="s">
        <v>147</v>
      </c>
    </row>
    <row r="55" spans="1:16" ht="12.75" customHeight="1" thickBot="1" x14ac:dyDescent="0.25">
      <c r="A55" s="13" t="str">
        <f t="shared" si="6"/>
        <v> BBS 23 </v>
      </c>
      <c r="B55" s="5" t="str">
        <f t="shared" si="7"/>
        <v>I</v>
      </c>
      <c r="C55" s="13">
        <f t="shared" si="8"/>
        <v>42621.461000000003</v>
      </c>
      <c r="D55" s="15" t="str">
        <f t="shared" si="9"/>
        <v>vis</v>
      </c>
      <c r="E55" s="42">
        <f>VLOOKUP(C55,Active!C$21:E$969,3,FALSE)</f>
        <v>4633.0051607020196</v>
      </c>
      <c r="F55" s="5" t="s">
        <v>55</v>
      </c>
      <c r="G55" s="15" t="str">
        <f t="shared" si="10"/>
        <v>42621.461</v>
      </c>
      <c r="H55" s="13">
        <f t="shared" si="11"/>
        <v>4633</v>
      </c>
      <c r="I55" s="43" t="s">
        <v>174</v>
      </c>
      <c r="J55" s="44" t="s">
        <v>175</v>
      </c>
      <c r="K55" s="43">
        <v>4633</v>
      </c>
      <c r="L55" s="43" t="s">
        <v>72</v>
      </c>
      <c r="M55" s="44" t="s">
        <v>73</v>
      </c>
      <c r="N55" s="44"/>
      <c r="O55" s="45" t="s">
        <v>176</v>
      </c>
      <c r="P55" s="45" t="s">
        <v>177</v>
      </c>
    </row>
    <row r="56" spans="1:16" ht="12.75" customHeight="1" thickBot="1" x14ac:dyDescent="0.25">
      <c r="A56" s="13" t="str">
        <f t="shared" si="6"/>
        <v> AOEB 10 </v>
      </c>
      <c r="B56" s="5" t="str">
        <f t="shared" si="7"/>
        <v>I</v>
      </c>
      <c r="C56" s="13">
        <f t="shared" si="8"/>
        <v>43373.822999999997</v>
      </c>
      <c r="D56" s="15" t="str">
        <f t="shared" si="9"/>
        <v>vis</v>
      </c>
      <c r="E56" s="42">
        <f>VLOOKUP(C56,Active!C$21:E$969,3,FALSE)</f>
        <v>4898.0152685092344</v>
      </c>
      <c r="F56" s="5" t="s">
        <v>55</v>
      </c>
      <c r="G56" s="15" t="str">
        <f t="shared" si="10"/>
        <v>43373.823</v>
      </c>
      <c r="H56" s="13">
        <f t="shared" si="11"/>
        <v>4898</v>
      </c>
      <c r="I56" s="43" t="s">
        <v>178</v>
      </c>
      <c r="J56" s="44" t="s">
        <v>179</v>
      </c>
      <c r="K56" s="43">
        <v>4898</v>
      </c>
      <c r="L56" s="43" t="s">
        <v>180</v>
      </c>
      <c r="M56" s="44" t="s">
        <v>73</v>
      </c>
      <c r="N56" s="44"/>
      <c r="O56" s="45" t="s">
        <v>181</v>
      </c>
      <c r="P56" s="45" t="s">
        <v>182</v>
      </c>
    </row>
    <row r="57" spans="1:16" ht="12.75" customHeight="1" thickBot="1" x14ac:dyDescent="0.25">
      <c r="A57" s="13" t="str">
        <f t="shared" si="6"/>
        <v> BBS 39 </v>
      </c>
      <c r="B57" s="5" t="str">
        <f t="shared" si="7"/>
        <v>I</v>
      </c>
      <c r="C57" s="13">
        <f t="shared" si="8"/>
        <v>43805.322999999997</v>
      </c>
      <c r="D57" s="15" t="str">
        <f t="shared" si="9"/>
        <v>vis</v>
      </c>
      <c r="E57" s="42">
        <f>VLOOKUP(C57,Active!C$21:E$969,3,FALSE)</f>
        <v>5050.0057485159523</v>
      </c>
      <c r="F57" s="5" t="s">
        <v>55</v>
      </c>
      <c r="G57" s="15" t="str">
        <f t="shared" si="10"/>
        <v>43805.323</v>
      </c>
      <c r="H57" s="13">
        <f t="shared" si="11"/>
        <v>5050</v>
      </c>
      <c r="I57" s="43" t="s">
        <v>183</v>
      </c>
      <c r="J57" s="44" t="s">
        <v>184</v>
      </c>
      <c r="K57" s="43">
        <v>5050</v>
      </c>
      <c r="L57" s="43" t="s">
        <v>185</v>
      </c>
      <c r="M57" s="44" t="s">
        <v>73</v>
      </c>
      <c r="N57" s="44"/>
      <c r="O57" s="45" t="s">
        <v>186</v>
      </c>
      <c r="P57" s="45" t="s">
        <v>187</v>
      </c>
    </row>
    <row r="58" spans="1:16" ht="12.75" customHeight="1" thickBot="1" x14ac:dyDescent="0.25">
      <c r="A58" s="13" t="str">
        <f t="shared" si="6"/>
        <v> AOEB 10 </v>
      </c>
      <c r="B58" s="5" t="str">
        <f t="shared" si="7"/>
        <v>I</v>
      </c>
      <c r="C58" s="13">
        <f t="shared" si="8"/>
        <v>44486.684999999998</v>
      </c>
      <c r="D58" s="15" t="str">
        <f t="shared" si="9"/>
        <v>vis</v>
      </c>
      <c r="E58" s="42">
        <f>VLOOKUP(C58,Active!C$21:E$969,3,FALSE)</f>
        <v>5290.0069940277426</v>
      </c>
      <c r="F58" s="5" t="s">
        <v>55</v>
      </c>
      <c r="G58" s="15" t="str">
        <f t="shared" si="10"/>
        <v>44486.685</v>
      </c>
      <c r="H58" s="13">
        <f t="shared" si="11"/>
        <v>5290</v>
      </c>
      <c r="I58" s="43" t="s">
        <v>188</v>
      </c>
      <c r="J58" s="44" t="s">
        <v>189</v>
      </c>
      <c r="K58" s="43">
        <v>5290</v>
      </c>
      <c r="L58" s="43" t="s">
        <v>190</v>
      </c>
      <c r="M58" s="44" t="s">
        <v>73</v>
      </c>
      <c r="N58" s="44"/>
      <c r="O58" s="45" t="s">
        <v>191</v>
      </c>
      <c r="P58" s="45" t="s">
        <v>182</v>
      </c>
    </row>
    <row r="59" spans="1:16" ht="12.75" customHeight="1" thickBot="1" x14ac:dyDescent="0.25">
      <c r="A59" s="13" t="str">
        <f t="shared" si="6"/>
        <v> AOEB 10 </v>
      </c>
      <c r="B59" s="5" t="str">
        <f t="shared" si="7"/>
        <v>I</v>
      </c>
      <c r="C59" s="13">
        <f t="shared" si="8"/>
        <v>45173.712</v>
      </c>
      <c r="D59" s="15" t="str">
        <f t="shared" si="9"/>
        <v>vis</v>
      </c>
      <c r="E59" s="42">
        <f>VLOOKUP(C59,Active!C$21:E$969,3,FALSE)</f>
        <v>5532.0036649607109</v>
      </c>
      <c r="F59" s="5" t="s">
        <v>55</v>
      </c>
      <c r="G59" s="15" t="str">
        <f t="shared" si="10"/>
        <v>45173.712</v>
      </c>
      <c r="H59" s="13">
        <f t="shared" si="11"/>
        <v>5532</v>
      </c>
      <c r="I59" s="43" t="s">
        <v>192</v>
      </c>
      <c r="J59" s="44" t="s">
        <v>193</v>
      </c>
      <c r="K59" s="43">
        <v>5532</v>
      </c>
      <c r="L59" s="43" t="s">
        <v>194</v>
      </c>
      <c r="M59" s="44" t="s">
        <v>73</v>
      </c>
      <c r="N59" s="44"/>
      <c r="O59" s="45" t="s">
        <v>195</v>
      </c>
      <c r="P59" s="45" t="s">
        <v>182</v>
      </c>
    </row>
    <row r="60" spans="1:16" ht="12.75" customHeight="1" thickBot="1" x14ac:dyDescent="0.25">
      <c r="A60" s="13" t="str">
        <f t="shared" si="6"/>
        <v> AOEB 10 </v>
      </c>
      <c r="B60" s="5" t="str">
        <f t="shared" si="7"/>
        <v>I</v>
      </c>
      <c r="C60" s="13">
        <f t="shared" si="8"/>
        <v>45298.627999999997</v>
      </c>
      <c r="D60" s="15" t="str">
        <f t="shared" si="9"/>
        <v>vis</v>
      </c>
      <c r="E60" s="42">
        <f>VLOOKUP(C60,Active!C$21:E$969,3,FALSE)</f>
        <v>5576.0037641507888</v>
      </c>
      <c r="F60" s="5" t="s">
        <v>55</v>
      </c>
      <c r="G60" s="15" t="str">
        <f t="shared" si="10"/>
        <v>45298.628</v>
      </c>
      <c r="H60" s="13">
        <f t="shared" si="11"/>
        <v>5576</v>
      </c>
      <c r="I60" s="43" t="s">
        <v>196</v>
      </c>
      <c r="J60" s="44" t="s">
        <v>197</v>
      </c>
      <c r="K60" s="43">
        <v>5576</v>
      </c>
      <c r="L60" s="43" t="s">
        <v>198</v>
      </c>
      <c r="M60" s="44" t="s">
        <v>73</v>
      </c>
      <c r="N60" s="44"/>
      <c r="O60" s="45" t="s">
        <v>195</v>
      </c>
      <c r="P60" s="45" t="s">
        <v>182</v>
      </c>
    </row>
    <row r="61" spans="1:16" ht="12.75" customHeight="1" thickBot="1" x14ac:dyDescent="0.25">
      <c r="A61" s="13" t="str">
        <f t="shared" si="6"/>
        <v> AOEB 10 </v>
      </c>
      <c r="B61" s="5" t="str">
        <f t="shared" si="7"/>
        <v>I</v>
      </c>
      <c r="C61" s="13">
        <f t="shared" si="8"/>
        <v>46709.625</v>
      </c>
      <c r="D61" s="15" t="str">
        <f t="shared" si="9"/>
        <v>vis</v>
      </c>
      <c r="E61" s="42">
        <f>VLOOKUP(C61,Active!C$21:E$969,3,FALSE)</f>
        <v>6073.0098158727806</v>
      </c>
      <c r="F61" s="5" t="s">
        <v>55</v>
      </c>
      <c r="G61" s="15" t="str">
        <f t="shared" si="10"/>
        <v>46709.625</v>
      </c>
      <c r="H61" s="13">
        <f t="shared" si="11"/>
        <v>6073</v>
      </c>
      <c r="I61" s="43" t="s">
        <v>199</v>
      </c>
      <c r="J61" s="44" t="s">
        <v>200</v>
      </c>
      <c r="K61" s="43">
        <v>6073</v>
      </c>
      <c r="L61" s="43" t="s">
        <v>201</v>
      </c>
      <c r="M61" s="44" t="s">
        <v>73</v>
      </c>
      <c r="N61" s="44"/>
      <c r="O61" s="45" t="s">
        <v>195</v>
      </c>
      <c r="P61" s="45" t="s">
        <v>182</v>
      </c>
    </row>
    <row r="62" spans="1:16" ht="12.75" customHeight="1" thickBot="1" x14ac:dyDescent="0.25">
      <c r="A62" s="13" t="str">
        <f t="shared" si="6"/>
        <v> BBS 93 </v>
      </c>
      <c r="B62" s="5" t="str">
        <f t="shared" si="7"/>
        <v>I</v>
      </c>
      <c r="C62" s="13">
        <f t="shared" si="8"/>
        <v>47825.357000000004</v>
      </c>
      <c r="D62" s="15" t="str">
        <f t="shared" si="9"/>
        <v>vis</v>
      </c>
      <c r="E62" s="42">
        <f>VLOOKUP(C62,Active!C$21:E$969,3,FALSE)</f>
        <v>6466.0124630080199</v>
      </c>
      <c r="F62" s="5" t="s">
        <v>55</v>
      </c>
      <c r="G62" s="15" t="str">
        <f t="shared" si="10"/>
        <v>47825.357</v>
      </c>
      <c r="H62" s="13">
        <f t="shared" si="11"/>
        <v>6466</v>
      </c>
      <c r="I62" s="43" t="s">
        <v>202</v>
      </c>
      <c r="J62" s="44" t="s">
        <v>203</v>
      </c>
      <c r="K62" s="43">
        <v>6466</v>
      </c>
      <c r="L62" s="43" t="s">
        <v>204</v>
      </c>
      <c r="M62" s="44" t="s">
        <v>73</v>
      </c>
      <c r="N62" s="44"/>
      <c r="O62" s="45" t="s">
        <v>186</v>
      </c>
      <c r="P62" s="45" t="s">
        <v>205</v>
      </c>
    </row>
    <row r="63" spans="1:16" ht="12.75" customHeight="1" thickBot="1" x14ac:dyDescent="0.25">
      <c r="A63" s="13" t="str">
        <f t="shared" si="6"/>
        <v> AOEB 10 </v>
      </c>
      <c r="B63" s="5" t="str">
        <f t="shared" si="7"/>
        <v>I</v>
      </c>
      <c r="C63" s="13">
        <f t="shared" si="8"/>
        <v>48506.714</v>
      </c>
      <c r="D63" s="15" t="str">
        <f t="shared" si="9"/>
        <v>vis</v>
      </c>
      <c r="E63" s="42">
        <f>VLOOKUP(C63,Active!C$21:E$969,3,FALSE)</f>
        <v>6706.011947332323</v>
      </c>
      <c r="F63" s="5" t="s">
        <v>55</v>
      </c>
      <c r="G63" s="15" t="str">
        <f t="shared" si="10"/>
        <v>48506.714</v>
      </c>
      <c r="H63" s="13">
        <f t="shared" si="11"/>
        <v>6706</v>
      </c>
      <c r="I63" s="43" t="s">
        <v>206</v>
      </c>
      <c r="J63" s="44" t="s">
        <v>207</v>
      </c>
      <c r="K63" s="43">
        <v>6706</v>
      </c>
      <c r="L63" s="43" t="s">
        <v>208</v>
      </c>
      <c r="M63" s="44" t="s">
        <v>73</v>
      </c>
      <c r="N63" s="44"/>
      <c r="O63" s="45" t="s">
        <v>195</v>
      </c>
      <c r="P63" s="45" t="s">
        <v>182</v>
      </c>
    </row>
    <row r="64" spans="1:16" ht="12.75" customHeight="1" thickBot="1" x14ac:dyDescent="0.25">
      <c r="A64" s="13" t="str">
        <f t="shared" si="6"/>
        <v> BBS 107 </v>
      </c>
      <c r="B64" s="5" t="str">
        <f t="shared" si="7"/>
        <v>I</v>
      </c>
      <c r="C64" s="13">
        <f t="shared" si="8"/>
        <v>49534.43</v>
      </c>
      <c r="D64" s="15" t="str">
        <f t="shared" si="9"/>
        <v>vis</v>
      </c>
      <c r="E64" s="42">
        <f>VLOOKUP(C64,Active!C$21:E$969,3,FALSE)</f>
        <v>7068.012058921162</v>
      </c>
      <c r="F64" s="5" t="s">
        <v>55</v>
      </c>
      <c r="G64" s="15" t="str">
        <f t="shared" si="10"/>
        <v>49534.430</v>
      </c>
      <c r="H64" s="13">
        <f t="shared" si="11"/>
        <v>7068</v>
      </c>
      <c r="I64" s="43" t="s">
        <v>209</v>
      </c>
      <c r="J64" s="44" t="s">
        <v>210</v>
      </c>
      <c r="K64" s="43">
        <v>7068</v>
      </c>
      <c r="L64" s="43" t="s">
        <v>208</v>
      </c>
      <c r="M64" s="44" t="s">
        <v>73</v>
      </c>
      <c r="N64" s="44"/>
      <c r="O64" s="45" t="s">
        <v>186</v>
      </c>
      <c r="P64" s="45" t="s">
        <v>211</v>
      </c>
    </row>
    <row r="65" spans="1:16" ht="12.75" customHeight="1" thickBot="1" x14ac:dyDescent="0.25">
      <c r="A65" s="13" t="str">
        <f t="shared" si="6"/>
        <v> BBS 107 </v>
      </c>
      <c r="B65" s="5" t="str">
        <f t="shared" si="7"/>
        <v>I</v>
      </c>
      <c r="C65" s="13">
        <f t="shared" si="8"/>
        <v>49605.402999999998</v>
      </c>
      <c r="D65" s="15" t="str">
        <f t="shared" si="9"/>
        <v>vis</v>
      </c>
      <c r="E65" s="42">
        <f>VLOOKUP(C65,Active!C$21:E$969,3,FALSE)</f>
        <v>7093.0114108041671</v>
      </c>
      <c r="F65" s="5" t="s">
        <v>55</v>
      </c>
      <c r="G65" s="15" t="str">
        <f t="shared" si="10"/>
        <v>49605.403</v>
      </c>
      <c r="H65" s="13">
        <f t="shared" si="11"/>
        <v>7093</v>
      </c>
      <c r="I65" s="43" t="s">
        <v>212</v>
      </c>
      <c r="J65" s="44" t="s">
        <v>213</v>
      </c>
      <c r="K65" s="43">
        <v>7093</v>
      </c>
      <c r="L65" s="43" t="s">
        <v>145</v>
      </c>
      <c r="M65" s="44" t="s">
        <v>73</v>
      </c>
      <c r="N65" s="44"/>
      <c r="O65" s="45" t="s">
        <v>186</v>
      </c>
      <c r="P65" s="45" t="s">
        <v>211</v>
      </c>
    </row>
    <row r="66" spans="1:16" ht="12.75" customHeight="1" thickBot="1" x14ac:dyDescent="0.25">
      <c r="A66" s="13" t="str">
        <f t="shared" si="6"/>
        <v> AOEB 10 </v>
      </c>
      <c r="B66" s="5" t="str">
        <f t="shared" si="7"/>
        <v>I</v>
      </c>
      <c r="C66" s="13">
        <f t="shared" si="8"/>
        <v>50692.748</v>
      </c>
      <c r="D66" s="15" t="str">
        <f t="shared" si="9"/>
        <v>vis</v>
      </c>
      <c r="E66" s="42">
        <f>VLOOKUP(C66,Active!C$21:E$969,3,FALSE)</f>
        <v>7476.015092108697</v>
      </c>
      <c r="F66" s="5" t="s">
        <v>55</v>
      </c>
      <c r="G66" s="15" t="str">
        <f t="shared" si="10"/>
        <v>50692.748</v>
      </c>
      <c r="H66" s="13">
        <f t="shared" si="11"/>
        <v>7476</v>
      </c>
      <c r="I66" s="43" t="s">
        <v>214</v>
      </c>
      <c r="J66" s="44" t="s">
        <v>215</v>
      </c>
      <c r="K66" s="43">
        <v>7476</v>
      </c>
      <c r="L66" s="43" t="s">
        <v>180</v>
      </c>
      <c r="M66" s="44" t="s">
        <v>73</v>
      </c>
      <c r="N66" s="44"/>
      <c r="O66" s="45" t="s">
        <v>195</v>
      </c>
      <c r="P66" s="45" t="s">
        <v>182</v>
      </c>
    </row>
    <row r="67" spans="1:16" ht="12.75" customHeight="1" thickBot="1" x14ac:dyDescent="0.25">
      <c r="A67" s="13" t="str">
        <f t="shared" si="6"/>
        <v> BBS 116 </v>
      </c>
      <c r="B67" s="5" t="str">
        <f t="shared" si="7"/>
        <v>I</v>
      </c>
      <c r="C67" s="13">
        <f t="shared" si="8"/>
        <v>50752.358</v>
      </c>
      <c r="D67" s="15" t="str">
        <f t="shared" si="9"/>
        <v>vis</v>
      </c>
      <c r="E67" s="42">
        <f>VLOOKUP(C67,Active!C$21:E$969,3,FALSE)</f>
        <v>7497.0119693119432</v>
      </c>
      <c r="F67" s="5" t="s">
        <v>55</v>
      </c>
      <c r="G67" s="15" t="str">
        <f t="shared" si="10"/>
        <v>50752.358</v>
      </c>
      <c r="H67" s="13">
        <f t="shared" si="11"/>
        <v>7497</v>
      </c>
      <c r="I67" s="43" t="s">
        <v>216</v>
      </c>
      <c r="J67" s="44" t="s">
        <v>217</v>
      </c>
      <c r="K67" s="43">
        <v>7497</v>
      </c>
      <c r="L67" s="43" t="s">
        <v>208</v>
      </c>
      <c r="M67" s="44" t="s">
        <v>73</v>
      </c>
      <c r="N67" s="44"/>
      <c r="O67" s="45" t="s">
        <v>186</v>
      </c>
      <c r="P67" s="45" t="s">
        <v>218</v>
      </c>
    </row>
    <row r="68" spans="1:16" ht="12.75" customHeight="1" thickBot="1" x14ac:dyDescent="0.25">
      <c r="A68" s="13" t="str">
        <f t="shared" si="6"/>
        <v> AOEB 10 </v>
      </c>
      <c r="B68" s="5" t="str">
        <f t="shared" si="7"/>
        <v>I</v>
      </c>
      <c r="C68" s="13">
        <f t="shared" si="8"/>
        <v>52174.705000000002</v>
      </c>
      <c r="D68" s="15" t="str">
        <f t="shared" si="9"/>
        <v>vis</v>
      </c>
      <c r="E68" s="42">
        <f>VLOOKUP(C68,Active!C$21:E$969,3,FALSE)</f>
        <v>7998.015916626231</v>
      </c>
      <c r="F68" s="5" t="s">
        <v>55</v>
      </c>
      <c r="G68" s="15" t="str">
        <f t="shared" si="10"/>
        <v>52174.7050</v>
      </c>
      <c r="H68" s="13">
        <f t="shared" si="11"/>
        <v>7998</v>
      </c>
      <c r="I68" s="43" t="s">
        <v>226</v>
      </c>
      <c r="J68" s="44" t="s">
        <v>227</v>
      </c>
      <c r="K68" s="43">
        <v>7998</v>
      </c>
      <c r="L68" s="43" t="s">
        <v>228</v>
      </c>
      <c r="M68" s="44" t="s">
        <v>229</v>
      </c>
      <c r="N68" s="44" t="s">
        <v>230</v>
      </c>
      <c r="O68" s="45" t="s">
        <v>231</v>
      </c>
      <c r="P68" s="45" t="s">
        <v>182</v>
      </c>
    </row>
    <row r="69" spans="1:16" ht="12.75" customHeight="1" thickBot="1" x14ac:dyDescent="0.25">
      <c r="A69" s="13" t="str">
        <f t="shared" si="6"/>
        <v> AOEB 10 </v>
      </c>
      <c r="B69" s="5" t="str">
        <f t="shared" si="7"/>
        <v>I</v>
      </c>
      <c r="C69" s="13">
        <f t="shared" si="8"/>
        <v>52418.849800000004</v>
      </c>
      <c r="D69" s="15" t="str">
        <f t="shared" si="9"/>
        <v>vis</v>
      </c>
      <c r="E69" s="42">
        <f>VLOOKUP(C69,Active!C$21:E$969,3,FALSE)</f>
        <v>8084.0128699127772</v>
      </c>
      <c r="F69" s="5" t="s">
        <v>55</v>
      </c>
      <c r="G69" s="15" t="str">
        <f t="shared" si="10"/>
        <v>52418.8498</v>
      </c>
      <c r="H69" s="13">
        <f t="shared" si="11"/>
        <v>8084</v>
      </c>
      <c r="I69" s="43" t="s">
        <v>232</v>
      </c>
      <c r="J69" s="44" t="s">
        <v>233</v>
      </c>
      <c r="K69" s="43">
        <v>8084</v>
      </c>
      <c r="L69" s="43" t="s">
        <v>234</v>
      </c>
      <c r="M69" s="44" t="s">
        <v>229</v>
      </c>
      <c r="N69" s="44" t="s">
        <v>230</v>
      </c>
      <c r="O69" s="45" t="s">
        <v>235</v>
      </c>
      <c r="P69" s="45" t="s">
        <v>182</v>
      </c>
    </row>
    <row r="70" spans="1:16" ht="12.75" customHeight="1" thickBot="1" x14ac:dyDescent="0.25">
      <c r="A70" s="13" t="str">
        <f t="shared" si="6"/>
        <v> AOEB 10 </v>
      </c>
      <c r="B70" s="5" t="str">
        <f t="shared" si="7"/>
        <v>I</v>
      </c>
      <c r="C70" s="13">
        <f t="shared" si="8"/>
        <v>53565.811099999999</v>
      </c>
      <c r="D70" s="15" t="str">
        <f t="shared" si="9"/>
        <v>vis</v>
      </c>
      <c r="E70" s="42">
        <f>VLOOKUP(C70,Active!C$21:E$969,3,FALSE)</f>
        <v>8488.0156475167823</v>
      </c>
      <c r="F70" s="5" t="s">
        <v>55</v>
      </c>
      <c r="G70" s="15" t="str">
        <f t="shared" si="10"/>
        <v>53565.8111</v>
      </c>
      <c r="H70" s="13">
        <f t="shared" si="11"/>
        <v>8488</v>
      </c>
      <c r="I70" s="43" t="s">
        <v>242</v>
      </c>
      <c r="J70" s="44" t="s">
        <v>243</v>
      </c>
      <c r="K70" s="43">
        <v>8488</v>
      </c>
      <c r="L70" s="43" t="s">
        <v>244</v>
      </c>
      <c r="M70" s="44" t="s">
        <v>229</v>
      </c>
      <c r="N70" s="44" t="s">
        <v>230</v>
      </c>
      <c r="O70" s="45" t="s">
        <v>195</v>
      </c>
      <c r="P70" s="45" t="s">
        <v>182</v>
      </c>
    </row>
    <row r="71" spans="1:16" ht="12.75" customHeight="1" thickBot="1" x14ac:dyDescent="0.25">
      <c r="A71" s="13" t="str">
        <f t="shared" si="6"/>
        <v> AOEB 12 </v>
      </c>
      <c r="B71" s="5" t="str">
        <f t="shared" si="7"/>
        <v>I</v>
      </c>
      <c r="C71" s="13">
        <f t="shared" si="8"/>
        <v>54272.723899999997</v>
      </c>
      <c r="D71" s="15" t="str">
        <f t="shared" si="9"/>
        <v>vis</v>
      </c>
      <c r="E71" s="42">
        <f>VLOOKUP(C71,Active!C$21:E$969,3,FALSE)</f>
        <v>8737.0168428699526</v>
      </c>
      <c r="F71" s="5" t="s">
        <v>55</v>
      </c>
      <c r="G71" s="15" t="str">
        <f t="shared" si="10"/>
        <v>54272.7239</v>
      </c>
      <c r="H71" s="13">
        <f t="shared" si="11"/>
        <v>8737</v>
      </c>
      <c r="I71" s="43" t="s">
        <v>245</v>
      </c>
      <c r="J71" s="44" t="s">
        <v>246</v>
      </c>
      <c r="K71" s="43">
        <v>8737</v>
      </c>
      <c r="L71" s="43" t="s">
        <v>247</v>
      </c>
      <c r="M71" s="44" t="s">
        <v>229</v>
      </c>
      <c r="N71" s="44" t="s">
        <v>230</v>
      </c>
      <c r="O71" s="45" t="s">
        <v>248</v>
      </c>
      <c r="P71" s="45" t="s">
        <v>249</v>
      </c>
    </row>
    <row r="72" spans="1:16" ht="12.75" customHeight="1" thickBot="1" x14ac:dyDescent="0.25">
      <c r="A72" s="13" t="str">
        <f t="shared" si="6"/>
        <v>BAVM 193 </v>
      </c>
      <c r="B72" s="5" t="str">
        <f t="shared" si="7"/>
        <v>I</v>
      </c>
      <c r="C72" s="13">
        <f t="shared" si="8"/>
        <v>54366.414199999999</v>
      </c>
      <c r="D72" s="15" t="str">
        <f t="shared" si="9"/>
        <v>vis</v>
      </c>
      <c r="E72" s="42">
        <f>VLOOKUP(C72,Active!C$21:E$969,3,FALSE)</f>
        <v>8770.0180796462537</v>
      </c>
      <c r="F72" s="5" t="s">
        <v>55</v>
      </c>
      <c r="G72" s="15" t="str">
        <f t="shared" si="10"/>
        <v>54366.4142</v>
      </c>
      <c r="H72" s="13">
        <f t="shared" si="11"/>
        <v>8770</v>
      </c>
      <c r="I72" s="43" t="s">
        <v>250</v>
      </c>
      <c r="J72" s="44" t="s">
        <v>251</v>
      </c>
      <c r="K72" s="43">
        <v>8770</v>
      </c>
      <c r="L72" s="43" t="s">
        <v>252</v>
      </c>
      <c r="M72" s="44" t="s">
        <v>229</v>
      </c>
      <c r="N72" s="44" t="s">
        <v>239</v>
      </c>
      <c r="O72" s="45" t="s">
        <v>253</v>
      </c>
      <c r="P72" s="46" t="s">
        <v>254</v>
      </c>
    </row>
    <row r="73" spans="1:16" x14ac:dyDescent="0.2">
      <c r="B73" s="5"/>
      <c r="F73" s="5"/>
    </row>
    <row r="74" spans="1:16" x14ac:dyDescent="0.2">
      <c r="B74" s="5"/>
      <c r="F74" s="5"/>
    </row>
    <row r="75" spans="1:16" x14ac:dyDescent="0.2">
      <c r="B75" s="5"/>
      <c r="F75" s="5"/>
    </row>
    <row r="76" spans="1:16" x14ac:dyDescent="0.2">
      <c r="B76" s="5"/>
      <c r="F76" s="5"/>
    </row>
    <row r="77" spans="1:16" x14ac:dyDescent="0.2">
      <c r="B77" s="5"/>
      <c r="F77" s="5"/>
    </row>
    <row r="78" spans="1:16" x14ac:dyDescent="0.2">
      <c r="B78" s="5"/>
      <c r="F78" s="5"/>
    </row>
    <row r="79" spans="1:16" x14ac:dyDescent="0.2">
      <c r="B79" s="5"/>
      <c r="F79" s="5"/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</sheetData>
  <phoneticPr fontId="8" type="noConversion"/>
  <hyperlinks>
    <hyperlink ref="P11" r:id="rId1" display="http://www.konkoly.hu/cgi-bin/IBVS?5263" xr:uid="{00000000-0004-0000-0100-000000000000}"/>
    <hyperlink ref="P12" r:id="rId2" display="http://www.bav-astro.de/sfs/BAVM_link.php?BAVMnr=173" xr:uid="{00000000-0004-0000-0100-000001000000}"/>
    <hyperlink ref="P72" r:id="rId3" display="http://www.bav-astro.de/sfs/BAVM_link.php?BAVMnr=193" xr:uid="{00000000-0004-0000-0100-000002000000}"/>
    <hyperlink ref="P13" r:id="rId4" display="http://www.aavso.org/sites/default/files/jaavso/v36n2/186.pdf" xr:uid="{00000000-0004-0000-0100-000003000000}"/>
    <hyperlink ref="P16" r:id="rId5" display="http://www.bav-astro.de/sfs/BAVM_link.php?BAVMnr=220" xr:uid="{00000000-0004-0000-0100-000004000000}"/>
    <hyperlink ref="P17" r:id="rId6" display="http://www.bav-astro.de/sfs/BAVM_link.php?BAVMnr=220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2025-01-05T02:33:15Z</dcterms:modified>
</cp:coreProperties>
</file>