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6A7710F-637F-48C5-9E7D-CA0846A921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F14" i="1"/>
  <c r="E25" i="1"/>
  <c r="F25" i="1" s="1"/>
  <c r="G25" i="1" s="1"/>
  <c r="K25" i="1" s="1"/>
  <c r="D9" i="1"/>
  <c r="C9" i="1"/>
  <c r="Q25" i="1"/>
  <c r="E22" i="1"/>
  <c r="F22" i="1" s="1"/>
  <c r="G22" i="1" s="1"/>
  <c r="K22" i="1" s="1"/>
  <c r="Q24" i="1"/>
  <c r="Q22" i="1"/>
  <c r="Q23" i="1"/>
  <c r="C17" i="1"/>
  <c r="Q21" i="1"/>
  <c r="E23" i="1"/>
  <c r="F23" i="1" s="1"/>
  <c r="G23" i="1" s="1"/>
  <c r="K23" i="1" s="1"/>
  <c r="E24" i="1"/>
  <c r="F24" i="1" s="1"/>
  <c r="G24" i="1" s="1"/>
  <c r="K24" i="1" s="1"/>
  <c r="E21" i="1"/>
  <c r="F21" i="1" s="1"/>
  <c r="G21" i="1" s="1"/>
  <c r="I21" i="1" s="1"/>
  <c r="C11" i="1"/>
  <c r="C12" i="1"/>
  <c r="O26" i="1" l="1"/>
  <c r="F15" i="1"/>
  <c r="O24" i="1"/>
  <c r="O22" i="1"/>
  <c r="C15" i="1"/>
  <c r="O23" i="1"/>
  <c r="O21" i="1"/>
  <c r="O25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<sst xmlns="http://schemas.openxmlformats.org/spreadsheetml/2006/main" count="65" uniqueCount="58">
  <si>
    <t>IBVS 6196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</si>
  <si>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</si>
  <si>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</si>
  <si>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</si>
  <si>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</si>
  <si>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</si>
  <si>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</si>
  <si>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</si>
  <si>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</si>
  <si>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</si>
  <si>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</si>
  <si>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</si>
  <si>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</si>
  <si>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</si>
  <si>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</si>
  <si>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</si>
  <si>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</si>
  <si>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</si>
  <si>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</si>
  <si>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</si>
  <si>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</si>
  <si>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</si>
  <si>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</si>
  <si>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</si>
  <si>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</si>
  <si>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</si>
  <si>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</si>
  <si>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</si>
  <si>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</si>
  <si>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</si>
  <si>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</si>
  <si>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</si>
  <si>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</si>
  <si>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</si>
  <si>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</si>
  <si>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</si>
  <si>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</si>
  <si>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</si>
  <si>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</si>
  <si>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</si>
  <si>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</si>
  <si>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</si>
  <si>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V2646 Cyg</t>
  </si>
  <si>
    <t>2015L</t>
  </si>
  <si>
    <t>G3967-0072</t>
  </si>
  <si>
    <t>21.4434.5</t>
  </si>
  <si>
    <t>EW</t>
  </si>
  <si>
    <t>V2646 Cyg / GSC 3967-0072</t>
  </si>
  <si>
    <t>GCVS</t>
  </si>
  <si>
    <t>IBVS 6152</t>
  </si>
  <si>
    <t>VSB 069</t>
  </si>
  <si>
    <t>V</t>
  </si>
  <si>
    <t>JBAV 96</t>
  </si>
  <si>
    <t>Next ToM-P</t>
  </si>
  <si>
    <t>Next ToM-S</t>
  </si>
  <si>
    <t>11.25-11.45</t>
  </si>
  <si>
    <t>Mag R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</si>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</sst>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5" fillId="0" borderId="0"/>
    <xf numFmtId="0" fontId="16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4" borderId="5" xfId="0" applyFont="1" applyFill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5" borderId="5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18" fillId="26" borderId="0" xfId="0" applyFont="1" applyFill="1" applyAlignment="1"/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  <xf numFmtId="0" fontId="17" fillId="0" borderId="0" xfId="41" applyFont="1" applyAlignment="1">
      <alignment wrapText="1"/>
    </xf>
    <xf numFmtId="0" fontId="17" fillId="0" borderId="0" xfId="41" applyFont="1" applyAlignment="1">
      <alignment horizontal="center" wrapText="1"/>
    </xf>
    <xf numFmtId="0" fontId="17" fillId="0" borderId="0" xfId="41" applyFont="1" applyAlignment="1">
      <alignment horizontal="left" wrapText="1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18" fillId="27" borderId="0" xfId="0" applyFont="1" applyFill="1" applyAlignment="1"/>
    <xf numFmtId="0" fontId="0" fillId="0" borderId="0" xfId="0" applyAlignment="1">
      <alignment horizontal="right"/>
    </xf>
    <xf numFmtId="0" fontId="35" fillId="0" borderId="0" xfId="0" applyFont="1" applyAlignment="1" applyProtection="1">
      <alignment horizontal="left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165" fontId="35" fillId="0" borderId="0" xfId="0" applyNumberFormat="1" applyFont="1" applyAlignment="1" applyProtection="1">
      <alignment horizontal="left" vertical="center" wrapText="1"/>
      <protection locked="0"/>
    </xf>
    <xf numFmtId="0" fontId="0" fillId="0" borderId="11" xfId="0" applyBorder="1">
      <alignment vertical="top"/>
    </xf>
    <xf numFmtId="0" fontId="36" fillId="0" borderId="14" xfId="0" applyFont="1" applyBorder="1" applyAlignment="1">
      <alignment horizontal="right" vertical="center"/>
    </xf>
    <xf numFmtId="0" fontId="36" fillId="0" borderId="16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37" fillId="0" borderId="15" xfId="0" applyFont="1" applyBorder="1" applyAlignment="1">
      <alignment horizontal="right" vertical="center"/>
    </xf>
    <xf numFmtId="22" fontId="37" fillId="0" borderId="15" xfId="0" applyNumberFormat="1" applyFont="1" applyBorder="1" applyAlignment="1">
      <alignment horizontal="right" vertical="center"/>
    </xf>
    <xf numFmtId="22" fontId="37" fillId="0" borderId="17" xfId="0" applyNumberFormat="1" applyFont="1" applyBorder="1" applyAlignment="1">
      <alignment horizontal="right" vertical="center"/>
    </xf>
    <xf numFmtId="0" fontId="5" fillId="28" borderId="13" xfId="0" applyFont="1" applyFill="1" applyBorder="1" applyAlignment="1">
      <alignment horizontal="center" vertical="center"/>
    </xf>
    <xf numFmtId="0" fontId="5" fillId="28" borderId="12" xfId="0" applyFont="1" applyFill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V2646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285714285714286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2.3999999999999998E-3</c:v>
                  </c:pt>
                  <c:pt idx="4">
                    <c:v>0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2.3999999999999998E-3</c:v>
                  </c:pt>
                  <c:pt idx="4">
                    <c:v>0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15684</c:v>
                </c:pt>
                <c:pt idx="2">
                  <c:v>15684.5</c:v>
                </c:pt>
                <c:pt idx="3">
                  <c:v>16268</c:v>
                </c:pt>
                <c:pt idx="4">
                  <c:v>21677</c:v>
                </c:pt>
                <c:pt idx="5">
                  <c:v>24506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3F-448F-96B2-8FDF24B8961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2.3999999999999998E-3</c:v>
                  </c:pt>
                  <c:pt idx="4">
                    <c:v>0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2.3999999999999998E-3</c:v>
                  </c:pt>
                  <c:pt idx="4">
                    <c:v>0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15684</c:v>
                </c:pt>
                <c:pt idx="2">
                  <c:v>15684.5</c:v>
                </c:pt>
                <c:pt idx="3">
                  <c:v>16268</c:v>
                </c:pt>
                <c:pt idx="4">
                  <c:v>21677</c:v>
                </c:pt>
                <c:pt idx="5">
                  <c:v>24506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3F-448F-96B2-8FDF24B8961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2.3999999999999998E-3</c:v>
                  </c:pt>
                  <c:pt idx="4">
                    <c:v>0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2.3999999999999998E-3</c:v>
                  </c:pt>
                  <c:pt idx="4">
                    <c:v>0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15684</c:v>
                </c:pt>
                <c:pt idx="2">
                  <c:v>15684.5</c:v>
                </c:pt>
                <c:pt idx="3">
                  <c:v>16268</c:v>
                </c:pt>
                <c:pt idx="4">
                  <c:v>21677</c:v>
                </c:pt>
                <c:pt idx="5">
                  <c:v>24506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3F-448F-96B2-8FDF24B8961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2.3999999999999998E-3</c:v>
                  </c:pt>
                  <c:pt idx="4">
                    <c:v>0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2.3999999999999998E-3</c:v>
                  </c:pt>
                  <c:pt idx="4">
                    <c:v>0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15684</c:v>
                </c:pt>
                <c:pt idx="2">
                  <c:v>15684.5</c:v>
                </c:pt>
                <c:pt idx="3">
                  <c:v>16268</c:v>
                </c:pt>
                <c:pt idx="4">
                  <c:v>21677</c:v>
                </c:pt>
                <c:pt idx="5">
                  <c:v>24506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0.36899999999877764</c:v>
                </c:pt>
                <c:pt idx="2">
                  <c:v>0.36327500000334112</c:v>
                </c:pt>
                <c:pt idx="3">
                  <c:v>0.38040000000182772</c:v>
                </c:pt>
                <c:pt idx="4">
                  <c:v>0.62154999999620486</c:v>
                </c:pt>
                <c:pt idx="5">
                  <c:v>0.65879999999742722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3F-448F-96B2-8FDF24B8961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2.3999999999999998E-3</c:v>
                  </c:pt>
                  <c:pt idx="4">
                    <c:v>0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2.3999999999999998E-3</c:v>
                  </c:pt>
                  <c:pt idx="4">
                    <c:v>0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15684</c:v>
                </c:pt>
                <c:pt idx="2">
                  <c:v>15684.5</c:v>
                </c:pt>
                <c:pt idx="3">
                  <c:v>16268</c:v>
                </c:pt>
                <c:pt idx="4">
                  <c:v>21677</c:v>
                </c:pt>
                <c:pt idx="5">
                  <c:v>24506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3F-448F-96B2-8FDF24B8961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2.3999999999999998E-3</c:v>
                  </c:pt>
                  <c:pt idx="4">
                    <c:v>0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2.3999999999999998E-3</c:v>
                  </c:pt>
                  <c:pt idx="4">
                    <c:v>0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15684</c:v>
                </c:pt>
                <c:pt idx="2">
                  <c:v>15684.5</c:v>
                </c:pt>
                <c:pt idx="3">
                  <c:v>16268</c:v>
                </c:pt>
                <c:pt idx="4">
                  <c:v>21677</c:v>
                </c:pt>
                <c:pt idx="5">
                  <c:v>24506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F3F-448F-96B2-8FDF24B8961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2.3999999999999998E-3</c:v>
                  </c:pt>
                  <c:pt idx="4">
                    <c:v>0</c:v>
                  </c:pt>
                  <c:pt idx="5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1E-4</c:v>
                  </c:pt>
                  <c:pt idx="3">
                    <c:v>2.3999999999999998E-3</c:v>
                  </c:pt>
                  <c:pt idx="4">
                    <c:v>0</c:v>
                  </c:pt>
                  <c:pt idx="5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15684</c:v>
                </c:pt>
                <c:pt idx="2">
                  <c:v>15684.5</c:v>
                </c:pt>
                <c:pt idx="3">
                  <c:v>16268</c:v>
                </c:pt>
                <c:pt idx="4">
                  <c:v>21677</c:v>
                </c:pt>
                <c:pt idx="5">
                  <c:v>24506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F3F-448F-96B2-8FDF24B8961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15684</c:v>
                </c:pt>
                <c:pt idx="2">
                  <c:v>15684.5</c:v>
                </c:pt>
                <c:pt idx="3">
                  <c:v>16268</c:v>
                </c:pt>
                <c:pt idx="4">
                  <c:v>21677</c:v>
                </c:pt>
                <c:pt idx="5">
                  <c:v>24506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-0.19389146947624863</c:v>
                </c:pt>
                <c:pt idx="1">
                  <c:v>0.36822166410780838</c:v>
                </c:pt>
                <c:pt idx="2">
                  <c:v>0.36823958406233476</c:v>
                </c:pt>
                <c:pt idx="3">
                  <c:v>0.38915217099464144</c:v>
                </c:pt>
                <c:pt idx="4">
                  <c:v>0.58301023906121663</c:v>
                </c:pt>
                <c:pt idx="5">
                  <c:v>0.6844013417715773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F3F-448F-96B2-8FDF24B8961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15684</c:v>
                </c:pt>
                <c:pt idx="2">
                  <c:v>15684.5</c:v>
                </c:pt>
                <c:pt idx="3">
                  <c:v>16268</c:v>
                </c:pt>
                <c:pt idx="4">
                  <c:v>21677</c:v>
                </c:pt>
                <c:pt idx="5">
                  <c:v>24506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F3F-448F-96B2-8FDF24B89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000600"/>
        <c:axId val="1"/>
      </c:scatterChart>
      <c:valAx>
        <c:axId val="778000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000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DB282A1-73ED-E5E4-C9A0-692F3019F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35" sqref="F3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47</v>
      </c>
      <c r="F1" s="29" t="s">
        <v>42</v>
      </c>
      <c r="G1" s="30" t="s">
        <v>43</v>
      </c>
      <c r="H1" s="35"/>
      <c r="I1" s="31" t="s">
        <v>44</v>
      </c>
      <c r="J1" s="29" t="s">
        <v>42</v>
      </c>
      <c r="K1" s="32" t="s">
        <v>45</v>
      </c>
      <c r="L1" s="33">
        <v>54.220100000000002</v>
      </c>
      <c r="M1" s="34">
        <v>51361.764999999999</v>
      </c>
      <c r="N1" s="34">
        <v>0.35465000000000002</v>
      </c>
      <c r="O1" s="31" t="s">
        <v>46</v>
      </c>
    </row>
    <row r="2" spans="1:15" x14ac:dyDescent="0.2">
      <c r="A2" t="s">
        <v>25</v>
      </c>
      <c r="B2" t="s">
        <v>46</v>
      </c>
      <c r="C2" s="28"/>
      <c r="D2" s="3"/>
    </row>
    <row r="3" spans="1:15" ht="13.5" thickBot="1" x14ac:dyDescent="0.25"/>
    <row r="4" spans="1:15" ht="14.25" thickTop="1" thickBot="1" x14ac:dyDescent="0.25">
      <c r="A4" s="5" t="s">
        <v>2</v>
      </c>
      <c r="C4" s="25">
        <v>51361.764999999999</v>
      </c>
      <c r="D4" s="26">
        <v>0.35465000000000002</v>
      </c>
    </row>
    <row r="5" spans="1:15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5" x14ac:dyDescent="0.2">
      <c r="A6" s="5" t="s">
        <v>3</v>
      </c>
    </row>
    <row r="7" spans="1:15" x14ac:dyDescent="0.2">
      <c r="A7" t="s">
        <v>4</v>
      </c>
      <c r="C7" s="46">
        <v>51361.764999999999</v>
      </c>
      <c r="D7" s="27" t="s">
        <v>57</v>
      </c>
    </row>
    <row r="8" spans="1:15" x14ac:dyDescent="0.2">
      <c r="A8" t="s">
        <v>5</v>
      </c>
      <c r="C8" s="46">
        <v>0.35465000000000002</v>
      </c>
      <c r="D8" s="27" t="s">
        <v>57</v>
      </c>
    </row>
    <row r="9" spans="1:15" x14ac:dyDescent="0.2">
      <c r="A9" s="22" t="s">
        <v>33</v>
      </c>
      <c r="B9" s="23">
        <v>22</v>
      </c>
      <c r="C9" s="20" t="str">
        <f>"F"&amp;B9</f>
        <v>F22</v>
      </c>
      <c r="D9" s="21" t="str">
        <f>"G"&amp;B9</f>
        <v>G22</v>
      </c>
    </row>
    <row r="10" spans="1:15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5" x14ac:dyDescent="0.2">
      <c r="A11" s="10" t="s">
        <v>17</v>
      </c>
      <c r="B11" s="10"/>
      <c r="C11" s="19">
        <f ca="1">INTERCEPT(INDIRECT($D$9):G992,INDIRECT($C$9):F992)</f>
        <v>-0.19389146947624863</v>
      </c>
      <c r="D11" s="3"/>
      <c r="E11" s="10"/>
    </row>
    <row r="12" spans="1:15" x14ac:dyDescent="0.2">
      <c r="A12" s="10" t="s">
        <v>18</v>
      </c>
      <c r="B12" s="10"/>
      <c r="C12" s="19">
        <f ca="1">SLOPE(INDIRECT($D$9):G992,INDIRECT($C$9):F992)</f>
        <v>3.5839909052796289E-5</v>
      </c>
      <c r="D12" s="3"/>
      <c r="E12" s="58" t="s">
        <v>56</v>
      </c>
      <c r="F12" s="57" t="s">
        <v>55</v>
      </c>
    </row>
    <row r="13" spans="1:15" x14ac:dyDescent="0.2">
      <c r="A13" s="10" t="s">
        <v>20</v>
      </c>
      <c r="B13" s="10"/>
      <c r="C13" s="3" t="s">
        <v>15</v>
      </c>
      <c r="E13" s="51" t="s">
        <v>35</v>
      </c>
      <c r="F13" s="53">
        <v>1</v>
      </c>
    </row>
    <row r="14" spans="1:15" x14ac:dyDescent="0.2">
      <c r="A14" s="10"/>
      <c r="B14" s="10"/>
      <c r="C14" s="10"/>
      <c r="E14" s="51" t="s">
        <v>32</v>
      </c>
      <c r="F14" s="54">
        <f ca="1">NOW()+15018.5+$C$5/24</f>
        <v>60680.674608796297</v>
      </c>
    </row>
    <row r="15" spans="1:15" x14ac:dyDescent="0.2">
      <c r="A15" s="12" t="s">
        <v>19</v>
      </c>
      <c r="B15" s="10"/>
      <c r="C15" s="13">
        <f ca="1">(C7+C11)+(C8+C12)*INT(MAX(F21:F3533))</f>
        <v>60053.502301341774</v>
      </c>
      <c r="E15" s="51" t="s">
        <v>36</v>
      </c>
      <c r="F15" s="54">
        <f ca="1">ROUND(2*($F$14-$C$7)/$C$8,0)/2+$F$13</f>
        <v>26277.5</v>
      </c>
    </row>
    <row r="16" spans="1:15" x14ac:dyDescent="0.2">
      <c r="A16" s="15" t="s">
        <v>6</v>
      </c>
      <c r="B16" s="10"/>
      <c r="C16" s="16">
        <f ca="1">+C8+C12</f>
        <v>0.35468583990905284</v>
      </c>
      <c r="E16" s="51" t="s">
        <v>37</v>
      </c>
      <c r="F16" s="54">
        <f ca="1">ROUND(2*($F$14-$C$15)/$C$16,0)/2+$F$13</f>
        <v>1769</v>
      </c>
    </row>
    <row r="17" spans="1:21" ht="13.5" thickBot="1" x14ac:dyDescent="0.25">
      <c r="A17" s="14" t="s">
        <v>29</v>
      </c>
      <c r="B17" s="10"/>
      <c r="C17" s="10">
        <f>COUNT(C21:C2191)</f>
        <v>6</v>
      </c>
      <c r="E17" s="51" t="s">
        <v>53</v>
      </c>
      <c r="F17" s="55">
        <f ca="1">+$C$15+$C$16*$F$16-15018.5-$C$5/24</f>
        <v>45662.837385474224</v>
      </c>
    </row>
    <row r="18" spans="1:21" ht="14.25" thickTop="1" thickBot="1" x14ac:dyDescent="0.25">
      <c r="A18" s="15" t="s">
        <v>7</v>
      </c>
      <c r="B18" s="10"/>
      <c r="C18" s="18">
        <f ca="1">+C15</f>
        <v>60053.502301341774</v>
      </c>
      <c r="D18" s="50">
        <f ca="1">+C16</f>
        <v>0.35468583990905284</v>
      </c>
      <c r="E18" s="52" t="s">
        <v>54</v>
      </c>
      <c r="F18" s="56">
        <f ca="1">+($C$15+$C$16*$F$16)-($C$16/2)-15018.5-$C$5/24</f>
        <v>45662.660042554271</v>
      </c>
    </row>
    <row r="19" spans="1:21" ht="13.5" thickTop="1" x14ac:dyDescent="0.2">
      <c r="E19" s="14"/>
      <c r="F19" s="17"/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4" t="s">
        <v>34</v>
      </c>
    </row>
    <row r="21" spans="1:21" x14ac:dyDescent="0.2">
      <c r="A21" t="s">
        <v>48</v>
      </c>
      <c r="C21" s="8">
        <v>51361.764999999999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-0.19389146947624863</v>
      </c>
      <c r="Q21" s="2">
        <f>+C21-15018.5</f>
        <v>36343.264999999999</v>
      </c>
    </row>
    <row r="22" spans="1:21" x14ac:dyDescent="0.2">
      <c r="A22" s="37" t="s">
        <v>49</v>
      </c>
      <c r="B22" s="38"/>
      <c r="C22" s="37">
        <v>56924.464599999999</v>
      </c>
      <c r="D22" s="37">
        <v>2.0000000000000001E-4</v>
      </c>
      <c r="E22">
        <f>+(C22-C$7)/C$8</f>
        <v>15685.040462427745</v>
      </c>
      <c r="F22" s="36">
        <f>ROUND(2*E22,0)/2-1</f>
        <v>15684</v>
      </c>
      <c r="G22">
        <f>+C22-(C$7+F22*C$8)</f>
        <v>0.36899999999877764</v>
      </c>
      <c r="K22">
        <f>+G22</f>
        <v>0.36899999999877764</v>
      </c>
      <c r="O22">
        <f ca="1">+C$11+C$12*$F22</f>
        <v>0.36822166410780838</v>
      </c>
      <c r="Q22" s="2">
        <f>+C22-15018.5</f>
        <v>41905.964599999999</v>
      </c>
    </row>
    <row r="23" spans="1:21" x14ac:dyDescent="0.2">
      <c r="A23" s="37" t="s">
        <v>49</v>
      </c>
      <c r="B23" s="38"/>
      <c r="C23" s="37">
        <v>56924.636200000001</v>
      </c>
      <c r="D23" s="37">
        <v>1E-4</v>
      </c>
      <c r="E23">
        <f>+(C23-C$7)/C$8</f>
        <v>15685.52431975187</v>
      </c>
      <c r="F23" s="36">
        <f>ROUND(2*E23,0)/2-1</f>
        <v>15684.5</v>
      </c>
      <c r="G23">
        <f>+C23-(C$7+F23*C$8)</f>
        <v>0.36327500000334112</v>
      </c>
      <c r="K23">
        <f>+G23</f>
        <v>0.36327500000334112</v>
      </c>
      <c r="O23">
        <f ca="1">+C$11+C$12*$F23</f>
        <v>0.36823958406233476</v>
      </c>
      <c r="Q23" s="2">
        <f>+C23-15018.5</f>
        <v>41906.136200000001</v>
      </c>
    </row>
    <row r="24" spans="1:21" x14ac:dyDescent="0.2">
      <c r="A24" s="39" t="s">
        <v>0</v>
      </c>
      <c r="B24" s="40" t="s">
        <v>1</v>
      </c>
      <c r="C24" s="41">
        <v>57131.5916</v>
      </c>
      <c r="D24" s="41">
        <v>2.3999999999999998E-3</v>
      </c>
      <c r="E24">
        <f>+(C24-C$7)/C$8</f>
        <v>16269.072606795433</v>
      </c>
      <c r="F24" s="36">
        <f>ROUND(2*E24,0)/2-1</f>
        <v>16268</v>
      </c>
      <c r="G24">
        <f>+C24-(C$7+F24*C$8)</f>
        <v>0.38040000000182772</v>
      </c>
      <c r="K24">
        <f>+G24</f>
        <v>0.38040000000182772</v>
      </c>
      <c r="O24">
        <f ca="1">+C$11+C$12*$F24</f>
        <v>0.38915217099464144</v>
      </c>
      <c r="Q24" s="2">
        <f>+C24-15018.5</f>
        <v>42113.0916</v>
      </c>
    </row>
    <row r="25" spans="1:21" x14ac:dyDescent="0.2">
      <c r="A25" s="42" t="s">
        <v>50</v>
      </c>
      <c r="B25" s="43" t="s">
        <v>1</v>
      </c>
      <c r="C25" s="44">
        <v>59050.134599999998</v>
      </c>
      <c r="D25" s="44" t="s">
        <v>51</v>
      </c>
      <c r="E25">
        <f>+(C25-C$7)/C$8</f>
        <v>21678.752572959249</v>
      </c>
      <c r="F25" s="45">
        <f>ROUND(2*E25,0)/2-2</f>
        <v>21677</v>
      </c>
      <c r="G25">
        <f>+C25-(C$7+F25*C$8)</f>
        <v>0.62154999999620486</v>
      </c>
      <c r="K25">
        <f>+G25</f>
        <v>0.62154999999620486</v>
      </c>
      <c r="O25">
        <f ca="1">+C$11+C$12*$F25</f>
        <v>0.58301023906121663</v>
      </c>
      <c r="Q25" s="2">
        <f>+C25-15018.5</f>
        <v>44031.634599999998</v>
      </c>
    </row>
    <row r="26" spans="1:21" x14ac:dyDescent="0.2">
      <c r="A26" s="47" t="s">
        <v>52</v>
      </c>
      <c r="B26" s="48" t="s">
        <v>1</v>
      </c>
      <c r="C26" s="49">
        <v>60053.476699999999</v>
      </c>
      <c r="D26" s="47">
        <v>4.0000000000000002E-4</v>
      </c>
      <c r="E26">
        <f>+(C26-C$7)/C$8</f>
        <v>24507.857606090511</v>
      </c>
      <c r="F26" s="45">
        <f>ROUND(2*E26,0)/2-2</f>
        <v>24506</v>
      </c>
      <c r="G26">
        <f>+C26-(C$7+F26*C$8)</f>
        <v>0.65879999999742722</v>
      </c>
      <c r="K26">
        <f>+G26</f>
        <v>0.65879999999742722</v>
      </c>
      <c r="O26">
        <f ca="1">+C$11+C$12*$F26</f>
        <v>0.6844013417715773</v>
      </c>
      <c r="Q26" s="2">
        <f>+C26-15018.5</f>
        <v>45034.976699999999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5:D25" name="Range1"/>
  </protectedRanges>
  <phoneticPr fontId="7" type="noConversion"/>
  <hyperlinks>
    <hyperlink ref="H798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2025-01-05T03:11:26Z</dcterms:modified>
</cp:coreProperties>
</file>