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A7B43B-3B1D-49A2-B090-80B90BC60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E35" i="1"/>
  <c r="F35" i="1" s="1"/>
  <c r="G35" i="1" s="1"/>
  <c r="K35" i="1" s="1"/>
  <c r="E36" i="1"/>
  <c r="F36" i="1" s="1"/>
  <c r="G36" i="1" s="1"/>
  <c r="K36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 s="1"/>
  <c r="G34" i="1" s="1"/>
  <c r="K34" i="1" s="1"/>
  <c r="Q35" i="1"/>
  <c r="Q36" i="1"/>
  <c r="E30" i="1"/>
  <c r="F30" i="1" s="1"/>
  <c r="G30" i="1" s="1"/>
  <c r="K30" i="1" s="1"/>
  <c r="E23" i="1"/>
  <c r="F23" i="1" s="1"/>
  <c r="G23" i="1" s="1"/>
  <c r="K23" i="1" s="1"/>
  <c r="E26" i="1"/>
  <c r="F26" i="1" s="1"/>
  <c r="G26" i="1" s="1"/>
  <c r="K26" i="1" s="1"/>
  <c r="E27" i="1"/>
  <c r="F27" i="1" s="1"/>
  <c r="G27" i="1" s="1"/>
  <c r="K27" i="1" s="1"/>
  <c r="E25" i="1"/>
  <c r="F25" i="1" s="1"/>
  <c r="G25" i="1" s="1"/>
  <c r="I25" i="1" s="1"/>
  <c r="E28" i="1"/>
  <c r="F28" i="1" s="1"/>
  <c r="G28" i="1" s="1"/>
  <c r="J28" i="1" s="1"/>
  <c r="E29" i="1"/>
  <c r="F29" i="1" s="1"/>
  <c r="G29" i="1" s="1"/>
  <c r="J29" i="1" s="1"/>
  <c r="D9" i="1"/>
  <c r="C9" i="1"/>
  <c r="Q33" i="1"/>
  <c r="Q34" i="1"/>
  <c r="Q25" i="1"/>
  <c r="G13" i="2"/>
  <c r="C13" i="2"/>
  <c r="G12" i="2"/>
  <c r="C12" i="2"/>
  <c r="G19" i="2"/>
  <c r="C19" i="2"/>
  <c r="E19" i="2"/>
  <c r="G18" i="2"/>
  <c r="C18" i="2"/>
  <c r="G17" i="2"/>
  <c r="C17" i="2"/>
  <c r="E17" i="2"/>
  <c r="G16" i="2"/>
  <c r="C16" i="2"/>
  <c r="G15" i="2"/>
  <c r="C15" i="2"/>
  <c r="G14" i="2"/>
  <c r="C14" i="2"/>
  <c r="E14" i="2"/>
  <c r="G20" i="2"/>
  <c r="C20" i="2"/>
  <c r="G11" i="2"/>
  <c r="C11" i="2"/>
  <c r="E24" i="1"/>
  <c r="F24" i="1" s="1"/>
  <c r="G24" i="1" s="1"/>
  <c r="K24" i="1" s="1"/>
  <c r="H13" i="2"/>
  <c r="D13" i="2"/>
  <c r="B13" i="2"/>
  <c r="A13" i="2"/>
  <c r="H12" i="2"/>
  <c r="B12" i="2"/>
  <c r="D12" i="2"/>
  <c r="A12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0" i="2"/>
  <c r="D20" i="2"/>
  <c r="B20" i="2"/>
  <c r="A20" i="2"/>
  <c r="H11" i="2"/>
  <c r="B11" i="2"/>
  <c r="D11" i="2"/>
  <c r="A11" i="2"/>
  <c r="Q31" i="1"/>
  <c r="Q32" i="1"/>
  <c r="Q30" i="1"/>
  <c r="E22" i="1"/>
  <c r="F22" i="1" s="1"/>
  <c r="G22" i="1" s="1"/>
  <c r="I22" i="1" s="1"/>
  <c r="Q29" i="1"/>
  <c r="Q28" i="1"/>
  <c r="Q27" i="1"/>
  <c r="Q26" i="1"/>
  <c r="E21" i="1"/>
  <c r="F21" i="1" s="1"/>
  <c r="G21" i="1" s="1"/>
  <c r="I21" i="1" s="1"/>
  <c r="C17" i="1"/>
  <c r="Q22" i="1"/>
  <c r="Q21" i="1"/>
  <c r="Q24" i="1"/>
  <c r="Q23" i="1"/>
  <c r="C12" i="1"/>
  <c r="C11" i="1"/>
  <c r="O37" i="1" l="1"/>
  <c r="E20" i="2"/>
  <c r="E13" i="2"/>
  <c r="E18" i="2"/>
  <c r="E12" i="2"/>
  <c r="E11" i="2"/>
  <c r="E16" i="2"/>
  <c r="E15" i="2"/>
  <c r="F15" i="1"/>
  <c r="O31" i="1"/>
  <c r="O32" i="1"/>
  <c r="O28" i="1"/>
  <c r="C15" i="1"/>
  <c r="O30" i="1"/>
  <c r="O27" i="1"/>
  <c r="O26" i="1"/>
  <c r="O29" i="1"/>
  <c r="O35" i="1"/>
  <c r="O36" i="1"/>
  <c r="O33" i="1"/>
  <c r="O34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<sst xmlns="http://schemas.openxmlformats.org/spreadsheetml/2006/main" count="181" uniqueCount="123">
  <si>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</si>
  <si>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</si>
  <si>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</si>
  <si>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</si>
  <si>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</si>
  <si>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</si>
  <si>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</si>
  <si>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</si>
  <si>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</si>
  <si>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</si>
  <si>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</si>
  <si>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</si>
  <si>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</si>
  <si>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</si>
  <si>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</si>
  <si>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</si>
  <si>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</si>
  <si>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</si>
  <si>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</si>
  <si>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</si>
  <si>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</si>
  <si>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</si>
  <si>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</si>
  <si>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</si>
  <si>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</si>
  <si>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</si>
  <si>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</si>
  <si>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</si>
  <si>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</si>
  <si>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</si>
  <si>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</si>
  <si>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</si>
  <si>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</si>
  <si>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</si>
  <si>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V1049 Her / GSC 1548-0713</t>
  </si>
  <si>
    <t>OEJV 0094</t>
  </si>
  <si>
    <t>I</t>
  </si>
  <si>
    <t>IBVS 5894</t>
  </si>
  <si>
    <t>EB</t>
  </si>
  <si>
    <t>not avail.</t>
  </si>
  <si>
    <t>IBVS 5060</t>
  </si>
  <si>
    <t>II</t>
  </si>
  <si>
    <t>Add cycle</t>
  </si>
  <si>
    <t>Old Cycle</t>
  </si>
  <si>
    <t>OEJV 0137</t>
  </si>
  <si>
    <t>IBVS 5992</t>
  </si>
  <si>
    <t>IBVS 6010</t>
  </si>
  <si>
    <t>OEJV 0160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</si>
  <si>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</si>
  <si>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</si>
  <si>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</si>
  <si>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</si>
  <si>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</si>
  <si>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</si>
  <si>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</si>
  <si>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</si>
  <si>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</si>
  <si>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</si>
  <si>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</si>
  <si>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</si>
  <si>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</si>
  <si>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</si>
  <si>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2454998.8413 </t>
  </si>
  <si>
    <t> 16.06.2009 08:11 </t>
  </si>
  <si>
    <t> -0.0048 </t>
  </si>
  <si>
    <t>C </t>
  </si>
  <si>
    <t> R.Diethelm </t>
  </si>
  <si>
    <t>IBVS 5894 </t>
  </si>
  <si>
    <t>2455033.414 </t>
  </si>
  <si>
    <t> 20.07.2009 21:56 </t>
  </si>
  <si>
    <t> 0.020 </t>
  </si>
  <si>
    <t>-I</t>
  </si>
  <si>
    <t> P.Frank </t>
  </si>
  <si>
    <t>BAVM 212 </t>
  </si>
  <si>
    <t>2455385.42640 </t>
  </si>
  <si>
    <t> 07.07.2010 22:14 </t>
  </si>
  <si>
    <t>3966.5</t>
  </si>
  <si>
    <t> 0.00492 </t>
  </si>
  <si>
    <t> M.Vrašták </t>
  </si>
  <si>
    <t>OEJV 0137 </t>
  </si>
  <si>
    <t>2455413.41924 </t>
  </si>
  <si>
    <t> 04.08.2010 22:03 </t>
  </si>
  <si>
    <t>4005</t>
  </si>
  <si>
    <t> -0.00440 </t>
  </si>
  <si>
    <t>2455689.4449 </t>
  </si>
  <si>
    <t> 07.05.2011 22:40 </t>
  </si>
  <si>
    <t>4384.5</t>
  </si>
  <si>
    <t> -0.0001 </t>
  </si>
  <si>
    <t> F.Agerer </t>
  </si>
  <si>
    <t>BAVM 220 </t>
  </si>
  <si>
    <t>2455737.7992 </t>
  </si>
  <si>
    <t> 25.06.2011 07:10 </t>
  </si>
  <si>
    <t>4451</t>
  </si>
  <si>
    <t> -0.0132 </t>
  </si>
  <si>
    <t>IBVS 5992 </t>
  </si>
  <si>
    <t>2456460.4107 </t>
  </si>
  <si>
    <t> 16.06.2013 21:51 </t>
  </si>
  <si>
    <t>5444.5</t>
  </si>
  <si>
    <t> -0.0030 </t>
  </si>
  <si>
    <t> M.Urbanik </t>
  </si>
  <si>
    <t>OEJV 0160 </t>
  </si>
  <si>
    <t>2456809.5186 </t>
  </si>
  <si>
    <t> 01.06.2014 00:26 </t>
  </si>
  <si>
    <t>5924.5</t>
  </si>
  <si>
    <t> -0.0131 </t>
  </si>
  <si>
    <t>BAVM 238 </t>
  </si>
  <si>
    <t>2457114.6349 </t>
  </si>
  <si>
    <t> 02.04.2015 03:14 </t>
  </si>
  <si>
    <t>6344</t>
  </si>
  <si>
    <t> -0.0113 </t>
  </si>
  <si>
    <t> W.Moschner &amp; P.Frank </t>
  </si>
  <si>
    <t>BAVM 241 (=IBVS 6157) </t>
  </si>
  <si>
    <t>2457176.4545 </t>
  </si>
  <si>
    <t> 02.06.2015 22:54 </t>
  </si>
  <si>
    <t>6429</t>
  </si>
  <si>
    <t> -0.0146 </t>
  </si>
  <si>
    <t>BAD?</t>
  </si>
  <si>
    <t>The first 2 cycle counts are uncertain</t>
  </si>
  <si>
    <t>JBAV 96</t>
  </si>
  <si>
    <t>Next ToM-P</t>
  </si>
  <si>
    <t>Next ToM-S</t>
  </si>
  <si>
    <t>10.80-11.20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</si>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</sst>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10" fillId="24" borderId="5" xfId="0" applyFont="1" applyFill="1" applyBorder="1" applyAlignment="1"/>
    <xf numFmtId="0" fontId="10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26" borderId="5" xfId="0" applyFont="1" applyFill="1" applyBorder="1" applyAlignment="1"/>
    <xf numFmtId="0" fontId="19" fillId="27" borderId="0" xfId="0" applyFont="1" applyFill="1" applyAlignment="1">
      <alignment horizontal="left"/>
    </xf>
    <xf numFmtId="0" fontId="19" fillId="27" borderId="0" xfId="0" applyFont="1" applyFill="1" applyAlignment="1">
      <alignment horizontal="center"/>
    </xf>
    <xf numFmtId="0" fontId="19" fillId="27" borderId="0" xfId="0" applyFont="1" applyFill="1" applyAlignment="1"/>
    <xf numFmtId="0" fontId="19" fillId="27" borderId="5" xfId="0" applyFont="1" applyFill="1" applyBorder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25" fillId="0" borderId="5" xfId="0" applyFont="1" applyBorder="1" applyAlignment="1"/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25" fillId="28" borderId="20" xfId="0" applyFont="1" applyFill="1" applyBorder="1" applyAlignment="1">
      <alignment horizontal="center" vertical="center"/>
    </xf>
    <xf numFmtId="0" fontId="25" fillId="28" borderId="19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B-4CC4-BD29-A5BB14708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-1.2029999998048879E-2</c:v>
                </c:pt>
                <c:pt idx="1">
                  <c:v>-4.8800000004121102E-3</c:v>
                </c:pt>
                <c:pt idx="4">
                  <c:v>1.6223200000022189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B-4CC4-BD29-A5BB14708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1.6286200000031386</c:v>
                </c:pt>
                <c:pt idx="8">
                  <c:v>1.6174700000046869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B-4CC4-BD29-A5BB14708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1.4545999999972992</c:v>
                </c:pt>
                <c:pt idx="3">
                  <c:v>1.5963700000065728</c:v>
                </c:pt>
                <c:pt idx="5">
                  <c:v>1.6215200000006007</c:v>
                </c:pt>
                <c:pt idx="6">
                  <c:v>1.6133100000079139</c:v>
                </c:pt>
                <c:pt idx="9">
                  <c:v>1.6564200000066194</c:v>
                </c:pt>
                <c:pt idx="10">
                  <c:v>1.6643000000040047</c:v>
                </c:pt>
                <c:pt idx="11">
                  <c:v>1.6603200000099605</c:v>
                </c:pt>
                <c:pt idx="12">
                  <c:v>1.6742700000031618</c:v>
                </c:pt>
                <c:pt idx="13">
                  <c:v>1.6733700000040699</c:v>
                </c:pt>
                <c:pt idx="14">
                  <c:v>1.7135200000047917</c:v>
                </c:pt>
                <c:pt idx="15">
                  <c:v>1.7004700000034063</c:v>
                </c:pt>
                <c:pt idx="16">
                  <c:v>1.7620099998748628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B-4CC4-BD29-A5BB14708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B-4CC4-BD29-A5BB14708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B-4CC4-BD29-A5BB14708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B-4CC4-BD29-A5BB14708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4">
                  <c:v>1.6120519044616715</c:v>
                </c:pt>
                <c:pt idx="5">
                  <c:v>1.6224183682218836</c:v>
                </c:pt>
                <c:pt idx="6">
                  <c:v>1.6232429732937186</c:v>
                </c:pt>
                <c:pt idx="7">
                  <c:v>1.6313712232875213</c:v>
                </c:pt>
                <c:pt idx="8">
                  <c:v>1.6327955411388728</c:v>
                </c:pt>
                <c:pt idx="9">
                  <c:v>1.6540746356549281</c:v>
                </c:pt>
                <c:pt idx="10">
                  <c:v>1.6540746356549281</c:v>
                </c:pt>
                <c:pt idx="11">
                  <c:v>1.6643554261609235</c:v>
                </c:pt>
                <c:pt idx="12">
                  <c:v>1.6733404086968926</c:v>
                </c:pt>
                <c:pt idx="13">
                  <c:v>1.6751609653489958</c:v>
                </c:pt>
                <c:pt idx="14">
                  <c:v>1.6963329682972803</c:v>
                </c:pt>
                <c:pt idx="15">
                  <c:v>1.6973931748182112</c:v>
                </c:pt>
                <c:pt idx="16">
                  <c:v>1.7713077748936079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B-4CC4-BD29-A5BB14708D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B-4CC4-BD29-A5BB1470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617848"/>
        <c:axId val="1"/>
      </c:scatterChart>
      <c:valAx>
        <c:axId val="5566178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61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V1049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5-4B87-82F1-B5499F1BA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-1.2029999998048879E-2</c:v>
                </c:pt>
                <c:pt idx="1">
                  <c:v>-4.8800000004121102E-3</c:v>
                </c:pt>
                <c:pt idx="4">
                  <c:v>1.6223200000022189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5-4B87-82F1-B5499F1BA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1.6286200000031386</c:v>
                </c:pt>
                <c:pt idx="8">
                  <c:v>1.6174700000046869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5-4B87-82F1-B5499F1BA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1.4545999999972992</c:v>
                </c:pt>
                <c:pt idx="3">
                  <c:v>1.5963700000065728</c:v>
                </c:pt>
                <c:pt idx="5">
                  <c:v>1.6215200000006007</c:v>
                </c:pt>
                <c:pt idx="6">
                  <c:v>1.6133100000079139</c:v>
                </c:pt>
                <c:pt idx="9">
                  <c:v>1.6564200000066194</c:v>
                </c:pt>
                <c:pt idx="10">
                  <c:v>1.6643000000040047</c:v>
                </c:pt>
                <c:pt idx="11">
                  <c:v>1.6603200000099605</c:v>
                </c:pt>
                <c:pt idx="12">
                  <c:v>1.6742700000031618</c:v>
                </c:pt>
                <c:pt idx="13">
                  <c:v>1.6733700000040699</c:v>
                </c:pt>
                <c:pt idx="14">
                  <c:v>1.7135200000047917</c:v>
                </c:pt>
                <c:pt idx="15">
                  <c:v>1.7004700000034063</c:v>
                </c:pt>
                <c:pt idx="16">
                  <c:v>1.7620099998748628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5-4B87-82F1-B5499F1BA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55-4B87-82F1-B5499F1BA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55-4B87-82F1-B5499F1BA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1.6999999999999999E-3</c:v>
                  </c:pt>
                  <c:pt idx="1">
                    <c:v>7.0000000000000001E-3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1.35E-2</c:v>
                  </c:pt>
                  <c:pt idx="8">
                    <c:v>5.9999999999999995E-4</c:v>
                  </c:pt>
                  <c:pt idx="9">
                    <c:v>1.1000000000000001E-3</c:v>
                  </c:pt>
                  <c:pt idx="10">
                    <c:v>1.1299999999999999E-3</c:v>
                  </c:pt>
                  <c:pt idx="11">
                    <c:v>5.3E-3</c:v>
                  </c:pt>
                  <c:pt idx="12">
                    <c:v>1.6000000000000001E-3</c:v>
                  </c:pt>
                  <c:pt idx="13">
                    <c:v>2.5999999999999999E-3</c:v>
                  </c:pt>
                  <c:pt idx="14">
                    <c:v>5.0000000000000001E-3</c:v>
                  </c:pt>
                  <c:pt idx="15">
                    <c:v>8.0000000000000004E-4</c:v>
                  </c:pt>
                  <c:pt idx="16">
                    <c:v>1.46E-2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55-4B87-82F1-B5499F1BA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4">
                  <c:v>1.6120519044616715</c:v>
                </c:pt>
                <c:pt idx="5">
                  <c:v>1.6224183682218836</c:v>
                </c:pt>
                <c:pt idx="6">
                  <c:v>1.6232429732937186</c:v>
                </c:pt>
                <c:pt idx="7">
                  <c:v>1.6313712232875213</c:v>
                </c:pt>
                <c:pt idx="8">
                  <c:v>1.6327955411388728</c:v>
                </c:pt>
                <c:pt idx="9">
                  <c:v>1.6540746356549281</c:v>
                </c:pt>
                <c:pt idx="10">
                  <c:v>1.6540746356549281</c:v>
                </c:pt>
                <c:pt idx="11">
                  <c:v>1.6643554261609235</c:v>
                </c:pt>
                <c:pt idx="12">
                  <c:v>1.6733404086968926</c:v>
                </c:pt>
                <c:pt idx="13">
                  <c:v>1.6751609653489958</c:v>
                </c:pt>
                <c:pt idx="14">
                  <c:v>1.6963329682972803</c:v>
                </c:pt>
                <c:pt idx="15">
                  <c:v>1.6973931748182112</c:v>
                </c:pt>
                <c:pt idx="16">
                  <c:v>1.7713077748936079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55-4B87-82F1-B5499F1BA3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-4604</c:v>
                </c:pt>
                <c:pt idx="1">
                  <c:v>-4554.5</c:v>
                </c:pt>
                <c:pt idx="2">
                  <c:v>-2</c:v>
                </c:pt>
                <c:pt idx="3">
                  <c:v>514</c:v>
                </c:pt>
                <c:pt idx="4">
                  <c:v>561.5</c:v>
                </c:pt>
                <c:pt idx="5">
                  <c:v>1045.5</c:v>
                </c:pt>
                <c:pt idx="6">
                  <c:v>1084</c:v>
                </c:pt>
                <c:pt idx="7">
                  <c:v>1463.5</c:v>
                </c:pt>
                <c:pt idx="8">
                  <c:v>1530</c:v>
                </c:pt>
                <c:pt idx="9">
                  <c:v>2523.5</c:v>
                </c:pt>
                <c:pt idx="10">
                  <c:v>2523.5</c:v>
                </c:pt>
                <c:pt idx="11">
                  <c:v>3003.5</c:v>
                </c:pt>
                <c:pt idx="12">
                  <c:v>3423</c:v>
                </c:pt>
                <c:pt idx="13">
                  <c:v>3508</c:v>
                </c:pt>
                <c:pt idx="14">
                  <c:v>4496.5</c:v>
                </c:pt>
                <c:pt idx="15">
                  <c:v>4546</c:v>
                </c:pt>
                <c:pt idx="16">
                  <c:v>7997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55-4B87-82F1-B5499F1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187160"/>
        <c:axId val="1"/>
      </c:scatterChart>
      <c:valAx>
        <c:axId val="56018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18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5A1A63-AE55-CD91-9F02-197D0785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3310C57-12E6-ACE0-DCC9-EFD062EF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8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38</v>
      </c>
      <c r="C2" s="52" t="s">
        <v>117</v>
      </c>
      <c r="D2" s="53"/>
      <c r="E2" s="54"/>
    </row>
    <row r="3" spans="1:6" ht="13.5" thickBot="1" x14ac:dyDescent="0.25"/>
    <row r="4" spans="1:6" ht="14.25" thickTop="1" thickBot="1" x14ac:dyDescent="0.25">
      <c r="A4" s="4" t="s">
        <v>1</v>
      </c>
      <c r="C4" s="7" t="s">
        <v>39</v>
      </c>
      <c r="D4" s="8" t="s">
        <v>39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2</v>
      </c>
    </row>
    <row r="7" spans="1:6" x14ac:dyDescent="0.2">
      <c r="A7" t="s">
        <v>3</v>
      </c>
      <c r="C7">
        <v>54623.412729999996</v>
      </c>
      <c r="E7">
        <v>54623.412729999996</v>
      </c>
    </row>
    <row r="8" spans="1:6" x14ac:dyDescent="0.2">
      <c r="A8" t="s">
        <v>4</v>
      </c>
      <c r="C8">
        <v>0.72729999999999995</v>
      </c>
      <c r="E8">
        <v>0.72729999999999995</v>
      </c>
    </row>
    <row r="9" spans="1:6" x14ac:dyDescent="0.2">
      <c r="A9" s="24" t="s">
        <v>33</v>
      </c>
      <c r="B9" s="25">
        <v>25</v>
      </c>
      <c r="C9" s="22" t="str">
        <f>"F"&amp;B9</f>
        <v>F25</v>
      </c>
      <c r="D9" s="23" t="str">
        <f>"G"&amp;B9</f>
        <v>G25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16</v>
      </c>
      <c r="B11" s="11"/>
      <c r="C11" s="21">
        <f ca="1">INTERCEPT(INDIRECT($D$9):G991,INDIRECT($C$9):F991)</f>
        <v>1.6000255214010122</v>
      </c>
      <c r="D11" s="13"/>
      <c r="E11" s="11"/>
    </row>
    <row r="12" spans="1:6" x14ac:dyDescent="0.2">
      <c r="A12" s="11" t="s">
        <v>17</v>
      </c>
      <c r="B12" s="11"/>
      <c r="C12" s="21">
        <f ca="1">SLOPE(INDIRECT($D$9):G991,INDIRECT($C$9):F991)</f>
        <v>2.1418313554157286E-5</v>
      </c>
      <c r="D12" s="13"/>
      <c r="E12" s="72" t="s">
        <v>122</v>
      </c>
      <c r="F12" s="71" t="s">
        <v>121</v>
      </c>
    </row>
    <row r="13" spans="1:6" x14ac:dyDescent="0.2">
      <c r="A13" s="11" t="s">
        <v>19</v>
      </c>
      <c r="B13" s="11"/>
      <c r="C13" s="13" t="s">
        <v>14</v>
      </c>
      <c r="E13" s="65" t="s">
        <v>42</v>
      </c>
      <c r="F13" s="67">
        <v>1</v>
      </c>
    </row>
    <row r="14" spans="1:6" x14ac:dyDescent="0.2">
      <c r="A14" s="11"/>
      <c r="B14" s="11"/>
      <c r="C14" s="11"/>
      <c r="E14" s="65" t="s">
        <v>31</v>
      </c>
      <c r="F14" s="68">
        <f ca="1">NOW()+15018.5+$C$5/24</f>
        <v>60680.798054629624</v>
      </c>
    </row>
    <row r="15" spans="1:6" x14ac:dyDescent="0.2">
      <c r="A15" s="14" t="s">
        <v>18</v>
      </c>
      <c r="B15" s="11"/>
      <c r="C15" s="15">
        <f ca="1">(C7+C11)+(C8+C12)*INT(MAX(F21:F3532))</f>
        <v>60441.402137774887</v>
      </c>
      <c r="E15" s="65" t="s">
        <v>43</v>
      </c>
      <c r="F15" s="68">
        <f ca="1">ROUND(2*($F$14-$C$7)/$C$8,0)/2+$F$13</f>
        <v>8329.5</v>
      </c>
    </row>
    <row r="16" spans="1:6" x14ac:dyDescent="0.2">
      <c r="A16" s="17" t="s">
        <v>5</v>
      </c>
      <c r="B16" s="11"/>
      <c r="C16" s="18">
        <f ca="1">+C8+C12</f>
        <v>0.72732141831355412</v>
      </c>
      <c r="E16" s="65" t="s">
        <v>32</v>
      </c>
      <c r="F16" s="68">
        <f ca="1">ROUND(2*($F$14-$C$15)/$C$16,0)/2+$F$13</f>
        <v>330</v>
      </c>
    </row>
    <row r="17" spans="1:21" ht="13.5" thickBot="1" x14ac:dyDescent="0.25">
      <c r="A17" s="16" t="s">
        <v>28</v>
      </c>
      <c r="B17" s="11"/>
      <c r="C17" s="11">
        <f>COUNT(C21:C2190)</f>
        <v>17</v>
      </c>
      <c r="E17" s="65" t="s">
        <v>119</v>
      </c>
      <c r="F17" s="69">
        <f ca="1">+$C$15+$C$16*$F$16-15018.5-$C$5/24</f>
        <v>45663.314039151694</v>
      </c>
    </row>
    <row r="18" spans="1:21" ht="14.25" thickTop="1" thickBot="1" x14ac:dyDescent="0.25">
      <c r="A18" s="17" t="s">
        <v>6</v>
      </c>
      <c r="B18" s="11"/>
      <c r="C18" s="20">
        <f ca="1">+C15</f>
        <v>60441.402137774887</v>
      </c>
      <c r="D18" s="64">
        <f ca="1">+C16</f>
        <v>0.72732141831355412</v>
      </c>
      <c r="E18" s="66" t="s">
        <v>120</v>
      </c>
      <c r="F18" s="70">
        <f ca="1">+($C$15+$C$16*$F$16)-($C$16/2)-15018.5-$C$5/24</f>
        <v>45662.95037844254</v>
      </c>
    </row>
    <row r="19" spans="1:21" ht="13.5" thickTop="1" x14ac:dyDescent="0.2">
      <c r="E19" s="16"/>
      <c r="F19" s="19"/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57</v>
      </c>
      <c r="I20" s="6" t="s">
        <v>60</v>
      </c>
      <c r="J20" s="6" t="s">
        <v>54</v>
      </c>
      <c r="K20" s="6" t="s">
        <v>52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0" t="s">
        <v>116</v>
      </c>
    </row>
    <row r="21" spans="1:21" x14ac:dyDescent="0.2">
      <c r="A21" t="s">
        <v>40</v>
      </c>
      <c r="B21" s="13" t="s">
        <v>36</v>
      </c>
      <c r="C21" s="9">
        <v>51274.911500000002</v>
      </c>
      <c r="D21" s="9">
        <v>1.6999999999999999E-3</v>
      </c>
      <c r="E21">
        <f t="shared" ref="E21:E30" si="0">+(C21-C$7)/C$8</f>
        <v>-4604.0165406297192</v>
      </c>
      <c r="F21" s="54">
        <f>ROUND(2*E21,0)/2</f>
        <v>-4604</v>
      </c>
      <c r="G21">
        <f t="shared" ref="G21:G30" si="1">+C21-(C$7+F21*C$8)</f>
        <v>-1.2029999998048879E-2</v>
      </c>
      <c r="I21">
        <f>+G21</f>
        <v>-1.2029999998048879E-2</v>
      </c>
      <c r="Q21" s="2">
        <f t="shared" ref="Q21:Q30" si="2">+C21-15018.5</f>
        <v>36256.411500000002</v>
      </c>
    </row>
    <row r="22" spans="1:21" x14ac:dyDescent="0.2">
      <c r="A22" s="29" t="s">
        <v>40</v>
      </c>
      <c r="B22" s="30" t="s">
        <v>41</v>
      </c>
      <c r="C22" s="29">
        <v>51310.92</v>
      </c>
      <c r="D22" s="29">
        <v>7.0000000000000001E-3</v>
      </c>
      <c r="E22" s="26">
        <f t="shared" si="0"/>
        <v>-4554.5067097483825</v>
      </c>
      <c r="F22" s="55">
        <f>ROUND(2*E22,0)/2</f>
        <v>-4554.5</v>
      </c>
      <c r="G22" s="26">
        <f t="shared" si="1"/>
        <v>-4.8800000004121102E-3</v>
      </c>
      <c r="I22">
        <f>+G22</f>
        <v>-4.8800000004121102E-3</v>
      </c>
      <c r="Q22" s="2">
        <f t="shared" si="2"/>
        <v>36292.42</v>
      </c>
    </row>
    <row r="23" spans="1:21" x14ac:dyDescent="0.2">
      <c r="A23" s="31" t="s">
        <v>35</v>
      </c>
      <c r="B23" s="32" t="s">
        <v>36</v>
      </c>
      <c r="C23" s="31">
        <v>54623.412729999996</v>
      </c>
      <c r="D23" s="31">
        <v>2.0000000000000001E-4</v>
      </c>
      <c r="E23" s="26">
        <f t="shared" si="0"/>
        <v>0</v>
      </c>
      <c r="F23" s="27">
        <f t="shared" ref="F23:F29" si="3">ROUND(2*E23,0)/2-2</f>
        <v>-2</v>
      </c>
      <c r="G23" s="26">
        <f t="shared" si="1"/>
        <v>1.4545999999972992</v>
      </c>
      <c r="K23">
        <f>+G23</f>
        <v>1.4545999999972992</v>
      </c>
      <c r="Q23" s="2">
        <f t="shared" si="2"/>
        <v>39604.912729999996</v>
      </c>
    </row>
    <row r="24" spans="1:21" x14ac:dyDescent="0.2">
      <c r="A24" s="31" t="s">
        <v>37</v>
      </c>
      <c r="B24" s="32" t="s">
        <v>36</v>
      </c>
      <c r="C24" s="31">
        <v>54998.8413</v>
      </c>
      <c r="D24" s="31">
        <v>5.0000000000000001E-4</v>
      </c>
      <c r="E24">
        <f t="shared" si="0"/>
        <v>516.19492644026354</v>
      </c>
      <c r="F24" s="28">
        <f t="shared" si="3"/>
        <v>514</v>
      </c>
      <c r="G24">
        <f t="shared" si="1"/>
        <v>1.5963700000065728</v>
      </c>
      <c r="K24">
        <f>+G24</f>
        <v>1.5963700000065728</v>
      </c>
      <c r="Q24" s="2">
        <f t="shared" si="2"/>
        <v>39980.3413</v>
      </c>
    </row>
    <row r="25" spans="1:21" x14ac:dyDescent="0.2">
      <c r="A25" s="47" t="s">
        <v>73</v>
      </c>
      <c r="B25" s="49" t="s">
        <v>41</v>
      </c>
      <c r="C25" s="48">
        <v>55033.413999999997</v>
      </c>
      <c r="D25" s="48" t="s">
        <v>60</v>
      </c>
      <c r="E25" s="26">
        <f t="shared" si="0"/>
        <v>563.73060635226273</v>
      </c>
      <c r="F25" s="27">
        <f t="shared" si="3"/>
        <v>561.5</v>
      </c>
      <c r="G25" s="26">
        <f t="shared" si="1"/>
        <v>1.6223200000022189</v>
      </c>
      <c r="I25">
        <f>+G25</f>
        <v>1.6223200000022189</v>
      </c>
      <c r="O25">
        <f t="shared" ref="O25:O30" ca="1" si="4">+C$11+C$12*$F25</f>
        <v>1.6120519044616715</v>
      </c>
      <c r="Q25" s="2">
        <f t="shared" si="2"/>
        <v>40014.913999999997</v>
      </c>
    </row>
    <row r="26" spans="1:21" x14ac:dyDescent="0.2">
      <c r="A26" s="33" t="s">
        <v>44</v>
      </c>
      <c r="B26" s="32" t="s">
        <v>41</v>
      </c>
      <c r="C26" s="31">
        <v>55385.426399999997</v>
      </c>
      <c r="D26" s="31">
        <v>2.9999999999999997E-4</v>
      </c>
      <c r="E26" s="26">
        <f t="shared" si="0"/>
        <v>1047.7295063935107</v>
      </c>
      <c r="F26" s="27">
        <f t="shared" si="3"/>
        <v>1045.5</v>
      </c>
      <c r="G26" s="26">
        <f t="shared" si="1"/>
        <v>1.6215200000006007</v>
      </c>
      <c r="K26">
        <f>+G26</f>
        <v>1.6215200000006007</v>
      </c>
      <c r="O26">
        <f t="shared" ca="1" si="4"/>
        <v>1.6224183682218836</v>
      </c>
      <c r="Q26" s="2">
        <f t="shared" si="2"/>
        <v>40366.926399999997</v>
      </c>
    </row>
    <row r="27" spans="1:21" x14ac:dyDescent="0.2">
      <c r="A27" s="33" t="s">
        <v>44</v>
      </c>
      <c r="B27" s="32" t="s">
        <v>36</v>
      </c>
      <c r="C27" s="31">
        <v>55413.419240000003</v>
      </c>
      <c r="D27" s="31">
        <v>4.0000000000000002E-4</v>
      </c>
      <c r="E27" s="26">
        <f t="shared" si="0"/>
        <v>1086.2182180668315</v>
      </c>
      <c r="F27" s="27">
        <f t="shared" si="3"/>
        <v>1084</v>
      </c>
      <c r="G27" s="26">
        <f t="shared" si="1"/>
        <v>1.6133100000079139</v>
      </c>
      <c r="K27">
        <f>+G27</f>
        <v>1.6133100000079139</v>
      </c>
      <c r="O27">
        <f t="shared" ca="1" si="4"/>
        <v>1.6232429732937186</v>
      </c>
      <c r="Q27" s="2">
        <f t="shared" si="2"/>
        <v>40394.919240000003</v>
      </c>
    </row>
    <row r="28" spans="1:21" x14ac:dyDescent="0.2">
      <c r="A28" s="29" t="s">
        <v>46</v>
      </c>
      <c r="B28" s="30" t="s">
        <v>36</v>
      </c>
      <c r="C28" s="29">
        <v>55689.444900000002</v>
      </c>
      <c r="D28" s="29">
        <v>1.35E-2</v>
      </c>
      <c r="E28" s="26">
        <f t="shared" si="0"/>
        <v>1465.7392685274383</v>
      </c>
      <c r="F28" s="27">
        <f t="shared" si="3"/>
        <v>1463.5</v>
      </c>
      <c r="G28" s="26">
        <f t="shared" si="1"/>
        <v>1.6286200000031386</v>
      </c>
      <c r="J28">
        <f>+G28</f>
        <v>1.6286200000031386</v>
      </c>
      <c r="O28">
        <f t="shared" ca="1" si="4"/>
        <v>1.6313712232875213</v>
      </c>
      <c r="Q28" s="2">
        <f t="shared" si="2"/>
        <v>40670.944900000002</v>
      </c>
    </row>
    <row r="29" spans="1:21" x14ac:dyDescent="0.2">
      <c r="A29" s="29" t="s">
        <v>45</v>
      </c>
      <c r="B29" s="30" t="s">
        <v>36</v>
      </c>
      <c r="C29" s="29">
        <v>55737.799200000001</v>
      </c>
      <c r="D29" s="29">
        <v>5.9999999999999995E-4</v>
      </c>
      <c r="E29" s="26">
        <f t="shared" si="0"/>
        <v>1532.2239378523375</v>
      </c>
      <c r="F29" s="27">
        <f t="shared" si="3"/>
        <v>1530</v>
      </c>
      <c r="G29" s="26">
        <f t="shared" si="1"/>
        <v>1.6174700000046869</v>
      </c>
      <c r="J29">
        <f>+G29</f>
        <v>1.6174700000046869</v>
      </c>
      <c r="O29">
        <f t="shared" ca="1" si="4"/>
        <v>1.6327955411388728</v>
      </c>
      <c r="Q29" s="2">
        <f t="shared" si="2"/>
        <v>40719.299200000001</v>
      </c>
    </row>
    <row r="30" spans="1:21" x14ac:dyDescent="0.2">
      <c r="A30" s="33" t="s">
        <v>47</v>
      </c>
      <c r="B30" s="32" t="s">
        <v>36</v>
      </c>
      <c r="C30" s="31">
        <v>56460.4107</v>
      </c>
      <c r="D30" s="31">
        <v>1.1000000000000001E-3</v>
      </c>
      <c r="E30" s="26">
        <f t="shared" si="0"/>
        <v>2525.7774920940519</v>
      </c>
      <c r="F30" s="51">
        <f t="shared" ref="F30:F36" si="5">ROUND(2*E30,0)/2-2.5</f>
        <v>2523.5</v>
      </c>
      <c r="G30" s="26">
        <f t="shared" si="1"/>
        <v>1.6564200000066194</v>
      </c>
      <c r="K30">
        <f>+G30</f>
        <v>1.6564200000066194</v>
      </c>
      <c r="O30">
        <f t="shared" ca="1" si="4"/>
        <v>1.6540746356549281</v>
      </c>
      <c r="Q30" s="2">
        <f t="shared" si="2"/>
        <v>41441.9107</v>
      </c>
    </row>
    <row r="31" spans="1:21" x14ac:dyDescent="0.2">
      <c r="A31" s="31" t="s">
        <v>49</v>
      </c>
      <c r="B31" s="32"/>
      <c r="C31" s="31">
        <v>56460.418579999998</v>
      </c>
      <c r="D31" s="31">
        <v>1.1299999999999999E-3</v>
      </c>
      <c r="E31" s="26">
        <f t="shared" ref="E31:E36" si="6">+(C31-C$7)/C$8</f>
        <v>2525.7883266877511</v>
      </c>
      <c r="F31" s="51">
        <f t="shared" si="5"/>
        <v>2523.5</v>
      </c>
      <c r="G31" s="26">
        <f t="shared" ref="G31:G36" si="7">+C31-(C$7+F31*C$8)</f>
        <v>1.6643000000040047</v>
      </c>
      <c r="K31">
        <f>+G31</f>
        <v>1.6643000000040047</v>
      </c>
      <c r="O31">
        <f t="shared" ref="O31:O36" ca="1" si="8">+C$11+C$12*$F31</f>
        <v>1.6540746356549281</v>
      </c>
      <c r="Q31" s="2">
        <f t="shared" ref="Q31:Q36" si="9">+C31-15018.5</f>
        <v>41441.918579999998</v>
      </c>
    </row>
    <row r="32" spans="1:21" x14ac:dyDescent="0.2">
      <c r="A32" s="56" t="s">
        <v>48</v>
      </c>
      <c r="B32" s="57" t="s">
        <v>36</v>
      </c>
      <c r="C32" s="56">
        <v>56809.518600000003</v>
      </c>
      <c r="D32" s="56">
        <v>5.3E-3</v>
      </c>
      <c r="E32" s="26">
        <f t="shared" si="6"/>
        <v>3005.7828543929695</v>
      </c>
      <c r="F32" s="60">
        <f t="shared" si="5"/>
        <v>3003.5</v>
      </c>
      <c r="G32" s="26">
        <f t="shared" si="7"/>
        <v>1.6603200000099605</v>
      </c>
      <c r="K32">
        <f>+G32</f>
        <v>1.6603200000099605</v>
      </c>
      <c r="O32">
        <f t="shared" ca="1" si="8"/>
        <v>1.6643554261609235</v>
      </c>
      <c r="Q32" s="2">
        <f t="shared" si="9"/>
        <v>41791.018600000003</v>
      </c>
    </row>
    <row r="33" spans="1:17" x14ac:dyDescent="0.2">
      <c r="A33" s="31" t="s">
        <v>61</v>
      </c>
      <c r="B33" s="32"/>
      <c r="C33" s="31">
        <v>57114.634899999997</v>
      </c>
      <c r="D33" s="31">
        <v>1.6000000000000001E-3</v>
      </c>
      <c r="E33" s="26">
        <f t="shared" si="6"/>
        <v>3425.3020349236917</v>
      </c>
      <c r="F33" s="60">
        <f t="shared" si="5"/>
        <v>3423</v>
      </c>
      <c r="G33" s="26">
        <f t="shared" si="7"/>
        <v>1.6742700000031618</v>
      </c>
      <c r="K33">
        <f>+G33</f>
        <v>1.6742700000031618</v>
      </c>
      <c r="O33">
        <f t="shared" ca="1" si="8"/>
        <v>1.6733404086968926</v>
      </c>
      <c r="Q33" s="2">
        <f t="shared" si="9"/>
        <v>42096.134899999997</v>
      </c>
    </row>
    <row r="34" spans="1:17" x14ac:dyDescent="0.2">
      <c r="A34" s="31" t="s">
        <v>61</v>
      </c>
      <c r="B34" s="32"/>
      <c r="C34" s="31">
        <v>57176.4545</v>
      </c>
      <c r="D34" s="31">
        <v>2.5999999999999999E-3</v>
      </c>
      <c r="E34" s="26">
        <f t="shared" si="6"/>
        <v>3510.3007974701</v>
      </c>
      <c r="F34" s="60">
        <f t="shared" si="5"/>
        <v>3508</v>
      </c>
      <c r="G34" s="26">
        <f t="shared" si="7"/>
        <v>1.6733700000040699</v>
      </c>
      <c r="K34">
        <f>+G34</f>
        <v>1.6733700000040699</v>
      </c>
      <c r="O34">
        <f t="shared" ca="1" si="8"/>
        <v>1.6751609653489958</v>
      </c>
      <c r="Q34" s="2">
        <f t="shared" si="9"/>
        <v>42157.9545</v>
      </c>
    </row>
    <row r="35" spans="1:17" x14ac:dyDescent="0.2">
      <c r="A35" s="58" t="s">
        <v>0</v>
      </c>
      <c r="B35" s="59" t="s">
        <v>36</v>
      </c>
      <c r="C35" s="59">
        <v>57895.430699999997</v>
      </c>
      <c r="D35" s="59">
        <v>5.0000000000000001E-3</v>
      </c>
      <c r="E35" s="26">
        <f t="shared" si="6"/>
        <v>4498.8560016499396</v>
      </c>
      <c r="F35" s="60">
        <f t="shared" si="5"/>
        <v>4496.5</v>
      </c>
      <c r="G35" s="26">
        <f t="shared" si="7"/>
        <v>1.7135200000047917</v>
      </c>
      <c r="K35">
        <f>+G35</f>
        <v>1.7135200000047917</v>
      </c>
      <c r="O35">
        <f t="shared" ca="1" si="8"/>
        <v>1.6963329682972803</v>
      </c>
      <c r="Q35" s="2">
        <f t="shared" si="9"/>
        <v>42876.930699999997</v>
      </c>
    </row>
    <row r="36" spans="1:17" x14ac:dyDescent="0.2">
      <c r="A36" s="58" t="s">
        <v>0</v>
      </c>
      <c r="B36" s="59" t="s">
        <v>36</v>
      </c>
      <c r="C36" s="59">
        <v>57931.419000000002</v>
      </c>
      <c r="D36" s="59">
        <v>8.0000000000000004E-4</v>
      </c>
      <c r="E36" s="26">
        <f t="shared" si="6"/>
        <v>4548.338058572811</v>
      </c>
      <c r="F36" s="60">
        <f t="shared" si="5"/>
        <v>4546</v>
      </c>
      <c r="G36" s="26">
        <f t="shared" si="7"/>
        <v>1.7004700000034063</v>
      </c>
      <c r="K36">
        <f>+G36</f>
        <v>1.7004700000034063</v>
      </c>
      <c r="O36">
        <f t="shared" ca="1" si="8"/>
        <v>1.6973931748182112</v>
      </c>
      <c r="Q36" s="2">
        <f t="shared" si="9"/>
        <v>42912.919000000002</v>
      </c>
    </row>
    <row r="37" spans="1:17" x14ac:dyDescent="0.2">
      <c r="A37" s="61" t="s">
        <v>118</v>
      </c>
      <c r="B37" s="62" t="s">
        <v>41</v>
      </c>
      <c r="C37" s="63">
        <v>60441.392839999869</v>
      </c>
      <c r="D37" s="61">
        <v>1.46E-2</v>
      </c>
      <c r="E37" s="26">
        <f t="shared" ref="E37" si="10">+(C37-C$7)/C$8</f>
        <v>7999.4226728995927</v>
      </c>
      <c r="F37" s="60">
        <f t="shared" ref="F37" si="11">ROUND(2*E37,0)/2-2.5</f>
        <v>7997</v>
      </c>
      <c r="G37" s="26">
        <f t="shared" ref="G37" si="12">+C37-(C$7+F37*C$8)</f>
        <v>1.7620099998748628</v>
      </c>
      <c r="K37">
        <f>+G37</f>
        <v>1.7620099998748628</v>
      </c>
      <c r="O37">
        <f t="shared" ref="O37" ca="1" si="13">+C$11+C$12*$F37</f>
        <v>1.7713077748936079</v>
      </c>
      <c r="Q37" s="2">
        <f t="shared" ref="Q37" si="14">+C37-15018.5</f>
        <v>45422.892839999869</v>
      </c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honeticPr fontId="7" type="noConversion"/>
  <hyperlinks>
    <hyperlink ref="H64366" r:id="rId1" display="http://vsolj.cetus-net.org/bulletin.html" xr:uid="{00000000-0004-0000-0000-000000000000}"/>
    <hyperlink ref="H64359" r:id="rId2" display="https://www.aavso.org/ejaavso" xr:uid="{00000000-0004-0000-0000-000001000000}"/>
    <hyperlink ref="AP510" r:id="rId3" display="http://cdsbib.u-strasbg.fr/cgi-bin/cdsbib?1990RMxAA..21..381G" xr:uid="{00000000-0004-0000-0000-000002000000}"/>
    <hyperlink ref="AP514" r:id="rId4" display="http://cdsbib.u-strasbg.fr/cgi-bin/cdsbib?1990RMxAA..21..381G" xr:uid="{00000000-0004-0000-0000-000003000000}"/>
    <hyperlink ref="AP513" r:id="rId5" display="http://cdsbib.u-strasbg.fr/cgi-bin/cdsbib?1990RMxAA..21..381G" xr:uid="{00000000-0004-0000-0000-000004000000}"/>
    <hyperlink ref="AP494" r:id="rId6" display="http://cdsbib.u-strasbg.fr/cgi-bin/cdsbib?1990RMxAA..21..381G" xr:uid="{00000000-0004-0000-0000-000005000000}"/>
    <hyperlink ref="I64366" r:id="rId7" display="http://vsolj.cetus-net.org/bulletin.html" xr:uid="{00000000-0004-0000-0000-000006000000}"/>
    <hyperlink ref="AQ650" r:id="rId8" display="http://cdsbib.u-strasbg.fr/cgi-bin/cdsbib?1990RMxAA..21..381G" xr:uid="{00000000-0004-0000-0000-000007000000}"/>
    <hyperlink ref="AQ55416" r:id="rId9" display="http://cdsbib.u-strasbg.fr/cgi-bin/cdsbib?1990RMxAA..21..381G" xr:uid="{00000000-0004-0000-0000-000008000000}"/>
    <hyperlink ref="AQ651" r:id="rId10" display="http://cdsbib.u-strasbg.fr/cgi-bin/cdsbib?1990RMxAA..21..381G" xr:uid="{00000000-0004-0000-0000-000009000000}"/>
    <hyperlink ref="H64363" r:id="rId11" display="https://www.aavso.org/ejaavso" xr:uid="{00000000-0004-0000-0000-00000A000000}"/>
    <hyperlink ref="H1536" r:id="rId12" display="http://vsolj.cetus-net.org/bulletin.html" xr:uid="{00000000-0004-0000-0000-00000B000000}"/>
    <hyperlink ref="AP2780" r:id="rId13" display="http://cdsbib.u-strasbg.fr/cgi-bin/cdsbib?1990RMxAA..21..381G" xr:uid="{00000000-0004-0000-0000-00000C000000}"/>
    <hyperlink ref="AP2783" r:id="rId14" display="http://cdsbib.u-strasbg.fr/cgi-bin/cdsbib?1990RMxAA..21..381G" xr:uid="{00000000-0004-0000-0000-00000D000000}"/>
    <hyperlink ref="AP2781" r:id="rId15" display="http://cdsbib.u-strasbg.fr/cgi-bin/cdsbib?1990RMxAA..21..381G" xr:uid="{00000000-0004-0000-0000-00000E000000}"/>
    <hyperlink ref="AP2765" r:id="rId16" display="http://cdsbib.u-strasbg.fr/cgi-bin/cdsbib?1990RMxAA..21..381G" xr:uid="{00000000-0004-0000-0000-00000F000000}"/>
    <hyperlink ref="I1536" r:id="rId17" display="http://vsolj.cetus-net.org/bulletin.html" xr:uid="{00000000-0004-0000-0000-000010000000}"/>
    <hyperlink ref="AQ2994" r:id="rId18" display="http://cdsbib.u-strasbg.fr/cgi-bin/cdsbib?1990RMxAA..21..381G" xr:uid="{00000000-0004-0000-0000-000011000000}"/>
    <hyperlink ref="AQ65231" r:id="rId19" display="http://cdsbib.u-strasbg.fr/cgi-bin/cdsbib?1990RMxAA..21..381G" xr:uid="{00000000-0004-0000-0000-000012000000}"/>
    <hyperlink ref="AQ299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workbookViewId="0">
      <selection activeCell="A20" sqref="A20:D2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4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9" t="str">
        <f>P11</f>
        <v>IBVS 5894 </v>
      </c>
      <c r="B11" s="13" t="str">
        <f>IF(H11=INT(H11),"I","II")</f>
        <v>I</v>
      </c>
      <c r="C11" s="9">
        <f>1*G11</f>
        <v>54998.8413</v>
      </c>
      <c r="D11" s="11" t="str">
        <f>VLOOKUP(F11,I$1:J$5,2,FALSE)</f>
        <v>vis</v>
      </c>
      <c r="E11" s="42">
        <f>VLOOKUP(C11,Active!C$21:E$973,3,FALSE)</f>
        <v>516.19492644026354</v>
      </c>
      <c r="F11" s="13" t="s">
        <v>59</v>
      </c>
      <c r="G11" s="11" t="str">
        <f>MID(I11,3,LEN(I11)-3)</f>
        <v>54998.8413</v>
      </c>
      <c r="H11" s="9">
        <f>1*K11</f>
        <v>3435</v>
      </c>
      <c r="I11" s="43" t="s">
        <v>62</v>
      </c>
      <c r="J11" s="44" t="s">
        <v>63</v>
      </c>
      <c r="K11" s="43">
        <v>3435</v>
      </c>
      <c r="L11" s="43" t="s">
        <v>64</v>
      </c>
      <c r="M11" s="44" t="s">
        <v>65</v>
      </c>
      <c r="N11" s="44" t="s">
        <v>59</v>
      </c>
      <c r="O11" s="45" t="s">
        <v>66</v>
      </c>
      <c r="P11" s="46" t="s">
        <v>67</v>
      </c>
    </row>
    <row r="12" spans="1:16" ht="12.75" customHeight="1" thickBot="1" x14ac:dyDescent="0.25">
      <c r="A12" s="9" t="str">
        <f t="shared" ref="A12:A20" si="0">P12</f>
        <v>BAVM 241 (=IBVS 6157) </v>
      </c>
      <c r="B12" s="13" t="str">
        <f t="shared" ref="B12:B20" si="1">IF(H12=INT(H12),"I","II")</f>
        <v>I</v>
      </c>
      <c r="C12" s="9">
        <f t="shared" ref="C12:C20" si="2">1*G12</f>
        <v>57114.634899999997</v>
      </c>
      <c r="D12" s="11" t="str">
        <f t="shared" ref="D12:D20" si="3">VLOOKUP(F12,I$1:J$5,2,FALSE)</f>
        <v>vis</v>
      </c>
      <c r="E12" s="42">
        <f>VLOOKUP(C12,Active!C$21:E$973,3,FALSE)</f>
        <v>3425.3020349236917</v>
      </c>
      <c r="F12" s="13" t="s">
        <v>59</v>
      </c>
      <c r="G12" s="11" t="str">
        <f t="shared" ref="G12:G20" si="4">MID(I12,3,LEN(I12)-3)</f>
        <v>57114.6349</v>
      </c>
      <c r="H12" s="9">
        <f t="shared" ref="H12:H20" si="5">1*K12</f>
        <v>6344</v>
      </c>
      <c r="I12" s="43" t="s">
        <v>106</v>
      </c>
      <c r="J12" s="44" t="s">
        <v>107</v>
      </c>
      <c r="K12" s="43" t="s">
        <v>108</v>
      </c>
      <c r="L12" s="43" t="s">
        <v>109</v>
      </c>
      <c r="M12" s="44" t="s">
        <v>65</v>
      </c>
      <c r="N12" s="44" t="s">
        <v>59</v>
      </c>
      <c r="O12" s="45" t="s">
        <v>110</v>
      </c>
      <c r="P12" s="46" t="s">
        <v>111</v>
      </c>
    </row>
    <row r="13" spans="1:16" ht="12.75" customHeight="1" thickBot="1" x14ac:dyDescent="0.25">
      <c r="A13" s="9" t="str">
        <f t="shared" si="0"/>
        <v>BAVM 241 (=IBVS 6157) </v>
      </c>
      <c r="B13" s="13" t="str">
        <f t="shared" si="1"/>
        <v>I</v>
      </c>
      <c r="C13" s="9">
        <f t="shared" si="2"/>
        <v>57176.4545</v>
      </c>
      <c r="D13" s="11" t="str">
        <f t="shared" si="3"/>
        <v>vis</v>
      </c>
      <c r="E13" s="42">
        <f>VLOOKUP(C13,Active!C$21:E$973,3,FALSE)</f>
        <v>3510.3007974701</v>
      </c>
      <c r="F13" s="13" t="s">
        <v>59</v>
      </c>
      <c r="G13" s="11" t="str">
        <f t="shared" si="4"/>
        <v>57176.4545</v>
      </c>
      <c r="H13" s="9">
        <f t="shared" si="5"/>
        <v>6429</v>
      </c>
      <c r="I13" s="43" t="s">
        <v>112</v>
      </c>
      <c r="J13" s="44" t="s">
        <v>113</v>
      </c>
      <c r="K13" s="43" t="s">
        <v>114</v>
      </c>
      <c r="L13" s="43" t="s">
        <v>115</v>
      </c>
      <c r="M13" s="44" t="s">
        <v>65</v>
      </c>
      <c r="N13" s="44" t="s">
        <v>71</v>
      </c>
      <c r="O13" s="45" t="s">
        <v>88</v>
      </c>
      <c r="P13" s="46" t="s">
        <v>111</v>
      </c>
    </row>
    <row r="14" spans="1:16" ht="12.75" customHeight="1" thickBot="1" x14ac:dyDescent="0.25">
      <c r="A14" s="9" t="str">
        <f t="shared" si="0"/>
        <v>OEJV 0137 </v>
      </c>
      <c r="B14" s="13" t="str">
        <f t="shared" si="1"/>
        <v>II</v>
      </c>
      <c r="C14" s="9">
        <f t="shared" si="2"/>
        <v>55385.426399999997</v>
      </c>
      <c r="D14" s="11" t="str">
        <f t="shared" si="3"/>
        <v>vis</v>
      </c>
      <c r="E14" s="42">
        <f>VLOOKUP(C14,Active!C$21:E$973,3,FALSE)</f>
        <v>1047.7295063935107</v>
      </c>
      <c r="F14" s="13" t="s">
        <v>59</v>
      </c>
      <c r="G14" s="11" t="str">
        <f t="shared" si="4"/>
        <v>55385.42640</v>
      </c>
      <c r="H14" s="9">
        <f t="shared" si="5"/>
        <v>3966.5</v>
      </c>
      <c r="I14" s="43" t="s">
        <v>74</v>
      </c>
      <c r="J14" s="44" t="s">
        <v>75</v>
      </c>
      <c r="K14" s="43" t="s">
        <v>76</v>
      </c>
      <c r="L14" s="43" t="s">
        <v>77</v>
      </c>
      <c r="M14" s="44" t="s">
        <v>65</v>
      </c>
      <c r="N14" s="44" t="s">
        <v>51</v>
      </c>
      <c r="O14" s="45" t="s">
        <v>78</v>
      </c>
      <c r="P14" s="46" t="s">
        <v>79</v>
      </c>
    </row>
    <row r="15" spans="1:16" ht="12.75" customHeight="1" thickBot="1" x14ac:dyDescent="0.25">
      <c r="A15" s="9" t="str">
        <f t="shared" si="0"/>
        <v>OEJV 0137 </v>
      </c>
      <c r="B15" s="13" t="str">
        <f t="shared" si="1"/>
        <v>I</v>
      </c>
      <c r="C15" s="9">
        <f t="shared" si="2"/>
        <v>55413.419240000003</v>
      </c>
      <c r="D15" s="11" t="str">
        <f t="shared" si="3"/>
        <v>vis</v>
      </c>
      <c r="E15" s="42">
        <f>VLOOKUP(C15,Active!C$21:E$973,3,FALSE)</f>
        <v>1086.2182180668315</v>
      </c>
      <c r="F15" s="13" t="s">
        <v>59</v>
      </c>
      <c r="G15" s="11" t="str">
        <f t="shared" si="4"/>
        <v>55413.41924</v>
      </c>
      <c r="H15" s="9">
        <f t="shared" si="5"/>
        <v>4005</v>
      </c>
      <c r="I15" s="43" t="s">
        <v>80</v>
      </c>
      <c r="J15" s="44" t="s">
        <v>81</v>
      </c>
      <c r="K15" s="43" t="s">
        <v>82</v>
      </c>
      <c r="L15" s="43" t="s">
        <v>83</v>
      </c>
      <c r="M15" s="44" t="s">
        <v>65</v>
      </c>
      <c r="N15" s="44" t="s">
        <v>51</v>
      </c>
      <c r="O15" s="45" t="s">
        <v>78</v>
      </c>
      <c r="P15" s="46" t="s">
        <v>79</v>
      </c>
    </row>
    <row r="16" spans="1:16" ht="12.75" customHeight="1" thickBot="1" x14ac:dyDescent="0.25">
      <c r="A16" s="9" t="str">
        <f t="shared" si="0"/>
        <v>BAVM 220 </v>
      </c>
      <c r="B16" s="13" t="str">
        <f t="shared" si="1"/>
        <v>II</v>
      </c>
      <c r="C16" s="9">
        <f t="shared" si="2"/>
        <v>55689.444900000002</v>
      </c>
      <c r="D16" s="11" t="str">
        <f t="shared" si="3"/>
        <v>vis</v>
      </c>
      <c r="E16" s="42">
        <f>VLOOKUP(C16,Active!C$21:E$973,3,FALSE)</f>
        <v>1465.7392685274383</v>
      </c>
      <c r="F16" s="13" t="s">
        <v>59</v>
      </c>
      <c r="G16" s="11" t="str">
        <f t="shared" si="4"/>
        <v>55689.4449</v>
      </c>
      <c r="H16" s="9">
        <f t="shared" si="5"/>
        <v>4384.5</v>
      </c>
      <c r="I16" s="43" t="s">
        <v>84</v>
      </c>
      <c r="J16" s="44" t="s">
        <v>85</v>
      </c>
      <c r="K16" s="43" t="s">
        <v>86</v>
      </c>
      <c r="L16" s="43" t="s">
        <v>87</v>
      </c>
      <c r="M16" s="44" t="s">
        <v>65</v>
      </c>
      <c r="N16" s="44" t="s">
        <v>71</v>
      </c>
      <c r="O16" s="45" t="s">
        <v>88</v>
      </c>
      <c r="P16" s="46" t="s">
        <v>89</v>
      </c>
    </row>
    <row r="17" spans="1:16" ht="12.75" customHeight="1" thickBot="1" x14ac:dyDescent="0.25">
      <c r="A17" s="9" t="str">
        <f t="shared" si="0"/>
        <v>IBVS 5992 </v>
      </c>
      <c r="B17" s="13" t="str">
        <f t="shared" si="1"/>
        <v>I</v>
      </c>
      <c r="C17" s="9">
        <f t="shared" si="2"/>
        <v>55737.799200000001</v>
      </c>
      <c r="D17" s="11" t="str">
        <f t="shared" si="3"/>
        <v>vis</v>
      </c>
      <c r="E17" s="42">
        <f>VLOOKUP(C17,Active!C$21:E$973,3,FALSE)</f>
        <v>1532.2239378523375</v>
      </c>
      <c r="F17" s="13" t="s">
        <v>59</v>
      </c>
      <c r="G17" s="11" t="str">
        <f t="shared" si="4"/>
        <v>55737.7992</v>
      </c>
      <c r="H17" s="9">
        <f t="shared" si="5"/>
        <v>4451</v>
      </c>
      <c r="I17" s="43" t="s">
        <v>90</v>
      </c>
      <c r="J17" s="44" t="s">
        <v>91</v>
      </c>
      <c r="K17" s="43" t="s">
        <v>92</v>
      </c>
      <c r="L17" s="43" t="s">
        <v>93</v>
      </c>
      <c r="M17" s="44" t="s">
        <v>65</v>
      </c>
      <c r="N17" s="44" t="s">
        <v>59</v>
      </c>
      <c r="O17" s="45" t="s">
        <v>66</v>
      </c>
      <c r="P17" s="46" t="s">
        <v>94</v>
      </c>
    </row>
    <row r="18" spans="1:16" ht="12.75" customHeight="1" thickBot="1" x14ac:dyDescent="0.25">
      <c r="A18" s="9" t="str">
        <f t="shared" si="0"/>
        <v>OEJV 0160 </v>
      </c>
      <c r="B18" s="13" t="str">
        <f t="shared" si="1"/>
        <v>II</v>
      </c>
      <c r="C18" s="9">
        <f t="shared" si="2"/>
        <v>56460.4107</v>
      </c>
      <c r="D18" s="11" t="str">
        <f t="shared" si="3"/>
        <v>vis</v>
      </c>
      <c r="E18" s="42">
        <f>VLOOKUP(C18,Active!C$21:E$973,3,FALSE)</f>
        <v>2525.7774920940519</v>
      </c>
      <c r="F18" s="13" t="s">
        <v>59</v>
      </c>
      <c r="G18" s="11" t="str">
        <f t="shared" si="4"/>
        <v>56460.4107</v>
      </c>
      <c r="H18" s="9">
        <f t="shared" si="5"/>
        <v>5444.5</v>
      </c>
      <c r="I18" s="43" t="s">
        <v>95</v>
      </c>
      <c r="J18" s="44" t="s">
        <v>96</v>
      </c>
      <c r="K18" s="43" t="s">
        <v>97</v>
      </c>
      <c r="L18" s="43" t="s">
        <v>98</v>
      </c>
      <c r="M18" s="44" t="s">
        <v>65</v>
      </c>
      <c r="N18" s="44" t="s">
        <v>51</v>
      </c>
      <c r="O18" s="45" t="s">
        <v>99</v>
      </c>
      <c r="P18" s="46" t="s">
        <v>100</v>
      </c>
    </row>
    <row r="19" spans="1:16" ht="12.75" customHeight="1" thickBot="1" x14ac:dyDescent="0.25">
      <c r="A19" s="9" t="str">
        <f t="shared" si="0"/>
        <v>BAVM 238 </v>
      </c>
      <c r="B19" s="13" t="str">
        <f t="shared" si="1"/>
        <v>II</v>
      </c>
      <c r="C19" s="9">
        <f t="shared" si="2"/>
        <v>56809.518600000003</v>
      </c>
      <c r="D19" s="11" t="str">
        <f t="shared" si="3"/>
        <v>vis</v>
      </c>
      <c r="E19" s="42">
        <f>VLOOKUP(C19,Active!C$21:E$973,3,FALSE)</f>
        <v>3005.7828543929695</v>
      </c>
      <c r="F19" s="13" t="s">
        <v>59</v>
      </c>
      <c r="G19" s="11" t="str">
        <f t="shared" si="4"/>
        <v>56809.5186</v>
      </c>
      <c r="H19" s="9">
        <f t="shared" si="5"/>
        <v>5924.5</v>
      </c>
      <c r="I19" s="43" t="s">
        <v>101</v>
      </c>
      <c r="J19" s="44" t="s">
        <v>102</v>
      </c>
      <c r="K19" s="43" t="s">
        <v>103</v>
      </c>
      <c r="L19" s="43" t="s">
        <v>104</v>
      </c>
      <c r="M19" s="44" t="s">
        <v>65</v>
      </c>
      <c r="N19" s="44" t="s">
        <v>71</v>
      </c>
      <c r="O19" s="45" t="s">
        <v>88</v>
      </c>
      <c r="P19" s="46" t="s">
        <v>105</v>
      </c>
    </row>
    <row r="20" spans="1:16" ht="12.75" customHeight="1" thickBot="1" x14ac:dyDescent="0.25">
      <c r="A20" s="9" t="str">
        <f t="shared" si="0"/>
        <v>BAVM 212 </v>
      </c>
      <c r="B20" s="13" t="str">
        <f t="shared" si="1"/>
        <v>II</v>
      </c>
      <c r="C20" s="9">
        <f t="shared" si="2"/>
        <v>55033.413999999997</v>
      </c>
      <c r="D20" s="11" t="str">
        <f t="shared" si="3"/>
        <v>vis</v>
      </c>
      <c r="E20" s="42">
        <f>VLOOKUP(C20,Active!C$21:E$973,3,FALSE)</f>
        <v>563.73060635226273</v>
      </c>
      <c r="F20" s="13" t="s">
        <v>59</v>
      </c>
      <c r="G20" s="11" t="str">
        <f t="shared" si="4"/>
        <v>55033.414</v>
      </c>
      <c r="H20" s="9">
        <f t="shared" si="5"/>
        <v>3482.5</v>
      </c>
      <c r="I20" s="43" t="s">
        <v>68</v>
      </c>
      <c r="J20" s="44" t="s">
        <v>69</v>
      </c>
      <c r="K20" s="43">
        <v>3482.5</v>
      </c>
      <c r="L20" s="43" t="s">
        <v>70</v>
      </c>
      <c r="M20" s="44" t="s">
        <v>65</v>
      </c>
      <c r="N20" s="44" t="s">
        <v>71</v>
      </c>
      <c r="O20" s="45" t="s">
        <v>72</v>
      </c>
      <c r="P20" s="46" t="s">
        <v>73</v>
      </c>
    </row>
    <row r="21" spans="1:16" x14ac:dyDescent="0.2">
      <c r="B21" s="13"/>
      <c r="E21" s="42"/>
      <c r="F21" s="13"/>
    </row>
    <row r="22" spans="1:16" x14ac:dyDescent="0.2">
      <c r="B22" s="13"/>
      <c r="E22" s="42"/>
      <c r="F22" s="13"/>
    </row>
    <row r="23" spans="1:16" x14ac:dyDescent="0.2">
      <c r="B23" s="13"/>
      <c r="E23" s="42"/>
      <c r="F23" s="13"/>
    </row>
    <row r="24" spans="1:16" x14ac:dyDescent="0.2">
      <c r="B24" s="13"/>
      <c r="E24" s="42"/>
      <c r="F24" s="13"/>
    </row>
    <row r="25" spans="1:16" x14ac:dyDescent="0.2">
      <c r="B25" s="13"/>
      <c r="E25" s="42"/>
      <c r="F25" s="13"/>
    </row>
    <row r="26" spans="1:16" x14ac:dyDescent="0.2">
      <c r="B26" s="13"/>
      <c r="E26" s="42"/>
      <c r="F26" s="13"/>
    </row>
    <row r="27" spans="1:16" x14ac:dyDescent="0.2">
      <c r="B27" s="13"/>
      <c r="E27" s="42"/>
      <c r="F27" s="13"/>
    </row>
    <row r="28" spans="1:16" x14ac:dyDescent="0.2">
      <c r="B28" s="13"/>
      <c r="E28" s="42"/>
      <c r="F28" s="13"/>
    </row>
    <row r="29" spans="1:16" x14ac:dyDescent="0.2">
      <c r="B29" s="13"/>
      <c r="E29" s="42"/>
      <c r="F29" s="13"/>
    </row>
    <row r="30" spans="1:16" x14ac:dyDescent="0.2">
      <c r="B30" s="13"/>
      <c r="E30" s="42"/>
      <c r="F30" s="13"/>
    </row>
    <row r="31" spans="1:16" x14ac:dyDescent="0.2">
      <c r="B31" s="13"/>
      <c r="E31" s="42"/>
      <c r="F31" s="13"/>
    </row>
    <row r="32" spans="1:16" x14ac:dyDescent="0.2">
      <c r="B32" s="13"/>
      <c r="E32" s="42"/>
      <c r="F32" s="13"/>
    </row>
    <row r="33" spans="2:6" x14ac:dyDescent="0.2">
      <c r="B33" s="13"/>
      <c r="E33" s="42"/>
      <c r="F33" s="13"/>
    </row>
    <row r="34" spans="2:6" x14ac:dyDescent="0.2">
      <c r="B34" s="13"/>
      <c r="E34" s="42"/>
      <c r="F34" s="13"/>
    </row>
    <row r="35" spans="2:6" x14ac:dyDescent="0.2">
      <c r="B35" s="13"/>
      <c r="E35" s="42"/>
      <c r="F35" s="13"/>
    </row>
    <row r="36" spans="2:6" x14ac:dyDescent="0.2">
      <c r="B36" s="13"/>
      <c r="E36" s="42"/>
      <c r="F36" s="13"/>
    </row>
    <row r="37" spans="2:6" x14ac:dyDescent="0.2">
      <c r="B37" s="13"/>
      <c r="E37" s="42"/>
      <c r="F37" s="13"/>
    </row>
    <row r="38" spans="2:6" x14ac:dyDescent="0.2">
      <c r="B38" s="13"/>
      <c r="E38" s="42"/>
      <c r="F38" s="13"/>
    </row>
    <row r="39" spans="2:6" x14ac:dyDescent="0.2">
      <c r="B39" s="13"/>
      <c r="E39" s="42"/>
      <c r="F39" s="13"/>
    </row>
    <row r="40" spans="2:6" x14ac:dyDescent="0.2">
      <c r="B40" s="13"/>
      <c r="E40" s="42"/>
      <c r="F40" s="13"/>
    </row>
    <row r="41" spans="2:6" x14ac:dyDescent="0.2">
      <c r="B41" s="13"/>
      <c r="E41" s="42"/>
      <c r="F41" s="13"/>
    </row>
    <row r="42" spans="2:6" x14ac:dyDescent="0.2">
      <c r="B42" s="13"/>
      <c r="E42" s="42"/>
      <c r="F42" s="13"/>
    </row>
    <row r="43" spans="2:6" x14ac:dyDescent="0.2">
      <c r="B43" s="13"/>
      <c r="E43" s="42"/>
      <c r="F43" s="13"/>
    </row>
    <row r="44" spans="2:6" x14ac:dyDescent="0.2">
      <c r="B44" s="13"/>
      <c r="E44" s="42"/>
      <c r="F44" s="13"/>
    </row>
    <row r="45" spans="2:6" x14ac:dyDescent="0.2">
      <c r="B45" s="13"/>
      <c r="E45" s="42"/>
      <c r="F45" s="13"/>
    </row>
    <row r="46" spans="2:6" x14ac:dyDescent="0.2">
      <c r="B46" s="13"/>
      <c r="E46" s="42"/>
      <c r="F46" s="13"/>
    </row>
    <row r="47" spans="2:6" x14ac:dyDescent="0.2">
      <c r="B47" s="13"/>
      <c r="E47" s="42"/>
      <c r="F47" s="13"/>
    </row>
    <row r="48" spans="2:6" x14ac:dyDescent="0.2">
      <c r="B48" s="13"/>
      <c r="E48" s="42"/>
      <c r="F48" s="13"/>
    </row>
    <row r="49" spans="2:6" x14ac:dyDescent="0.2">
      <c r="B49" s="13"/>
      <c r="E49" s="42"/>
      <c r="F49" s="13"/>
    </row>
    <row r="50" spans="2:6" x14ac:dyDescent="0.2">
      <c r="B50" s="13"/>
      <c r="E50" s="42"/>
      <c r="F50" s="13"/>
    </row>
    <row r="51" spans="2:6" x14ac:dyDescent="0.2">
      <c r="B51" s="13"/>
      <c r="E51" s="42"/>
      <c r="F51" s="13"/>
    </row>
    <row r="52" spans="2:6" x14ac:dyDescent="0.2">
      <c r="B52" s="13"/>
      <c r="E52" s="42"/>
      <c r="F52" s="13"/>
    </row>
    <row r="53" spans="2:6" x14ac:dyDescent="0.2">
      <c r="B53" s="13"/>
      <c r="E53" s="42"/>
      <c r="F53" s="13"/>
    </row>
    <row r="54" spans="2:6" x14ac:dyDescent="0.2">
      <c r="B54" s="13"/>
      <c r="E54" s="42"/>
      <c r="F54" s="13"/>
    </row>
    <row r="55" spans="2:6" x14ac:dyDescent="0.2">
      <c r="B55" s="13"/>
      <c r="E55" s="42"/>
      <c r="F55" s="13"/>
    </row>
    <row r="56" spans="2:6" x14ac:dyDescent="0.2">
      <c r="B56" s="13"/>
      <c r="E56" s="42"/>
      <c r="F56" s="13"/>
    </row>
    <row r="57" spans="2:6" x14ac:dyDescent="0.2">
      <c r="B57" s="13"/>
      <c r="E57" s="42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</sheetData>
  <phoneticPr fontId="7" type="noConversion"/>
  <hyperlinks>
    <hyperlink ref="P11" r:id="rId1" display="http://www.konkoly.hu/cgi-bin/IBVS?5894" xr:uid="{00000000-0004-0000-0100-000000000000}"/>
    <hyperlink ref="P20" r:id="rId2" display="http://www.bav-astro.de/sfs/BAVM_link.php?BAVMnr=212" xr:uid="{00000000-0004-0000-0100-000001000000}"/>
    <hyperlink ref="P14" r:id="rId3" display="http://var.astro.cz/oejv/issues/oejv0137.pdf" xr:uid="{00000000-0004-0000-0100-000002000000}"/>
    <hyperlink ref="P15" r:id="rId4" display="http://var.astro.cz/oejv/issues/oejv0137.pdf" xr:uid="{00000000-0004-0000-0100-000003000000}"/>
    <hyperlink ref="P16" r:id="rId5" display="http://www.bav-astro.de/sfs/BAVM_link.php?BAVMnr=220" xr:uid="{00000000-0004-0000-0100-000004000000}"/>
    <hyperlink ref="P17" r:id="rId6" display="http://www.konkoly.hu/cgi-bin/IBVS?5992" xr:uid="{00000000-0004-0000-0100-000005000000}"/>
    <hyperlink ref="P18" r:id="rId7" display="http://var.astro.cz/oejv/issues/oejv0160.pdf" xr:uid="{00000000-0004-0000-0100-000006000000}"/>
    <hyperlink ref="P19" r:id="rId8" display="http://www.bav-astro.de/sfs/BAVM_link.php?BAVMnr=238" xr:uid="{00000000-0004-0000-0100-000007000000}"/>
    <hyperlink ref="P12" r:id="rId9" display="http://www.bav-astro.de/sfs/BAVM_link.php?BAVMnr=241" xr:uid="{00000000-0004-0000-0100-000008000000}"/>
    <hyperlink ref="P13" r:id="rId10" display="http://www.bav-astro.de/sfs/BAVM_link.php?BAVMnr=241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2025-01-05T06:09:11Z</dcterms:modified>
</cp:coreProperties>
</file>