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2498807-AD39-4A40-8B1E-B0DDDBDED7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F14" i="1"/>
  <c r="E36" i="1"/>
  <c r="F36" i="1" s="1"/>
  <c r="G36" i="1" s="1"/>
  <c r="K36" i="1" s="1"/>
  <c r="D9" i="1"/>
  <c r="C9" i="1"/>
  <c r="Q36" i="1"/>
  <c r="E33" i="1"/>
  <c r="F33" i="1" s="1"/>
  <c r="G33" i="1" s="1"/>
  <c r="K33" i="1" s="1"/>
  <c r="E34" i="1"/>
  <c r="F34" i="1" s="1"/>
  <c r="G34" i="1" s="1"/>
  <c r="K34" i="1" s="1"/>
  <c r="E35" i="1"/>
  <c r="F35" i="1" s="1"/>
  <c r="G35" i="1" s="1"/>
  <c r="K35" i="1" s="1"/>
  <c r="E31" i="1"/>
  <c r="F31" i="1" s="1"/>
  <c r="G31" i="1" s="1"/>
  <c r="K31" i="1" s="1"/>
  <c r="E32" i="1"/>
  <c r="F32" i="1" s="1"/>
  <c r="G32" i="1" s="1"/>
  <c r="K32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 s="1"/>
  <c r="G30" i="1" s="1"/>
  <c r="K30" i="1" s="1"/>
  <c r="Q33" i="1"/>
  <c r="Q34" i="1"/>
  <c r="Q35" i="1"/>
  <c r="Q31" i="1"/>
  <c r="Q32" i="1"/>
  <c r="Q30" i="1"/>
  <c r="Q28" i="1"/>
  <c r="Q27" i="1"/>
  <c r="E21" i="1"/>
  <c r="F21" i="1" s="1"/>
  <c r="G21" i="1" s="1"/>
  <c r="U21" i="1" s="1"/>
  <c r="E22" i="1"/>
  <c r="F22" i="1" s="1"/>
  <c r="E23" i="1"/>
  <c r="F23" i="1" s="1"/>
  <c r="G23" i="1" s="1"/>
  <c r="U23" i="1" s="1"/>
  <c r="C17" i="1"/>
  <c r="Q22" i="1"/>
  <c r="Q29" i="1"/>
  <c r="Q21" i="1"/>
  <c r="Q23" i="1"/>
  <c r="Q24" i="1"/>
  <c r="Q25" i="1"/>
  <c r="Q26" i="1"/>
  <c r="C11" i="1"/>
  <c r="C12" i="1"/>
  <c r="O37" i="1" l="1"/>
  <c r="F15" i="1"/>
  <c r="O24" i="1"/>
  <c r="O30" i="1"/>
  <c r="O27" i="1"/>
  <c r="C15" i="1"/>
  <c r="O25" i="1"/>
  <c r="O22" i="1"/>
  <c r="O28" i="1"/>
  <c r="O35" i="1"/>
  <c r="O36" i="1"/>
  <c r="O29" i="1"/>
  <c r="O34" i="1"/>
  <c r="O31" i="1"/>
  <c r="O32" i="1"/>
  <c r="O33" i="1"/>
  <c r="O26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<sst xmlns="http://schemas.openxmlformats.org/spreadsheetml/2006/main" count="99" uniqueCount="62">
  <si>
    <t>BAD?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</si>
  <si>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</si>
  <si>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</si>
  <si>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</si>
  <si>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</si>
  <si>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</si>
  <si>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</si>
  <si>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</si>
  <si>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</si>
  <si>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</si>
  <si>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</si>
  <si>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</si>
  <si>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</si>
  <si>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</si>
  <si>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</si>
  <si>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</si>
  <si>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</si>
  <si>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</si>
  <si>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</si>
  <si>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</si>
  <si>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</si>
  <si>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</si>
  <si>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</si>
  <si>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</si>
  <si>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</si>
  <si>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</si>
  <si>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</si>
  <si>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</si>
  <si>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</si>
  <si>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</si>
  <si>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</si>
  <si>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</si>
  <si>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</si>
  <si>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</si>
  <si>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</si>
  <si>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</si>
  <si>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</si>
  <si>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V1064 Her / GSC 2618-1282</t>
  </si>
  <si>
    <t>IBVS 5731</t>
  </si>
  <si>
    <t>OEJV 0094</t>
  </si>
  <si>
    <t>II</t>
  </si>
  <si>
    <t>OEJV 0107</t>
  </si>
  <si>
    <t>EW</t>
  </si>
  <si>
    <t>not avail.</t>
  </si>
  <si>
    <t>I</t>
  </si>
  <si>
    <t>IBVS 5060</t>
  </si>
  <si>
    <t>Add cycle</t>
  </si>
  <si>
    <t>Old Cycle</t>
  </si>
  <si>
    <t>IBVS 5966</t>
  </si>
  <si>
    <t>OEJV 0137</t>
  </si>
  <si>
    <t>OEJV 0160</t>
  </si>
  <si>
    <t>OEJV 0168</t>
  </si>
  <si>
    <t>vis</t>
  </si>
  <si>
    <t>OEJV 0179</t>
  </si>
  <si>
    <t>vis / CCD</t>
  </si>
  <si>
    <t>JBAV 96</t>
  </si>
  <si>
    <t>Next ToM-P</t>
  </si>
  <si>
    <t>Next ToM-S</t>
  </si>
  <si>
    <t>11.30-11.60</t>
  </si>
  <si>
    <t>Mag R1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</si>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</sst>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15" fillId="0" borderId="0" xfId="0" applyFont="1" applyAlignment="1"/>
    <xf numFmtId="0" fontId="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4" fillId="0" borderId="0" xfId="41" applyFont="1"/>
    <xf numFmtId="0" fontId="14" fillId="0" borderId="0" xfId="41" applyFont="1" applyAlignment="1">
      <alignment horizontal="center"/>
    </xf>
    <xf numFmtId="0" fontId="14" fillId="0" borderId="0" xfId="41" applyFont="1" applyAlignment="1">
      <alignment horizontal="left"/>
    </xf>
    <xf numFmtId="0" fontId="33" fillId="0" borderId="8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5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165" fontId="35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>
      <alignment vertical="top"/>
    </xf>
    <xf numFmtId="0" fontId="36" fillId="0" borderId="14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37" fillId="0" borderId="15" xfId="0" applyFont="1" applyBorder="1" applyAlignment="1">
      <alignment horizontal="right" vertical="center"/>
    </xf>
    <xf numFmtId="22" fontId="37" fillId="0" borderId="15" xfId="0" applyNumberFormat="1" applyFont="1" applyBorder="1" applyAlignment="1">
      <alignment horizontal="right" vertical="center"/>
    </xf>
    <xf numFmtId="22" fontId="37" fillId="0" borderId="17" xfId="0" applyNumberFormat="1" applyFont="1" applyBorder="1" applyAlignment="1">
      <alignment horizontal="right" vertical="center"/>
    </xf>
    <xf numFmtId="0" fontId="23" fillId="24" borderId="13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right" vertical="center"/>
    </xf>
    <xf numFmtId="0" fontId="23" fillId="0" borderId="0" xfId="0" applyFont="1" applyAlignment="1"/>
    <xf numFmtId="0" fontId="2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V1064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2E-48DE-A8DB-45FB2DC7CCE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2E-48DE-A8DB-45FB2DC7CCE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">
                  <c:v>-3.7684999988414347E-3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2E-48DE-A8DB-45FB2DC7CCE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3">
                  <c:v>-5.5666499974904582E-3</c:v>
                </c:pt>
                <c:pt idx="4">
                  <c:v>4.3995000305585563E-4</c:v>
                </c:pt>
                <c:pt idx="5">
                  <c:v>1.9951499998569489E-3</c:v>
                </c:pt>
                <c:pt idx="6">
                  <c:v>4.9734999993233941E-3</c:v>
                </c:pt>
                <c:pt idx="7">
                  <c:v>5.5076000062399544E-3</c:v>
                </c:pt>
                <c:pt idx="8">
                  <c:v>6.7377500017755665E-3</c:v>
                </c:pt>
                <c:pt idx="9">
                  <c:v>1.3906850006605964E-2</c:v>
                </c:pt>
                <c:pt idx="10">
                  <c:v>3.0570950002584141E-2</c:v>
                </c:pt>
                <c:pt idx="11">
                  <c:v>3.3850949999759905E-2</c:v>
                </c:pt>
                <c:pt idx="12">
                  <c:v>3.3910999998624902E-2</c:v>
                </c:pt>
                <c:pt idx="13">
                  <c:v>3.4011000003374647E-2</c:v>
                </c:pt>
                <c:pt idx="14">
                  <c:v>3.437100000155624E-2</c:v>
                </c:pt>
                <c:pt idx="15">
                  <c:v>4.0048400005616713E-2</c:v>
                </c:pt>
                <c:pt idx="16">
                  <c:v>-7.626095021259971E-2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2E-48DE-A8DB-45FB2DC7CCE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2E-48DE-A8DB-45FB2DC7CCE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2E-48DE-A8DB-45FB2DC7CCE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2E-48DE-A8DB-45FB2DC7CCE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1">
                  <c:v>4.4441941877037934E-2</c:v>
                </c:pt>
                <c:pt idx="3">
                  <c:v>2.2418525528476146E-2</c:v>
                </c:pt>
                <c:pt idx="4">
                  <c:v>2.0213203729026116E-2</c:v>
                </c:pt>
                <c:pt idx="5">
                  <c:v>2.0066487933636509E-2</c:v>
                </c:pt>
                <c:pt idx="6">
                  <c:v>1.7981518935092016E-2</c:v>
                </c:pt>
                <c:pt idx="7">
                  <c:v>1.7667455435586139E-2</c:v>
                </c:pt>
                <c:pt idx="8">
                  <c:v>1.7586074017830966E-2</c:v>
                </c:pt>
                <c:pt idx="9">
                  <c:v>1.3031007057844261E-2</c:v>
                </c:pt>
                <c:pt idx="10">
                  <c:v>7.6735880918206434E-3</c:v>
                </c:pt>
                <c:pt idx="11">
                  <c:v>7.6735880918206434E-3</c:v>
                </c:pt>
                <c:pt idx="12">
                  <c:v>7.493631999038082E-3</c:v>
                </c:pt>
                <c:pt idx="13">
                  <c:v>7.493631999038082E-3</c:v>
                </c:pt>
                <c:pt idx="14">
                  <c:v>7.493631999038082E-3</c:v>
                </c:pt>
                <c:pt idx="15">
                  <c:v>5.3891773089184067E-3</c:v>
                </c:pt>
                <c:pt idx="16">
                  <c:v>-1.3685022308881981E-2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2E-48DE-A8DB-45FB2DC7CCE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0</c:v>
                </c:pt>
                <c:pt idx="2">
                  <c:v>4.0937000012490898E-3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2E-48DE-A8DB-45FB2DC7C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68512"/>
        <c:axId val="1"/>
      </c:scatterChart>
      <c:valAx>
        <c:axId val="722468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68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V1064 Her - O-C Diagr.</a:t>
            </a:r>
          </a:p>
        </c:rich>
      </c:tx>
      <c:layout>
        <c:manualLayout>
          <c:xMode val="edge"/>
          <c:yMode val="edge"/>
          <c:x val="0.3693698422832281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681801452528879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AF-4B43-9343-B2D5F1B1F2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AF-4B43-9343-B2D5F1B1F2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">
                  <c:v>-3.7684999988414347E-3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AF-4B43-9343-B2D5F1B1F2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3">
                  <c:v>-5.5666499974904582E-3</c:v>
                </c:pt>
                <c:pt idx="4">
                  <c:v>4.3995000305585563E-4</c:v>
                </c:pt>
                <c:pt idx="5">
                  <c:v>1.9951499998569489E-3</c:v>
                </c:pt>
                <c:pt idx="6">
                  <c:v>4.9734999993233941E-3</c:v>
                </c:pt>
                <c:pt idx="7">
                  <c:v>5.5076000062399544E-3</c:v>
                </c:pt>
                <c:pt idx="8">
                  <c:v>6.7377500017755665E-3</c:v>
                </c:pt>
                <c:pt idx="9">
                  <c:v>1.3906850006605964E-2</c:v>
                </c:pt>
                <c:pt idx="10">
                  <c:v>3.0570950002584141E-2</c:v>
                </c:pt>
                <c:pt idx="11">
                  <c:v>3.3850949999759905E-2</c:v>
                </c:pt>
                <c:pt idx="12">
                  <c:v>3.3910999998624902E-2</c:v>
                </c:pt>
                <c:pt idx="13">
                  <c:v>3.4011000003374647E-2</c:v>
                </c:pt>
                <c:pt idx="14">
                  <c:v>3.437100000155624E-2</c:v>
                </c:pt>
                <c:pt idx="15">
                  <c:v>4.0048400005616713E-2</c:v>
                </c:pt>
                <c:pt idx="16">
                  <c:v>-7.626095021259971E-2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AF-4B43-9343-B2D5F1B1F2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AF-4B43-9343-B2D5F1B1F2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AF-4B43-9343-B2D5F1B1F2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AF-4B43-9343-B2D5F1B1F2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1">
                  <c:v>4.4441941877037934E-2</c:v>
                </c:pt>
                <c:pt idx="3">
                  <c:v>2.2418525528476146E-2</c:v>
                </c:pt>
                <c:pt idx="4">
                  <c:v>2.0213203729026116E-2</c:v>
                </c:pt>
                <c:pt idx="5">
                  <c:v>2.0066487933636509E-2</c:v>
                </c:pt>
                <c:pt idx="6">
                  <c:v>1.7981518935092016E-2</c:v>
                </c:pt>
                <c:pt idx="7">
                  <c:v>1.7667455435586139E-2</c:v>
                </c:pt>
                <c:pt idx="8">
                  <c:v>1.7586074017830966E-2</c:v>
                </c:pt>
                <c:pt idx="9">
                  <c:v>1.3031007057844261E-2</c:v>
                </c:pt>
                <c:pt idx="10">
                  <c:v>7.6735880918206434E-3</c:v>
                </c:pt>
                <c:pt idx="11">
                  <c:v>7.6735880918206434E-3</c:v>
                </c:pt>
                <c:pt idx="12">
                  <c:v>7.493631999038082E-3</c:v>
                </c:pt>
                <c:pt idx="13">
                  <c:v>7.493631999038082E-3</c:v>
                </c:pt>
                <c:pt idx="14">
                  <c:v>7.493631999038082E-3</c:v>
                </c:pt>
                <c:pt idx="15">
                  <c:v>5.3891773089184067E-3</c:v>
                </c:pt>
                <c:pt idx="16">
                  <c:v>-1.3685022308881981E-2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AF-4B43-9343-B2D5F1B1F20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52.5</c:v>
                </c:pt>
                <c:pt idx="2">
                  <c:v>7509</c:v>
                </c:pt>
                <c:pt idx="3">
                  <c:v>9659.5</c:v>
                </c:pt>
                <c:pt idx="4">
                  <c:v>10621.5</c:v>
                </c:pt>
                <c:pt idx="5">
                  <c:v>10685.5</c:v>
                </c:pt>
                <c:pt idx="6">
                  <c:v>11595</c:v>
                </c:pt>
                <c:pt idx="7">
                  <c:v>11732</c:v>
                </c:pt>
                <c:pt idx="8">
                  <c:v>11767.5</c:v>
                </c:pt>
                <c:pt idx="9">
                  <c:v>13754.5</c:v>
                </c:pt>
                <c:pt idx="10">
                  <c:v>16091.5</c:v>
                </c:pt>
                <c:pt idx="11">
                  <c:v>16091.5</c:v>
                </c:pt>
                <c:pt idx="12">
                  <c:v>16170</c:v>
                </c:pt>
                <c:pt idx="13">
                  <c:v>16170</c:v>
                </c:pt>
                <c:pt idx="14">
                  <c:v>16170</c:v>
                </c:pt>
                <c:pt idx="15">
                  <c:v>17088</c:v>
                </c:pt>
                <c:pt idx="16">
                  <c:v>25408.5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0</c:v>
                </c:pt>
                <c:pt idx="2">
                  <c:v>4.0937000012490898E-3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AF-4B43-9343-B2D5F1B1F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326608"/>
        <c:axId val="1"/>
      </c:scatterChart>
      <c:valAx>
        <c:axId val="68732660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326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70902398461452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409575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144994B-F31D-E6BD-7518-6437C2197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590550</xdr:colOff>
      <xdr:row>0</xdr:row>
      <xdr:rowOff>1</xdr:rowOff>
    </xdr:from>
    <xdr:to>
      <xdr:col>27</xdr:col>
      <xdr:colOff>200025</xdr:colOff>
      <xdr:row>18</xdr:row>
      <xdr:rowOff>133351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BF44F670-2C80-04CD-9713-50B529AD5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>
      <c r="A2" t="s">
        <v>27</v>
      </c>
      <c r="B2" t="s">
        <v>42</v>
      </c>
      <c r="C2" s="3"/>
      <c r="D2" s="3"/>
    </row>
    <row r="3" spans="1:6" ht="13.5" thickBot="1"/>
    <row r="4" spans="1:6" ht="14.25" thickTop="1" thickBot="1">
      <c r="A4" s="5" t="s">
        <v>4</v>
      </c>
      <c r="C4" s="8" t="s">
        <v>43</v>
      </c>
      <c r="D4" s="9" t="s">
        <v>43</v>
      </c>
    </row>
    <row r="5" spans="1:6" ht="13.5" thickTop="1">
      <c r="A5" s="11" t="s">
        <v>32</v>
      </c>
      <c r="B5" s="12"/>
      <c r="C5" s="13">
        <v>-9.5</v>
      </c>
      <c r="D5" s="12" t="s">
        <v>33</v>
      </c>
    </row>
    <row r="6" spans="1:6">
      <c r="A6" s="5" t="s">
        <v>5</v>
      </c>
      <c r="E6" s="59" t="s">
        <v>61</v>
      </c>
    </row>
    <row r="7" spans="1:6">
      <c r="A7" t="s">
        <v>6</v>
      </c>
      <c r="C7" s="44">
        <v>51286.725299999998</v>
      </c>
      <c r="D7" s="58" t="s">
        <v>60</v>
      </c>
      <c r="E7" s="60">
        <v>53863.447999999997</v>
      </c>
    </row>
    <row r="8" spans="1:6">
      <c r="A8" t="s">
        <v>7</v>
      </c>
      <c r="C8" s="45">
        <v>0.34315069999999998</v>
      </c>
      <c r="D8" s="58" t="s">
        <v>60</v>
      </c>
      <c r="E8" s="61">
        <v>0.34315099999999998</v>
      </c>
    </row>
    <row r="9" spans="1:6">
      <c r="A9" s="24" t="s">
        <v>36</v>
      </c>
      <c r="B9" s="25">
        <v>24</v>
      </c>
      <c r="C9" s="22" t="str">
        <f>"F"&amp;B9</f>
        <v>F24</v>
      </c>
      <c r="D9" s="23" t="str">
        <f>"G"&amp;B9</f>
        <v>G24</v>
      </c>
    </row>
    <row r="10" spans="1:6" ht="13.5" thickBot="1">
      <c r="A10" s="12"/>
      <c r="B10" s="12"/>
      <c r="C10" s="4" t="s">
        <v>23</v>
      </c>
      <c r="D10" s="4" t="s">
        <v>24</v>
      </c>
      <c r="E10" s="12"/>
    </row>
    <row r="11" spans="1:6">
      <c r="A11" s="12" t="s">
        <v>19</v>
      </c>
      <c r="B11" s="12"/>
      <c r="C11" s="21">
        <f ca="1">INTERCEPT(INDIRECT($D$9):G992,INDIRECT($C$9):F992)</f>
        <v>4.4562294677943468E-2</v>
      </c>
      <c r="D11" s="3"/>
      <c r="E11" s="12"/>
    </row>
    <row r="12" spans="1:6">
      <c r="A12" s="12" t="s">
        <v>20</v>
      </c>
      <c r="B12" s="12"/>
      <c r="C12" s="21">
        <f ca="1">SLOPE(INDIRECT($D$9):G992,INDIRECT($C$9):F992)</f>
        <v>-2.2924343029626089E-6</v>
      </c>
      <c r="D12" s="3"/>
      <c r="E12" s="57" t="s">
        <v>59</v>
      </c>
      <c r="F12" s="56" t="s">
        <v>58</v>
      </c>
    </row>
    <row r="13" spans="1:6">
      <c r="A13" s="12" t="s">
        <v>22</v>
      </c>
      <c r="B13" s="12"/>
      <c r="C13" s="3" t="s">
        <v>17</v>
      </c>
      <c r="E13" s="50" t="s">
        <v>46</v>
      </c>
      <c r="F13" s="52">
        <v>1</v>
      </c>
    </row>
    <row r="14" spans="1:6">
      <c r="A14" s="12"/>
      <c r="B14" s="12"/>
      <c r="C14" s="12"/>
      <c r="E14" s="50" t="s">
        <v>34</v>
      </c>
      <c r="F14" s="53">
        <f ca="1">NOW()+15018.5+$C$5/24</f>
        <v>60680.802039699069</v>
      </c>
    </row>
    <row r="15" spans="1:6">
      <c r="A15" s="14" t="s">
        <v>21</v>
      </c>
      <c r="B15" s="12"/>
      <c r="C15" s="15">
        <f ca="1">(C7+C11)+(C8+C12)*INT(MAX(F21:F3533))</f>
        <v>60005.484601723903</v>
      </c>
      <c r="E15" s="50" t="s">
        <v>47</v>
      </c>
      <c r="F15" s="53">
        <f ca="1">ROUND(2*($F$14-$C$7)/$C$8,0)/2+$F$13</f>
        <v>27377</v>
      </c>
    </row>
    <row r="16" spans="1:6">
      <c r="A16" s="17" t="s">
        <v>8</v>
      </c>
      <c r="B16" s="12"/>
      <c r="C16" s="18">
        <f ca="1">+C8+C12</f>
        <v>0.34314840756569703</v>
      </c>
      <c r="E16" s="50" t="s">
        <v>35</v>
      </c>
      <c r="F16" s="53">
        <f ca="1">ROUND(2*($F$14-$C$15)/$C$16,0)/2+$F$13</f>
        <v>1969</v>
      </c>
    </row>
    <row r="17" spans="1:21" ht="13.5" thickBot="1">
      <c r="A17" s="16" t="s">
        <v>31</v>
      </c>
      <c r="B17" s="12"/>
      <c r="C17" s="12">
        <f>COUNT(C21:C2191)</f>
        <v>17</v>
      </c>
      <c r="E17" s="50" t="s">
        <v>56</v>
      </c>
      <c r="F17" s="54">
        <f ca="1">+$C$15+$C$16*$F$16-15018.5-$C$5/24</f>
        <v>45663.039649554099</v>
      </c>
    </row>
    <row r="18" spans="1:21" ht="14.25" thickTop="1" thickBot="1">
      <c r="A18" s="17" t="s">
        <v>9</v>
      </c>
      <c r="B18" s="12"/>
      <c r="C18" s="20">
        <f ca="1">+C15</f>
        <v>60005.484601723903</v>
      </c>
      <c r="D18" s="49">
        <f ca="1">+C16</f>
        <v>0.34314840756569703</v>
      </c>
      <c r="E18" s="51" t="s">
        <v>57</v>
      </c>
      <c r="F18" s="55">
        <f ca="1">+($C$15+$C$16*$F$16)-($C$16/2)-15018.5-$C$5/24</f>
        <v>45662.868075350314</v>
      </c>
    </row>
    <row r="19" spans="1:21" ht="13.5" thickTop="1">
      <c r="E19" s="16"/>
      <c r="F19" s="19"/>
    </row>
    <row r="20" spans="1:21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52</v>
      </c>
      <c r="J20" s="7" t="s">
        <v>1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43" t="s">
        <v>0</v>
      </c>
    </row>
    <row r="21" spans="1:21">
      <c r="A21" t="s">
        <v>45</v>
      </c>
      <c r="B21" s="3" t="s">
        <v>44</v>
      </c>
      <c r="C21" s="28">
        <v>51286.725299999998</v>
      </c>
      <c r="D21" s="10">
        <v>1.9E-3</v>
      </c>
      <c r="E21">
        <f>+(C21-C$7)/C$8</f>
        <v>0</v>
      </c>
      <c r="F21">
        <f t="shared" ref="F21:F36" si="0">ROUND(2*E21,0)/2</f>
        <v>0</v>
      </c>
      <c r="G21">
        <f>+C21-(C$7+F21*C$8)</f>
        <v>0</v>
      </c>
      <c r="Q21" s="2">
        <f>+C21-15018.5</f>
        <v>36268.225299999998</v>
      </c>
      <c r="R21" t="s">
        <v>52</v>
      </c>
      <c r="U21" s="23">
        <f>+G21</f>
        <v>0</v>
      </c>
    </row>
    <row r="22" spans="1:21">
      <c r="A22" s="33" t="s">
        <v>45</v>
      </c>
      <c r="B22" s="29" t="s">
        <v>40</v>
      </c>
      <c r="C22" s="33">
        <v>51304.738799999999</v>
      </c>
      <c r="D22" s="33">
        <v>1.5E-3</v>
      </c>
      <c r="E22">
        <f>+(C22-C$7)/C$8</f>
        <v>52.494428832582692</v>
      </c>
      <c r="F22">
        <f t="shared" si="0"/>
        <v>52.5</v>
      </c>
      <c r="J22">
        <v>-3.7684999988414347E-3</v>
      </c>
      <c r="O22">
        <f ca="1">+C$11+C$12*$F22</f>
        <v>4.4441941877037934E-2</v>
      </c>
      <c r="Q22" s="2">
        <f>+C22-15018.5</f>
        <v>36286.238799999999</v>
      </c>
      <c r="R22" t="s">
        <v>52</v>
      </c>
    </row>
    <row r="23" spans="1:21">
      <c r="A23" s="30" t="s">
        <v>38</v>
      </c>
      <c r="B23" s="26"/>
      <c r="C23" s="27">
        <v>53863.447999999997</v>
      </c>
      <c r="D23" s="30">
        <v>1.5E-3</v>
      </c>
      <c r="E23">
        <f>+(C23-C$7)/C$8</f>
        <v>7509.0119297439833</v>
      </c>
      <c r="F23">
        <f t="shared" si="0"/>
        <v>7509</v>
      </c>
      <c r="G23">
        <f t="shared" ref="G23:G35" si="1">+C23-(C$7+F23*C$8)</f>
        <v>4.0937000012490898E-3</v>
      </c>
      <c r="Q23" s="2">
        <f>+C23-15018.5</f>
        <v>38844.947999999997</v>
      </c>
      <c r="R23" t="s">
        <v>1</v>
      </c>
      <c r="U23" s="23">
        <f>+G23</f>
        <v>4.0937000012490898E-3</v>
      </c>
    </row>
    <row r="24" spans="1:21">
      <c r="A24" s="30" t="s">
        <v>39</v>
      </c>
      <c r="B24" s="31" t="s">
        <v>40</v>
      </c>
      <c r="C24" s="30">
        <v>54601.38392</v>
      </c>
      <c r="D24" s="30">
        <v>2.9999999999999997E-4</v>
      </c>
      <c r="E24">
        <f>+(C24-C$7)/C$8</f>
        <v>9659.4837778270667</v>
      </c>
      <c r="F24">
        <f t="shared" si="0"/>
        <v>9659.5</v>
      </c>
      <c r="G24">
        <f t="shared" si="1"/>
        <v>-5.5666499974904582E-3</v>
      </c>
      <c r="K24">
        <f t="shared" ref="K24:K36" si="2">+G24</f>
        <v>-5.5666499974904582E-3</v>
      </c>
      <c r="O24">
        <f t="shared" ref="O24:O35" ca="1" si="3">+C$11+C$12*$F24</f>
        <v>2.2418525528476146E-2</v>
      </c>
      <c r="Q24" s="2">
        <f>+C24-15018.5</f>
        <v>39582.88392</v>
      </c>
      <c r="R24" t="s">
        <v>54</v>
      </c>
    </row>
    <row r="25" spans="1:21">
      <c r="A25" s="32" t="s">
        <v>41</v>
      </c>
      <c r="B25" s="31" t="s">
        <v>40</v>
      </c>
      <c r="C25" s="30">
        <v>54931.500899999999</v>
      </c>
      <c r="D25" s="30">
        <v>5.0000000000000001E-4</v>
      </c>
      <c r="E25">
        <f t="shared" ref="E25:E35" si="4">+(C25-C$7)/C$8</f>
        <v>10621.501282089768</v>
      </c>
      <c r="F25">
        <f t="shared" si="0"/>
        <v>10621.5</v>
      </c>
      <c r="G25">
        <f t="shared" si="1"/>
        <v>4.3995000305585563E-4</v>
      </c>
      <c r="K25">
        <f t="shared" si="2"/>
        <v>4.3995000305585563E-4</v>
      </c>
      <c r="O25">
        <f t="shared" ca="1" si="3"/>
        <v>2.0213203729026116E-2</v>
      </c>
      <c r="Q25" s="2">
        <f t="shared" ref="Q25:Q35" si="5">+C25-15018.5</f>
        <v>39913.000899999999</v>
      </c>
      <c r="R25" t="s">
        <v>2</v>
      </c>
    </row>
    <row r="26" spans="1:21">
      <c r="A26" s="32" t="s">
        <v>41</v>
      </c>
      <c r="B26" s="31" t="s">
        <v>40</v>
      </c>
      <c r="C26" s="30">
        <v>54953.464099999997</v>
      </c>
      <c r="D26" s="30">
        <v>2.9999999999999997E-4</v>
      </c>
      <c r="E26">
        <f t="shared" si="4"/>
        <v>10685.505814209324</v>
      </c>
      <c r="F26">
        <f t="shared" si="0"/>
        <v>10685.5</v>
      </c>
      <c r="G26">
        <f t="shared" si="1"/>
        <v>1.9951499998569489E-3</v>
      </c>
      <c r="K26">
        <f t="shared" si="2"/>
        <v>1.9951499998569489E-3</v>
      </c>
      <c r="O26">
        <f t="shared" ca="1" si="3"/>
        <v>2.0066487933636509E-2</v>
      </c>
      <c r="Q26" s="2">
        <f t="shared" si="5"/>
        <v>39934.964099999997</v>
      </c>
      <c r="R26" t="s">
        <v>2</v>
      </c>
    </row>
    <row r="27" spans="1:21">
      <c r="A27" s="32" t="s">
        <v>49</v>
      </c>
      <c r="B27" s="31" t="s">
        <v>44</v>
      </c>
      <c r="C27" s="30">
        <v>55265.562639999996</v>
      </c>
      <c r="D27" s="30">
        <v>0.02</v>
      </c>
      <c r="E27">
        <f t="shared" si="4"/>
        <v>11595.014493632094</v>
      </c>
      <c r="F27">
        <f t="shared" si="0"/>
        <v>11595</v>
      </c>
      <c r="G27">
        <f t="shared" si="1"/>
        <v>4.9734999993233941E-3</v>
      </c>
      <c r="K27">
        <f t="shared" si="2"/>
        <v>4.9734999993233941E-3</v>
      </c>
      <c r="O27">
        <f t="shared" ca="1" si="3"/>
        <v>1.7981518935092016E-2</v>
      </c>
      <c r="Q27" s="2">
        <f t="shared" si="5"/>
        <v>40247.062639999996</v>
      </c>
      <c r="R27" t="s">
        <v>54</v>
      </c>
    </row>
    <row r="28" spans="1:21">
      <c r="A28" s="32" t="s">
        <v>49</v>
      </c>
      <c r="B28" s="31" t="s">
        <v>44</v>
      </c>
      <c r="C28" s="30">
        <v>55312.574820000002</v>
      </c>
      <c r="D28" s="30">
        <v>1E-4</v>
      </c>
      <c r="E28">
        <f t="shared" si="4"/>
        <v>11732.016050091122</v>
      </c>
      <c r="F28">
        <f t="shared" si="0"/>
        <v>11732</v>
      </c>
      <c r="G28">
        <f t="shared" si="1"/>
        <v>5.5076000062399544E-3</v>
      </c>
      <c r="K28">
        <f t="shared" si="2"/>
        <v>5.5076000062399544E-3</v>
      </c>
      <c r="O28">
        <f t="shared" ca="1" si="3"/>
        <v>1.7667455435586139E-2</v>
      </c>
      <c r="Q28" s="2">
        <f t="shared" si="5"/>
        <v>40294.074820000002</v>
      </c>
      <c r="R28" t="s">
        <v>54</v>
      </c>
    </row>
    <row r="29" spans="1:21">
      <c r="A29" s="34" t="s">
        <v>48</v>
      </c>
      <c r="B29" s="35"/>
      <c r="C29" s="30">
        <v>55324.757899999997</v>
      </c>
      <c r="D29" s="30">
        <v>2.9999999999999997E-4</v>
      </c>
      <c r="E29">
        <f t="shared" si="4"/>
        <v>11767.519634959215</v>
      </c>
      <c r="F29">
        <f t="shared" si="0"/>
        <v>11767.5</v>
      </c>
      <c r="G29">
        <f t="shared" si="1"/>
        <v>6.7377500017755665E-3</v>
      </c>
      <c r="K29">
        <f t="shared" si="2"/>
        <v>6.7377500017755665E-3</v>
      </c>
      <c r="O29">
        <f t="shared" ca="1" si="3"/>
        <v>1.7586074017830966E-2</v>
      </c>
      <c r="Q29" s="2">
        <f t="shared" si="5"/>
        <v>40306.257899999997</v>
      </c>
      <c r="R29" t="s">
        <v>2</v>
      </c>
    </row>
    <row r="30" spans="1:21">
      <c r="A30" s="36" t="s">
        <v>50</v>
      </c>
      <c r="B30" s="37" t="s">
        <v>40</v>
      </c>
      <c r="C30" s="38">
        <v>56006.605510000001</v>
      </c>
      <c r="D30" s="38">
        <v>1E-4</v>
      </c>
      <c r="E30">
        <f t="shared" si="4"/>
        <v>13754.540526946334</v>
      </c>
      <c r="F30">
        <f t="shared" si="0"/>
        <v>13754.5</v>
      </c>
      <c r="G30">
        <f t="shared" si="1"/>
        <v>1.3906850006605964E-2</v>
      </c>
      <c r="K30">
        <f t="shared" si="2"/>
        <v>1.3906850006605964E-2</v>
      </c>
      <c r="O30">
        <f t="shared" ca="1" si="3"/>
        <v>1.3031007057844261E-2</v>
      </c>
      <c r="Q30" s="2">
        <f t="shared" si="5"/>
        <v>40988.105510000001</v>
      </c>
      <c r="R30" t="s">
        <v>2</v>
      </c>
    </row>
    <row r="31" spans="1:21">
      <c r="A31" s="38" t="s">
        <v>51</v>
      </c>
      <c r="B31" s="37" t="s">
        <v>40</v>
      </c>
      <c r="C31" s="39">
        <v>56808.565360000001</v>
      </c>
      <c r="D31" s="38">
        <v>2.9999999999999997E-4</v>
      </c>
      <c r="E31">
        <f t="shared" si="4"/>
        <v>16091.589088992103</v>
      </c>
      <c r="F31">
        <f t="shared" si="0"/>
        <v>16091.5</v>
      </c>
      <c r="G31">
        <f t="shared" si="1"/>
        <v>3.0570950002584141E-2</v>
      </c>
      <c r="K31">
        <f t="shared" si="2"/>
        <v>3.0570950002584141E-2</v>
      </c>
      <c r="O31">
        <f t="shared" ca="1" si="3"/>
        <v>7.6735880918206434E-3</v>
      </c>
      <c r="Q31" s="2">
        <f t="shared" si="5"/>
        <v>41790.065360000001</v>
      </c>
      <c r="R31" t="s">
        <v>2</v>
      </c>
    </row>
    <row r="32" spans="1:21">
      <c r="A32" s="38" t="s">
        <v>51</v>
      </c>
      <c r="B32" s="37" t="s">
        <v>40</v>
      </c>
      <c r="C32" s="39">
        <v>56808.568639999998</v>
      </c>
      <c r="D32" s="38">
        <v>2.0000000000000001E-4</v>
      </c>
      <c r="E32">
        <f t="shared" si="4"/>
        <v>16091.59864747471</v>
      </c>
      <c r="F32">
        <f t="shared" si="0"/>
        <v>16091.5</v>
      </c>
      <c r="G32">
        <f t="shared" si="1"/>
        <v>3.3850949999759905E-2</v>
      </c>
      <c r="K32">
        <f t="shared" si="2"/>
        <v>3.3850949999759905E-2</v>
      </c>
      <c r="O32">
        <f t="shared" ca="1" si="3"/>
        <v>7.6735880918206434E-3</v>
      </c>
      <c r="Q32" s="2">
        <f t="shared" si="5"/>
        <v>41790.068639999998</v>
      </c>
      <c r="R32" t="s">
        <v>2</v>
      </c>
    </row>
    <row r="33" spans="1:18">
      <c r="A33" s="38" t="s">
        <v>51</v>
      </c>
      <c r="B33" s="37" t="s">
        <v>44</v>
      </c>
      <c r="C33" s="39">
        <v>56835.506029999997</v>
      </c>
      <c r="D33" s="38">
        <v>2.9999999999999997E-4</v>
      </c>
      <c r="E33">
        <f t="shared" si="4"/>
        <v>16170.098822470707</v>
      </c>
      <c r="F33">
        <f t="shared" si="0"/>
        <v>16170</v>
      </c>
      <c r="G33">
        <f t="shared" si="1"/>
        <v>3.3910999998624902E-2</v>
      </c>
      <c r="K33">
        <f t="shared" si="2"/>
        <v>3.3910999998624902E-2</v>
      </c>
      <c r="O33">
        <f t="shared" ca="1" si="3"/>
        <v>7.493631999038082E-3</v>
      </c>
      <c r="Q33" s="2">
        <f t="shared" si="5"/>
        <v>41817.006029999997</v>
      </c>
      <c r="R33" t="s">
        <v>2</v>
      </c>
    </row>
    <row r="34" spans="1:18">
      <c r="A34" s="38" t="s">
        <v>51</v>
      </c>
      <c r="B34" s="37" t="s">
        <v>44</v>
      </c>
      <c r="C34" s="39">
        <v>56835.506130000002</v>
      </c>
      <c r="D34" s="38">
        <v>2.9999999999999997E-4</v>
      </c>
      <c r="E34">
        <f t="shared" si="4"/>
        <v>16170.099113887874</v>
      </c>
      <c r="F34">
        <f t="shared" si="0"/>
        <v>16170</v>
      </c>
      <c r="G34">
        <f t="shared" si="1"/>
        <v>3.4011000003374647E-2</v>
      </c>
      <c r="K34">
        <f t="shared" si="2"/>
        <v>3.4011000003374647E-2</v>
      </c>
      <c r="O34">
        <f t="shared" ca="1" si="3"/>
        <v>7.493631999038082E-3</v>
      </c>
      <c r="Q34" s="2">
        <f t="shared" si="5"/>
        <v>41817.006130000002</v>
      </c>
      <c r="R34" t="s">
        <v>2</v>
      </c>
    </row>
    <row r="35" spans="1:18">
      <c r="A35" s="38" t="s">
        <v>51</v>
      </c>
      <c r="B35" s="37" t="s">
        <v>44</v>
      </c>
      <c r="C35" s="39">
        <v>56835.50649</v>
      </c>
      <c r="D35" s="38">
        <v>2.9999999999999997E-4</v>
      </c>
      <c r="E35">
        <f t="shared" si="4"/>
        <v>16170.10016298962</v>
      </c>
      <c r="F35">
        <f t="shared" si="0"/>
        <v>16170</v>
      </c>
      <c r="G35">
        <f t="shared" si="1"/>
        <v>3.437100000155624E-2</v>
      </c>
      <c r="K35">
        <f t="shared" si="2"/>
        <v>3.437100000155624E-2</v>
      </c>
      <c r="O35">
        <f t="shared" ca="1" si="3"/>
        <v>7.493631999038082E-3</v>
      </c>
      <c r="Q35" s="2">
        <f t="shared" si="5"/>
        <v>41817.00649</v>
      </c>
      <c r="R35" t="s">
        <v>2</v>
      </c>
    </row>
    <row r="36" spans="1:18">
      <c r="A36" s="40" t="s">
        <v>53</v>
      </c>
      <c r="B36" s="41" t="s">
        <v>44</v>
      </c>
      <c r="C36" s="42">
        <v>57150.524510000003</v>
      </c>
      <c r="D36" s="42">
        <v>2.0000000000000001E-4</v>
      </c>
      <c r="E36">
        <f>+(C36-C$7)/C$8</f>
        <v>17088.116707907066</v>
      </c>
      <c r="F36">
        <f t="shared" si="0"/>
        <v>17088</v>
      </c>
      <c r="G36">
        <f>+C36-(C$7+F36*C$8)</f>
        <v>4.0048400005616713E-2</v>
      </c>
      <c r="K36">
        <f t="shared" si="2"/>
        <v>4.0048400005616713E-2</v>
      </c>
      <c r="O36">
        <f ca="1">+C$11+C$12*$F36</f>
        <v>5.3891773089184067E-3</v>
      </c>
      <c r="Q36" s="2">
        <f>+C36-15018.5</f>
        <v>42132.024510000003</v>
      </c>
      <c r="R36" t="s">
        <v>2</v>
      </c>
    </row>
    <row r="37" spans="1:18">
      <c r="A37" s="46" t="s">
        <v>55</v>
      </c>
      <c r="B37" s="47" t="s">
        <v>44</v>
      </c>
      <c r="C37" s="48">
        <v>60005.593599999789</v>
      </c>
      <c r="D37" s="46">
        <v>2.9999999999999997E-4</v>
      </c>
      <c r="E37">
        <f>+(C37-C$7)/C$8</f>
        <v>25408.277762510148</v>
      </c>
      <c r="F37">
        <f t="shared" ref="F37" si="6">ROUND(2*E37,0)/2</f>
        <v>25408.5</v>
      </c>
      <c r="G37">
        <f>+C37-(C$7+F37*C$8)</f>
        <v>-7.626095021259971E-2</v>
      </c>
      <c r="K37">
        <f>+G37</f>
        <v>-7.626095021259971E-2</v>
      </c>
      <c r="O37">
        <f ca="1">+C$11+C$12*$F37</f>
        <v>-1.3685022308881981E-2</v>
      </c>
      <c r="Q37" s="2">
        <f>+C37-15018.5</f>
        <v>44987.093599999789</v>
      </c>
    </row>
    <row r="38" spans="1:18">
      <c r="C38" s="10"/>
      <c r="D38" s="10"/>
    </row>
    <row r="39" spans="1:18">
      <c r="C39" s="10"/>
      <c r="D39" s="10"/>
    </row>
    <row r="40" spans="1:18">
      <c r="C40" s="10"/>
      <c r="D40" s="10"/>
    </row>
    <row r="41" spans="1:18">
      <c r="C41" s="10"/>
      <c r="D41" s="10"/>
    </row>
    <row r="42" spans="1:18">
      <c r="C42" s="10"/>
      <c r="D42" s="10"/>
    </row>
    <row r="43" spans="1:18">
      <c r="C43" s="10"/>
      <c r="D43" s="10"/>
    </row>
    <row r="44" spans="1:18">
      <c r="C44" s="10"/>
      <c r="D44" s="10"/>
    </row>
    <row r="45" spans="1:18">
      <c r="C45" s="10"/>
      <c r="D45" s="10"/>
    </row>
    <row r="46" spans="1:18">
      <c r="C46" s="10"/>
      <c r="D46" s="10"/>
    </row>
    <row r="47" spans="1:18">
      <c r="C47" s="10"/>
      <c r="D47" s="10"/>
    </row>
    <row r="48" spans="1:18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</sheetData>
  <phoneticPr fontId="7" type="noConversion"/>
  <hyperlinks>
    <hyperlink ref="H112" r:id="rId1" display="http://vsolj.cetus-net.org/bulletin.html" xr:uid="{00000000-0004-0000-0000-000000000000}"/>
    <hyperlink ref="H105" r:id="rId2" display="http://vsolj.cetus-net.org/bulletin.html" xr:uid="{00000000-0004-0000-0000-000001000000}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2025-01-05T06:14:56Z</dcterms:modified>
</cp:coreProperties>
</file>