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BAA69E8-CA86-40E8-9523-1C84B94877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F14" i="1"/>
  <c r="E22" i="1"/>
  <c r="F22" i="1" s="1"/>
  <c r="G22" i="1" s="1"/>
  <c r="I22" i="1" s="1"/>
  <c r="Q22" i="1"/>
  <c r="E23" i="1"/>
  <c r="F23" i="1" s="1"/>
  <c r="G23" i="1" s="1"/>
  <c r="I23" i="1" s="1"/>
  <c r="Q23" i="1"/>
  <c r="C9" i="1"/>
  <c r="Q21" i="1"/>
  <c r="D9" i="1"/>
  <c r="E21" i="1"/>
  <c r="F21" i="1" s="1"/>
  <c r="G21" i="1" s="1"/>
  <c r="I21" i="1" s="1"/>
  <c r="C17" i="1"/>
  <c r="C12" i="1"/>
  <c r="C11" i="1"/>
  <c r="O24" i="1" l="1"/>
  <c r="F15" i="1"/>
  <c r="O23" i="1"/>
  <c r="O22" i="1"/>
  <c r="C16" i="1"/>
  <c r="D18" i="1" s="1"/>
  <c r="C15" i="1"/>
  <c r="O21" i="1"/>
  <c r="F16" i="1" l="1"/>
  <c r="F18" i="1" s="1"/>
  <c r="I13" i="1"/>
  <c r="G13" i="1" s="1"/>
  <c r="C18" i="1"/>
  <c r="J13" i="1" l="1"/>
  <c r="F17" i="1"/>
  <c r="K13" i="1"/>
  <c r="H13" i="1" s="1"/>
</calcChain>
</file>

<file path=xl/sharedStrings.xml><?xml version="1.0" encoding="utf-8"?>
<sst xmlns="http://schemas.openxmlformats.org/spreadsheetml/2006/main" count="64" uniqueCount="54">
  <si>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</si>
  <si>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</si>
  <si>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</si>
  <si>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</si>
  <si>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</si>
  <si>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</si>
  <si>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</si>
  <si>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</si>
  <si>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</si>
  <si>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</si>
  <si>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</si>
  <si>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</si>
  <si>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</si>
  <si>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</si>
  <si>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</si>
  <si>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</si>
  <si>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</si>
  <si>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</si>
  <si>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</si>
  <si>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</si>
  <si>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</si>
  <si>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</si>
  <si>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</si>
  <si>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</si>
  <si>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</si>
  <si>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</si>
  <si>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</si>
  <si>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</si>
  <si>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</si>
  <si>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</si>
  <si>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</si>
  <si>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</si>
  <si>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</si>
  <si>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</si>
  <si>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</si>
  <si>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</si>
  <si>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</si>
  <si>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</si>
  <si>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</si>
  <si>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</si>
  <si>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</si>
  <si>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</si>
  <si>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</si>
  <si>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V1320 Her</t>
  </si>
  <si>
    <t>EA / RS</t>
  </si>
  <si>
    <t>VSX</t>
  </si>
  <si>
    <t>JBAV, 60</t>
  </si>
  <si>
    <t>I</t>
  </si>
  <si>
    <t>JBAV 96</t>
  </si>
  <si>
    <t xml:space="preserve">Mag </t>
  </si>
  <si>
    <t>Next ToM-P</t>
  </si>
  <si>
    <t>Next ToM-S</t>
  </si>
  <si>
    <t>11.38-11.55</t>
  </si>
  <si>
    <t>JBAV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</si>
</sst>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2" fontId="21" fillId="0" borderId="0" xfId="0" applyNumberFormat="1" applyFont="1" applyAlignment="1">
      <alignment vertical="center"/>
    </xf>
    <xf numFmtId="0" fontId="0" fillId="0" borderId="7" xfId="0" applyBorder="1">
      <alignment vertical="top"/>
    </xf>
    <xf numFmtId="0" fontId="19" fillId="4" borderId="8" xfId="0" applyFont="1" applyFill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top"/>
    </xf>
    <xf numFmtId="0" fontId="20" fillId="0" borderId="12" xfId="0" applyFont="1" applyBorder="1" applyAlignment="1">
      <alignment horizontal="right" vertical="top"/>
    </xf>
    <xf numFmtId="0" fontId="20" fillId="0" borderId="10" xfId="0" applyFont="1" applyFill="1" applyBorder="1" applyAlignment="1">
      <alignment horizontal="right" vertical="center"/>
    </xf>
    <xf numFmtId="0" fontId="20" fillId="4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right" vertical="top"/>
    </xf>
    <xf numFmtId="22" fontId="21" fillId="0" borderId="13" xfId="0" applyNumberFormat="1" applyFont="1" applyBorder="1" applyAlignment="1">
      <alignment horizontal="right" vertical="top"/>
    </xf>
    <xf numFmtId="22" fontId="21" fillId="0" borderId="11" xfId="0" applyNumberFormat="1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V1320</a:t>
            </a:r>
            <a:r>
              <a:rPr lang="en-AU" baseline="0"/>
              <a:t>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692</c:v>
                </c:pt>
                <c:pt idx="3">
                  <c:v>1910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692</c:v>
                </c:pt>
                <c:pt idx="3">
                  <c:v>1910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-2.9056000006676186E-2</c:v>
                </c:pt>
                <c:pt idx="3">
                  <c:v>-1.3300002246978693E-3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692</c:v>
                </c:pt>
                <c:pt idx="3">
                  <c:v>1910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692</c:v>
                </c:pt>
                <c:pt idx="3">
                  <c:v>1910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692</c:v>
                </c:pt>
                <c:pt idx="3">
                  <c:v>1910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692</c:v>
                </c:pt>
                <c:pt idx="3">
                  <c:v>1910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692</c:v>
                </c:pt>
                <c:pt idx="3">
                  <c:v>1910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692</c:v>
                </c:pt>
                <c:pt idx="3">
                  <c:v>1910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-6.8266625217914701E-3</c:v>
                </c:pt>
                <c:pt idx="1">
                  <c:v>-6.8266625217914701E-3</c:v>
                </c:pt>
                <c:pt idx="2">
                  <c:v>-7.6456134440789627E-3</c:v>
                </c:pt>
                <c:pt idx="3">
                  <c:v>-9.0870617437121513E-3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692</c:v>
                </c:pt>
                <c:pt idx="3">
                  <c:v>1910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28575</xdr:rowOff>
    </xdr:from>
    <xdr:to>
      <xdr:col>17</xdr:col>
      <xdr:colOff>180975</xdr:colOff>
      <xdr:row>18</xdr:row>
      <xdr:rowOff>123825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0" t="s">
        <v>41</v>
      </c>
      <c r="G1" s="31"/>
      <c r="H1" s="28"/>
      <c r="I1" s="32"/>
      <c r="J1" s="33"/>
      <c r="K1" s="29"/>
      <c r="L1" s="34"/>
      <c r="M1" s="35"/>
      <c r="N1" s="35"/>
      <c r="O1" s="36"/>
    </row>
    <row r="2" spans="1:15" x14ac:dyDescent="0.2">
      <c r="A2" t="s">
        <v>23</v>
      </c>
      <c r="B2" s="39" t="s">
        <v>44</v>
      </c>
      <c r="C2" s="27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4" t="s">
        <v>36</v>
      </c>
      <c r="D4" s="25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3">
        <v>59002.432500000003</v>
      </c>
      <c r="D7" s="26" t="s">
        <v>53</v>
      </c>
    </row>
    <row r="8" spans="1:15" x14ac:dyDescent="0.2">
      <c r="A8" t="s">
        <v>3</v>
      </c>
      <c r="C8" s="43">
        <v>0.54769299999999999</v>
      </c>
      <c r="D8" s="26" t="s">
        <v>45</v>
      </c>
    </row>
    <row r="9" spans="1:15" x14ac:dyDescent="0.2">
      <c r="A9" s="21" t="s">
        <v>31</v>
      </c>
      <c r="B9" s="22">
        <v>21</v>
      </c>
      <c r="C9" s="19" t="str">
        <f>"F"&amp;B9</f>
        <v>F21</v>
      </c>
      <c r="D9" s="20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8">
        <f ca="1">INTERCEPT(INDIRECT($D$9):G992,INDIRECT($C$9):F992)</f>
        <v>-6.8266625217914701E-3</v>
      </c>
      <c r="D11" s="3"/>
      <c r="E11" s="10"/>
    </row>
    <row r="12" spans="1:15" x14ac:dyDescent="0.2">
      <c r="A12" s="10" t="s">
        <v>16</v>
      </c>
      <c r="B12" s="10"/>
      <c r="C12" s="18">
        <f ca="1">SLOPE(INDIRECT($D$9):G992,INDIRECT($C$9):F992)</f>
        <v>-1.1834550900108275E-6</v>
      </c>
      <c r="D12" s="3"/>
      <c r="E12" s="51" t="s">
        <v>49</v>
      </c>
      <c r="F12" s="56" t="s">
        <v>52</v>
      </c>
      <c r="G12" s="47" t="s">
        <v>30</v>
      </c>
      <c r="H12" s="47" t="s">
        <v>34</v>
      </c>
      <c r="I12" s="47" t="s">
        <v>35</v>
      </c>
      <c r="J12" s="47" t="s">
        <v>50</v>
      </c>
      <c r="K12" s="47" t="s">
        <v>51</v>
      </c>
    </row>
    <row r="13" spans="1:15" x14ac:dyDescent="0.2">
      <c r="A13" s="10" t="s">
        <v>18</v>
      </c>
      <c r="B13" s="10"/>
      <c r="C13" s="3" t="s">
        <v>13</v>
      </c>
      <c r="E13" s="55" t="s">
        <v>33</v>
      </c>
      <c r="F13" s="52">
        <v>1</v>
      </c>
      <c r="G13" s="48">
        <f ca="1">NOW()+15018.5+$I$13/24</f>
        <v>60729.358986342595</v>
      </c>
      <c r="H13" s="48">
        <f ca="1">ROUND(2*($F$14-$K$13)/$C$8,0)/2+$F$13</f>
        <v>27510</v>
      </c>
      <c r="I13" s="48">
        <f ca="1">ROUND(2*($F$14-$C$15)/$C$16,0)/2+$F$13</f>
        <v>1155.5</v>
      </c>
      <c r="J13" s="49">
        <f ca="1">+$C$15+$C$16*$F$16-15018.5-$I$13/24</f>
        <v>45614.729103622565</v>
      </c>
      <c r="K13" s="49">
        <f ca="1">+($C$15+$C$16*$F$16)-($C$16/2)-15018.5-$I$13/24</f>
        <v>45614.455257714289</v>
      </c>
    </row>
    <row r="14" spans="1:15" x14ac:dyDescent="0.2">
      <c r="A14" s="10"/>
      <c r="B14" s="10"/>
      <c r="C14" s="10"/>
      <c r="E14" s="53" t="s">
        <v>30</v>
      </c>
      <c r="F14" s="57">
        <f ca="1">NOW()+15018.5+$C$5/24</f>
        <v>60680.817319675923</v>
      </c>
    </row>
    <row r="15" spans="1:15" x14ac:dyDescent="0.2">
      <c r="A15" s="12" t="s">
        <v>17</v>
      </c>
      <c r="B15" s="10"/>
      <c r="C15" s="13">
        <f ca="1">(C7+C11)+(C8+C12)*INT(MAX(F21:F3533))</f>
        <v>60048.517042938256</v>
      </c>
      <c r="E15" s="53" t="s">
        <v>34</v>
      </c>
      <c r="F15" s="57">
        <f ca="1">ROUND(2*($F$14-$C$7)/$C$8,0)/2+$F$13</f>
        <v>3065.5</v>
      </c>
    </row>
    <row r="16" spans="1:15" x14ac:dyDescent="0.2">
      <c r="A16" s="15" t="s">
        <v>4</v>
      </c>
      <c r="B16" s="10"/>
      <c r="C16" s="16">
        <f ca="1">+C8+C12</f>
        <v>0.54769181654490995</v>
      </c>
      <c r="E16" s="53" t="s">
        <v>35</v>
      </c>
      <c r="F16" s="57">
        <f ca="1">ROUND(2*($F$14-$C$15)/$C$16,0)/2+$F$13</f>
        <v>1155.5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53" t="s">
        <v>50</v>
      </c>
      <c r="F17" s="59">
        <f ca="1">+$C$15+$C$16*$F$16-15018.5-$C$5/24</f>
        <v>45663.270770289237</v>
      </c>
    </row>
    <row r="18" spans="1:21" ht="14.25" thickTop="1" thickBot="1" x14ac:dyDescent="0.25">
      <c r="A18" s="15" t="s">
        <v>5</v>
      </c>
      <c r="B18" s="10"/>
      <c r="C18" s="17">
        <f ca="1">+C15</f>
        <v>60048.517042938256</v>
      </c>
      <c r="D18" s="50">
        <f ca="1">+C16</f>
        <v>0.54769181654490995</v>
      </c>
      <c r="E18" s="54" t="s">
        <v>51</v>
      </c>
      <c r="F18" s="58">
        <f ca="1">+($C$15+$C$16*$F$16)-($C$16/2)-15018.5-$C$5/24</f>
        <v>45662.996924380961</v>
      </c>
    </row>
    <row r="19" spans="1:21" ht="13.5" thickTop="1" x14ac:dyDescent="0.2">
      <c r="F19" s="37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3" t="s">
        <v>32</v>
      </c>
    </row>
    <row r="21" spans="1:21" x14ac:dyDescent="0.2">
      <c r="A21" t="s">
        <v>53</v>
      </c>
      <c r="C21" s="8">
        <v>59002.432500000003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-6.8266625217914701E-3</v>
      </c>
      <c r="Q21" s="38">
        <f>+C21-15018.5</f>
        <v>43983.932500000003</v>
      </c>
    </row>
    <row r="22" spans="1:21" x14ac:dyDescent="0.2">
      <c r="A22" s="40" t="s">
        <v>46</v>
      </c>
      <c r="B22" s="41" t="s">
        <v>47</v>
      </c>
      <c r="C22" s="42">
        <v>59002.432500000003</v>
      </c>
      <c r="D22" s="40">
        <v>1.9E-3</v>
      </c>
      <c r="E22">
        <f t="shared" ref="E22:E23" si="0">+(C22-C$7)/C$8</f>
        <v>0</v>
      </c>
      <c r="F22">
        <f t="shared" ref="F22:F23" si="1">ROUND(2*E22,0)/2</f>
        <v>0</v>
      </c>
      <c r="G22">
        <f t="shared" ref="G22:G23" si="2">+C22-(C$7+F22*C$8)</f>
        <v>0</v>
      </c>
      <c r="I22">
        <f t="shared" ref="I22:I23" si="3">+G22</f>
        <v>0</v>
      </c>
      <c r="O22">
        <f t="shared" ref="O22:O23" ca="1" si="4">+C$11+C$12*$F22</f>
        <v>-6.8266625217914701E-3</v>
      </c>
      <c r="Q22" s="38">
        <f t="shared" ref="Q22:Q23" si="5">+C22-15018.5</f>
        <v>43983.932500000003</v>
      </c>
    </row>
    <row r="23" spans="1:21" x14ac:dyDescent="0.2">
      <c r="A23" s="40" t="s">
        <v>46</v>
      </c>
      <c r="B23" s="41" t="s">
        <v>47</v>
      </c>
      <c r="C23" s="42">
        <v>59381.406999999999</v>
      </c>
      <c r="D23" s="40">
        <v>2.8E-3</v>
      </c>
      <c r="E23">
        <f t="shared" si="0"/>
        <v>691.94694838166026</v>
      </c>
      <c r="F23">
        <f t="shared" si="1"/>
        <v>692</v>
      </c>
      <c r="G23">
        <f t="shared" si="2"/>
        <v>-2.9056000006676186E-2</v>
      </c>
      <c r="I23">
        <f t="shared" si="3"/>
        <v>-2.9056000006676186E-2</v>
      </c>
      <c r="O23">
        <f t="shared" ca="1" si="4"/>
        <v>-7.6456134440789627E-3</v>
      </c>
      <c r="Q23" s="38">
        <f t="shared" si="5"/>
        <v>44362.906999999999</v>
      </c>
    </row>
    <row r="24" spans="1:21" x14ac:dyDescent="0.2">
      <c r="A24" s="44" t="s">
        <v>48</v>
      </c>
      <c r="B24" s="45" t="s">
        <v>47</v>
      </c>
      <c r="C24" s="46">
        <v>60048.524799999781</v>
      </c>
      <c r="D24" s="44">
        <v>5.9999999999999995E-4</v>
      </c>
      <c r="E24">
        <f t="shared" ref="E24" si="6">+(C24-C$7)/C$8</f>
        <v>1909.9975716318784</v>
      </c>
      <c r="F24">
        <f t="shared" ref="F24" si="7">ROUND(2*E24,0)/2</f>
        <v>1910</v>
      </c>
      <c r="G24">
        <f t="shared" ref="G24" si="8">+C24-(C$7+F24*C$8)</f>
        <v>-1.3300002246978693E-3</v>
      </c>
      <c r="I24">
        <f t="shared" ref="I24" si="9">+G24</f>
        <v>-1.3300002246978693E-3</v>
      </c>
      <c r="O24">
        <f t="shared" ref="O24" ca="1" si="10">+C$11+C$12*$F24</f>
        <v>-9.0870617437121513E-3</v>
      </c>
      <c r="Q24" s="38">
        <f t="shared" ref="Q24" si="11">+C24-15018.5</f>
        <v>45030.024799999781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2025-01-05T06:36:56Z</dcterms:modified>
</cp:coreProperties>
</file>