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5EFB3A89-9990-448B-ACCA-82F5C7B0C62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6" i="1" l="1"/>
  <c r="F26" i="1"/>
  <c r="G26" i="1"/>
  <c r="J26" i="1" s="1"/>
  <c r="Q26" i="1"/>
  <c r="E27" i="1"/>
  <c r="F27" i="1"/>
  <c r="G27" i="1"/>
  <c r="J27" i="1"/>
  <c r="Q27" i="1"/>
  <c r="F14" i="1"/>
  <c r="E22" i="1"/>
  <c r="F22" i="1"/>
  <c r="G22" i="1"/>
  <c r="I22" i="1"/>
  <c r="E23" i="1"/>
  <c r="F23" i="1"/>
  <c r="G23" i="1"/>
  <c r="I23" i="1"/>
  <c r="E24" i="1"/>
  <c r="F24" i="1"/>
  <c r="G24" i="1"/>
  <c r="I24" i="1"/>
  <c r="E25" i="1"/>
  <c r="F25" i="1"/>
  <c r="G25" i="1"/>
  <c r="I25" i="1"/>
  <c r="Q22" i="1"/>
  <c r="Q23" i="1"/>
  <c r="Q24" i="1"/>
  <c r="Q25" i="1"/>
  <c r="F11" i="1"/>
  <c r="C21" i="1"/>
  <c r="E21" i="1"/>
  <c r="F21" i="1"/>
  <c r="A21" i="1"/>
  <c r="H20" i="1"/>
  <c r="G11" i="1"/>
  <c r="Q21" i="1"/>
  <c r="G21" i="1"/>
  <c r="C17" i="1"/>
  <c r="H21" i="1"/>
  <c r="C12" i="1"/>
  <c r="F15" i="1" l="1"/>
  <c r="C16" i="1"/>
  <c r="D18" i="1" s="1"/>
  <c r="C11" i="1"/>
  <c r="O27" i="1" l="1"/>
  <c r="S27" i="1" s="1"/>
  <c r="O26" i="1"/>
  <c r="S26" i="1" s="1"/>
  <c r="C15" i="1"/>
  <c r="O22" i="1"/>
  <c r="S22" i="1" s="1"/>
  <c r="O21" i="1"/>
  <c r="S21" i="1" s="1"/>
  <c r="O23" i="1"/>
  <c r="S23" i="1" s="1"/>
  <c r="O24" i="1"/>
  <c r="S24" i="1" s="1"/>
  <c r="O25" i="1"/>
  <c r="S25" i="1" s="1"/>
  <c r="F16" i="1" l="1"/>
  <c r="F18" i="1" s="1"/>
  <c r="S19" i="1"/>
  <c r="C18" i="1"/>
  <c r="F17" i="1" l="1"/>
</calcChain>
</file>

<file path=xl/sharedStrings.xml><?xml version="1.0" encoding="utf-8"?>
<sst xmlns="http://schemas.openxmlformats.org/spreadsheetml/2006/main" count="67" uniqueCount="57">
  <si>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</si>
  <si>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</si>
  <si>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</si>
  <si>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</si>
  <si>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</si>
  <si>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</si>
  <si>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</si>
  <si>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</si>
  <si>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</si>
  <si>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</si>
  <si>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</si>
  <si>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</si>
  <si>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</si>
  <si>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</si>
  <si>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</si>
  <si>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</si>
  <si>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</si>
  <si>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</si>
  <si>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</si>
  <si>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</si>
  <si>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</si>
  <si>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</si>
  <si>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</si>
  <si>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</si>
  <si>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</si>
  <si>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</si>
  <si>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</si>
  <si>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</si>
  <si>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</si>
  <si>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</si>
  <si>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</si>
  <si>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</si>
  <si>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</si>
  <si>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</si>
  <si>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</si>
  <si>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</si>
  <si>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</si>
  <si>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</si>
  <si>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</si>
  <si>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</si>
  <si>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G4894-2310</t>
  </si>
  <si>
    <t>G4894-2310_Hya.xls</t>
  </si>
  <si>
    <t>EA</t>
  </si>
  <si>
    <t>Hya</t>
  </si>
  <si>
    <t>VSX</t>
  </si>
  <si>
    <t>IBVS 5992</t>
  </si>
  <si>
    <t>I</t>
  </si>
  <si>
    <t>II</t>
  </si>
  <si>
    <t>IBVS 6011</t>
  </si>
  <si>
    <t>IBVS 6063</t>
  </si>
  <si>
    <t>V0648 Hya / GSC 4894-2310</t>
  </si>
  <si>
    <t>CCD</t>
  </si>
  <si>
    <t>JBAV 96</t>
  </si>
  <si>
    <t xml:space="preserve">Mag </t>
  </si>
  <si>
    <t>Next ToM-P</t>
  </si>
  <si>
    <t>Next ToM-S</t>
  </si>
  <si>
    <t>12.15-12.80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</si>
</sst>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8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2" fontId="1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6" fillId="0" borderId="1" applyNumberFormat="0" applyFont="0" applyFill="0" applyAlignment="0" applyProtection="0"/>
  </cellStyleXfs>
  <cellXfs count="48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3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4" fillId="2" borderId="0" xfId="0" applyFont="1" applyFill="1" applyAlignment="1">
      <alignment vertical="center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/>
    <xf numFmtId="0" fontId="0" fillId="0" borderId="0" xfId="0" applyAlignment="1">
      <alignment horizontal="right"/>
    </xf>
    <xf numFmtId="0" fontId="18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65" fontId="18" fillId="0" borderId="0" xfId="0" applyNumberFormat="1" applyFont="1" applyAlignment="1" applyProtection="1">
      <alignment horizontal="left" vertical="center" wrapText="1"/>
      <protection locked="0"/>
    </xf>
    <xf numFmtId="0" fontId="0" fillId="0" borderId="5" xfId="0" applyBorder="1">
      <alignment vertical="top"/>
    </xf>
    <xf numFmtId="0" fontId="19" fillId="0" borderId="8" xfId="0" applyFont="1" applyBorder="1" applyAlignment="1">
      <alignment horizontal="right" vertical="center"/>
    </xf>
    <xf numFmtId="22" fontId="19" fillId="0" borderId="8" xfId="0" applyNumberFormat="1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0" fillId="3" borderId="6" xfId="0" applyFill="1" applyBorder="1" applyAlignment="1">
      <alignment horizontal="right" vertical="center"/>
    </xf>
    <xf numFmtId="0" fontId="3" fillId="0" borderId="9" xfId="0" applyFont="1" applyBorder="1" applyAlignment="1">
      <alignment horizontal="right" vertical="center"/>
    </xf>
    <xf numFmtId="0" fontId="20" fillId="0" borderId="9" xfId="0" applyFont="1" applyBorder="1" applyAlignment="1">
      <alignment horizontal="right" vertical="center"/>
    </xf>
    <xf numFmtId="22" fontId="20" fillId="0" borderId="9" xfId="0" applyNumberFormat="1" applyFont="1" applyBorder="1" applyAlignment="1">
      <alignment horizontal="right" vertical="center"/>
    </xf>
    <xf numFmtId="22" fontId="20" fillId="0" borderId="11" xfId="0" applyNumberFormat="1" applyFont="1" applyBorder="1" applyAlignment="1">
      <alignment horizontal="right" vertical="center"/>
    </xf>
    <xf numFmtId="0" fontId="16" fillId="3" borderId="7" xfId="0" applyFont="1" applyFill="1" applyBorder="1" applyAlignment="1">
      <alignment horizontal="center" vertical="center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V0648 Hya - O-C Diagr.</a:t>
            </a:r>
          </a:p>
        </c:rich>
      </c:tx>
      <c:layout>
        <c:manualLayout>
          <c:xMode val="edge"/>
          <c:yMode val="edge"/>
          <c:x val="0.34536340852130326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50375939849624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4124.5</c:v>
                </c:pt>
                <c:pt idx="2">
                  <c:v>4209</c:v>
                </c:pt>
                <c:pt idx="3">
                  <c:v>4529</c:v>
                </c:pt>
                <c:pt idx="4">
                  <c:v>4948</c:v>
                </c:pt>
                <c:pt idx="5">
                  <c:v>9437</c:v>
                </c:pt>
                <c:pt idx="6">
                  <c:v>9525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935-496A-A67C-372749A27F10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4124.5</c:v>
                </c:pt>
                <c:pt idx="2">
                  <c:v>4209</c:v>
                </c:pt>
                <c:pt idx="3">
                  <c:v>4529</c:v>
                </c:pt>
                <c:pt idx="4">
                  <c:v>4948</c:v>
                </c:pt>
                <c:pt idx="5">
                  <c:v>9437</c:v>
                </c:pt>
                <c:pt idx="6">
                  <c:v>9525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-7.0899999991524965E-3</c:v>
                </c:pt>
                <c:pt idx="2">
                  <c:v>-6.7799999960698187E-3</c:v>
                </c:pt>
                <c:pt idx="3">
                  <c:v>-6.8800000008195639E-3</c:v>
                </c:pt>
                <c:pt idx="4">
                  <c:v>-7.5599999981932342E-3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935-496A-A67C-372749A27F10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4124.5</c:v>
                </c:pt>
                <c:pt idx="2">
                  <c:v>4209</c:v>
                </c:pt>
                <c:pt idx="3">
                  <c:v>4529</c:v>
                </c:pt>
                <c:pt idx="4">
                  <c:v>4948</c:v>
                </c:pt>
                <c:pt idx="5">
                  <c:v>9437</c:v>
                </c:pt>
                <c:pt idx="6">
                  <c:v>9525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5">
                  <c:v>-2.8099997798562981E-3</c:v>
                </c:pt>
                <c:pt idx="6">
                  <c:v>-3.7700001776101999E-3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935-496A-A67C-372749A27F10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4124.5</c:v>
                </c:pt>
                <c:pt idx="2">
                  <c:v>4209</c:v>
                </c:pt>
                <c:pt idx="3">
                  <c:v>4529</c:v>
                </c:pt>
                <c:pt idx="4">
                  <c:v>4948</c:v>
                </c:pt>
                <c:pt idx="5">
                  <c:v>9437</c:v>
                </c:pt>
                <c:pt idx="6">
                  <c:v>9525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935-496A-A67C-372749A27F10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4124.5</c:v>
                </c:pt>
                <c:pt idx="2">
                  <c:v>4209</c:v>
                </c:pt>
                <c:pt idx="3">
                  <c:v>4529</c:v>
                </c:pt>
                <c:pt idx="4">
                  <c:v>4948</c:v>
                </c:pt>
                <c:pt idx="5">
                  <c:v>9437</c:v>
                </c:pt>
                <c:pt idx="6">
                  <c:v>9525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935-496A-A67C-372749A27F1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4124.5</c:v>
                </c:pt>
                <c:pt idx="2">
                  <c:v>4209</c:v>
                </c:pt>
                <c:pt idx="3">
                  <c:v>4529</c:v>
                </c:pt>
                <c:pt idx="4">
                  <c:v>4948</c:v>
                </c:pt>
                <c:pt idx="5">
                  <c:v>9437</c:v>
                </c:pt>
                <c:pt idx="6">
                  <c:v>9525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935-496A-A67C-372749A27F1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6.9999999999999999E-4</c:v>
                  </c:pt>
                  <c:pt idx="4">
                    <c:v>2.0000000000000001E-4</c:v>
                  </c:pt>
                  <c:pt idx="5">
                    <c:v>1E-4</c:v>
                  </c:pt>
                  <c:pt idx="6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4124.5</c:v>
                </c:pt>
                <c:pt idx="2">
                  <c:v>4209</c:v>
                </c:pt>
                <c:pt idx="3">
                  <c:v>4529</c:v>
                </c:pt>
                <c:pt idx="4">
                  <c:v>4948</c:v>
                </c:pt>
                <c:pt idx="5">
                  <c:v>9437</c:v>
                </c:pt>
                <c:pt idx="6">
                  <c:v>9525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935-496A-A67C-372749A27F1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4124.5</c:v>
                </c:pt>
                <c:pt idx="2">
                  <c:v>4209</c:v>
                </c:pt>
                <c:pt idx="3">
                  <c:v>4529</c:v>
                </c:pt>
                <c:pt idx="4">
                  <c:v>4948</c:v>
                </c:pt>
                <c:pt idx="5">
                  <c:v>9437</c:v>
                </c:pt>
                <c:pt idx="6">
                  <c:v>9525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-4.5495941278034776E-3</c:v>
                </c:pt>
                <c:pt idx="1">
                  <c:v>-4.8908871576468444E-3</c:v>
                </c:pt>
                <c:pt idx="2">
                  <c:v>-4.8978793411895193E-3</c:v>
                </c:pt>
                <c:pt idx="3">
                  <c:v>-4.9243586161440301E-3</c:v>
                </c:pt>
                <c:pt idx="4">
                  <c:v>-4.9590299167875914E-3</c:v>
                </c:pt>
                <c:pt idx="5">
                  <c:v>-5.3304844957588297E-3</c:v>
                </c:pt>
                <c:pt idx="6">
                  <c:v>-5.3377662963713206E-3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935-496A-A67C-372749A27F10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4124.5</c:v>
                </c:pt>
                <c:pt idx="2">
                  <c:v>4209</c:v>
                </c:pt>
                <c:pt idx="3">
                  <c:v>4529</c:v>
                </c:pt>
                <c:pt idx="4">
                  <c:v>4948</c:v>
                </c:pt>
                <c:pt idx="5">
                  <c:v>9437</c:v>
                </c:pt>
                <c:pt idx="6">
                  <c:v>9525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935-496A-A67C-372749A27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37608048"/>
        <c:axId val="1"/>
      </c:scatterChart>
      <c:valAx>
        <c:axId val="5376080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376080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123825</xdr:colOff>
      <xdr:row>0</xdr:row>
      <xdr:rowOff>0</xdr:rowOff>
    </xdr:from>
    <xdr:to>
      <xdr:col>17</xdr:col>
      <xdr:colOff>209550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C5F0754-0DF9-9FBB-541F-B12F61FEF0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6" sqref="F6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1.140625" customWidth="1"/>
    <col min="6" max="6" width="14.57031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33" t="s">
        <v>50</v>
      </c>
      <c r="E1" t="s">
        <v>41</v>
      </c>
    </row>
    <row r="2" spans="1:7" x14ac:dyDescent="0.2">
      <c r="A2" t="s">
        <v>23</v>
      </c>
      <c r="B2" t="s">
        <v>42</v>
      </c>
      <c r="C2" s="26" t="s">
        <v>39</v>
      </c>
      <c r="D2" s="2" t="s">
        <v>43</v>
      </c>
      <c r="E2" s="27" t="s">
        <v>40</v>
      </c>
      <c r="F2" t="s">
        <v>40</v>
      </c>
    </row>
    <row r="3" spans="1:7" ht="13.5" thickBot="1" x14ac:dyDescent="0.25"/>
    <row r="4" spans="1:7" ht="14.25" thickTop="1" thickBot="1" x14ac:dyDescent="0.25">
      <c r="A4" s="4" t="s">
        <v>0</v>
      </c>
      <c r="C4" s="23" t="s">
        <v>38</v>
      </c>
      <c r="D4" s="24" t="s">
        <v>38</v>
      </c>
    </row>
    <row r="6" spans="1:7" x14ac:dyDescent="0.2">
      <c r="A6" s="4" t="s">
        <v>1</v>
      </c>
    </row>
    <row r="7" spans="1:7" x14ac:dyDescent="0.2">
      <c r="A7" t="s">
        <v>2</v>
      </c>
      <c r="C7" s="34">
        <v>51870.49</v>
      </c>
      <c r="D7" s="25" t="s">
        <v>44</v>
      </c>
    </row>
    <row r="8" spans="1:7" x14ac:dyDescent="0.2">
      <c r="A8" t="s">
        <v>3</v>
      </c>
      <c r="C8" s="34">
        <v>0.89742</v>
      </c>
      <c r="D8" s="25" t="s">
        <v>44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15</v>
      </c>
      <c r="B11" s="9"/>
      <c r="C11" s="17">
        <f ca="1">INTERCEPT(INDIRECT($G$11):G992,INDIRECT($F$11):F992)</f>
        <v>-4.5495941278034776E-3</v>
      </c>
      <c r="D11" s="2"/>
      <c r="E11" s="9"/>
      <c r="F11" s="18" t="str">
        <f>"F"&amp;E19</f>
        <v>F21</v>
      </c>
      <c r="G11" s="19" t="str">
        <f>"G"&amp;E19</f>
        <v>G21</v>
      </c>
    </row>
    <row r="12" spans="1:7" x14ac:dyDescent="0.2">
      <c r="A12" s="9" t="s">
        <v>16</v>
      </c>
      <c r="B12" s="9"/>
      <c r="C12" s="17">
        <f ca="1">SLOPE(INDIRECT($G$11):G992,INDIRECT($F$11):F992)</f>
        <v>-8.2747734232844403E-8</v>
      </c>
      <c r="D12" s="2"/>
      <c r="E12" s="42" t="s">
        <v>53</v>
      </c>
      <c r="F12" s="47" t="s">
        <v>56</v>
      </c>
    </row>
    <row r="13" spans="1:7" x14ac:dyDescent="0.2">
      <c r="A13" s="9" t="s">
        <v>18</v>
      </c>
      <c r="B13" s="9"/>
      <c r="C13" s="2" t="s">
        <v>13</v>
      </c>
      <c r="D13" s="13"/>
      <c r="E13" s="39" t="s">
        <v>35</v>
      </c>
      <c r="F13" s="43">
        <v>1</v>
      </c>
    </row>
    <row r="14" spans="1:7" x14ac:dyDescent="0.2">
      <c r="A14" s="9"/>
      <c r="B14" s="9"/>
      <c r="C14" s="9"/>
      <c r="D14" s="13"/>
      <c r="E14" s="39" t="s">
        <v>32</v>
      </c>
      <c r="F14" s="44">
        <f ca="1">NOW()+15018.5+$C$9/24</f>
        <v>60680.833389004627</v>
      </c>
    </row>
    <row r="15" spans="1:7" x14ac:dyDescent="0.2">
      <c r="A15" s="11" t="s">
        <v>17</v>
      </c>
      <c r="B15" s="9"/>
      <c r="C15" s="12">
        <f ca="1">(C7+C11)+(C8+C12)*INT(MAX(F21:F3533))</f>
        <v>60418.410162233697</v>
      </c>
      <c r="D15" s="13"/>
      <c r="E15" s="39" t="s">
        <v>36</v>
      </c>
      <c r="F15" s="44">
        <f ca="1">ROUND(2*($F$14-$C$7)/$C$8,0)/2+$F$13</f>
        <v>9818.5</v>
      </c>
    </row>
    <row r="16" spans="1:7" x14ac:dyDescent="0.2">
      <c r="A16" s="14" t="s">
        <v>4</v>
      </c>
      <c r="B16" s="9"/>
      <c r="C16" s="15">
        <f ca="1">+C8+C12</f>
        <v>0.89741991725226578</v>
      </c>
      <c r="D16" s="13"/>
      <c r="E16" s="39" t="s">
        <v>37</v>
      </c>
      <c r="F16" s="44">
        <f ca="1">ROUND(2*($F$14-$C$15)/$C$16,0)/2+$F$13</f>
        <v>293.5</v>
      </c>
    </row>
    <row r="17" spans="1:19" ht="13.5" thickBot="1" x14ac:dyDescent="0.25">
      <c r="A17" s="13" t="s">
        <v>29</v>
      </c>
      <c r="B17" s="9"/>
      <c r="C17" s="9">
        <f>COUNT(C21:C2191)</f>
        <v>7</v>
      </c>
      <c r="D17" s="13"/>
      <c r="E17" s="40" t="s">
        <v>54</v>
      </c>
      <c r="F17" s="45">
        <f ca="1">+$C$15+$C$16*$F$16-15018.5-$C$9/24</f>
        <v>45663.698741280576</v>
      </c>
    </row>
    <row r="18" spans="1:19" ht="14.25" thickTop="1" thickBot="1" x14ac:dyDescent="0.25">
      <c r="A18" s="14" t="s">
        <v>5</v>
      </c>
      <c r="B18" s="9"/>
      <c r="C18" s="16">
        <f ca="1">+C15</f>
        <v>60418.410162233697</v>
      </c>
      <c r="D18" s="38">
        <f ca="1">+C16</f>
        <v>0.89741991725226578</v>
      </c>
      <c r="E18" s="41" t="s">
        <v>55</v>
      </c>
      <c r="F18" s="46">
        <f ca="1">+($C$15+$C$16*$F$16)-($C$16/2)-15018.5-$C$9/24</f>
        <v>45663.25003132195</v>
      </c>
    </row>
    <row r="19" spans="1:19" ht="13.5" thickTop="1" x14ac:dyDescent="0.2">
      <c r="A19" s="20" t="s">
        <v>33</v>
      </c>
      <c r="E19" s="21">
        <v>21</v>
      </c>
      <c r="S19">
        <f ca="1">SQRT(SUM(S21:S50)/(COUNT(S21:S50)-1))</f>
        <v>2.8424635609802305E-3</v>
      </c>
    </row>
    <row r="20" spans="1:19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6" t="str">
        <f>A21</f>
        <v>VSX</v>
      </c>
      <c r="I20" s="6" t="s">
        <v>28</v>
      </c>
      <c r="J20" s="6" t="s">
        <v>51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14</v>
      </c>
      <c r="R20" s="22" t="s">
        <v>34</v>
      </c>
    </row>
    <row r="21" spans="1:19" x14ac:dyDescent="0.2">
      <c r="A21" t="str">
        <f>D7</f>
        <v>VSX</v>
      </c>
      <c r="C21" s="7">
        <f>C$7</f>
        <v>51870.49</v>
      </c>
      <c r="D21" s="7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-4.5495941278034776E-3</v>
      </c>
      <c r="Q21" s="1">
        <f>+C21-15018.5</f>
        <v>36851.99</v>
      </c>
      <c r="S21">
        <f ca="1">+(O21-G21)^2</f>
        <v>2.0698806727743887E-5</v>
      </c>
    </row>
    <row r="22" spans="1:19" x14ac:dyDescent="0.2">
      <c r="A22" s="28" t="s">
        <v>45</v>
      </c>
      <c r="B22" s="29" t="s">
        <v>46</v>
      </c>
      <c r="C22" s="28">
        <v>55571.8917</v>
      </c>
      <c r="D22" s="28">
        <v>2.0000000000000001E-4</v>
      </c>
      <c r="E22">
        <f>+(C22-C$7)/C$8</f>
        <v>4124.4920995743378</v>
      </c>
      <c r="F22">
        <f>ROUND(2*E22,0)/2</f>
        <v>4124.5</v>
      </c>
      <c r="G22">
        <f>+C22-(C$7+F22*C$8)</f>
        <v>-7.0899999991524965E-3</v>
      </c>
      <c r="I22">
        <f>+G22</f>
        <v>-7.0899999991524965E-3</v>
      </c>
      <c r="O22">
        <f ca="1">+C$11+C$12*$F22</f>
        <v>-4.8908871576468444E-3</v>
      </c>
      <c r="Q22" s="1">
        <f>+C22-15018.5</f>
        <v>40553.3917</v>
      </c>
      <c r="S22">
        <f ca="1">+(O22-G22)^2</f>
        <v>4.8360972896750632E-6</v>
      </c>
    </row>
    <row r="23" spans="1:19" x14ac:dyDescent="0.2">
      <c r="A23" s="28" t="s">
        <v>45</v>
      </c>
      <c r="B23" s="29" t="s">
        <v>47</v>
      </c>
      <c r="C23" s="28">
        <v>55647.724000000002</v>
      </c>
      <c r="D23" s="28">
        <v>2.9999999999999997E-4</v>
      </c>
      <c r="E23">
        <f>+(C23-C$7)/C$8</f>
        <v>4208.9924450090302</v>
      </c>
      <c r="F23">
        <f>ROUND(2*E23,0)/2</f>
        <v>4209</v>
      </c>
      <c r="G23">
        <f>+C23-(C$7+F23*C$8)</f>
        <v>-6.7799999960698187E-3</v>
      </c>
      <c r="I23">
        <f>+G23</f>
        <v>-6.7799999960698187E-3</v>
      </c>
      <c r="O23">
        <f ca="1">+C$11+C$12*$F23</f>
        <v>-4.8978793411895193E-3</v>
      </c>
      <c r="Q23" s="1">
        <f>+C23-15018.5</f>
        <v>40629.224000000002</v>
      </c>
      <c r="S23">
        <f ca="1">+(O23-G23)^2</f>
        <v>3.5423781595270474E-6</v>
      </c>
    </row>
    <row r="24" spans="1:19" x14ac:dyDescent="0.2">
      <c r="A24" s="28" t="s">
        <v>48</v>
      </c>
      <c r="B24" s="29" t="s">
        <v>47</v>
      </c>
      <c r="C24" s="28">
        <v>55934.898300000001</v>
      </c>
      <c r="D24" s="28">
        <v>6.9999999999999999E-4</v>
      </c>
      <c r="E24">
        <f>+(C24-C$7)/C$8</f>
        <v>4528.9923335784833</v>
      </c>
      <c r="F24">
        <f>ROUND(2*E24,0)/2</f>
        <v>4529</v>
      </c>
      <c r="G24">
        <f>+C24-(C$7+F24*C$8)</f>
        <v>-6.8800000008195639E-3</v>
      </c>
      <c r="I24">
        <f>+G24</f>
        <v>-6.8800000008195639E-3</v>
      </c>
      <c r="O24">
        <f ca="1">+C$11+C$12*$F24</f>
        <v>-4.9243586161440301E-3</v>
      </c>
      <c r="Q24" s="1">
        <f>+C24-15018.5</f>
        <v>40916.398300000001</v>
      </c>
      <c r="S24">
        <f ca="1">+(O24-G24)^2</f>
        <v>3.8245332254556386E-6</v>
      </c>
    </row>
    <row r="25" spans="1:19" x14ac:dyDescent="0.2">
      <c r="A25" s="30" t="s">
        <v>49</v>
      </c>
      <c r="B25" s="31" t="s">
        <v>47</v>
      </c>
      <c r="C25" s="32">
        <v>56310.916599999997</v>
      </c>
      <c r="D25" s="32">
        <v>2.0000000000000001E-4</v>
      </c>
      <c r="E25">
        <f>+(C25-C$7)/C$8</f>
        <v>4947.9915758507714</v>
      </c>
      <c r="F25">
        <f>ROUND(2*E25,0)/2</f>
        <v>4948</v>
      </c>
      <c r="G25">
        <f>+C25-(C$7+F25*C$8)</f>
        <v>-7.5599999981932342E-3</v>
      </c>
      <c r="I25">
        <f>+G25</f>
        <v>-7.5599999981932342E-3</v>
      </c>
      <c r="O25">
        <f ca="1">+C$11+C$12*$F25</f>
        <v>-4.9590299167875914E-3</v>
      </c>
      <c r="Q25" s="1">
        <f>+C25-15018.5</f>
        <v>41292.416599999997</v>
      </c>
      <c r="S25">
        <f ca="1">+(O25-G25)^2</f>
        <v>6.7650453643672763E-6</v>
      </c>
    </row>
    <row r="26" spans="1:19" x14ac:dyDescent="0.2">
      <c r="A26" s="35" t="s">
        <v>52</v>
      </c>
      <c r="B26" s="36" t="s">
        <v>47</v>
      </c>
      <c r="C26" s="37">
        <v>60339.439730000217</v>
      </c>
      <c r="D26" s="35">
        <v>1E-4</v>
      </c>
      <c r="E26">
        <f t="shared" ref="E26:E27" si="0">+(C26-C$7)/C$8</f>
        <v>9436.9968688019198</v>
      </c>
      <c r="F26">
        <f t="shared" ref="F26:F27" si="1">ROUND(2*E26,0)/2</f>
        <v>9437</v>
      </c>
      <c r="G26">
        <f t="shared" ref="G26:G27" si="2">+C26-(C$7+F26*C$8)</f>
        <v>-2.8099997798562981E-3</v>
      </c>
      <c r="J26">
        <f>+G26</f>
        <v>-2.8099997798562981E-3</v>
      </c>
      <c r="O26">
        <f t="shared" ref="O26:O27" ca="1" si="3">+C$11+C$12*$F26</f>
        <v>-5.3304844957588297E-3</v>
      </c>
      <c r="Q26" s="1">
        <f t="shared" ref="Q26:Q27" si="4">+C26-15018.5</f>
        <v>45320.939730000217</v>
      </c>
      <c r="S26">
        <f t="shared" ref="S26:S27" ca="1" si="5">+(O26-G26)^2</f>
        <v>6.3528432030982657E-6</v>
      </c>
    </row>
    <row r="27" spans="1:19" x14ac:dyDescent="0.2">
      <c r="A27" s="35" t="s">
        <v>52</v>
      </c>
      <c r="B27" s="36" t="s">
        <v>47</v>
      </c>
      <c r="C27" s="37">
        <v>60418.411729999818</v>
      </c>
      <c r="D27" s="35">
        <v>2.0000000000000001E-4</v>
      </c>
      <c r="E27">
        <f t="shared" si="0"/>
        <v>9524.9957990682396</v>
      </c>
      <c r="F27">
        <f t="shared" si="1"/>
        <v>9525</v>
      </c>
      <c r="G27">
        <f t="shared" si="2"/>
        <v>-3.7700001776101999E-3</v>
      </c>
      <c r="J27">
        <f>+G27</f>
        <v>-3.7700001776101999E-3</v>
      </c>
      <c r="O27">
        <f t="shared" ca="1" si="3"/>
        <v>-5.3377662963713206E-3</v>
      </c>
      <c r="Q27" s="1">
        <f t="shared" si="4"/>
        <v>45399.911729999818</v>
      </c>
      <c r="S27">
        <f t="shared" ca="1" si="5"/>
        <v>2.4578906031353085E-6</v>
      </c>
    </row>
    <row r="28" spans="1:19" x14ac:dyDescent="0.2">
      <c r="C28" s="7"/>
      <c r="D28" s="7"/>
      <c r="Q28" s="1"/>
    </row>
    <row r="29" spans="1:19" x14ac:dyDescent="0.2">
      <c r="C29" s="7"/>
      <c r="D29" s="7"/>
      <c r="Q29" s="1"/>
    </row>
    <row r="30" spans="1:19" x14ac:dyDescent="0.2">
      <c r="C30" s="7"/>
      <c r="D30" s="7"/>
      <c r="Q30" s="1"/>
    </row>
    <row r="31" spans="1:19" x14ac:dyDescent="0.2">
      <c r="C31" s="7"/>
      <c r="D31" s="7"/>
      <c r="Q31" s="1"/>
    </row>
    <row r="32" spans="1:19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2025-01-05T07:00:04Z</dcterms:modified>
</cp:coreProperties>
</file>