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8C7CBC3-EA58-4562-ACD0-EC8F40C36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42" i="1"/>
  <c r="F42" i="1" s="1"/>
  <c r="G42" i="1" s="1"/>
  <c r="K42" i="1" s="1"/>
  <c r="Q42" i="1"/>
  <c r="E43" i="1"/>
  <c r="F43" i="1"/>
  <c r="G43" i="1" s="1"/>
  <c r="K43" i="1" s="1"/>
  <c r="Q43" i="1"/>
  <c r="E39" i="1"/>
  <c r="F39" i="1" s="1"/>
  <c r="G39" i="1" s="1"/>
  <c r="K39" i="1" s="1"/>
  <c r="Q39" i="1"/>
  <c r="E41" i="1"/>
  <c r="F41" i="1" s="1"/>
  <c r="G41" i="1" s="1"/>
  <c r="K41" i="1" s="1"/>
  <c r="Q41" i="1"/>
  <c r="F14" i="1"/>
  <c r="F15" i="1" l="1"/>
  <c r="E30" i="1" l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7" i="1"/>
  <c r="F37" i="1" s="1"/>
  <c r="G37" i="1" s="1"/>
  <c r="K37" i="1" s="1"/>
  <c r="E38" i="1"/>
  <c r="F38" i="1" s="1"/>
  <c r="G38" i="1" s="1"/>
  <c r="K38" i="1" s="1"/>
  <c r="Q37" i="1"/>
  <c r="Q38" i="1"/>
  <c r="E36" i="1"/>
  <c r="F36" i="1" s="1"/>
  <c r="G36" i="1" s="1"/>
  <c r="K36" i="1" s="1"/>
  <c r="Q3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Q25" i="1"/>
  <c r="Q26" i="1"/>
  <c r="E25" i="1"/>
  <c r="F25" i="1" s="1"/>
  <c r="G25" i="1" s="1"/>
  <c r="K25" i="1" s="1"/>
  <c r="D9" i="1"/>
  <c r="C9" i="1"/>
  <c r="Q24" i="1"/>
  <c r="Q21" i="1"/>
  <c r="Q23" i="1"/>
  <c r="E23" i="1"/>
  <c r="F23" i="1" s="1"/>
  <c r="G23" i="1" s="1"/>
  <c r="K23" i="1" s="1"/>
  <c r="E21" i="1"/>
  <c r="F21" i="1" s="1"/>
  <c r="G21" i="1" s="1"/>
  <c r="J21" i="1" s="1"/>
  <c r="E26" i="1"/>
  <c r="F26" i="1" s="1"/>
  <c r="G26" i="1" s="1"/>
  <c r="K26" i="1" s="1"/>
  <c r="E24" i="1"/>
  <c r="F24" i="1"/>
  <c r="G24" i="1" s="1"/>
  <c r="K24" i="1" s="1"/>
  <c r="C17" i="1"/>
  <c r="Q22" i="1"/>
  <c r="E22" i="1"/>
  <c r="F22" i="1" s="1"/>
  <c r="U22" i="1" s="1"/>
  <c r="C12" i="1"/>
  <c r="C11" i="1"/>
  <c r="O43" i="1" l="1"/>
  <c r="O42" i="1"/>
  <c r="O40" i="1"/>
  <c r="O41" i="1"/>
  <c r="O39" i="1"/>
  <c r="O32" i="1"/>
  <c r="O30" i="1"/>
  <c r="O31" i="1"/>
  <c r="O35" i="1"/>
  <c r="O34" i="1"/>
  <c r="O33" i="1"/>
  <c r="O36" i="1"/>
  <c r="O26" i="1"/>
  <c r="O37" i="1"/>
  <c r="O29" i="1"/>
  <c r="O23" i="1"/>
  <c r="O21" i="1"/>
  <c r="O27" i="1"/>
  <c r="O28" i="1"/>
  <c r="C15" i="1"/>
  <c r="O24" i="1"/>
  <c r="O38" i="1"/>
  <c r="O22" i="1"/>
  <c r="O2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<sst xmlns="http://schemas.openxmlformats.org/spreadsheetml/2006/main" count="113" uniqueCount="64">
  <si>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</si>
  <si>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</si>
  <si>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</si>
  <si>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</si>
  <si>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</si>
  <si>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</si>
  <si>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</si>
  <si>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</si>
  <si>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</si>
  <si>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</si>
  <si>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</si>
  <si>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</si>
  <si>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</si>
  <si>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</si>
  <si>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</si>
  <si>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</si>
  <si>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</si>
  <si>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</si>
  <si>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</si>
  <si>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</si>
  <si>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</si>
  <si>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</si>
  <si>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</si>
  <si>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</si>
  <si>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</si>
  <si>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</si>
  <si>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</si>
  <si>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</si>
  <si>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</si>
  <si>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</si>
  <si>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</si>
  <si>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</si>
  <si>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</si>
  <si>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</si>
  <si>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</si>
  <si>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</si>
  <si>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</si>
  <si>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ST Ind</t>
  </si>
  <si>
    <t>G8410-1555</t>
  </si>
  <si>
    <t>EW/KW</t>
  </si>
  <si>
    <t>ST Ind / GSC 8410-1555</t>
  </si>
  <si>
    <t>GCVS 4</t>
  </si>
  <si>
    <t>Kreiner</t>
  </si>
  <si>
    <t>Pavlov 2015, pc</t>
  </si>
  <si>
    <t>I</t>
  </si>
  <si>
    <t>pg</t>
  </si>
  <si>
    <t>vis</t>
  </si>
  <si>
    <t>PE</t>
  </si>
  <si>
    <t>CCD</t>
  </si>
  <si>
    <t>OEJV 0179</t>
  </si>
  <si>
    <t>JAVSO, 48, 250</t>
  </si>
  <si>
    <t>BMGA</t>
  </si>
  <si>
    <t>RIX</t>
  </si>
  <si>
    <t>TESS/BAJ/RAA</t>
  </si>
  <si>
    <t>TESS</t>
  </si>
  <si>
    <t>VSS SEB Gp</t>
  </si>
  <si>
    <t>RAA</t>
  </si>
  <si>
    <t xml:space="preserve">Mag </t>
  </si>
  <si>
    <t>Next ToM-P</t>
  </si>
  <si>
    <t>Next ToM-S</t>
  </si>
  <si>
    <t>11.30-11.79</t>
  </si>
  <si>
    <t>VSX</t>
  </si>
  <si>
    <t>VSX?</t>
  </si>
  <si>
    <t>Better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</si>
</sst>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8" fillId="26" borderId="0" xfId="0" applyFont="1" applyFill="1" applyAlignment="1"/>
    <xf numFmtId="0" fontId="5" fillId="0" borderId="0" xfId="0" applyFont="1" applyAlignment="1">
      <alignment horizontal="left" vertical="center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165" fontId="36" fillId="0" borderId="0" xfId="0" applyNumberFormat="1" applyFont="1" applyAlignment="1">
      <alignment horizontal="left"/>
    </xf>
    <xf numFmtId="0" fontId="7" fillId="0" borderId="0" xfId="0" applyFont="1" applyAlignment="1"/>
    <xf numFmtId="0" fontId="0" fillId="0" borderId="0" xfId="0" applyAlignment="1">
      <alignment horizontal="right"/>
    </xf>
    <xf numFmtId="0" fontId="37" fillId="0" borderId="13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16" fillId="27" borderId="11" xfId="0" applyFont="1" applyFill="1" applyBorder="1" applyAlignment="1">
      <alignment horizontal="right" vertical="center"/>
    </xf>
    <xf numFmtId="0" fontId="16" fillId="27" borderId="12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65" fontId="36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Ind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2556390977443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39081</c:v>
                </c:pt>
                <c:pt idx="20">
                  <c:v>39083.5</c:v>
                </c:pt>
                <c:pt idx="21">
                  <c:v>39083.5</c:v>
                </c:pt>
                <c:pt idx="22">
                  <c:v>39111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B5-4D60-8D1D-A259FF9DD8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39081</c:v>
                </c:pt>
                <c:pt idx="20">
                  <c:v>39083.5</c:v>
                </c:pt>
                <c:pt idx="21">
                  <c:v>39083.5</c:v>
                </c:pt>
                <c:pt idx="22">
                  <c:v>39111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B5-4D60-8D1D-A259FF9DD8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39081</c:v>
                </c:pt>
                <c:pt idx="20">
                  <c:v>39083.5</c:v>
                </c:pt>
                <c:pt idx="21">
                  <c:v>39083.5</c:v>
                </c:pt>
                <c:pt idx="22">
                  <c:v>39111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0.20095824499730952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B5-4D60-8D1D-A259FF9DD8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39081</c:v>
                </c:pt>
                <c:pt idx="20">
                  <c:v>39083.5</c:v>
                </c:pt>
                <c:pt idx="21">
                  <c:v>39083.5</c:v>
                </c:pt>
                <c:pt idx="22">
                  <c:v>39111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5.5890569994517136E-2</c:v>
                </c:pt>
                <c:pt idx="3">
                  <c:v>4.8691944997699466E-2</c:v>
                </c:pt>
                <c:pt idx="4">
                  <c:v>3.3529544998600613E-2</c:v>
                </c:pt>
                <c:pt idx="5">
                  <c:v>3.5541299999749754E-2</c:v>
                </c:pt>
                <c:pt idx="6">
                  <c:v>2.6945729798171669E-2</c:v>
                </c:pt>
                <c:pt idx="7">
                  <c:v>2.6606824911141302E-2</c:v>
                </c:pt>
                <c:pt idx="8">
                  <c:v>2.6698580171796493E-2</c:v>
                </c:pt>
                <c:pt idx="15">
                  <c:v>4.047310103487689E-3</c:v>
                </c:pt>
                <c:pt idx="16">
                  <c:v>3.3870551269501448E-3</c:v>
                </c:pt>
                <c:pt idx="17">
                  <c:v>4.6218100178521127E-3</c:v>
                </c:pt>
                <c:pt idx="18">
                  <c:v>-2.5293299986515194E-3</c:v>
                </c:pt>
                <c:pt idx="19">
                  <c:v>-2.5293299986515194E-3</c:v>
                </c:pt>
                <c:pt idx="20">
                  <c:v>-2.6646949991118163E-3</c:v>
                </c:pt>
                <c:pt idx="21">
                  <c:v>-2.6646949991118163E-3</c:v>
                </c:pt>
                <c:pt idx="22">
                  <c:v>-3.65039000462275E-3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B5-4D60-8D1D-A259FF9DD8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39081</c:v>
                </c:pt>
                <c:pt idx="20">
                  <c:v>39083.5</c:v>
                </c:pt>
                <c:pt idx="21">
                  <c:v>39083.5</c:v>
                </c:pt>
                <c:pt idx="22">
                  <c:v>39111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9">
                  <c:v>2.1666501132131089E-2</c:v>
                </c:pt>
                <c:pt idx="10">
                  <c:v>2.1368249697843567E-2</c:v>
                </c:pt>
                <c:pt idx="11">
                  <c:v>2.1904585912125185E-2</c:v>
                </c:pt>
                <c:pt idx="12">
                  <c:v>2.1376338321715593E-2</c:v>
                </c:pt>
                <c:pt idx="13">
                  <c:v>2.1803674673719797E-2</c:v>
                </c:pt>
                <c:pt idx="14">
                  <c:v>2.1035441088315565E-2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B5-4D60-8D1D-A259FF9DD8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39081</c:v>
                </c:pt>
                <c:pt idx="20">
                  <c:v>39083.5</c:v>
                </c:pt>
                <c:pt idx="21">
                  <c:v>39083.5</c:v>
                </c:pt>
                <c:pt idx="22">
                  <c:v>39111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B5-4D60-8D1D-A259FF9DD8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6.4999999999999997E-4</c:v>
                  </c:pt>
                  <c:pt idx="21">
                    <c:v>6.4999999999999997E-4</c:v>
                  </c:pt>
                  <c:pt idx="22">
                    <c:v>2.6323626505300014E-4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39081</c:v>
                </c:pt>
                <c:pt idx="20">
                  <c:v>39083.5</c:v>
                </c:pt>
                <c:pt idx="21">
                  <c:v>39083.5</c:v>
                </c:pt>
                <c:pt idx="22">
                  <c:v>39111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B5-4D60-8D1D-A259FF9DD8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39081</c:v>
                </c:pt>
                <c:pt idx="20">
                  <c:v>39083.5</c:v>
                </c:pt>
                <c:pt idx="21">
                  <c:v>39083.5</c:v>
                </c:pt>
                <c:pt idx="22">
                  <c:v>39111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0.20660791077319557</c:v>
                </c:pt>
                <c:pt idx="1">
                  <c:v>0.10658789352672868</c:v>
                </c:pt>
                <c:pt idx="2">
                  <c:v>4.5994984676228812E-2</c:v>
                </c:pt>
                <c:pt idx="3">
                  <c:v>3.9370013045176927E-2</c:v>
                </c:pt>
                <c:pt idx="4">
                  <c:v>3.0134409028819448E-2</c:v>
                </c:pt>
                <c:pt idx="5">
                  <c:v>3.013178527767843E-2</c:v>
                </c:pt>
                <c:pt idx="6">
                  <c:v>2.5445765739833426E-2</c:v>
                </c:pt>
                <c:pt idx="7">
                  <c:v>2.526472691110368E-2</c:v>
                </c:pt>
                <c:pt idx="8">
                  <c:v>2.5262103159962662E-2</c:v>
                </c:pt>
                <c:pt idx="9">
                  <c:v>2.1247763914216372E-2</c:v>
                </c:pt>
                <c:pt idx="10">
                  <c:v>2.1245140163075354E-2</c:v>
                </c:pt>
                <c:pt idx="11">
                  <c:v>2.1100833850319772E-2</c:v>
                </c:pt>
                <c:pt idx="12">
                  <c:v>2.1098210099178782E-2</c:v>
                </c:pt>
                <c:pt idx="13">
                  <c:v>2.0938161279577122E-2</c:v>
                </c:pt>
                <c:pt idx="14">
                  <c:v>2.0935537528436104E-2</c:v>
                </c:pt>
                <c:pt idx="15">
                  <c:v>6.7751526204016532E-3</c:v>
                </c:pt>
                <c:pt idx="16">
                  <c:v>6.5154012574415998E-3</c:v>
                </c:pt>
                <c:pt idx="17">
                  <c:v>6.5127775063005822E-3</c:v>
                </c:pt>
                <c:pt idx="18">
                  <c:v>1.527650338380343E-3</c:v>
                </c:pt>
                <c:pt idx="19">
                  <c:v>1.527650338380343E-3</c:v>
                </c:pt>
                <c:pt idx="20">
                  <c:v>1.5145315826753103E-3</c:v>
                </c:pt>
                <c:pt idx="21">
                  <c:v>1.5145315826753103E-3</c:v>
                </c:pt>
                <c:pt idx="22">
                  <c:v>1.3702252699197282E-3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B5-4D60-8D1D-A259FF9DD8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39081</c:v>
                </c:pt>
                <c:pt idx="20">
                  <c:v>39083.5</c:v>
                </c:pt>
                <c:pt idx="21">
                  <c:v>39083.5</c:v>
                </c:pt>
                <c:pt idx="22">
                  <c:v>39111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5.9999729273840785E-7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B5-4D60-8D1D-A259FF9DD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159464"/>
        <c:axId val="1"/>
      </c:scatterChart>
      <c:valAx>
        <c:axId val="943159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159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9B00F8-ABC6-6BED-4755-15651A114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5" customWidth="1"/>
  </cols>
  <sheetData>
    <row r="1" spans="1:21" ht="20.25" x14ac:dyDescent="0.3">
      <c r="A1" s="1" t="s">
        <v>40</v>
      </c>
      <c r="F1" s="28" t="s">
        <v>37</v>
      </c>
      <c r="G1" s="29">
        <v>0</v>
      </c>
      <c r="H1" s="30"/>
      <c r="I1" s="31" t="s">
        <v>38</v>
      </c>
      <c r="J1" s="32" t="s">
        <v>37</v>
      </c>
      <c r="K1" s="33">
        <v>20.35238</v>
      </c>
      <c r="L1" s="34">
        <v>-48.192</v>
      </c>
      <c r="M1" s="35">
        <v>52500.224999999999</v>
      </c>
      <c r="N1" s="35">
        <v>0.40191649000000002</v>
      </c>
      <c r="O1" s="31" t="s">
        <v>39</v>
      </c>
      <c r="U1" s="47"/>
    </row>
    <row r="2" spans="1:21" x14ac:dyDescent="0.2">
      <c r="A2" t="s">
        <v>25</v>
      </c>
      <c r="B2" t="s">
        <v>39</v>
      </c>
      <c r="C2" s="27"/>
      <c r="D2" s="2"/>
      <c r="U2" s="47"/>
    </row>
    <row r="3" spans="1:21" ht="13.5" thickBot="1" x14ac:dyDescent="0.25">
      <c r="U3" s="47"/>
    </row>
    <row r="4" spans="1:21" ht="14.25" thickTop="1" thickBot="1" x14ac:dyDescent="0.25">
      <c r="A4" s="4" t="s">
        <v>2</v>
      </c>
      <c r="C4" s="25">
        <v>44839.6967</v>
      </c>
      <c r="D4" s="26">
        <v>0.40188233000000001</v>
      </c>
      <c r="E4" s="47" t="s">
        <v>62</v>
      </c>
      <c r="U4" s="47"/>
    </row>
    <row r="5" spans="1:21" ht="13.5" thickTop="1" x14ac:dyDescent="0.2">
      <c r="A5" s="8" t="s">
        <v>29</v>
      </c>
      <c r="B5" s="9"/>
      <c r="C5" s="10">
        <v>-9.5</v>
      </c>
      <c r="D5" s="9" t="s">
        <v>30</v>
      </c>
      <c r="E5" s="9"/>
    </row>
    <row r="6" spans="1:21" x14ac:dyDescent="0.2">
      <c r="A6" s="4" t="s">
        <v>3</v>
      </c>
    </row>
    <row r="7" spans="1:21" x14ac:dyDescent="0.2">
      <c r="A7" t="s">
        <v>4</v>
      </c>
      <c r="C7" s="59">
        <v>44839.6967</v>
      </c>
      <c r="D7" s="31" t="s">
        <v>61</v>
      </c>
    </row>
    <row r="8" spans="1:21" x14ac:dyDescent="0.2">
      <c r="A8" t="s">
        <v>5</v>
      </c>
      <c r="C8" s="59">
        <v>0.40191649000000002</v>
      </c>
      <c r="D8" s="31" t="s">
        <v>42</v>
      </c>
      <c r="E8" s="47" t="s">
        <v>63</v>
      </c>
    </row>
    <row r="9" spans="1:21" x14ac:dyDescent="0.2">
      <c r="A9" s="22" t="s">
        <v>32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21" ht="13.5" thickBot="1" x14ac:dyDescent="0.25">
      <c r="A10" s="9"/>
      <c r="B10" s="9"/>
      <c r="C10" s="3" t="s">
        <v>21</v>
      </c>
      <c r="D10" s="3" t="s">
        <v>22</v>
      </c>
      <c r="E10" s="9"/>
    </row>
    <row r="11" spans="1:21" x14ac:dyDescent="0.2">
      <c r="A11" s="9" t="s">
        <v>17</v>
      </c>
      <c r="B11" s="9"/>
      <c r="C11" s="19">
        <f ca="1">INTERCEPT(INDIRECT($D$9):G992,INDIRECT($C$9):F992)</f>
        <v>0.20660528702205455</v>
      </c>
      <c r="D11" s="2"/>
      <c r="E11" s="9"/>
    </row>
    <row r="12" spans="1:21" x14ac:dyDescent="0.2">
      <c r="A12" s="9" t="s">
        <v>18</v>
      </c>
      <c r="B12" s="9"/>
      <c r="C12" s="19">
        <f ca="1">SLOPE(INDIRECT($D$9):G992,INDIRECT($C$9):F992)</f>
        <v>-5.2475022820212942E-6</v>
      </c>
      <c r="D12" s="2"/>
      <c r="E12" s="62" t="s">
        <v>57</v>
      </c>
      <c r="F12" s="63" t="s">
        <v>60</v>
      </c>
    </row>
    <row r="13" spans="1:21" x14ac:dyDescent="0.2">
      <c r="A13" s="9" t="s">
        <v>20</v>
      </c>
      <c r="B13" s="9"/>
      <c r="C13" s="2" t="s">
        <v>15</v>
      </c>
      <c r="E13" s="60" t="s">
        <v>34</v>
      </c>
      <c r="F13" s="64">
        <v>1</v>
      </c>
    </row>
    <row r="14" spans="1:21" x14ac:dyDescent="0.2">
      <c r="A14" s="9"/>
      <c r="B14" s="9"/>
      <c r="C14" s="9"/>
      <c r="E14" s="60" t="s">
        <v>31</v>
      </c>
      <c r="F14" s="65">
        <f ca="1">NOW()+15018.5+$C$5/24</f>
        <v>60594.699919212959</v>
      </c>
    </row>
    <row r="15" spans="1:21" x14ac:dyDescent="0.2">
      <c r="A15" s="11" t="s">
        <v>19</v>
      </c>
      <c r="B15" s="9"/>
      <c r="C15" s="12">
        <f ca="1">(C7+C11)+(C8+C12)*INT(MAX(F21:F3533))</f>
        <v>60559.053910615272</v>
      </c>
      <c r="E15" s="60" t="s">
        <v>35</v>
      </c>
      <c r="F15" s="65">
        <f ca="1">ROUND(2*($F$14-$C$7)/$C$8,0)/2+$F$13</f>
        <v>39200.5</v>
      </c>
    </row>
    <row r="16" spans="1:21" x14ac:dyDescent="0.2">
      <c r="A16" s="14" t="s">
        <v>6</v>
      </c>
      <c r="B16" s="9"/>
      <c r="C16" s="15">
        <f ca="1">+C8+C12</f>
        <v>0.40191124249771798</v>
      </c>
      <c r="E16" s="60" t="s">
        <v>36</v>
      </c>
      <c r="F16" s="65">
        <f ca="1">ROUND(2*($F$14-$C$15)/$C$16,0)/2+$F$13</f>
        <v>89.5</v>
      </c>
    </row>
    <row r="17" spans="1:23" ht="13.5" thickBot="1" x14ac:dyDescent="0.25">
      <c r="A17" s="13" t="s">
        <v>28</v>
      </c>
      <c r="B17" s="9"/>
      <c r="C17" s="9">
        <f>COUNT(C21:C2191)</f>
        <v>23</v>
      </c>
      <c r="E17" s="60" t="s">
        <v>58</v>
      </c>
      <c r="F17" s="66">
        <f ca="1">+$C$15+$C$16*$F$16-15018.5-$C$5/24</f>
        <v>45576.920800152155</v>
      </c>
    </row>
    <row r="18" spans="1:23" ht="14.25" thickTop="1" thickBot="1" x14ac:dyDescent="0.25">
      <c r="A18" s="14" t="s">
        <v>7</v>
      </c>
      <c r="B18" s="9"/>
      <c r="C18" s="17">
        <f ca="1">+C15</f>
        <v>60559.053910615272</v>
      </c>
      <c r="D18" s="18">
        <f ca="1">+C16</f>
        <v>0.40191124249771798</v>
      </c>
      <c r="E18" s="61" t="s">
        <v>59</v>
      </c>
      <c r="F18" s="67">
        <f ca="1">+($C$15+$C$16*$F$16)-($C$16/2)-15018.5-$C$5/24</f>
        <v>45576.719844530904</v>
      </c>
    </row>
    <row r="19" spans="1:23" ht="13.5" thickTop="1" x14ac:dyDescent="0.2">
      <c r="E19" s="13"/>
      <c r="F19" s="16"/>
    </row>
    <row r="20" spans="1:23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45</v>
      </c>
      <c r="I20" s="6" t="s">
        <v>46</v>
      </c>
      <c r="J20" s="6" t="s">
        <v>47</v>
      </c>
      <c r="K20" s="6" t="s">
        <v>48</v>
      </c>
      <c r="L20" s="6" t="s">
        <v>54</v>
      </c>
      <c r="M20" s="6" t="s">
        <v>26</v>
      </c>
      <c r="N20" s="6" t="s">
        <v>27</v>
      </c>
      <c r="O20" s="6" t="s">
        <v>24</v>
      </c>
      <c r="P20" s="5" t="s">
        <v>23</v>
      </c>
      <c r="Q20" s="3" t="s">
        <v>16</v>
      </c>
      <c r="U20" s="24" t="s">
        <v>33</v>
      </c>
    </row>
    <row r="21" spans="1:23" s="47" customFormat="1" ht="12" customHeight="1" x14ac:dyDescent="0.2">
      <c r="A21" s="47" t="s">
        <v>41</v>
      </c>
      <c r="C21" s="48">
        <v>44839.6967</v>
      </c>
      <c r="D21" s="48"/>
      <c r="E21" s="38">
        <f>+(C21-C$7)/C$8-0.5</f>
        <v>-0.5</v>
      </c>
      <c r="F21" s="47">
        <f>ROUND(2*E21,0)/2</f>
        <v>-0.5</v>
      </c>
      <c r="G21" s="47">
        <f>+C21-(C$7+F21*C$8)</f>
        <v>0.20095824499730952</v>
      </c>
      <c r="J21" s="47">
        <f>+G21</f>
        <v>0.20095824499730952</v>
      </c>
      <c r="O21" s="47">
        <f ca="1">+C$11+C$12*$F21</f>
        <v>0.20660791077319557</v>
      </c>
      <c r="Q21" s="49">
        <f>+C21-15018.5</f>
        <v>29821.1967</v>
      </c>
    </row>
    <row r="22" spans="1:23" s="47" customFormat="1" ht="12" customHeight="1" x14ac:dyDescent="0.2">
      <c r="A22" s="47" t="s">
        <v>42</v>
      </c>
      <c r="C22" s="48">
        <v>52500.224999999999</v>
      </c>
      <c r="D22" s="48" t="s">
        <v>15</v>
      </c>
      <c r="E22" s="47">
        <f>+(C22-C$7)/C$8</f>
        <v>19060.000001492841</v>
      </c>
      <c r="F22" s="47">
        <f>ROUND(2*E22,0)/2</f>
        <v>19060</v>
      </c>
      <c r="O22" s="47">
        <f ca="1">+C$11+C$12*$F22</f>
        <v>0.10658789352672868</v>
      </c>
      <c r="Q22" s="49">
        <f>+C22-15018.5</f>
        <v>37481.724999999999</v>
      </c>
      <c r="U22" s="47">
        <f>+C22-(C$7+F22*C$8)</f>
        <v>5.9999729273840785E-7</v>
      </c>
    </row>
    <row r="23" spans="1:23" s="47" customFormat="1" ht="12" customHeight="1" x14ac:dyDescent="0.2">
      <c r="A23" s="50" t="s">
        <v>43</v>
      </c>
      <c r="B23" s="52" t="s">
        <v>44</v>
      </c>
      <c r="C23" s="51">
        <v>57141.210599999999</v>
      </c>
      <c r="D23" s="39">
        <v>5.9999999999999995E-4</v>
      </c>
      <c r="E23" s="47">
        <f>+(C23-C$7)/C$8</f>
        <v>30607.139060156496</v>
      </c>
      <c r="F23" s="47">
        <f>ROUND(2*E23,0)/2</f>
        <v>30607</v>
      </c>
      <c r="G23" s="47">
        <f>+C23-(C$7+F23*C$8)</f>
        <v>5.5890569994517136E-2</v>
      </c>
      <c r="K23" s="47">
        <f>+G23</f>
        <v>5.5890569994517136E-2</v>
      </c>
      <c r="O23" s="47">
        <f ca="1">+C$11+C$12*$F23</f>
        <v>4.5994984676228812E-2</v>
      </c>
      <c r="Q23" s="49">
        <f>+C23-15018.5</f>
        <v>42122.710599999999</v>
      </c>
    </row>
    <row r="24" spans="1:23" s="47" customFormat="1" ht="12" customHeight="1" x14ac:dyDescent="0.2">
      <c r="A24" s="40" t="s">
        <v>49</v>
      </c>
      <c r="B24" s="41" t="s">
        <v>44</v>
      </c>
      <c r="C24" s="42">
        <v>57648.622969999997</v>
      </c>
      <c r="D24" s="42">
        <v>1E-4</v>
      </c>
      <c r="E24" s="47">
        <f>+(C24-C$7)/C$8</f>
        <v>31869.621149408416</v>
      </c>
      <c r="F24" s="47">
        <f>ROUND(2*E24,0)/2</f>
        <v>31869.5</v>
      </c>
      <c r="G24" s="47">
        <f>+C24-(C$7+F24*C$8)</f>
        <v>4.8691944997699466E-2</v>
      </c>
      <c r="K24" s="47">
        <f>+G24</f>
        <v>4.8691944997699466E-2</v>
      </c>
      <c r="O24" s="47">
        <f ca="1">+C$11+C$12*$F24</f>
        <v>3.9370013045176927E-2</v>
      </c>
      <c r="Q24" s="49">
        <f>+C24-15018.5</f>
        <v>42630.122969999997</v>
      </c>
      <c r="W24" s="58"/>
    </row>
    <row r="25" spans="1:23" s="47" customFormat="1" ht="12" customHeight="1" x14ac:dyDescent="0.2">
      <c r="A25" s="37" t="s">
        <v>0</v>
      </c>
      <c r="B25" s="36" t="s">
        <v>1</v>
      </c>
      <c r="C25" s="37">
        <v>58355.98083</v>
      </c>
      <c r="D25" s="37">
        <v>8.9999999999999998E-4</v>
      </c>
      <c r="E25" s="47">
        <f>+(C25-C$7)/C$8</f>
        <v>33629.583424158584</v>
      </c>
      <c r="F25" s="47">
        <f>ROUND(2*E25,0)/2</f>
        <v>33629.5</v>
      </c>
      <c r="G25" s="47">
        <f>+C25-(C$7+F25*C$8)</f>
        <v>3.3529544998600613E-2</v>
      </c>
      <c r="K25" s="47">
        <f>+G25</f>
        <v>3.3529544998600613E-2</v>
      </c>
      <c r="O25" s="47">
        <f ca="1">+C$11+C$12*$F25</f>
        <v>3.0134409028819448E-2</v>
      </c>
      <c r="Q25" s="49">
        <f>+C25-15018.5</f>
        <v>43337.48083</v>
      </c>
      <c r="W25" s="58"/>
    </row>
    <row r="26" spans="1:23" s="47" customFormat="1" ht="12" customHeight="1" x14ac:dyDescent="0.2">
      <c r="A26" s="37" t="s">
        <v>0</v>
      </c>
      <c r="B26" s="36" t="s">
        <v>44</v>
      </c>
      <c r="C26" s="37">
        <v>58356.183799999999</v>
      </c>
      <c r="D26" s="37">
        <v>1.5E-3</v>
      </c>
      <c r="E26" s="47">
        <f>+(C26-C$7)/C$8</f>
        <v>33630.088429564057</v>
      </c>
      <c r="F26" s="47">
        <f>ROUND(2*E26,0)/2</f>
        <v>33630</v>
      </c>
      <c r="G26" s="47">
        <f>+C26-(C$7+F26*C$8)</f>
        <v>3.5541299999749754E-2</v>
      </c>
      <c r="K26" s="47">
        <f>+G26</f>
        <v>3.5541299999749754E-2</v>
      </c>
      <c r="O26" s="47">
        <f ca="1">+C$11+C$12*$F26</f>
        <v>3.013178527767843E-2</v>
      </c>
      <c r="Q26" s="49">
        <f>+C26-15018.5</f>
        <v>43337.683799999999</v>
      </c>
      <c r="W26" s="58"/>
    </row>
    <row r="27" spans="1:23" s="47" customFormat="1" ht="12" customHeight="1" x14ac:dyDescent="0.2">
      <c r="A27" s="43" t="s">
        <v>50</v>
      </c>
      <c r="B27" s="44" t="s">
        <v>44</v>
      </c>
      <c r="C27" s="54">
        <v>58715.086629999802</v>
      </c>
      <c r="D27" s="55">
        <v>8.0999999999999996E-4</v>
      </c>
      <c r="E27" s="47">
        <f>+(C27-C$7)/C$8</f>
        <v>34523.067043105897</v>
      </c>
      <c r="F27" s="47">
        <f>ROUND(2*E27,0)/2</f>
        <v>34523</v>
      </c>
      <c r="G27" s="47">
        <f>+C27-(C$7+F27*C$8)</f>
        <v>2.6945729798171669E-2</v>
      </c>
      <c r="K27" s="47">
        <f>+G27</f>
        <v>2.6945729798171669E-2</v>
      </c>
      <c r="O27" s="47">
        <f ca="1">+C$11+C$12*$F27</f>
        <v>2.5445765739833426E-2</v>
      </c>
      <c r="Q27" s="49">
        <f>+C27-15018.5</f>
        <v>43696.586629999802</v>
      </c>
      <c r="W27" s="58"/>
    </row>
    <row r="28" spans="1:23" s="47" customFormat="1" ht="12" customHeight="1" x14ac:dyDescent="0.2">
      <c r="A28" s="43" t="s">
        <v>50</v>
      </c>
      <c r="B28" s="44" t="s">
        <v>1</v>
      </c>
      <c r="C28" s="54">
        <v>58728.952409999911</v>
      </c>
      <c r="D28" s="55">
        <v>7.6999999999999996E-4</v>
      </c>
      <c r="E28" s="47">
        <f>+(C28-C$7)/C$8</f>
        <v>34557.566199883739</v>
      </c>
      <c r="F28" s="47">
        <f>ROUND(2*E28,0)/2</f>
        <v>34557.5</v>
      </c>
      <c r="G28" s="47">
        <f>+C28-(C$7+F28*C$8)</f>
        <v>2.6606824911141302E-2</v>
      </c>
      <c r="K28" s="47">
        <f>+G28</f>
        <v>2.6606824911141302E-2</v>
      </c>
      <c r="O28" s="47">
        <f ca="1">+C$11+C$12*$F28</f>
        <v>2.526472691110368E-2</v>
      </c>
      <c r="Q28" s="49">
        <f>+C28-15018.5</f>
        <v>43710.452409999911</v>
      </c>
      <c r="W28" s="58"/>
    </row>
    <row r="29" spans="1:23" s="47" customFormat="1" ht="12" customHeight="1" x14ac:dyDescent="0.2">
      <c r="A29" s="43" t="s">
        <v>50</v>
      </c>
      <c r="B29" s="44" t="s">
        <v>44</v>
      </c>
      <c r="C29" s="54">
        <v>58729.153460000176</v>
      </c>
      <c r="D29" s="55">
        <v>8.7000000000000001E-4</v>
      </c>
      <c r="E29" s="47">
        <f>+(C29-C$7)/C$8</f>
        <v>34558.066428178092</v>
      </c>
      <c r="F29" s="47">
        <f>ROUND(2*E29,0)/2</f>
        <v>34558</v>
      </c>
      <c r="G29" s="47">
        <f>+C29-(C$7+F29*C$8)</f>
        <v>2.6698580171796493E-2</v>
      </c>
      <c r="K29" s="47">
        <f>+G29</f>
        <v>2.6698580171796493E-2</v>
      </c>
      <c r="O29" s="47">
        <f ca="1">+C$11+C$12*$F29</f>
        <v>2.5262103159962662E-2</v>
      </c>
      <c r="Q29" s="49">
        <f>+C29-15018.5</f>
        <v>43710.653460000176</v>
      </c>
      <c r="W29" s="58"/>
    </row>
    <row r="30" spans="1:23" s="47" customFormat="1" ht="12" customHeight="1" x14ac:dyDescent="0.2">
      <c r="A30" s="45" t="s">
        <v>53</v>
      </c>
      <c r="B30" s="53" t="s">
        <v>44</v>
      </c>
      <c r="C30" s="56">
        <v>59036.614542771131</v>
      </c>
      <c r="D30" s="56">
        <v>8.1800000000000004E-4</v>
      </c>
      <c r="E30" s="47">
        <f>+(C30-C$7)/C$8</f>
        <v>35323.053907967624</v>
      </c>
      <c r="F30" s="47">
        <f>ROUND(2*E30,0)/2</f>
        <v>35323</v>
      </c>
      <c r="G30" s="47">
        <f>+C30-(C$7+F30*C$8)</f>
        <v>2.1666501132131089E-2</v>
      </c>
      <c r="L30" s="47">
        <f>+G30</f>
        <v>2.1666501132131089E-2</v>
      </c>
      <c r="O30" s="47">
        <f ca="1">+C$11+C$12*$F30</f>
        <v>2.1247763914216372E-2</v>
      </c>
      <c r="Q30" s="49">
        <f>+C30-15018.5</f>
        <v>44018.114542771131</v>
      </c>
      <c r="W30" s="58" t="s">
        <v>55</v>
      </c>
    </row>
    <row r="31" spans="1:23" s="47" customFormat="1" ht="12" customHeight="1" x14ac:dyDescent="0.2">
      <c r="A31" s="45" t="s">
        <v>53</v>
      </c>
      <c r="B31" s="53" t="s">
        <v>1</v>
      </c>
      <c r="C31" s="56">
        <v>59036.815202764701</v>
      </c>
      <c r="D31" s="56">
        <v>5.2899999999999996E-4</v>
      </c>
      <c r="E31" s="47">
        <f>+(C31-C$7)/C$8</f>
        <v>35323.553165894489</v>
      </c>
      <c r="F31" s="47">
        <f>ROUND(2*E31,0)/2</f>
        <v>35323.5</v>
      </c>
      <c r="G31" s="47">
        <f>+C31-(C$7+F31*C$8)</f>
        <v>2.1368249697843567E-2</v>
      </c>
      <c r="L31" s="47">
        <f>+G31</f>
        <v>2.1368249697843567E-2</v>
      </c>
      <c r="O31" s="47">
        <f ca="1">+C$11+C$12*$F31</f>
        <v>2.1245140163075354E-2</v>
      </c>
      <c r="Q31" s="49">
        <f>+C31-15018.5</f>
        <v>44018.315202764701</v>
      </c>
      <c r="W31" s="58" t="s">
        <v>55</v>
      </c>
    </row>
    <row r="32" spans="1:23" s="47" customFormat="1" ht="12" customHeight="1" x14ac:dyDescent="0.2">
      <c r="A32" s="45" t="s">
        <v>53</v>
      </c>
      <c r="B32" s="53" t="s">
        <v>44</v>
      </c>
      <c r="C32" s="56">
        <v>59047.868442575913</v>
      </c>
      <c r="D32" s="56">
        <v>4.0000000000000002E-4</v>
      </c>
      <c r="E32" s="47">
        <f>+(C32-C$7)/C$8</f>
        <v>35351.054500341379</v>
      </c>
      <c r="F32" s="47">
        <f>ROUND(2*E32,0)/2</f>
        <v>35351</v>
      </c>
      <c r="G32" s="47">
        <f>+C32-(C$7+F32*C$8)</f>
        <v>2.1904585912125185E-2</v>
      </c>
      <c r="L32" s="47">
        <f>+G32</f>
        <v>2.1904585912125185E-2</v>
      </c>
      <c r="O32" s="47">
        <f ca="1">+C$11+C$12*$F32</f>
        <v>2.1100833850319772E-2</v>
      </c>
      <c r="Q32" s="49">
        <f>+C32-15018.5</f>
        <v>44029.368442575913</v>
      </c>
      <c r="W32" s="58" t="s">
        <v>55</v>
      </c>
    </row>
    <row r="33" spans="1:23" s="47" customFormat="1" ht="12" customHeight="1" x14ac:dyDescent="0.2">
      <c r="A33" s="45" t="s">
        <v>53</v>
      </c>
      <c r="B33" s="53" t="s">
        <v>1</v>
      </c>
      <c r="C33" s="56">
        <v>59048.06887257332</v>
      </c>
      <c r="D33" s="56">
        <v>5.1999999999999995E-4</v>
      </c>
      <c r="E33" s="47">
        <f>+(C33-C$7)/C$8</f>
        <v>35351.553186019613</v>
      </c>
      <c r="F33" s="47">
        <f>ROUND(2*E33,0)/2</f>
        <v>35351.5</v>
      </c>
      <c r="G33" s="47">
        <f>+C33-(C$7+F33*C$8)</f>
        <v>2.1376338321715593E-2</v>
      </c>
      <c r="L33" s="47">
        <f>+G33</f>
        <v>2.1376338321715593E-2</v>
      </c>
      <c r="O33" s="47">
        <f ca="1">+C$11+C$12*$F33</f>
        <v>2.1098210099178782E-2</v>
      </c>
      <c r="Q33" s="49">
        <f>+C33-15018.5</f>
        <v>44029.56887257332</v>
      </c>
      <c r="W33" s="58" t="s">
        <v>55</v>
      </c>
    </row>
    <row r="34" spans="1:23" s="47" customFormat="1" ht="12" customHeight="1" x14ac:dyDescent="0.2">
      <c r="A34" s="45" t="s">
        <v>53</v>
      </c>
      <c r="B34" s="53" t="s">
        <v>44</v>
      </c>
      <c r="C34" s="56">
        <v>59060.327752854675</v>
      </c>
      <c r="D34" s="56">
        <v>1.242E-3</v>
      </c>
      <c r="E34" s="47">
        <f>+(C34-C$7)/C$8</f>
        <v>35382.054249266243</v>
      </c>
      <c r="F34" s="47">
        <f>ROUND(2*E34,0)/2</f>
        <v>35382</v>
      </c>
      <c r="G34" s="47">
        <f>+C34-(C$7+F34*C$8)</f>
        <v>2.1803674673719797E-2</v>
      </c>
      <c r="L34" s="47">
        <f>+G34</f>
        <v>2.1803674673719797E-2</v>
      </c>
      <c r="O34" s="47">
        <f ca="1">+C$11+C$12*$F34</f>
        <v>2.0938161279577122E-2</v>
      </c>
      <c r="Q34" s="49">
        <f>+C34-15018.5</f>
        <v>44041.827752854675</v>
      </c>
      <c r="W34" s="58" t="s">
        <v>55</v>
      </c>
    </row>
    <row r="35" spans="1:23" s="47" customFormat="1" ht="12" customHeight="1" x14ac:dyDescent="0.2">
      <c r="A35" s="45" t="s">
        <v>53</v>
      </c>
      <c r="B35" s="53" t="s">
        <v>1</v>
      </c>
      <c r="C35" s="56">
        <v>59060.527942866087</v>
      </c>
      <c r="D35" s="56">
        <v>5.8299999999999997E-4</v>
      </c>
      <c r="E35" s="47">
        <f>+(C35-C$7)/C$8</f>
        <v>35382.552337840345</v>
      </c>
      <c r="F35" s="47">
        <f>ROUND(2*E35,0)/2</f>
        <v>35382.5</v>
      </c>
      <c r="G35" s="47">
        <f>+C35-(C$7+F35*C$8)</f>
        <v>2.1035441088315565E-2</v>
      </c>
      <c r="L35" s="47">
        <f>+G35</f>
        <v>2.1035441088315565E-2</v>
      </c>
      <c r="O35" s="47">
        <f ca="1">+C$11+C$12*$F35</f>
        <v>2.0935537528436104E-2</v>
      </c>
      <c r="Q35" s="49">
        <f>+C35-15018.5</f>
        <v>44042.027942866087</v>
      </c>
      <c r="W35" s="58" t="s">
        <v>55</v>
      </c>
    </row>
    <row r="36" spans="1:23" s="47" customFormat="1" ht="12" customHeight="1" x14ac:dyDescent="0.2">
      <c r="A36" s="45" t="s">
        <v>51</v>
      </c>
      <c r="B36" s="46" t="s">
        <v>1</v>
      </c>
      <c r="C36" s="56">
        <v>60145.082603000104</v>
      </c>
      <c r="D36" s="56">
        <v>7.3499999999999998E-4</v>
      </c>
      <c r="E36" s="47">
        <f>+(C36-C$7)/C$8</f>
        <v>38081.010070027492</v>
      </c>
      <c r="F36" s="47">
        <f>ROUND(2*E36,0)/2</f>
        <v>38081</v>
      </c>
      <c r="G36" s="47">
        <f>+C36-(C$7+F36*C$8)</f>
        <v>4.047310103487689E-3</v>
      </c>
      <c r="K36" s="47">
        <f>+G36</f>
        <v>4.047310103487689E-3</v>
      </c>
      <c r="O36" s="47">
        <f ca="1">+C$11+C$12*$F36</f>
        <v>6.7751526204016532E-3</v>
      </c>
      <c r="Q36" s="49">
        <f>+C36-15018.5</f>
        <v>45126.582603000104</v>
      </c>
      <c r="W36" s="58" t="s">
        <v>55</v>
      </c>
    </row>
    <row r="37" spans="1:23" s="47" customFormat="1" ht="12" customHeight="1" x14ac:dyDescent="0.2">
      <c r="A37" s="45" t="s">
        <v>52</v>
      </c>
      <c r="B37" s="46" t="s">
        <v>1</v>
      </c>
      <c r="C37" s="56">
        <v>60164.976809000131</v>
      </c>
      <c r="D37" s="57">
        <v>8.4000000000000003E-4</v>
      </c>
      <c r="E37" s="47">
        <f>+(C37-C$7)/C$8</f>
        <v>38130.508427260924</v>
      </c>
      <c r="F37" s="47">
        <f>ROUND(2*E37,0)/2</f>
        <v>38130.5</v>
      </c>
      <c r="G37" s="47">
        <f>+C37-(C$7+F37*C$8)</f>
        <v>3.3870551269501448E-3</v>
      </c>
      <c r="K37" s="47">
        <f>+G37</f>
        <v>3.3870551269501448E-3</v>
      </c>
      <c r="O37" s="47">
        <f ca="1">+C$11+C$12*$F37</f>
        <v>6.5154012574415998E-3</v>
      </c>
      <c r="Q37" s="49">
        <f>+C37-15018.5</f>
        <v>45146.476809000131</v>
      </c>
      <c r="W37" s="58" t="s">
        <v>55</v>
      </c>
    </row>
    <row r="38" spans="1:23" s="47" customFormat="1" ht="12" customHeight="1" x14ac:dyDescent="0.2">
      <c r="A38" s="45" t="s">
        <v>52</v>
      </c>
      <c r="B38" s="46" t="s">
        <v>44</v>
      </c>
      <c r="C38" s="56">
        <v>60165.179002000019</v>
      </c>
      <c r="D38" s="57">
        <v>9.2599999999999996E-4</v>
      </c>
      <c r="E38" s="47">
        <f>+(C38-C$7)/C$8</f>
        <v>38131.011499428692</v>
      </c>
      <c r="F38" s="47">
        <f>ROUND(2*E38,0)/2</f>
        <v>38131</v>
      </c>
      <c r="G38" s="47">
        <f>+C38-(C$7+F38*C$8)</f>
        <v>4.6218100178521127E-3</v>
      </c>
      <c r="K38" s="47">
        <f>+G38</f>
        <v>4.6218100178521127E-3</v>
      </c>
      <c r="O38" s="47">
        <f ca="1">+C$11+C$12*$F38</f>
        <v>6.5127775063005822E-3</v>
      </c>
      <c r="Q38" s="49">
        <f>+C38-15018.5</f>
        <v>45146.679002000019</v>
      </c>
      <c r="W38" s="58" t="s">
        <v>55</v>
      </c>
    </row>
    <row r="39" spans="1:23" s="47" customFormat="1" ht="12" customHeight="1" x14ac:dyDescent="0.2">
      <c r="A39" s="68" t="s">
        <v>56</v>
      </c>
      <c r="B39" s="69" t="s">
        <v>44</v>
      </c>
      <c r="C39" s="70">
        <v>60546.992516359998</v>
      </c>
      <c r="D39" s="70">
        <v>1.2999999999999999E-3</v>
      </c>
      <c r="E39" s="47">
        <f>+(C39-C$7)/C$8</f>
        <v>39080.993706827001</v>
      </c>
      <c r="F39" s="47">
        <f>ROUND(2*E39,0)/2</f>
        <v>39081</v>
      </c>
      <c r="G39" s="47">
        <f>+C39-(C$7+F39*C$8)</f>
        <v>-2.5293299986515194E-3</v>
      </c>
      <c r="K39" s="47">
        <f>+G39</f>
        <v>-2.5293299986515194E-3</v>
      </c>
      <c r="O39" s="47">
        <f ca="1">+C$11+C$12*$F39</f>
        <v>1.527650338380343E-3</v>
      </c>
      <c r="Q39" s="49">
        <f>+C39-15018.5</f>
        <v>45528.492516359998</v>
      </c>
      <c r="W39" s="58" t="s">
        <v>55</v>
      </c>
    </row>
    <row r="40" spans="1:23" s="47" customFormat="1" ht="12" customHeight="1" x14ac:dyDescent="0.2">
      <c r="A40" s="71" t="s">
        <v>54</v>
      </c>
      <c r="B40" s="72" t="s">
        <v>44</v>
      </c>
      <c r="C40" s="73">
        <v>60546.992516359998</v>
      </c>
      <c r="D40" s="71">
        <v>1.2999999999999999E-3</v>
      </c>
      <c r="E40" s="47">
        <f>+(C40-C$7)/C$8</f>
        <v>39080.993706827001</v>
      </c>
      <c r="F40" s="47">
        <f>ROUND(2*E40,0)/2</f>
        <v>39081</v>
      </c>
      <c r="G40" s="47">
        <f>+C40-(C$7+F40*C$8)</f>
        <v>-2.5293299986515194E-3</v>
      </c>
      <c r="K40" s="47">
        <f>+G40</f>
        <v>-2.5293299986515194E-3</v>
      </c>
      <c r="O40" s="47">
        <f ca="1">+C$11+C$12*$F40</f>
        <v>1.527650338380343E-3</v>
      </c>
      <c r="Q40" s="49">
        <f>+C40-15018.5</f>
        <v>45528.492516359998</v>
      </c>
      <c r="W40" s="58" t="s">
        <v>55</v>
      </c>
    </row>
    <row r="41" spans="1:23" s="47" customFormat="1" ht="12" customHeight="1" x14ac:dyDescent="0.2">
      <c r="A41" s="68" t="s">
        <v>56</v>
      </c>
      <c r="B41" s="69" t="s">
        <v>1</v>
      </c>
      <c r="C41" s="70">
        <v>60547.997172219999</v>
      </c>
      <c r="D41" s="70">
        <v>6.4999999999999997E-4</v>
      </c>
      <c r="E41" s="47">
        <f>+(C41-C$7)/C$8</f>
        <v>39083.493370028184</v>
      </c>
      <c r="F41" s="47">
        <f>ROUND(2*E41,0)/2</f>
        <v>39083.5</v>
      </c>
      <c r="G41" s="47">
        <f>+C41-(C$7+F41*C$8)</f>
        <v>-2.6646949991118163E-3</v>
      </c>
      <c r="K41" s="47">
        <f>+G41</f>
        <v>-2.6646949991118163E-3</v>
      </c>
      <c r="O41" s="47">
        <f ca="1">+C$11+C$12*$F41</f>
        <v>1.5145315826753103E-3</v>
      </c>
      <c r="Q41" s="49">
        <f>+C41-15018.5</f>
        <v>45529.497172219999</v>
      </c>
      <c r="W41" s="58" t="s">
        <v>55</v>
      </c>
    </row>
    <row r="42" spans="1:23" x14ac:dyDescent="0.2">
      <c r="A42" s="71" t="s">
        <v>54</v>
      </c>
      <c r="B42" s="72" t="s">
        <v>1</v>
      </c>
      <c r="C42" s="73">
        <v>60547.997172219999</v>
      </c>
      <c r="D42" s="71">
        <v>6.4999999999999997E-4</v>
      </c>
      <c r="E42" s="47">
        <f>+(C42-C$7)/C$8</f>
        <v>39083.493370028184</v>
      </c>
      <c r="F42" s="47">
        <f>ROUND(2*E42,0)/2</f>
        <v>39083.5</v>
      </c>
      <c r="G42" s="47">
        <f>+C42-(C$7+F42*C$8)</f>
        <v>-2.6646949991118163E-3</v>
      </c>
      <c r="H42" s="47"/>
      <c r="I42" s="47"/>
      <c r="J42" s="47"/>
      <c r="K42" s="47">
        <f>+G42</f>
        <v>-2.6646949991118163E-3</v>
      </c>
      <c r="L42" s="47"/>
      <c r="M42" s="47"/>
      <c r="N42" s="47"/>
      <c r="O42" s="47">
        <f ca="1">+C$11+C$12*$F42</f>
        <v>1.5145315826753103E-3</v>
      </c>
      <c r="P42" s="47"/>
      <c r="Q42" s="49">
        <f>+C42-15018.5</f>
        <v>45529.497172219999</v>
      </c>
      <c r="R42" s="47"/>
      <c r="S42" s="47"/>
      <c r="T42" s="47"/>
      <c r="U42" s="47"/>
      <c r="V42" s="47"/>
      <c r="W42" s="58" t="s">
        <v>55</v>
      </c>
    </row>
    <row r="43" spans="1:23" x14ac:dyDescent="0.2">
      <c r="A43" s="71" t="s">
        <v>54</v>
      </c>
      <c r="B43" s="72" t="s">
        <v>44</v>
      </c>
      <c r="C43" s="73">
        <v>60559.048889999998</v>
      </c>
      <c r="D43" s="71">
        <v>2.6323626505300014E-4</v>
      </c>
      <c r="E43" s="47">
        <f>+(C43-C$7)/C$8</f>
        <v>39110.990917541094</v>
      </c>
      <c r="F43" s="47">
        <f>ROUND(2*E43,0)/2</f>
        <v>39111</v>
      </c>
      <c r="G43" s="47">
        <f>+C43-(C$7+F43*C$8)</f>
        <v>-3.65039000462275E-3</v>
      </c>
      <c r="H43" s="47"/>
      <c r="I43" s="47"/>
      <c r="J43" s="47"/>
      <c r="K43" s="47">
        <f>+G43</f>
        <v>-3.65039000462275E-3</v>
      </c>
      <c r="L43" s="47"/>
      <c r="M43" s="47"/>
      <c r="N43" s="47"/>
      <c r="O43" s="47">
        <f ca="1">+C$11+C$12*$F43</f>
        <v>1.3702252699197282E-3</v>
      </c>
      <c r="P43" s="47"/>
      <c r="Q43" s="49">
        <f>+C43-15018.5</f>
        <v>45540.548889999998</v>
      </c>
      <c r="R43" s="47"/>
      <c r="S43" s="47"/>
      <c r="T43" s="47"/>
      <c r="U43" s="47"/>
      <c r="V43" s="47"/>
      <c r="W43" s="58" t="s">
        <v>55</v>
      </c>
    </row>
    <row r="44" spans="1:23" x14ac:dyDescent="0.2">
      <c r="C44" s="7"/>
      <c r="D44" s="7"/>
    </row>
    <row r="45" spans="1:23" x14ac:dyDescent="0.2">
      <c r="C45" s="7"/>
      <c r="D45" s="7"/>
    </row>
    <row r="46" spans="1:23" x14ac:dyDescent="0.2">
      <c r="C46" s="7"/>
      <c r="D46" s="7"/>
    </row>
    <row r="47" spans="1:23" x14ac:dyDescent="0.2">
      <c r="C47" s="7"/>
      <c r="D47" s="7"/>
    </row>
    <row r="48" spans="1:23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Z45">
    <sortCondition ref="C21:C45"/>
  </sortState>
  <phoneticPr fontId="7" type="noConversion"/>
  <hyperlinks>
    <hyperlink ref="H64046" r:id="rId1" display="http://vsolj.cetus-net.org/bulletin.html" xr:uid="{00000000-0004-0000-0000-000000000000}"/>
    <hyperlink ref="H64039" r:id="rId2" display="https://www.aavso.org/ejaavso" xr:uid="{00000000-0004-0000-0000-000001000000}"/>
    <hyperlink ref="I64046" r:id="rId3" display="http://vsolj.cetus-net.org/bulletin.html" xr:uid="{00000000-0004-0000-0000-000002000000}"/>
    <hyperlink ref="AQ57697" r:id="rId4" display="http://cdsbib.u-strasbg.fr/cgi-bin/cdsbib?1990RMxAA..21..381G" xr:uid="{00000000-0004-0000-0000-000003000000}"/>
    <hyperlink ref="H64043" r:id="rId5" display="https://www.aavso.org/ejaavso" xr:uid="{00000000-0004-0000-0000-000004000000}"/>
    <hyperlink ref="AP5061" r:id="rId6" display="http://cdsbib.u-strasbg.fr/cgi-bin/cdsbib?1990RMxAA..21..381G" xr:uid="{00000000-0004-0000-0000-000005000000}"/>
    <hyperlink ref="AP5064" r:id="rId7" display="http://cdsbib.u-strasbg.fr/cgi-bin/cdsbib?1990RMxAA..21..381G" xr:uid="{00000000-0004-0000-0000-000006000000}"/>
    <hyperlink ref="AP5062" r:id="rId8" display="http://cdsbib.u-strasbg.fr/cgi-bin/cdsbib?1990RMxAA..21..381G" xr:uid="{00000000-0004-0000-0000-000007000000}"/>
    <hyperlink ref="AP5046" r:id="rId9" display="http://cdsbib.u-strasbg.fr/cgi-bin/cdsbib?1990RMxAA..21..381G" xr:uid="{00000000-0004-0000-0000-000008000000}"/>
    <hyperlink ref="AQ5275" r:id="rId10" display="http://cdsbib.u-strasbg.fr/cgi-bin/cdsbib?1990RMxAA..21..381G" xr:uid="{00000000-0004-0000-0000-000009000000}"/>
    <hyperlink ref="AQ5279" r:id="rId11" display="http://cdsbib.u-strasbg.fr/cgi-bin/cdsbib?1990RMxAA..21..381G" xr:uid="{00000000-0004-0000-0000-00000A000000}"/>
    <hyperlink ref="AQ64959" r:id="rId12" display="http://cdsbib.u-strasbg.fr/cgi-bin/cdsbib?1990RMxAA..21..381G" xr:uid="{00000000-0004-0000-0000-00000B000000}"/>
    <hyperlink ref="I2167" r:id="rId13" display="http://vsolj.cetus-net.org/bulletin.html" xr:uid="{00000000-0004-0000-0000-00000C000000}"/>
    <hyperlink ref="H2167" r:id="rId14" display="http://vsolj.cetus-net.org/bulletin.html" xr:uid="{00000000-0004-0000-0000-00000D000000}"/>
    <hyperlink ref="AQ84" r:id="rId15" display="http://cdsbib.u-strasbg.fr/cgi-bin/cdsbib?1990RMxAA..21..381G" xr:uid="{00000000-0004-0000-0000-00000E000000}"/>
    <hyperlink ref="AQ83" r:id="rId16" display="http://cdsbib.u-strasbg.fr/cgi-bin/cdsbib?1990RMxAA..21..381G" xr:uid="{00000000-0004-0000-0000-00000F000000}"/>
    <hyperlink ref="AP3337" r:id="rId17" display="http://cdsbib.u-strasbg.fr/cgi-bin/cdsbib?1990RMxAA..21..381G" xr:uid="{00000000-0004-0000-0000-000010000000}"/>
    <hyperlink ref="AP3355" r:id="rId18" display="http://cdsbib.u-strasbg.fr/cgi-bin/cdsbib?1990RMxAA..21..381G" xr:uid="{00000000-0004-0000-0000-000011000000}"/>
    <hyperlink ref="AP3356" r:id="rId19" display="http://cdsbib.u-strasbg.fr/cgi-bin/cdsbib?1990RMxAA..21..381G" xr:uid="{00000000-0004-0000-0000-000012000000}"/>
    <hyperlink ref="AP335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2024-10-11T03:47:53Z</dcterms:modified>
</cp:coreProperties>
</file>