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AD3FF48-C7F4-4B6A-B799-B62F75C29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F14" i="1"/>
  <c r="F15" i="1" s="1"/>
  <c r="E22" i="1"/>
  <c r="F22" i="1" s="1"/>
  <c r="G22" i="1" s="1"/>
  <c r="K22" i="1" s="1"/>
  <c r="Q22" i="1"/>
  <c r="E23" i="1"/>
  <c r="F23" i="1" s="1"/>
  <c r="G23" i="1" s="1"/>
  <c r="I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A21" i="1"/>
  <c r="C21" i="1"/>
  <c r="Q21" i="1" s="1"/>
  <c r="E21" i="1"/>
  <c r="F21" i="1" s="1"/>
  <c r="G21" i="1" s="1"/>
  <c r="I21" i="1" s="1"/>
  <c r="C17" i="1"/>
  <c r="D9" i="1"/>
  <c r="C9" i="1"/>
  <c r="D4" i="1"/>
  <c r="C4" i="1"/>
  <c r="B2" i="1"/>
  <c r="C11" i="1"/>
  <c r="C12" i="1"/>
  <c r="O29" i="1" l="1"/>
  <c r="O23" i="1"/>
  <c r="O27" i="1"/>
  <c r="O22" i="1"/>
  <c r="O26" i="1"/>
  <c r="O24" i="1"/>
  <c r="O21" i="1"/>
  <c r="O25" i="1"/>
  <c r="O28" i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<sst xmlns="http://schemas.openxmlformats.org/spreadsheetml/2006/main" count="62" uniqueCount="56">
  <si>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</si>
  <si>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</si>
  <si>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</si>
  <si>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</si>
  <si>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</si>
  <si>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</si>
  <si>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</si>
  <si>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</si>
  <si>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</si>
  <si>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</si>
  <si>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</si>
  <si>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</si>
  <si>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</si>
  <si>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</si>
  <si>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</si>
  <si>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</si>
  <si>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</si>
  <si>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</si>
  <si>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</si>
  <si>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</si>
  <si>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</si>
  <si>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</si>
  <si>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</si>
  <si>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</si>
  <si>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</si>
  <si>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</si>
  <si>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</si>
  <si>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</si>
  <si>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</si>
  <si>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</si>
  <si>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</si>
  <si>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</si>
  <si>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</si>
  <si>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</si>
  <si>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</si>
  <si>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UW LMi / GSC 1979-1262               </t>
  </si>
  <si>
    <t xml:space="preserve">EA        </t>
  </si>
  <si>
    <t>IBVS 5809</t>
  </si>
  <si>
    <t>IBVS 5476</t>
  </si>
  <si>
    <t>2013JAVSO..41..328</t>
  </si>
  <si>
    <t>OEJV 0160</t>
  </si>
  <si>
    <t>OEJV 0179</t>
  </si>
  <si>
    <t>II</t>
  </si>
  <si>
    <t>pg</t>
  </si>
  <si>
    <t>vis</t>
  </si>
  <si>
    <t>PE</t>
  </si>
  <si>
    <t>CCD</t>
  </si>
  <si>
    <t>IBVS 6230</t>
  </si>
  <si>
    <t>VSX</t>
  </si>
  <si>
    <t>JBAV 96</t>
  </si>
  <si>
    <t xml:space="preserve">Mag </t>
  </si>
  <si>
    <t>Add cycle</t>
  </si>
  <si>
    <t>Old Cycle</t>
  </si>
  <si>
    <t>Next ToM-P</t>
  </si>
  <si>
    <t>Next ToM-S</t>
  </si>
  <si>
    <t>8.32-8.74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</si>
</sst>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6" fillId="0" borderId="0"/>
    <xf numFmtId="0" fontId="27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3" fillId="0" borderId="0" xfId="41" applyFont="1" applyAlignment="1">
      <alignment horizontal="left" vertical="center" wrapText="1"/>
    </xf>
    <xf numFmtId="0" fontId="33" fillId="0" borderId="0" xfId="4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 applyAlignment="1">
      <alignment vertical="center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0" fillId="24" borderId="12" xfId="0" applyFill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  <xf numFmtId="0" fontId="6" fillId="24" borderId="13" xfId="0" applyFont="1" applyFill="1" applyBorder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UW LMi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5-4A92-9B29-12FCC3D2A2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  <c:pt idx="2">
                  <c:v>3.1249999956344254E-3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5-4A92-9B29-12FCC3D2A2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5-4A92-9B29-12FCC3D2A2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5.4000000091036782E-4</c:v>
                </c:pt>
                <c:pt idx="3">
                  <c:v>8.1909999935305677E-3</c:v>
                </c:pt>
                <c:pt idx="4">
                  <c:v>1.1859999998705462E-2</c:v>
                </c:pt>
                <c:pt idx="5">
                  <c:v>1.0175999996135943E-2</c:v>
                </c:pt>
                <c:pt idx="6">
                  <c:v>1.314999999885913E-2</c:v>
                </c:pt>
                <c:pt idx="7">
                  <c:v>1.3620500001707114E-2</c:v>
                </c:pt>
                <c:pt idx="8">
                  <c:v>2.1123999962583184E-2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A5-4A92-9B29-12FCC3D2A2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A5-4A92-9B29-12FCC3D2A2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A5-4A92-9B29-12FCC3D2A2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3">
                    <c:v>6.9999999999999999E-4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2.0000000000000001E-4</c:v>
                  </c:pt>
                  <c:pt idx="7">
                    <c:v>5.9999999999999995E-4</c:v>
                  </c:pt>
                  <c:pt idx="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A5-4A92-9B29-12FCC3D2A2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280</c:v>
                </c:pt>
                <c:pt idx="2">
                  <c:v>425</c:v>
                </c:pt>
                <c:pt idx="3">
                  <c:v>687</c:v>
                </c:pt>
                <c:pt idx="4">
                  <c:v>1220</c:v>
                </c:pt>
                <c:pt idx="5">
                  <c:v>1332</c:v>
                </c:pt>
                <c:pt idx="6">
                  <c:v>1340</c:v>
                </c:pt>
                <c:pt idx="7">
                  <c:v>1618.5</c:v>
                </c:pt>
                <c:pt idx="8">
                  <c:v>2468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-8.2236471381927703E-5</c:v>
                </c:pt>
                <c:pt idx="1">
                  <c:v>2.3837424938110701E-3</c:v>
                </c:pt>
                <c:pt idx="2">
                  <c:v>3.6607673150717301E-3</c:v>
                </c:pt>
                <c:pt idx="3">
                  <c:v>5.9682190610737497E-3</c:v>
                </c:pt>
                <c:pt idx="4">
                  <c:v>1.0662386162673277E-2</c:v>
                </c:pt>
                <c:pt idx="5">
                  <c:v>1.1648777748750477E-2</c:v>
                </c:pt>
                <c:pt idx="6">
                  <c:v>1.1719234290613134E-2</c:v>
                </c:pt>
                <c:pt idx="7">
                  <c:v>1.4172002654206884E-2</c:v>
                </c:pt>
                <c:pt idx="8">
                  <c:v>2.1653606693247784E-2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A5-4A92-9B29-12FCC3D2A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954344"/>
        <c:axId val="1"/>
      </c:scatterChart>
      <c:valAx>
        <c:axId val="722954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543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647700</xdr:colOff>
      <xdr:row>19</xdr:row>
      <xdr:rowOff>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7EE735E-DEAA-CEE9-A165-B79149566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35</v>
      </c>
      <c r="F1" s="2">
        <v>52501.357799999998</v>
      </c>
      <c r="G1" s="2">
        <v>3.8743164999999999</v>
      </c>
      <c r="H1" s="2" t="s">
        <v>36</v>
      </c>
    </row>
    <row r="2" spans="1:8" s="9" customFormat="1" ht="12.95" customHeight="1" x14ac:dyDescent="0.2">
      <c r="A2" s="9" t="s">
        <v>22</v>
      </c>
      <c r="B2" s="9" t="str">
        <f>H1</f>
        <v xml:space="preserve">EA        </v>
      </c>
      <c r="C2" s="10"/>
      <c r="D2" s="10"/>
    </row>
    <row r="3" spans="1:8" s="9" customFormat="1" ht="12.95" customHeight="1" thickBot="1" x14ac:dyDescent="0.25"/>
    <row r="4" spans="1:8" s="9" customFormat="1" ht="12.95" customHeight="1" thickTop="1" thickBot="1" x14ac:dyDescent="0.25">
      <c r="A4" s="11" t="s">
        <v>34</v>
      </c>
      <c r="C4" s="12">
        <f>F1</f>
        <v>52501.357799999998</v>
      </c>
      <c r="D4" s="13">
        <f>G1</f>
        <v>3.8743164999999999</v>
      </c>
    </row>
    <row r="5" spans="1:8" s="9" customFormat="1" ht="12.95" customHeight="1" thickTop="1" x14ac:dyDescent="0.2">
      <c r="A5" s="14" t="s">
        <v>27</v>
      </c>
      <c r="C5" s="15">
        <v>-9.5</v>
      </c>
      <c r="D5" s="9" t="s">
        <v>28</v>
      </c>
    </row>
    <row r="6" spans="1:8" s="9" customFormat="1" ht="12.95" customHeight="1" x14ac:dyDescent="0.2">
      <c r="A6" s="11" t="s">
        <v>0</v>
      </c>
    </row>
    <row r="7" spans="1:8" s="9" customFormat="1" ht="12.95" customHeight="1" x14ac:dyDescent="0.2">
      <c r="A7" s="9" t="s">
        <v>1</v>
      </c>
      <c r="C7" s="9">
        <v>50854.7742</v>
      </c>
      <c r="D7" s="38" t="s">
        <v>48</v>
      </c>
    </row>
    <row r="8" spans="1:8" s="9" customFormat="1" ht="12.95" customHeight="1" x14ac:dyDescent="0.2">
      <c r="A8" s="9" t="s">
        <v>2</v>
      </c>
      <c r="C8" s="9">
        <v>3.8743069999999999</v>
      </c>
      <c r="D8" s="19" t="s">
        <v>48</v>
      </c>
    </row>
    <row r="9" spans="1:8" s="9" customFormat="1" ht="12.95" customHeight="1" x14ac:dyDescent="0.2">
      <c r="A9" s="16" t="s">
        <v>31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8" s="9" customFormat="1" ht="12.95" customHeight="1" thickBot="1" x14ac:dyDescent="0.25">
      <c r="C10" s="20" t="s">
        <v>18</v>
      </c>
      <c r="D10" s="20" t="s">
        <v>19</v>
      </c>
    </row>
    <row r="11" spans="1:8" s="9" customFormat="1" ht="12.95" customHeight="1" x14ac:dyDescent="0.2">
      <c r="A11" s="9" t="s">
        <v>14</v>
      </c>
      <c r="C11" s="19">
        <f ca="1">INTERCEPT(INDIRECT($D$9):G975,INDIRECT($C$9):F975)</f>
        <v>-8.2236471381927703E-5</v>
      </c>
      <c r="D11" s="10"/>
    </row>
    <row r="12" spans="1:8" s="9" customFormat="1" ht="12.95" customHeight="1" x14ac:dyDescent="0.2">
      <c r="A12" s="9" t="s">
        <v>15</v>
      </c>
      <c r="C12" s="19">
        <f ca="1">SLOPE(INDIRECT($D$9):G975,INDIRECT($C$9):F975)</f>
        <v>8.8070677328321355E-6</v>
      </c>
      <c r="D12" s="10"/>
      <c r="E12" s="45" t="s">
        <v>50</v>
      </c>
      <c r="F12" s="50" t="s">
        <v>55</v>
      </c>
    </row>
    <row r="13" spans="1:8" s="9" customFormat="1" ht="12.95" customHeight="1" x14ac:dyDescent="0.2">
      <c r="A13" s="9" t="s">
        <v>17</v>
      </c>
      <c r="C13" s="10" t="s">
        <v>12</v>
      </c>
      <c r="E13" s="43" t="s">
        <v>51</v>
      </c>
      <c r="F13" s="46">
        <v>1</v>
      </c>
    </row>
    <row r="14" spans="1:8" s="9" customFormat="1" ht="12.95" customHeight="1" x14ac:dyDescent="0.2">
      <c r="E14" s="43" t="s">
        <v>29</v>
      </c>
      <c r="F14" s="47">
        <f ca="1">NOW()+15018.5+$C$5/24</f>
        <v>60681.672453009254</v>
      </c>
    </row>
    <row r="15" spans="1:8" s="9" customFormat="1" ht="12.95" customHeight="1" x14ac:dyDescent="0.2">
      <c r="A15" s="21" t="s">
        <v>16</v>
      </c>
      <c r="C15" s="22">
        <f ca="1">(C7+C11)+(C8+C12)*INT(MAX(F21:F3516))</f>
        <v>60416.585529606687</v>
      </c>
      <c r="E15" s="43" t="s">
        <v>52</v>
      </c>
      <c r="F15" s="47">
        <f ca="1">ROUND(2*($F$14-$C$7)/$C$8,0)/2+$F$13</f>
        <v>2537.5</v>
      </c>
    </row>
    <row r="16" spans="1:8" s="9" customFormat="1" ht="12.95" customHeight="1" x14ac:dyDescent="0.2">
      <c r="A16" s="11" t="s">
        <v>3</v>
      </c>
      <c r="C16" s="23">
        <f ca="1">+C8+C12</f>
        <v>3.8743158070677328</v>
      </c>
      <c r="E16" s="43" t="s">
        <v>30</v>
      </c>
      <c r="F16" s="47">
        <f ca="1">ROUND(2*($F$14-$C$15)/$C$16,0)/2+$F$13</f>
        <v>69.5</v>
      </c>
    </row>
    <row r="17" spans="1:17" s="9" customFormat="1" ht="12.95" customHeight="1" thickBot="1" x14ac:dyDescent="0.25">
      <c r="A17" s="24" t="s">
        <v>26</v>
      </c>
      <c r="C17" s="9">
        <f>COUNT(C21:C2174)</f>
        <v>9</v>
      </c>
      <c r="E17" s="43" t="s">
        <v>53</v>
      </c>
      <c r="F17" s="48">
        <f ca="1">+$C$15+$C$16*$F$16-15018.5-$C$5/24</f>
        <v>45667.746311531228</v>
      </c>
    </row>
    <row r="18" spans="1:17" s="9" customFormat="1" ht="12.95" customHeight="1" thickTop="1" thickBot="1" x14ac:dyDescent="0.25">
      <c r="A18" s="11" t="s">
        <v>4</v>
      </c>
      <c r="C18" s="25">
        <f ca="1">+C15</f>
        <v>60416.585529606687</v>
      </c>
      <c r="D18" s="42">
        <f ca="1">+C16</f>
        <v>3.8743158070677328</v>
      </c>
      <c r="E18" s="44" t="s">
        <v>54</v>
      </c>
      <c r="F18" s="49">
        <f ca="1">+($C$15+$C$16*$F$16)-($C$16/2)-15018.5-$C$5/24</f>
        <v>45665.809153627692</v>
      </c>
    </row>
    <row r="19" spans="1:17" s="9" customFormat="1" ht="12.95" customHeight="1" thickTop="1" x14ac:dyDescent="0.2">
      <c r="E19" s="24"/>
      <c r="F19" s="26"/>
    </row>
    <row r="20" spans="1:17" s="9" customFormat="1" ht="12.95" customHeight="1" thickBot="1" x14ac:dyDescent="0.25">
      <c r="A20" s="20" t="s">
        <v>5</v>
      </c>
      <c r="B20" s="20" t="s">
        <v>6</v>
      </c>
      <c r="C20" s="20" t="s">
        <v>7</v>
      </c>
      <c r="D20" s="20" t="s">
        <v>11</v>
      </c>
      <c r="E20" s="20" t="s">
        <v>8</v>
      </c>
      <c r="F20" s="20" t="s">
        <v>9</v>
      </c>
      <c r="G20" s="20" t="s">
        <v>10</v>
      </c>
      <c r="H20" s="27" t="s">
        <v>43</v>
      </c>
      <c r="I20" s="27" t="s">
        <v>44</v>
      </c>
      <c r="J20" s="27" t="s">
        <v>45</v>
      </c>
      <c r="K20" s="27" t="s">
        <v>46</v>
      </c>
      <c r="L20" s="27" t="s">
        <v>23</v>
      </c>
      <c r="M20" s="27" t="s">
        <v>24</v>
      </c>
      <c r="N20" s="27" t="s">
        <v>25</v>
      </c>
      <c r="O20" s="27" t="s">
        <v>21</v>
      </c>
      <c r="P20" s="28" t="s">
        <v>20</v>
      </c>
      <c r="Q20" s="20" t="s">
        <v>13</v>
      </c>
    </row>
    <row r="21" spans="1:17" s="9" customFormat="1" ht="12.95" customHeight="1" x14ac:dyDescent="0.2">
      <c r="A21" s="9" t="str">
        <f>$D$7</f>
        <v>VSX</v>
      </c>
      <c r="C21" s="37">
        <f>$C$7</f>
        <v>50854.7742</v>
      </c>
      <c r="D21" s="37"/>
      <c r="E21" s="9">
        <f t="shared" ref="E21:E28" si="0">+(C21-C$7)/C$8</f>
        <v>0</v>
      </c>
      <c r="F21" s="9">
        <f t="shared" ref="F21:F29" si="1">ROUND(2*E21,0)/2</f>
        <v>0</v>
      </c>
      <c r="G21" s="9">
        <f t="shared" ref="G21:G28" si="2">+C21-(C$7+F21*C$8)</f>
        <v>0</v>
      </c>
      <c r="I21" s="9">
        <f>+G21</f>
        <v>0</v>
      </c>
      <c r="O21" s="9">
        <f t="shared" ref="O21:O28" ca="1" si="3">+C$11+C$12*$F21</f>
        <v>-8.2236471381927703E-5</v>
      </c>
      <c r="Q21" s="29">
        <f t="shared" ref="Q21:Q28" si="4">+C21-15018.5</f>
        <v>35836.2742</v>
      </c>
    </row>
    <row r="22" spans="1:17" s="9" customFormat="1" ht="12.95" customHeight="1" x14ac:dyDescent="0.2">
      <c r="A22" s="4" t="s">
        <v>38</v>
      </c>
      <c r="B22" s="5" t="s">
        <v>32</v>
      </c>
      <c r="C22" s="6">
        <v>51939.580699999999</v>
      </c>
      <c r="D22" s="6">
        <v>6.9999999999999999E-4</v>
      </c>
      <c r="E22" s="9">
        <f t="shared" si="0"/>
        <v>280.0001393797649</v>
      </c>
      <c r="F22" s="9">
        <f t="shared" si="1"/>
        <v>280</v>
      </c>
      <c r="G22" s="9">
        <f t="shared" si="2"/>
        <v>5.4000000091036782E-4</v>
      </c>
      <c r="K22" s="9">
        <f>+G22</f>
        <v>5.4000000091036782E-4</v>
      </c>
      <c r="O22" s="9">
        <f t="shared" ca="1" si="3"/>
        <v>2.3837424938110701E-3</v>
      </c>
      <c r="Q22" s="29">
        <f t="shared" si="4"/>
        <v>36921.080699999999</v>
      </c>
    </row>
    <row r="23" spans="1:17" s="9" customFormat="1" ht="12.95" customHeight="1" x14ac:dyDescent="0.2">
      <c r="A23" s="4" t="s">
        <v>33</v>
      </c>
      <c r="B23" s="30" t="s">
        <v>32</v>
      </c>
      <c r="C23" s="4">
        <v>52501.357799999998</v>
      </c>
      <c r="D23" s="4"/>
      <c r="E23" s="9">
        <f t="shared" si="0"/>
        <v>425.00080659586297</v>
      </c>
      <c r="F23" s="9">
        <f t="shared" si="1"/>
        <v>425</v>
      </c>
      <c r="G23" s="9">
        <f t="shared" si="2"/>
        <v>3.1249999956344254E-3</v>
      </c>
      <c r="I23" s="9">
        <f>+G23</f>
        <v>3.1249999956344254E-3</v>
      </c>
      <c r="O23" s="9">
        <f t="shared" ca="1" si="3"/>
        <v>3.6607673150717301E-3</v>
      </c>
      <c r="Q23" s="29">
        <f t="shared" si="4"/>
        <v>37482.857799999998</v>
      </c>
    </row>
    <row r="24" spans="1:17" s="9" customFormat="1" ht="12.95" customHeight="1" x14ac:dyDescent="0.2">
      <c r="A24" s="6" t="s">
        <v>37</v>
      </c>
      <c r="B24" s="5"/>
      <c r="C24" s="6">
        <v>53516.431299999997</v>
      </c>
      <c r="D24" s="6">
        <v>6.9999999999999999E-4</v>
      </c>
      <c r="E24" s="9">
        <f t="shared" si="0"/>
        <v>687.00211418454876</v>
      </c>
      <c r="F24" s="9">
        <f t="shared" si="1"/>
        <v>687</v>
      </c>
      <c r="G24" s="9">
        <f t="shared" si="2"/>
        <v>8.1909999935305677E-3</v>
      </c>
      <c r="K24" s="9">
        <f>+G24</f>
        <v>8.1909999935305677E-3</v>
      </c>
      <c r="O24" s="9">
        <f t="shared" ca="1" si="3"/>
        <v>5.9682190610737497E-3</v>
      </c>
      <c r="Q24" s="29">
        <f t="shared" si="4"/>
        <v>38497.931299999997</v>
      </c>
    </row>
    <row r="25" spans="1:17" s="9" customFormat="1" ht="12.95" customHeight="1" x14ac:dyDescent="0.2">
      <c r="A25" s="7" t="s">
        <v>47</v>
      </c>
      <c r="B25" s="8" t="s">
        <v>32</v>
      </c>
      <c r="C25" s="7">
        <v>55581.440600000002</v>
      </c>
      <c r="D25" s="7">
        <v>4.0000000000000002E-4</v>
      </c>
      <c r="E25" s="9">
        <f t="shared" si="0"/>
        <v>1220.0030611926215</v>
      </c>
      <c r="F25" s="9">
        <f t="shared" si="1"/>
        <v>1220</v>
      </c>
      <c r="G25" s="9">
        <f t="shared" si="2"/>
        <v>1.1859999998705462E-2</v>
      </c>
      <c r="K25" s="9">
        <f>+G25</f>
        <v>1.1859999998705462E-2</v>
      </c>
      <c r="O25" s="9">
        <f t="shared" ca="1" si="3"/>
        <v>1.0662386162673277E-2</v>
      </c>
      <c r="Q25" s="29">
        <f t="shared" si="4"/>
        <v>40562.940600000002</v>
      </c>
    </row>
    <row r="26" spans="1:17" s="9" customFormat="1" ht="12.95" customHeight="1" x14ac:dyDescent="0.2">
      <c r="A26" s="31" t="s">
        <v>39</v>
      </c>
      <c r="B26" s="32" t="s">
        <v>32</v>
      </c>
      <c r="C26" s="33">
        <v>56015.361299999997</v>
      </c>
      <c r="D26" s="33">
        <v>8.0000000000000004E-4</v>
      </c>
      <c r="E26" s="9">
        <f t="shared" si="0"/>
        <v>1332.0026265342415</v>
      </c>
      <c r="F26" s="9">
        <f t="shared" si="1"/>
        <v>1332</v>
      </c>
      <c r="G26" s="9">
        <f t="shared" si="2"/>
        <v>1.0175999996135943E-2</v>
      </c>
      <c r="K26" s="9">
        <f>+G26</f>
        <v>1.0175999996135943E-2</v>
      </c>
      <c r="O26" s="9">
        <f t="shared" ca="1" si="3"/>
        <v>1.1648777748750477E-2</v>
      </c>
      <c r="Q26" s="29">
        <f t="shared" si="4"/>
        <v>40996.861299999997</v>
      </c>
    </row>
    <row r="27" spans="1:17" s="9" customFormat="1" ht="12.95" customHeight="1" x14ac:dyDescent="0.2">
      <c r="A27" s="31" t="s">
        <v>40</v>
      </c>
      <c r="B27" s="32" t="s">
        <v>32</v>
      </c>
      <c r="C27" s="33">
        <v>56046.35873</v>
      </c>
      <c r="D27" s="33">
        <v>2.0000000000000001E-4</v>
      </c>
      <c r="E27" s="9">
        <f t="shared" si="0"/>
        <v>1340.0033941553936</v>
      </c>
      <c r="F27" s="9">
        <f t="shared" si="1"/>
        <v>1340</v>
      </c>
      <c r="G27" s="9">
        <f t="shared" si="2"/>
        <v>1.314999999885913E-2</v>
      </c>
      <c r="K27" s="9">
        <f>+G27</f>
        <v>1.314999999885913E-2</v>
      </c>
      <c r="O27" s="9">
        <f t="shared" ca="1" si="3"/>
        <v>1.1719234290613134E-2</v>
      </c>
      <c r="Q27" s="29">
        <f t="shared" si="4"/>
        <v>41027.85873</v>
      </c>
    </row>
    <row r="28" spans="1:17" s="9" customFormat="1" ht="12.95" customHeight="1" x14ac:dyDescent="0.2">
      <c r="A28" s="34" t="s">
        <v>41</v>
      </c>
      <c r="B28" s="35" t="s">
        <v>42</v>
      </c>
      <c r="C28" s="36">
        <v>57125.3537</v>
      </c>
      <c r="D28" s="36">
        <v>5.9999999999999995E-4</v>
      </c>
      <c r="E28" s="9">
        <f t="shared" si="0"/>
        <v>1618.5035155964667</v>
      </c>
      <c r="F28" s="9">
        <f t="shared" si="1"/>
        <v>1618.5</v>
      </c>
      <c r="G28" s="9">
        <f t="shared" si="2"/>
        <v>1.3620500001707114E-2</v>
      </c>
      <c r="K28" s="9">
        <f>+G28</f>
        <v>1.3620500001707114E-2</v>
      </c>
      <c r="O28" s="9">
        <f t="shared" ca="1" si="3"/>
        <v>1.4172002654206884E-2</v>
      </c>
      <c r="Q28" s="29">
        <f t="shared" si="4"/>
        <v>42106.8537</v>
      </c>
    </row>
    <row r="29" spans="1:17" s="9" customFormat="1" ht="12.95" customHeight="1" x14ac:dyDescent="0.2">
      <c r="A29" s="39" t="s">
        <v>49</v>
      </c>
      <c r="B29" s="40" t="s">
        <v>32</v>
      </c>
      <c r="C29" s="41">
        <v>60416.584999999963</v>
      </c>
      <c r="D29" s="39">
        <v>5.0000000000000001E-3</v>
      </c>
      <c r="E29" s="9">
        <f t="shared" ref="E29" si="5">+(C29-C$7)/C$8</f>
        <v>2468.0054523299168</v>
      </c>
      <c r="F29" s="9">
        <f t="shared" si="1"/>
        <v>2468</v>
      </c>
      <c r="G29" s="9">
        <f t="shared" ref="G29" si="6">+C29-(C$7+F29*C$8)</f>
        <v>2.1123999962583184E-2</v>
      </c>
      <c r="K29" s="9">
        <f>+G29</f>
        <v>2.1123999962583184E-2</v>
      </c>
      <c r="O29" s="9">
        <f t="shared" ref="O29" ca="1" si="7">+C$11+C$12*$F29</f>
        <v>2.1653606693247784E-2</v>
      </c>
      <c r="Q29" s="29">
        <f t="shared" ref="Q29" si="8">+C29-15018.5</f>
        <v>45398.084999999963</v>
      </c>
    </row>
    <row r="30" spans="1:17" s="9" customFormat="1" ht="12.95" customHeight="1" x14ac:dyDescent="0.2">
      <c r="C30" s="37"/>
      <c r="D30" s="37"/>
    </row>
    <row r="31" spans="1:17" s="9" customFormat="1" ht="12.95" customHeight="1" x14ac:dyDescent="0.2">
      <c r="C31" s="37"/>
      <c r="D31" s="37"/>
    </row>
    <row r="32" spans="1:17" s="9" customFormat="1" ht="12.95" customHeight="1" x14ac:dyDescent="0.2">
      <c r="C32" s="37"/>
      <c r="D32" s="37"/>
    </row>
    <row r="33" spans="3:4" s="9" customFormat="1" ht="12.95" customHeight="1" x14ac:dyDescent="0.2">
      <c r="C33" s="37"/>
      <c r="D33" s="37"/>
    </row>
    <row r="34" spans="3:4" s="9" customFormat="1" ht="12.95" customHeight="1" x14ac:dyDescent="0.2">
      <c r="C34" s="37"/>
      <c r="D34" s="37"/>
    </row>
    <row r="35" spans="3:4" s="9" customFormat="1" ht="12.95" customHeight="1" x14ac:dyDescent="0.2">
      <c r="C35" s="37"/>
      <c r="D35" s="37"/>
    </row>
    <row r="36" spans="3:4" s="9" customFormat="1" ht="12.95" customHeight="1" x14ac:dyDescent="0.2">
      <c r="C36" s="37"/>
      <c r="D36" s="37"/>
    </row>
    <row r="37" spans="3:4" s="9" customFormat="1" ht="12.95" customHeight="1" x14ac:dyDescent="0.2">
      <c r="C37" s="37"/>
      <c r="D37" s="37"/>
    </row>
    <row r="38" spans="3:4" x14ac:dyDescent="0.2">
      <c r="C38" s="3"/>
      <c r="D38" s="3"/>
    </row>
    <row r="39" spans="3:4" x14ac:dyDescent="0.2">
      <c r="C39" s="3"/>
      <c r="D39" s="3"/>
    </row>
    <row r="40" spans="3:4" x14ac:dyDescent="0.2">
      <c r="C40" s="3"/>
      <c r="D40" s="3"/>
    </row>
    <row r="41" spans="3:4" x14ac:dyDescent="0.2">
      <c r="C41" s="3"/>
      <c r="D41" s="3"/>
    </row>
    <row r="42" spans="3:4" x14ac:dyDescent="0.2">
      <c r="C42" s="3"/>
      <c r="D42" s="3"/>
    </row>
    <row r="43" spans="3:4" x14ac:dyDescent="0.2">
      <c r="C43" s="3"/>
      <c r="D43" s="3"/>
    </row>
    <row r="44" spans="3:4" x14ac:dyDescent="0.2">
      <c r="C44" s="3"/>
      <c r="D44" s="3"/>
    </row>
    <row r="45" spans="3:4" x14ac:dyDescent="0.2">
      <c r="C45" s="3"/>
      <c r="D45" s="3"/>
    </row>
    <row r="46" spans="3:4" x14ac:dyDescent="0.2">
      <c r="C46" s="3"/>
      <c r="D46" s="3"/>
    </row>
    <row r="47" spans="3:4" x14ac:dyDescent="0.2">
      <c r="C47" s="3"/>
      <c r="D47" s="3"/>
    </row>
    <row r="48" spans="3:4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</sheetData>
  <sortState xmlns:xlrd2="http://schemas.microsoft.com/office/spreadsheetml/2017/richdata2" ref="A21:T36">
    <sortCondition ref="C21:C36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2025-01-06T03:08:19Z</dcterms:modified>
</cp:coreProperties>
</file>