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9A97D78-A93D-47C8-B11B-E6CE5AB8EA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J23" i="1" s="1"/>
  <c r="Q23" i="1"/>
  <c r="F14" i="1"/>
  <c r="E22" i="1"/>
  <c r="F22" i="1"/>
  <c r="G22" i="1"/>
  <c r="I22" i="1"/>
  <c r="Q22" i="1"/>
  <c r="F11" i="1"/>
  <c r="C21" i="1"/>
  <c r="E21" i="1"/>
  <c r="F21" i="1"/>
  <c r="A21" i="1"/>
  <c r="H20" i="1"/>
  <c r="G11" i="1"/>
  <c r="C17" i="1"/>
  <c r="Q21" i="1"/>
  <c r="G21" i="1"/>
  <c r="H21" i="1"/>
  <c r="C12" i="1"/>
  <c r="F15" i="1" l="1"/>
  <c r="C16" i="1"/>
  <c r="D18" i="1" s="1"/>
  <c r="C11" i="1"/>
  <c r="O23" i="1" l="1"/>
  <c r="O22" i="1"/>
  <c r="S22" i="1" s="1"/>
  <c r="O21" i="1"/>
  <c r="S21" i="1" s="1"/>
  <c r="C15" i="1"/>
  <c r="C18" i="1" l="1"/>
  <c r="F16" i="1"/>
  <c r="F18" i="1" s="1"/>
  <c r="S19" i="1"/>
  <c r="F17" i="1" l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<sst xmlns="http://schemas.openxmlformats.org/spreadsheetml/2006/main" count="58" uniqueCount="54">
  <si>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</si>
  <si>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</si>
  <si>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</si>
  <si>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</si>
  <si>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</si>
  <si>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</si>
  <si>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</si>
  <si>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</si>
  <si>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</si>
  <si>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</si>
  <si>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</si>
  <si>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</si>
  <si>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</si>
  <si>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</si>
  <si>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</si>
  <si>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</si>
  <si>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</si>
  <si>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</si>
  <si>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</si>
  <si>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</si>
  <si>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</si>
  <si>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</si>
  <si>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</si>
  <si>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</si>
  <si>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</si>
  <si>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</si>
  <si>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</si>
  <si>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</si>
  <si>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</si>
  <si>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</si>
  <si>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</si>
  <si>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</si>
  <si>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</si>
  <si>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</si>
  <si>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</si>
  <si>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</si>
  <si>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</si>
  <si>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</si>
  <si>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</si>
  <si>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</si>
  <si>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G3618-0307</t>
  </si>
  <si>
    <t>G3618-0307_Lac.xls</t>
  </si>
  <si>
    <t>EW</t>
  </si>
  <si>
    <t>Lac</t>
  </si>
  <si>
    <t>VSX</t>
  </si>
  <si>
    <t>IBVS 6010</t>
  </si>
  <si>
    <t>I</t>
  </si>
  <si>
    <t>V0663 Lac / GSC 3618-0307</t>
  </si>
  <si>
    <t>CCD</t>
  </si>
  <si>
    <t>JBAV 96</t>
  </si>
  <si>
    <t xml:space="preserve">Mag </t>
  </si>
  <si>
    <t>Next ToM-P</t>
  </si>
  <si>
    <t>Next ToM-S</t>
  </si>
  <si>
    <t>10.97-11.21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</si>
</sst>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3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0" fontId="0" fillId="0" borderId="5" xfId="0" applyBorder="1">
      <alignment vertical="top"/>
    </xf>
    <xf numFmtId="0" fontId="18" fillId="0" borderId="8" xfId="0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22" fontId="19" fillId="0" borderId="11" xfId="0" applyNumberFormat="1" applyFont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V0663 Lac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4400</c:v>
                </c:pt>
                <c:pt idx="2">
                  <c:v>10095.5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47-418D-9F54-79A2287BBF6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4400</c:v>
                </c:pt>
                <c:pt idx="2">
                  <c:v>10095.5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0.19230000011157244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47-418D-9F54-79A2287BBF6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4400</c:v>
                </c:pt>
                <c:pt idx="2">
                  <c:v>10095.5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4.2485000070882961E-2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947-418D-9F54-79A2287BBF6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4400</c:v>
                </c:pt>
                <c:pt idx="2">
                  <c:v>10095.5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47-418D-9F54-79A2287BBF6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4400</c:v>
                </c:pt>
                <c:pt idx="2">
                  <c:v>10095.5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47-418D-9F54-79A2287BBF6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4400</c:v>
                </c:pt>
                <c:pt idx="2">
                  <c:v>10095.5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947-418D-9F54-79A2287BBF6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4400</c:v>
                </c:pt>
                <c:pt idx="2">
                  <c:v>10095.5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947-418D-9F54-79A2287BBF6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4400</c:v>
                </c:pt>
                <c:pt idx="2">
                  <c:v>10095.5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6.5004554703680953E-2</c:v>
                </c:pt>
                <c:pt idx="1">
                  <c:v>7.7076844636019617E-2</c:v>
                </c:pt>
                <c:pt idx="2">
                  <c:v>9.2703600842754821E-2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947-418D-9F54-79A2287BBF6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4400</c:v>
                </c:pt>
                <c:pt idx="2">
                  <c:v>10095.5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947-418D-9F54-79A2287BB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012336"/>
        <c:axId val="1"/>
      </c:scatterChart>
      <c:valAx>
        <c:axId val="671012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012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C6F249D-5B49-23C8-0CCB-7BAC7D7C5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3.140625" customWidth="1"/>
    <col min="6" max="6" width="14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47</v>
      </c>
      <c r="E1" t="s">
        <v>41</v>
      </c>
    </row>
    <row r="2" spans="1:7" x14ac:dyDescent="0.2">
      <c r="A2" t="s">
        <v>23</v>
      </c>
      <c r="B2" t="s">
        <v>42</v>
      </c>
      <c r="C2" s="27" t="s">
        <v>39</v>
      </c>
      <c r="D2" s="3" t="s">
        <v>43</v>
      </c>
      <c r="E2" s="28" t="s">
        <v>40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4" t="s">
        <v>38</v>
      </c>
      <c r="D4" s="25" t="s">
        <v>38</v>
      </c>
    </row>
    <row r="6" spans="1:7" x14ac:dyDescent="0.2">
      <c r="A6" s="5" t="s">
        <v>1</v>
      </c>
    </row>
    <row r="7" spans="1:7" x14ac:dyDescent="0.2">
      <c r="A7" t="s">
        <v>2</v>
      </c>
      <c r="C7" s="31">
        <v>51304.879999999888</v>
      </c>
      <c r="D7" s="26" t="s">
        <v>44</v>
      </c>
    </row>
    <row r="8" spans="1:7" x14ac:dyDescent="0.2">
      <c r="A8" t="s">
        <v>3</v>
      </c>
      <c r="C8" s="31">
        <v>0.87192999999999998</v>
      </c>
      <c r="D8" s="26" t="s">
        <v>44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8">
        <f ca="1">INTERCEPT(INDIRECT($G$11):G992,INDIRECT($F$11):F992)</f>
        <v>6.5004554703680953E-2</v>
      </c>
      <c r="D11" s="3"/>
      <c r="E11" s="10"/>
      <c r="F11" s="19" t="str">
        <f>"F"&amp;E19</f>
        <v>F21</v>
      </c>
      <c r="G11" s="20" t="str">
        <f>"G"&amp;E19</f>
        <v>G21</v>
      </c>
    </row>
    <row r="12" spans="1:7" x14ac:dyDescent="0.2">
      <c r="A12" s="10" t="s">
        <v>16</v>
      </c>
      <c r="B12" s="10"/>
      <c r="C12" s="18">
        <f ca="1">SLOPE(INDIRECT($G$11):G992,INDIRECT($F$11):F992)</f>
        <v>2.7437022573496977E-6</v>
      </c>
      <c r="D12" s="3"/>
      <c r="E12" s="39" t="s">
        <v>50</v>
      </c>
      <c r="F12" s="44" t="s">
        <v>53</v>
      </c>
    </row>
    <row r="13" spans="1:7" x14ac:dyDescent="0.2">
      <c r="A13" s="10" t="s">
        <v>18</v>
      </c>
      <c r="B13" s="10"/>
      <c r="C13" s="3" t="s">
        <v>13</v>
      </c>
      <c r="D13" s="14"/>
      <c r="E13" s="36" t="s">
        <v>35</v>
      </c>
      <c r="F13" s="40">
        <v>1</v>
      </c>
    </row>
    <row r="14" spans="1:7" x14ac:dyDescent="0.2">
      <c r="A14" s="10"/>
      <c r="B14" s="10"/>
      <c r="C14" s="10"/>
      <c r="D14" s="14"/>
      <c r="E14" s="36" t="s">
        <v>32</v>
      </c>
      <c r="F14" s="41">
        <f ca="1">NOW()+15018.5+$C$9/24</f>
        <v>60680.854696527778</v>
      </c>
    </row>
    <row r="15" spans="1:7" x14ac:dyDescent="0.2">
      <c r="A15" s="12" t="s">
        <v>17</v>
      </c>
      <c r="B15" s="10"/>
      <c r="C15" s="13">
        <f ca="1">(C7+C11)+(C8+C12)*INT(MAX(F21:F3533))</f>
        <v>60107.106052228875</v>
      </c>
      <c r="D15" s="14"/>
      <c r="E15" s="36" t="s">
        <v>36</v>
      </c>
      <c r="F15" s="41">
        <f ca="1">ROUND(2*($F$14-$C$7)/$C$8,0)/2+$F$13</f>
        <v>10754</v>
      </c>
    </row>
    <row r="16" spans="1:7" x14ac:dyDescent="0.2">
      <c r="A16" s="15" t="s">
        <v>4</v>
      </c>
      <c r="B16" s="10"/>
      <c r="C16" s="16">
        <f ca="1">+C8+C12</f>
        <v>0.87193274370225737</v>
      </c>
      <c r="D16" s="14"/>
      <c r="E16" s="36" t="s">
        <v>37</v>
      </c>
      <c r="F16" s="41">
        <f ca="1">ROUND(2*($F$14-$C$15)/$C$16,0)/2+$F$13</f>
        <v>659</v>
      </c>
    </row>
    <row r="17" spans="1:19" ht="13.5" thickBot="1" x14ac:dyDescent="0.25">
      <c r="A17" s="14" t="s">
        <v>29</v>
      </c>
      <c r="B17" s="10"/>
      <c r="C17" s="10">
        <f>COUNT(C21:C2191)</f>
        <v>3</v>
      </c>
      <c r="D17" s="14"/>
      <c r="E17" s="37" t="s">
        <v>51</v>
      </c>
      <c r="F17" s="42">
        <f ca="1">+$C$15+$C$16*$F$16-15018.5-$C$9/24</f>
        <v>45663.605563662</v>
      </c>
    </row>
    <row r="18" spans="1:19" ht="14.25" thickTop="1" thickBot="1" x14ac:dyDescent="0.25">
      <c r="A18" s="15" t="s">
        <v>5</v>
      </c>
      <c r="B18" s="10"/>
      <c r="C18" s="17">
        <f ca="1">+C15</f>
        <v>60107.106052228875</v>
      </c>
      <c r="D18" s="35">
        <f ca="1">+C16</f>
        <v>0.87193274370225737</v>
      </c>
      <c r="E18" s="38" t="s">
        <v>52</v>
      </c>
      <c r="F18" s="43">
        <f ca="1">+($C$15+$C$16*$F$16)-($C$16/2)-15018.5-$C$9/24</f>
        <v>45663.169597290151</v>
      </c>
    </row>
    <row r="19" spans="1:19" ht="13.5" thickTop="1" x14ac:dyDescent="0.2">
      <c r="A19" s="21" t="s">
        <v>33</v>
      </c>
      <c r="E19" s="22">
        <v>21</v>
      </c>
      <c r="S19">
        <f ca="1">SQRT(SUM(S21:S50)/(COUNT(S21:S50)-1))</f>
        <v>0.13229500251319876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3" t="s">
        <v>34</v>
      </c>
    </row>
    <row r="21" spans="1:19" x14ac:dyDescent="0.2">
      <c r="A21" t="str">
        <f>D7</f>
        <v>VSX</v>
      </c>
      <c r="C21" s="8">
        <f>C$7</f>
        <v>51304.879999999888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6.5004554703680953E-2</v>
      </c>
      <c r="Q21" s="2">
        <f>+C21-15018.5</f>
        <v>36286.379999999888</v>
      </c>
      <c r="S21">
        <f ca="1">+(O21-G21)^2</f>
        <v>4.2255921322238493E-3</v>
      </c>
    </row>
    <row r="22" spans="1:19" x14ac:dyDescent="0.2">
      <c r="A22" s="29" t="s">
        <v>45</v>
      </c>
      <c r="B22" s="30" t="s">
        <v>46</v>
      </c>
      <c r="C22" s="29">
        <v>55141.564299999998</v>
      </c>
      <c r="D22" s="29">
        <v>8.0000000000000004E-4</v>
      </c>
      <c r="E22">
        <f>+(C22-C$7)/C$8</f>
        <v>4400.2205452273811</v>
      </c>
      <c r="F22">
        <f>ROUND(2*E22,0)/2</f>
        <v>4400</v>
      </c>
      <c r="G22">
        <f>+C22-(C$7+F22*C$8)</f>
        <v>0.19230000011157244</v>
      </c>
      <c r="I22">
        <f>+G22</f>
        <v>0.19230000011157244</v>
      </c>
      <c r="O22">
        <f ca="1">+C$11+C$12*$F22</f>
        <v>7.7076844636019617E-2</v>
      </c>
      <c r="Q22" s="2">
        <f>+C22-15018.5</f>
        <v>40123.064299999998</v>
      </c>
      <c r="S22">
        <f ca="1">+(O22-G22)^2</f>
        <v>1.3276375557743419E-2</v>
      </c>
    </row>
    <row r="23" spans="1:19" x14ac:dyDescent="0.2">
      <c r="A23" s="32" t="s">
        <v>49</v>
      </c>
      <c r="B23" s="33" t="s">
        <v>46</v>
      </c>
      <c r="C23" s="34">
        <v>60107.49179999996</v>
      </c>
      <c r="D23" s="32">
        <v>8.9999999999999998E-4</v>
      </c>
      <c r="E23">
        <f>+(C23-C$7)/C$8</f>
        <v>10095.548725241788</v>
      </c>
      <c r="F23">
        <f>ROUND(2*E23,0)/2</f>
        <v>10095.5</v>
      </c>
      <c r="G23">
        <f>+C23-(C$7+F23*C$8)</f>
        <v>4.2485000070882961E-2</v>
      </c>
      <c r="J23">
        <f>+G23</f>
        <v>4.2485000070882961E-2</v>
      </c>
      <c r="O23">
        <f ca="1">+C$11+C$12*$F23</f>
        <v>9.2703600842754821E-2</v>
      </c>
      <c r="Q23" s="2">
        <f>+C23-15018.5</f>
        <v>45088.99179999996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2025-01-05T07:30:45Z</dcterms:modified>
</cp:coreProperties>
</file>