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27A810D8-4AD0-4672-AEF7-792471A63CA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5" i="1" l="1"/>
  <c r="F25" i="1" s="1"/>
  <c r="G25" i="1" s="1"/>
  <c r="I25" i="1" s="1"/>
  <c r="Q25" i="1"/>
  <c r="F14" i="1"/>
  <c r="E23" i="1"/>
  <c r="F23" i="1" s="1"/>
  <c r="G23" i="1" s="1"/>
  <c r="I23" i="1" s="1"/>
  <c r="Q23" i="1"/>
  <c r="E24" i="1"/>
  <c r="F24" i="1" s="1"/>
  <c r="G24" i="1" s="1"/>
  <c r="I24" i="1" s="1"/>
  <c r="Q24" i="1"/>
  <c r="E22" i="1"/>
  <c r="F22" i="1" s="1"/>
  <c r="G22" i="1" s="1"/>
  <c r="I22" i="1" s="1"/>
  <c r="Q22" i="1"/>
  <c r="C9" i="1"/>
  <c r="Q21" i="1"/>
  <c r="D9" i="1"/>
  <c r="E21" i="1"/>
  <c r="F21" i="1" s="1"/>
  <c r="G21" i="1" s="1"/>
  <c r="I21" i="1" s="1"/>
  <c r="C17" i="1"/>
  <c r="C11" i="1"/>
  <c r="C12" i="1"/>
  <c r="O25" i="1" l="1"/>
  <c r="F15" i="1"/>
  <c r="O23" i="1"/>
  <c r="O24" i="1"/>
  <c r="O22" i="1"/>
  <c r="C16" i="1"/>
  <c r="D18" i="1" s="1"/>
  <c r="C15" i="1"/>
  <c r="O21" i="1"/>
  <c r="F16" i="1" l="1"/>
  <c r="F18" i="1" s="1"/>
  <c r="C18" i="1"/>
  <c r="F17" i="1" l="1"/>
</calcChain>
</file>

<file path=xl/sharedStrings.xml><?xml version="1.0" encoding="utf-8"?>
<sst xmlns="http://schemas.openxmlformats.org/spreadsheetml/2006/main" count="60" uniqueCount="55">
  <si>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</si>
  <si>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</si>
  <si>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</si>
  <si>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</si>
  <si>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</si>
  <si>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</si>
  <si>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</si>
  <si>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</si>
  <si>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</si>
  <si>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</si>
  <si>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</si>
  <si>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</si>
  <si>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</si>
  <si>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</si>
  <si>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</si>
  <si>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</si>
  <si>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</si>
  <si>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</si>
  <si>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</si>
  <si>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</si>
  <si>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</si>
  <si>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</si>
  <si>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</si>
  <si>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</si>
  <si>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</si>
  <si>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</si>
  <si>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</si>
  <si>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</si>
  <si>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</si>
  <si>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</si>
  <si>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</si>
  <si>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</si>
  <si>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</si>
  <si>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</si>
  <si>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</si>
  <si>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</si>
  <si>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</si>
  <si>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</si>
  <si>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</si>
  <si>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</si>
  <si>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</si>
  <si>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add star</t>
  </si>
  <si>
    <t>Local time</t>
  </si>
  <si>
    <t>V0678 Lac</t>
  </si>
  <si>
    <t>EW</t>
  </si>
  <si>
    <t>VSX</t>
  </si>
  <si>
    <t>JBAV, 55</t>
  </si>
  <si>
    <t>II</t>
  </si>
  <si>
    <t>JBAV, 63</t>
  </si>
  <si>
    <t>JBAV 96</t>
  </si>
  <si>
    <t>I</t>
  </si>
  <si>
    <t>Next ToM-P</t>
  </si>
  <si>
    <t>Next ToM-S</t>
  </si>
  <si>
    <t>9.36 (0.40)</t>
  </si>
  <si>
    <t>Mag R1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</si>
</sst>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_);\(&quot;$&quot;#,##0\)"/>
    <numFmt numFmtId="165" formatCode="0.0000"/>
    <numFmt numFmtId="166" formatCode="dd/mm/yyyy"/>
    <numFmt numFmtId="167" formatCode="0.00000"/>
  </numFmts>
  <fonts count="21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color rgb="FF00B050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theme="8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56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0" fontId="0" fillId="0" borderId="4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7" fillId="0" borderId="1" xfId="0" applyFont="1" applyBorder="1" applyAlignment="1">
      <alignment horizontal="center" vertical="center"/>
    </xf>
    <xf numFmtId="165" fontId="5" fillId="0" borderId="1" xfId="0" applyNumberFormat="1" applyFont="1" applyBorder="1" applyAlignment="1">
      <alignment horizontal="left" vertical="center"/>
    </xf>
    <xf numFmtId="0" fontId="16" fillId="2" borderId="6" xfId="0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7" fillId="2" borderId="6" xfId="0" applyFont="1" applyFill="1" applyBorder="1" applyAlignment="1">
      <alignment horizontal="left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6" fillId="0" borderId="0" xfId="0" applyFont="1" applyAlignment="1">
      <alignment horizontal="right"/>
    </xf>
    <xf numFmtId="166" fontId="0" fillId="0" borderId="0" xfId="0" applyNumberFormat="1" applyAlignment="1"/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167" fontId="18" fillId="0" borderId="0" xfId="0" applyNumberFormat="1" applyFont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0" fillId="0" borderId="0" xfId="0" applyAlignment="1">
      <alignment horizontal="right"/>
    </xf>
    <xf numFmtId="0" fontId="18" fillId="0" borderId="0" xfId="0" applyFont="1" applyAlignment="1" applyProtection="1">
      <alignment horizontal="left" vertical="center"/>
      <protection locked="0"/>
    </xf>
    <xf numFmtId="0" fontId="18" fillId="0" borderId="0" xfId="0" applyFont="1" applyAlignment="1" applyProtection="1">
      <alignment horizontal="center" vertical="center"/>
      <protection locked="0"/>
    </xf>
    <xf numFmtId="167" fontId="18" fillId="0" borderId="0" xfId="0" applyNumberFormat="1" applyFont="1" applyAlignment="1" applyProtection="1">
      <alignment horizontal="left" vertical="center" wrapText="1"/>
      <protection locked="0"/>
    </xf>
    <xf numFmtId="0" fontId="0" fillId="0" borderId="7" xfId="0" applyBorder="1">
      <alignment vertical="top"/>
    </xf>
    <xf numFmtId="0" fontId="19" fillId="0" borderId="10" xfId="0" applyFont="1" applyBorder="1" applyAlignment="1">
      <alignment horizontal="right" vertical="center"/>
    </xf>
    <xf numFmtId="0" fontId="19" fillId="0" borderId="12" xfId="0" applyFont="1" applyBorder="1" applyAlignment="1">
      <alignment horizontal="right" vertical="center"/>
    </xf>
    <xf numFmtId="0" fontId="4" fillId="0" borderId="11" xfId="0" applyFont="1" applyBorder="1" applyAlignment="1">
      <alignment horizontal="right" vertical="center"/>
    </xf>
    <xf numFmtId="0" fontId="20" fillId="0" borderId="11" xfId="0" applyFont="1" applyBorder="1" applyAlignment="1">
      <alignment horizontal="right" vertical="center"/>
    </xf>
    <xf numFmtId="22" fontId="20" fillId="0" borderId="13" xfId="0" applyNumberFormat="1" applyFont="1" applyBorder="1" applyAlignment="1">
      <alignment horizontal="right" vertical="center"/>
    </xf>
    <xf numFmtId="22" fontId="20" fillId="0" borderId="11" xfId="0" applyNumberFormat="1" applyFont="1" applyBorder="1" applyAlignment="1">
      <alignment horizontal="right" vertical="center"/>
    </xf>
    <xf numFmtId="0" fontId="6" fillId="4" borderId="9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right" vertical="center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V0678</a:t>
            </a:r>
            <a:r>
              <a:rPr lang="en-AU" baseline="0"/>
              <a:t> Lac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1">
                    <c:v>1E-3</c:v>
                  </c:pt>
                  <c:pt idx="2">
                    <c:v>7.0000000000000001E-3</c:v>
                  </c:pt>
                  <c:pt idx="3">
                    <c:v>7.0000000000000001E-3</c:v>
                  </c:pt>
                  <c:pt idx="4">
                    <c:v>5.0000000000000001E-4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1">
                    <c:v>1E-3</c:v>
                  </c:pt>
                  <c:pt idx="2">
                    <c:v>7.0000000000000001E-3</c:v>
                  </c:pt>
                  <c:pt idx="3">
                    <c:v>7.0000000000000001E-3</c:v>
                  </c:pt>
                  <c:pt idx="4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94712.5</c:v>
                </c:pt>
                <c:pt idx="2">
                  <c:v>94838.5</c:v>
                </c:pt>
                <c:pt idx="3">
                  <c:v>94856</c:v>
                </c:pt>
                <c:pt idx="4">
                  <c:v>95948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446-444B-8FA1-3CB7A7A269D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1E-3</c:v>
                  </c:pt>
                  <c:pt idx="2">
                    <c:v>7.0000000000000001E-3</c:v>
                  </c:pt>
                  <c:pt idx="3">
                    <c:v>7.0000000000000001E-3</c:v>
                  </c:pt>
                  <c:pt idx="4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1E-3</c:v>
                  </c:pt>
                  <c:pt idx="2">
                    <c:v>7.0000000000000001E-3</c:v>
                  </c:pt>
                  <c:pt idx="3">
                    <c:v>7.0000000000000001E-3</c:v>
                  </c:pt>
                  <c:pt idx="4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94712.5</c:v>
                </c:pt>
                <c:pt idx="2">
                  <c:v>94838.5</c:v>
                </c:pt>
                <c:pt idx="3">
                  <c:v>94856</c:v>
                </c:pt>
                <c:pt idx="4">
                  <c:v>95948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  <c:pt idx="1">
                  <c:v>0.14698624983429909</c:v>
                </c:pt>
                <c:pt idx="2">
                  <c:v>0.14756445000239182</c:v>
                </c:pt>
                <c:pt idx="3">
                  <c:v>0.14483919999474892</c:v>
                </c:pt>
                <c:pt idx="4">
                  <c:v>0.14128360011818586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446-444B-8FA1-3CB7A7A269D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1E-3</c:v>
                  </c:pt>
                  <c:pt idx="2">
                    <c:v>7.0000000000000001E-3</c:v>
                  </c:pt>
                  <c:pt idx="3">
                    <c:v>7.0000000000000001E-3</c:v>
                  </c:pt>
                  <c:pt idx="4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1E-3</c:v>
                  </c:pt>
                  <c:pt idx="2">
                    <c:v>7.0000000000000001E-3</c:v>
                  </c:pt>
                  <c:pt idx="3">
                    <c:v>7.0000000000000001E-3</c:v>
                  </c:pt>
                  <c:pt idx="4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94712.5</c:v>
                </c:pt>
                <c:pt idx="2">
                  <c:v>94838.5</c:v>
                </c:pt>
                <c:pt idx="3">
                  <c:v>94856</c:v>
                </c:pt>
                <c:pt idx="4">
                  <c:v>95948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446-444B-8FA1-3CB7A7A269D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1E-3</c:v>
                  </c:pt>
                  <c:pt idx="2">
                    <c:v>7.0000000000000001E-3</c:v>
                  </c:pt>
                  <c:pt idx="3">
                    <c:v>7.0000000000000001E-3</c:v>
                  </c:pt>
                  <c:pt idx="4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1E-3</c:v>
                  </c:pt>
                  <c:pt idx="2">
                    <c:v>7.0000000000000001E-3</c:v>
                  </c:pt>
                  <c:pt idx="3">
                    <c:v>7.0000000000000001E-3</c:v>
                  </c:pt>
                  <c:pt idx="4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94712.5</c:v>
                </c:pt>
                <c:pt idx="2">
                  <c:v>94838.5</c:v>
                </c:pt>
                <c:pt idx="3">
                  <c:v>94856</c:v>
                </c:pt>
                <c:pt idx="4">
                  <c:v>95948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446-444B-8FA1-3CB7A7A269D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1E-3</c:v>
                  </c:pt>
                  <c:pt idx="2">
                    <c:v>7.0000000000000001E-3</c:v>
                  </c:pt>
                  <c:pt idx="3">
                    <c:v>7.0000000000000001E-3</c:v>
                  </c:pt>
                  <c:pt idx="4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1E-3</c:v>
                  </c:pt>
                  <c:pt idx="2">
                    <c:v>7.0000000000000001E-3</c:v>
                  </c:pt>
                  <c:pt idx="3">
                    <c:v>7.0000000000000001E-3</c:v>
                  </c:pt>
                  <c:pt idx="4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94712.5</c:v>
                </c:pt>
                <c:pt idx="2">
                  <c:v>94838.5</c:v>
                </c:pt>
                <c:pt idx="3">
                  <c:v>94856</c:v>
                </c:pt>
                <c:pt idx="4">
                  <c:v>95948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446-444B-8FA1-3CB7A7A269D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1E-3</c:v>
                  </c:pt>
                  <c:pt idx="2">
                    <c:v>7.0000000000000001E-3</c:v>
                  </c:pt>
                  <c:pt idx="3">
                    <c:v>7.0000000000000001E-3</c:v>
                  </c:pt>
                  <c:pt idx="4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1E-3</c:v>
                  </c:pt>
                  <c:pt idx="2">
                    <c:v>7.0000000000000001E-3</c:v>
                  </c:pt>
                  <c:pt idx="3">
                    <c:v>7.0000000000000001E-3</c:v>
                  </c:pt>
                  <c:pt idx="4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94712.5</c:v>
                </c:pt>
                <c:pt idx="2">
                  <c:v>94838.5</c:v>
                </c:pt>
                <c:pt idx="3">
                  <c:v>94856</c:v>
                </c:pt>
                <c:pt idx="4">
                  <c:v>95948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446-444B-8FA1-3CB7A7A269D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1E-3</c:v>
                  </c:pt>
                  <c:pt idx="2">
                    <c:v>7.0000000000000001E-3</c:v>
                  </c:pt>
                  <c:pt idx="3">
                    <c:v>7.0000000000000001E-3</c:v>
                  </c:pt>
                  <c:pt idx="4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1E-3</c:v>
                  </c:pt>
                  <c:pt idx="2">
                    <c:v>7.0000000000000001E-3</c:v>
                  </c:pt>
                  <c:pt idx="3">
                    <c:v>7.0000000000000001E-3</c:v>
                  </c:pt>
                  <c:pt idx="4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94712.5</c:v>
                </c:pt>
                <c:pt idx="2">
                  <c:v>94838.5</c:v>
                </c:pt>
                <c:pt idx="3">
                  <c:v>94856</c:v>
                </c:pt>
                <c:pt idx="4">
                  <c:v>95948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446-444B-8FA1-3CB7A7A269D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94712.5</c:v>
                </c:pt>
                <c:pt idx="2">
                  <c:v>94838.5</c:v>
                </c:pt>
                <c:pt idx="3">
                  <c:v>94856</c:v>
                </c:pt>
                <c:pt idx="4">
                  <c:v>95948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6.3790052203402392E-5</c:v>
                </c:pt>
                <c:pt idx="1">
                  <c:v>0.14457833642962015</c:v>
                </c:pt>
                <c:pt idx="2">
                  <c:v>0.1447705901748339</c:v>
                </c:pt>
                <c:pt idx="3">
                  <c:v>0.14479729208389136</c:v>
                </c:pt>
                <c:pt idx="4">
                  <c:v>0.14646349120907692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446-444B-8FA1-3CB7A7A269D7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94712.5</c:v>
                </c:pt>
                <c:pt idx="2">
                  <c:v>94838.5</c:v>
                </c:pt>
                <c:pt idx="3">
                  <c:v>94856</c:v>
                </c:pt>
                <c:pt idx="4">
                  <c:v>95948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446-444B-8FA1-3CB7A7A269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161040"/>
        <c:axId val="1"/>
      </c:scatterChart>
      <c:valAx>
        <c:axId val="4511610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11610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76200</xdr:colOff>
      <xdr:row>0</xdr:row>
      <xdr:rowOff>0</xdr:rowOff>
    </xdr:from>
    <xdr:to>
      <xdr:col>17</xdr:col>
      <xdr:colOff>161925</xdr:colOff>
      <xdr:row>18</xdr:row>
      <xdr:rowOff>95250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7B5D4336-9A55-AD98-ACF9-C41BC958B1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selection activeCell="F7" sqref="F7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1.425781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12.140625" customWidth="1"/>
    <col min="18" max="18" width="9.140625" customWidth="1"/>
  </cols>
  <sheetData>
    <row r="1" spans="1:15" ht="20.25" x14ac:dyDescent="0.3">
      <c r="A1" s="1" t="s">
        <v>43</v>
      </c>
      <c r="F1" s="30" t="s">
        <v>41</v>
      </c>
      <c r="G1" s="31"/>
      <c r="H1" s="28"/>
      <c r="I1" s="32"/>
      <c r="J1" s="33"/>
      <c r="K1" s="29"/>
      <c r="L1" s="34"/>
      <c r="M1" s="35"/>
      <c r="N1" s="35"/>
      <c r="O1" s="36"/>
    </row>
    <row r="2" spans="1:15" x14ac:dyDescent="0.2">
      <c r="A2" t="s">
        <v>23</v>
      </c>
      <c r="B2" t="s">
        <v>44</v>
      </c>
      <c r="C2" s="27"/>
      <c r="D2" s="3"/>
    </row>
    <row r="3" spans="1:15" ht="13.5" thickBot="1" x14ac:dyDescent="0.25"/>
    <row r="4" spans="1:15" ht="14.25" thickTop="1" thickBot="1" x14ac:dyDescent="0.25">
      <c r="A4" s="5" t="s">
        <v>0</v>
      </c>
      <c r="C4" s="24" t="s">
        <v>36</v>
      </c>
      <c r="D4" s="25" t="s">
        <v>36</v>
      </c>
    </row>
    <row r="5" spans="1:15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5" x14ac:dyDescent="0.2">
      <c r="A6" s="5" t="s">
        <v>1</v>
      </c>
    </row>
    <row r="7" spans="1:15" x14ac:dyDescent="0.2">
      <c r="A7" t="s">
        <v>2</v>
      </c>
      <c r="C7" s="43">
        <v>0</v>
      </c>
      <c r="D7" s="26"/>
    </row>
    <row r="8" spans="1:15" x14ac:dyDescent="0.2">
      <c r="A8" t="s">
        <v>3</v>
      </c>
      <c r="C8" s="43">
        <v>0.6263843</v>
      </c>
      <c r="D8" s="26" t="s">
        <v>45</v>
      </c>
    </row>
    <row r="9" spans="1:15" x14ac:dyDescent="0.2">
      <c r="A9" s="21" t="s">
        <v>31</v>
      </c>
      <c r="B9" s="22">
        <v>21</v>
      </c>
      <c r="C9" s="19" t="str">
        <f>"F"&amp;B9</f>
        <v>F21</v>
      </c>
      <c r="D9" s="20" t="str">
        <f>"G"&amp;B9</f>
        <v>G21</v>
      </c>
    </row>
    <row r="10" spans="1:15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15" x14ac:dyDescent="0.2">
      <c r="A11" s="10" t="s">
        <v>15</v>
      </c>
      <c r="B11" s="10"/>
      <c r="C11" s="18">
        <f ca="1">INTERCEPT(INDIRECT($D$9):G992,INDIRECT($C$9):F992)</f>
        <v>6.3790052203402392E-5</v>
      </c>
      <c r="D11" s="3"/>
      <c r="E11" s="10"/>
    </row>
    <row r="12" spans="1:15" x14ac:dyDescent="0.2">
      <c r="A12" s="10" t="s">
        <v>16</v>
      </c>
      <c r="B12" s="10"/>
      <c r="C12" s="18">
        <f ca="1">SLOPE(INDIRECT($D$9):G992,INDIRECT($C$9):F992)</f>
        <v>1.5258233747120681E-6</v>
      </c>
      <c r="D12" s="3"/>
      <c r="E12" s="55" t="s">
        <v>54</v>
      </c>
      <c r="F12" s="54" t="s">
        <v>53</v>
      </c>
    </row>
    <row r="13" spans="1:15" x14ac:dyDescent="0.2">
      <c r="A13" s="10" t="s">
        <v>18</v>
      </c>
      <c r="B13" s="10"/>
      <c r="C13" s="3" t="s">
        <v>13</v>
      </c>
      <c r="E13" s="48" t="s">
        <v>33</v>
      </c>
      <c r="F13" s="50">
        <v>1</v>
      </c>
    </row>
    <row r="14" spans="1:15" x14ac:dyDescent="0.2">
      <c r="A14" s="10"/>
      <c r="B14" s="10"/>
      <c r="C14" s="10"/>
      <c r="E14" s="48" t="s">
        <v>30</v>
      </c>
      <c r="F14" s="51">
        <f ca="1">NOW()+15018.5+$C$5/24</f>
        <v>60680.85807037037</v>
      </c>
    </row>
    <row r="15" spans="1:15" x14ac:dyDescent="0.2">
      <c r="A15" s="12" t="s">
        <v>17</v>
      </c>
      <c r="B15" s="10"/>
      <c r="C15" s="13">
        <f ca="1">(C7+C11)+(C8+C12)*INT(MAX(F21:F3533))</f>
        <v>60100.467279891214</v>
      </c>
      <c r="E15" s="48" t="s">
        <v>34</v>
      </c>
      <c r="F15" s="51">
        <f ca="1">ROUND(2*($F$14-$C$7)/$C$8,0)/2+$F$13</f>
        <v>96876</v>
      </c>
    </row>
    <row r="16" spans="1:15" x14ac:dyDescent="0.2">
      <c r="A16" s="15" t="s">
        <v>4</v>
      </c>
      <c r="B16" s="10"/>
      <c r="C16" s="16">
        <f ca="1">+C8+C12</f>
        <v>0.62638582582337476</v>
      </c>
      <c r="E16" s="48" t="s">
        <v>35</v>
      </c>
      <c r="F16" s="51">
        <f ca="1">ROUND(2*($F$14-$C$15)/$C$16,0)/2+$F$13</f>
        <v>927.5</v>
      </c>
    </row>
    <row r="17" spans="1:21" ht="13.5" thickBot="1" x14ac:dyDescent="0.25">
      <c r="A17" s="14" t="s">
        <v>27</v>
      </c>
      <c r="B17" s="10"/>
      <c r="C17" s="10">
        <f>COUNT(C21:C2191)</f>
        <v>4</v>
      </c>
      <c r="E17" s="48" t="s">
        <v>51</v>
      </c>
      <c r="F17" s="53">
        <f ca="1">+$C$15+$C$16*$F$16-15018.5-$C$5/24</f>
        <v>45663.335966675731</v>
      </c>
    </row>
    <row r="18" spans="1:21" ht="14.25" thickTop="1" thickBot="1" x14ac:dyDescent="0.25">
      <c r="A18" s="15" t="s">
        <v>5</v>
      </c>
      <c r="B18" s="10"/>
      <c r="C18" s="17">
        <f ca="1">+C15</f>
        <v>60100.467279891214</v>
      </c>
      <c r="D18" s="47">
        <f ca="1">+C16</f>
        <v>0.62638582582337476</v>
      </c>
      <c r="E18" s="49" t="s">
        <v>52</v>
      </c>
      <c r="F18" s="52">
        <f ca="1">+($C$15+$C$16*$F$16)-($C$16/2)-15018.5-$C$5/24</f>
        <v>45663.022773762823</v>
      </c>
    </row>
    <row r="19" spans="1:21" ht="13.5" thickTop="1" x14ac:dyDescent="0.2">
      <c r="F19" s="37" t="s">
        <v>42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37</v>
      </c>
      <c r="I20" s="7" t="s">
        <v>38</v>
      </c>
      <c r="J20" s="7" t="s">
        <v>39</v>
      </c>
      <c r="K20" s="7" t="s">
        <v>40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3" t="s">
        <v>32</v>
      </c>
    </row>
    <row r="21" spans="1:21" x14ac:dyDescent="0.2">
      <c r="A21" t="s">
        <v>45</v>
      </c>
      <c r="C21" s="8"/>
      <c r="D21" s="8"/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6.3790052203402392E-5</v>
      </c>
      <c r="Q21" s="38">
        <f>+C21-15018.5</f>
        <v>-15018.5</v>
      </c>
    </row>
    <row r="22" spans="1:21" x14ac:dyDescent="0.2">
      <c r="A22" s="39" t="s">
        <v>46</v>
      </c>
      <c r="B22" s="40" t="s">
        <v>47</v>
      </c>
      <c r="C22" s="41">
        <v>59326.569999999832</v>
      </c>
      <c r="D22" s="42">
        <v>1E-3</v>
      </c>
      <c r="E22">
        <f>+(C22-C$7)/C$8</f>
        <v>94712.73465825984</v>
      </c>
      <c r="F22">
        <f>ROUND(2*E22,0)/2</f>
        <v>94712.5</v>
      </c>
      <c r="G22">
        <f>+C22-(C$7+F22*C$8)</f>
        <v>0.14698624983429909</v>
      </c>
      <c r="I22">
        <f>+G22</f>
        <v>0.14698624983429909</v>
      </c>
      <c r="O22">
        <f ca="1">+C$11+C$12*$F22</f>
        <v>0.14457833642962015</v>
      </c>
      <c r="Q22" s="38">
        <f>+C22-15018.5</f>
        <v>44308.069999999832</v>
      </c>
    </row>
    <row r="23" spans="1:21" x14ac:dyDescent="0.2">
      <c r="A23" s="39" t="s">
        <v>48</v>
      </c>
      <c r="B23" s="40" t="s">
        <v>47</v>
      </c>
      <c r="C23" s="41">
        <v>59405.495000000003</v>
      </c>
      <c r="D23" s="42">
        <v>7.0000000000000001E-3</v>
      </c>
      <c r="E23">
        <f t="shared" ref="E23:E24" si="0">+(C23-C$7)/C$8</f>
        <v>94838.735581335612</v>
      </c>
      <c r="F23">
        <f t="shared" ref="F23:F24" si="1">ROUND(2*E23,0)/2</f>
        <v>94838.5</v>
      </c>
      <c r="G23">
        <f t="shared" ref="G23:G24" si="2">+C23-(C$7+F23*C$8)</f>
        <v>0.14756445000239182</v>
      </c>
      <c r="I23">
        <f t="shared" ref="I23:I24" si="3">+G23</f>
        <v>0.14756445000239182</v>
      </c>
      <c r="O23">
        <f t="shared" ref="O23:O24" ca="1" si="4">+C$11+C$12*$F23</f>
        <v>0.1447705901748339</v>
      </c>
      <c r="Q23" s="38">
        <f t="shared" ref="Q23:Q24" si="5">+C23-15018.5</f>
        <v>44386.995000000003</v>
      </c>
    </row>
    <row r="24" spans="1:21" x14ac:dyDescent="0.2">
      <c r="A24" s="39" t="s">
        <v>48</v>
      </c>
      <c r="B24" s="40" t="s">
        <v>47</v>
      </c>
      <c r="C24" s="41">
        <v>59416.453999999998</v>
      </c>
      <c r="D24" s="42">
        <v>7.0000000000000001E-3</v>
      </c>
      <c r="E24">
        <f t="shared" si="0"/>
        <v>94856.231230572026</v>
      </c>
      <c r="F24">
        <f t="shared" si="1"/>
        <v>94856</v>
      </c>
      <c r="G24">
        <f t="shared" si="2"/>
        <v>0.14483919999474892</v>
      </c>
      <c r="I24">
        <f t="shared" si="3"/>
        <v>0.14483919999474892</v>
      </c>
      <c r="O24">
        <f t="shared" ca="1" si="4"/>
        <v>0.14479729208389136</v>
      </c>
      <c r="Q24" s="38">
        <f t="shared" si="5"/>
        <v>44397.953999999998</v>
      </c>
    </row>
    <row r="25" spans="1:21" x14ac:dyDescent="0.2">
      <c r="A25" s="44" t="s">
        <v>49</v>
      </c>
      <c r="B25" s="45" t="s">
        <v>50</v>
      </c>
      <c r="C25" s="46">
        <v>60100.462100000121</v>
      </c>
      <c r="D25" s="44">
        <v>5.0000000000000001E-4</v>
      </c>
      <c r="E25">
        <f t="shared" ref="E25" si="6">+(C25-C$7)/C$8</f>
        <v>95948.225554184741</v>
      </c>
      <c r="F25">
        <f t="shared" ref="F25" si="7">ROUND(2*E25,0)/2</f>
        <v>95948</v>
      </c>
      <c r="G25">
        <f t="shared" ref="G25" si="8">+C25-(C$7+F25*C$8)</f>
        <v>0.14128360011818586</v>
      </c>
      <c r="I25">
        <f t="shared" ref="I25" si="9">+G25</f>
        <v>0.14128360011818586</v>
      </c>
      <c r="O25">
        <f t="shared" ref="O25" ca="1" si="10">+C$11+C$12*$F25</f>
        <v>0.14646349120907692</v>
      </c>
      <c r="Q25" s="38">
        <f t="shared" ref="Q25" si="11">+C25-15018.5</f>
        <v>45081.962100000121</v>
      </c>
    </row>
    <row r="26" spans="1:21" x14ac:dyDescent="0.2">
      <c r="C26" s="8"/>
      <c r="D26" s="8"/>
      <c r="Q26" s="2"/>
    </row>
    <row r="27" spans="1:21" x14ac:dyDescent="0.2">
      <c r="C27" s="8"/>
      <c r="D27" s="8"/>
      <c r="Q27" s="2"/>
    </row>
    <row r="28" spans="1:21" x14ac:dyDescent="0.2">
      <c r="C28" s="8"/>
      <c r="D28" s="8"/>
      <c r="Q28" s="2"/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8" type="noConversion"/>
  <pageMargins left="0.75" right="0.75" top="1" bottom="1" header="0.5" footer="0.5"/>
  <pageSetup paperSize="9" orientation="portrait" horizontalDpi="0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2025-01-05T07:35:37Z</dcterms:modified>
</cp:coreProperties>
</file>